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omments1.xml" ContentType="application/vnd.openxmlformats-officedocument.spreadsheetml.comments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omments2.xml" ContentType="application/vnd.openxmlformats-officedocument.spreadsheetml.comments+xml"/>
  <Override PartName="/xl/drawings/drawing5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.demorais\Downloads\"/>
    </mc:Choice>
  </mc:AlternateContent>
  <xr:revisionPtr revIDLastSave="0" documentId="13_ncr:1_{3E26A8D0-5B06-4513-8DA0-12F5F93794CD}" xr6:coauthVersionLast="47" xr6:coauthVersionMax="47" xr10:uidLastSave="{00000000-0000-0000-0000-000000000000}"/>
  <bookViews>
    <workbookView xWindow="-120" yWindow="-120" windowWidth="29040" windowHeight="15840" tabRatio="901" firstSheet="48" activeTab="45" xr2:uid="{00000000-000D-0000-FFFF-FFFF00000000}"/>
  </bookViews>
  <sheets>
    <sheet name="jan22" sheetId="6" r:id="rId1"/>
    <sheet name="fev22" sheetId="7" r:id="rId2"/>
    <sheet name="mar22" sheetId="8" r:id="rId3"/>
    <sheet name="abr22" sheetId="9" r:id="rId4"/>
    <sheet name="mai22" sheetId="10" r:id="rId5"/>
    <sheet name="jun22" sheetId="11" r:id="rId6"/>
    <sheet name="jul22" sheetId="12" r:id="rId7"/>
    <sheet name="ago22" sheetId="13" r:id="rId8"/>
    <sheet name="set22" sheetId="14" r:id="rId9"/>
    <sheet name="Out22" sheetId="17" r:id="rId10"/>
    <sheet name="Nov22" sheetId="21" r:id="rId11"/>
    <sheet name="Dez22" sheetId="23" r:id="rId12"/>
    <sheet name="Jan23" sheetId="24" r:id="rId13"/>
    <sheet name="Fev23" sheetId="26" r:id="rId14"/>
    <sheet name="Mar23" sheetId="27" r:id="rId15"/>
    <sheet name="Abr23" sheetId="31" r:id="rId16"/>
    <sheet name="Mai23" sheetId="32" r:id="rId17"/>
    <sheet name="Jun23" sheetId="34" r:id="rId18"/>
    <sheet name="Jul23" sheetId="36" r:id="rId19"/>
    <sheet name="Ago23" sheetId="37" r:id="rId20"/>
    <sheet name="Set23" sheetId="38" r:id="rId21"/>
    <sheet name="Out23" sheetId="39" r:id="rId22"/>
    <sheet name="Nov23" sheetId="41" r:id="rId23"/>
    <sheet name="Dez23" sheetId="42" r:id="rId24"/>
    <sheet name="Jan24" sheetId="43" r:id="rId25"/>
    <sheet name="Fev24" sheetId="45" r:id="rId26"/>
    <sheet name="Mar24" sheetId="46" r:id="rId27"/>
    <sheet name="Abr24" sheetId="48" r:id="rId28"/>
    <sheet name="Mai24" sheetId="49" r:id="rId29"/>
    <sheet name="Jun24" sheetId="50" r:id="rId30"/>
    <sheet name="Jul24" sheetId="51" r:id="rId31"/>
    <sheet name="Ago24" sheetId="53" r:id="rId32"/>
    <sheet name="Set24" sheetId="54" r:id="rId33"/>
    <sheet name="Out24" sheetId="55" r:id="rId34"/>
    <sheet name="Nov24" sheetId="57" r:id="rId35"/>
    <sheet name="Dez24" sheetId="58" r:id="rId36"/>
    <sheet name="Jan25" sheetId="59" r:id="rId37"/>
    <sheet name="Fev25" sheetId="62" r:id="rId38"/>
    <sheet name="Mar25" sheetId="63" r:id="rId39"/>
    <sheet name="Abr25" sheetId="64" r:id="rId40"/>
    <sheet name="Mai25" sheetId="66" r:id="rId41"/>
    <sheet name="Jun25" sheetId="67" r:id="rId42"/>
    <sheet name="Jul25" sheetId="68" r:id="rId43"/>
    <sheet name="Ago25" sheetId="70" r:id="rId44"/>
    <sheet name="Set25" sheetId="72" r:id="rId45"/>
    <sheet name="Out25" sheetId="74" r:id="rId46"/>
    <sheet name="Nov25" sheetId="76" r:id="rId47"/>
    <sheet name="Dez25" sheetId="77" r:id="rId48"/>
    <sheet name="Jan26" sheetId="78" r:id="rId49"/>
    <sheet name="Conta Gráfica" sheetId="15" r:id="rId50"/>
    <sheet name="SELIC - Bacen" sheetId="73" r:id="rId51"/>
    <sheet name="Questionamento PMPV" sheetId="30" state="hidden" r:id="rId52"/>
    <sheet name="Conta Gráfica PMPV" sheetId="28" state="hidden" r:id="rId53"/>
    <sheet name="IGP-DI" sheetId="16" r:id="rId54"/>
    <sheet name="Conta Gráfica jan a set22" sheetId="19" state="hidden" r:id="rId55"/>
    <sheet name="Conta Gráfica out a dez22" sheetId="20" state="hidden" r:id="rId56"/>
    <sheet name="Conta Gráfica out a dez22 PMPV" sheetId="29" state="hidden" r:id="rId57"/>
    <sheet name="Conta Gráfica jan a mar23" sheetId="25" state="hidden" r:id="rId58"/>
    <sheet name="Conta Gráfica abr a jun23" sheetId="33" state="hidden" r:id="rId59"/>
    <sheet name="Conta Gráfica jul a set23" sheetId="35" state="hidden" r:id="rId60"/>
    <sheet name="Conta Gráfica out a dez23" sheetId="40" state="hidden" r:id="rId61"/>
    <sheet name="Conta Gráfica jan a mar24" sheetId="44" state="hidden" r:id="rId62"/>
    <sheet name="Conta Gráfica abr a jun24" sheetId="47" state="hidden" r:id="rId63"/>
    <sheet name="Conta Gráfica jul a set24" sheetId="52" state="hidden" r:id="rId64"/>
    <sheet name="Conta Gráfica out a dez24" sheetId="56" state="hidden" r:id="rId65"/>
    <sheet name="Conta Gráfica jan a mar25" sheetId="61" r:id="rId66"/>
    <sheet name="Conta Gráfica abr a jun25" sheetId="65" r:id="rId67"/>
    <sheet name="Conta Gráfica jul a set25" sheetId="69" r:id="rId68"/>
    <sheet name="Conta Gráfica out a dez25" sheetId="75" r:id="rId69"/>
    <sheet name="Conta Gráfica jan a mar26" sheetId="79" r:id="rId70"/>
  </sheets>
  <externalReferences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_xlnm._FilterDatabase" localSheetId="45" hidden="1">'Out25'!$G$184:$G$184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79" l="1"/>
  <c r="D31" i="79" s="1"/>
  <c r="D36" i="79" s="1"/>
  <c r="D37" i="79" s="1"/>
  <c r="C30" i="79"/>
  <c r="C31" i="79" s="1"/>
  <c r="C36" i="79" s="1"/>
  <c r="C37" i="79" s="1"/>
  <c r="B30" i="79"/>
  <c r="B31" i="79" s="1"/>
  <c r="B36" i="79" s="1"/>
  <c r="B37" i="79" s="1"/>
  <c r="D10" i="79"/>
  <c r="D11" i="79" s="1"/>
  <c r="D12" i="79" s="1"/>
  <c r="C10" i="79"/>
  <c r="B10" i="79"/>
  <c r="C1" i="79"/>
  <c r="B1" i="79"/>
  <c r="C11" i="79" l="1"/>
  <c r="C12" i="79" s="1"/>
  <c r="B11" i="79"/>
  <c r="B12" i="79" s="1"/>
  <c r="C13" i="79"/>
  <c r="B12" i="75"/>
  <c r="D12" i="75"/>
  <c r="C12" i="75"/>
  <c r="AV56" i="15"/>
  <c r="AY22" i="15"/>
  <c r="AY20" i="15"/>
  <c r="AY18" i="15"/>
  <c r="AY16" i="15"/>
  <c r="AY14" i="15"/>
  <c r="AY12" i="15"/>
  <c r="AY10" i="15"/>
  <c r="AY8" i="15"/>
  <c r="E184" i="78"/>
  <c r="P182" i="78"/>
  <c r="N182" i="78"/>
  <c r="M182" i="78"/>
  <c r="O182" i="78" s="1"/>
  <c r="P181" i="78"/>
  <c r="O181" i="78"/>
  <c r="N181" i="78"/>
  <c r="M181" i="78"/>
  <c r="P180" i="78"/>
  <c r="M180" i="78"/>
  <c r="O180" i="78" s="1"/>
  <c r="P179" i="78"/>
  <c r="N179" i="78"/>
  <c r="M179" i="78"/>
  <c r="P178" i="78"/>
  <c r="M178" i="78"/>
  <c r="O178" i="78" s="1"/>
  <c r="P177" i="78"/>
  <c r="O177" i="78"/>
  <c r="N177" i="78"/>
  <c r="M177" i="78"/>
  <c r="P176" i="78"/>
  <c r="M176" i="78"/>
  <c r="O176" i="78" s="1"/>
  <c r="P175" i="78"/>
  <c r="N175" i="78"/>
  <c r="M175" i="78"/>
  <c r="P174" i="78"/>
  <c r="O174" i="78"/>
  <c r="N174" i="78"/>
  <c r="G174" i="78" s="1"/>
  <c r="M174" i="78"/>
  <c r="P173" i="78"/>
  <c r="O173" i="78"/>
  <c r="M173" i="78"/>
  <c r="P172" i="78"/>
  <c r="M172" i="78"/>
  <c r="O172" i="78" s="1"/>
  <c r="P171" i="78"/>
  <c r="M171" i="78"/>
  <c r="P170" i="78"/>
  <c r="M170" i="78"/>
  <c r="O170" i="78" s="1"/>
  <c r="P169" i="78"/>
  <c r="O169" i="78"/>
  <c r="N169" i="78"/>
  <c r="M169" i="78"/>
  <c r="P168" i="78"/>
  <c r="M168" i="78"/>
  <c r="O168" i="78" s="1"/>
  <c r="P167" i="78"/>
  <c r="N167" i="78"/>
  <c r="M167" i="78"/>
  <c r="P166" i="78"/>
  <c r="O166" i="78"/>
  <c r="N166" i="78"/>
  <c r="G166" i="78" s="1"/>
  <c r="M166" i="78"/>
  <c r="P165" i="78"/>
  <c r="O165" i="78"/>
  <c r="M165" i="78"/>
  <c r="P164" i="78"/>
  <c r="M164" i="78"/>
  <c r="O164" i="78" s="1"/>
  <c r="P163" i="78"/>
  <c r="M163" i="78"/>
  <c r="P162" i="78"/>
  <c r="M162" i="78"/>
  <c r="O162" i="78" s="1"/>
  <c r="P161" i="78"/>
  <c r="O161" i="78"/>
  <c r="N161" i="78"/>
  <c r="M161" i="78"/>
  <c r="P160" i="78"/>
  <c r="M160" i="78"/>
  <c r="O160" i="78" s="1"/>
  <c r="P159" i="78"/>
  <c r="N159" i="78"/>
  <c r="M159" i="78"/>
  <c r="P158" i="78"/>
  <c r="O158" i="78"/>
  <c r="N158" i="78"/>
  <c r="G158" i="78" s="1"/>
  <c r="M158" i="78"/>
  <c r="P157" i="78"/>
  <c r="O157" i="78"/>
  <c r="M157" i="78"/>
  <c r="P156" i="78"/>
  <c r="M156" i="78"/>
  <c r="O156" i="78" s="1"/>
  <c r="P155" i="78"/>
  <c r="M155" i="78"/>
  <c r="P154" i="78"/>
  <c r="M154" i="78"/>
  <c r="O154" i="78" s="1"/>
  <c r="P153" i="78"/>
  <c r="O153" i="78"/>
  <c r="N153" i="78"/>
  <c r="M153" i="78"/>
  <c r="P152" i="78"/>
  <c r="M152" i="78"/>
  <c r="O152" i="78" s="1"/>
  <c r="P151" i="78"/>
  <c r="N151" i="78"/>
  <c r="M151" i="78"/>
  <c r="P150" i="78"/>
  <c r="O150" i="78"/>
  <c r="N150" i="78"/>
  <c r="G150" i="78" s="1"/>
  <c r="M150" i="78"/>
  <c r="P149" i="78"/>
  <c r="O149" i="78"/>
  <c r="M149" i="78"/>
  <c r="P148" i="78"/>
  <c r="M148" i="78"/>
  <c r="O148" i="78" s="1"/>
  <c r="P147" i="78"/>
  <c r="M147" i="78"/>
  <c r="P146" i="78"/>
  <c r="M146" i="78"/>
  <c r="O146" i="78" s="1"/>
  <c r="P145" i="78"/>
  <c r="O145" i="78"/>
  <c r="N145" i="78"/>
  <c r="M145" i="78"/>
  <c r="P144" i="78"/>
  <c r="M144" i="78"/>
  <c r="O144" i="78" s="1"/>
  <c r="P143" i="78"/>
  <c r="N143" i="78"/>
  <c r="M143" i="78"/>
  <c r="P142" i="78"/>
  <c r="O142" i="78"/>
  <c r="N142" i="78"/>
  <c r="G142" i="78" s="1"/>
  <c r="M142" i="78"/>
  <c r="P141" i="78"/>
  <c r="O141" i="78"/>
  <c r="M141" i="78"/>
  <c r="P140" i="78"/>
  <c r="M140" i="78"/>
  <c r="O140" i="78" s="1"/>
  <c r="P139" i="78"/>
  <c r="M139" i="78"/>
  <c r="P138" i="78"/>
  <c r="M138" i="78"/>
  <c r="O138" i="78" s="1"/>
  <c r="P137" i="78"/>
  <c r="M137" i="78"/>
  <c r="O137" i="78" s="1"/>
  <c r="P136" i="78"/>
  <c r="M136" i="78"/>
  <c r="O136" i="78" s="1"/>
  <c r="P135" i="78"/>
  <c r="M135" i="78"/>
  <c r="O135" i="78" s="1"/>
  <c r="P134" i="78"/>
  <c r="M134" i="78"/>
  <c r="O134" i="78" s="1"/>
  <c r="P133" i="78"/>
  <c r="M133" i="78"/>
  <c r="P132" i="78"/>
  <c r="M132" i="78"/>
  <c r="P131" i="78"/>
  <c r="M131" i="78"/>
  <c r="P130" i="78"/>
  <c r="M130" i="78"/>
  <c r="O130" i="78" s="1"/>
  <c r="P129" i="78"/>
  <c r="M129" i="78"/>
  <c r="O129" i="78" s="1"/>
  <c r="P128" i="78"/>
  <c r="M128" i="78"/>
  <c r="O128" i="78" s="1"/>
  <c r="P127" i="78"/>
  <c r="M127" i="78"/>
  <c r="O127" i="78" s="1"/>
  <c r="P126" i="78"/>
  <c r="M126" i="78"/>
  <c r="O126" i="78" s="1"/>
  <c r="P125" i="78"/>
  <c r="M125" i="78"/>
  <c r="P124" i="78"/>
  <c r="M124" i="78"/>
  <c r="P123" i="78"/>
  <c r="M123" i="78"/>
  <c r="P122" i="78"/>
  <c r="M122" i="78"/>
  <c r="O122" i="78" s="1"/>
  <c r="P121" i="78"/>
  <c r="M121" i="78"/>
  <c r="O121" i="78" s="1"/>
  <c r="P120" i="78"/>
  <c r="M120" i="78"/>
  <c r="O120" i="78" s="1"/>
  <c r="P119" i="78"/>
  <c r="M119" i="78"/>
  <c r="O119" i="78" s="1"/>
  <c r="P118" i="78"/>
  <c r="M118" i="78"/>
  <c r="O118" i="78" s="1"/>
  <c r="P117" i="78"/>
  <c r="M117" i="78"/>
  <c r="P116" i="78"/>
  <c r="M116" i="78"/>
  <c r="P115" i="78"/>
  <c r="M115" i="78"/>
  <c r="P114" i="78"/>
  <c r="M114" i="78"/>
  <c r="O114" i="78" s="1"/>
  <c r="P113" i="78"/>
  <c r="M113" i="78"/>
  <c r="O113" i="78" s="1"/>
  <c r="P112" i="78"/>
  <c r="M112" i="78"/>
  <c r="N112" i="78" s="1"/>
  <c r="P111" i="78"/>
  <c r="M111" i="78"/>
  <c r="P110" i="78"/>
  <c r="M110" i="78"/>
  <c r="O110" i="78" s="1"/>
  <c r="P109" i="78"/>
  <c r="M109" i="78"/>
  <c r="P108" i="78"/>
  <c r="M108" i="78"/>
  <c r="P107" i="78"/>
  <c r="M107" i="78"/>
  <c r="P106" i="78"/>
  <c r="M106" i="78"/>
  <c r="O106" i="78" s="1"/>
  <c r="P105" i="78"/>
  <c r="M105" i="78"/>
  <c r="O105" i="78" s="1"/>
  <c r="P104" i="78"/>
  <c r="M104" i="78"/>
  <c r="N104" i="78" s="1"/>
  <c r="P103" i="78"/>
  <c r="M103" i="78"/>
  <c r="P102" i="78"/>
  <c r="M102" i="78"/>
  <c r="O102" i="78" s="1"/>
  <c r="P101" i="78"/>
  <c r="M101" i="78"/>
  <c r="P100" i="78"/>
  <c r="M100" i="78"/>
  <c r="P99" i="78"/>
  <c r="M99" i="78"/>
  <c r="P98" i="78"/>
  <c r="M98" i="78"/>
  <c r="O98" i="78" s="1"/>
  <c r="P97" i="78"/>
  <c r="M97" i="78"/>
  <c r="O97" i="78" s="1"/>
  <c r="P96" i="78"/>
  <c r="M96" i="78"/>
  <c r="N96" i="78" s="1"/>
  <c r="P95" i="78"/>
  <c r="M95" i="78"/>
  <c r="P94" i="78"/>
  <c r="M94" i="78"/>
  <c r="O94" i="78" s="1"/>
  <c r="P93" i="78"/>
  <c r="M93" i="78"/>
  <c r="P92" i="78"/>
  <c r="M92" i="78"/>
  <c r="P91" i="78"/>
  <c r="M91" i="78"/>
  <c r="P90" i="78"/>
  <c r="M90" i="78"/>
  <c r="O90" i="78" s="1"/>
  <c r="P89" i="78"/>
  <c r="M89" i="78"/>
  <c r="O89" i="78" s="1"/>
  <c r="P88" i="78"/>
  <c r="M88" i="78"/>
  <c r="O88" i="78" s="1"/>
  <c r="P87" i="78"/>
  <c r="M87" i="78"/>
  <c r="N87" i="78" s="1"/>
  <c r="P86" i="78"/>
  <c r="M86" i="78"/>
  <c r="O86" i="78" s="1"/>
  <c r="P85" i="78"/>
  <c r="M85" i="78"/>
  <c r="P84" i="78"/>
  <c r="M84" i="78"/>
  <c r="P83" i="78"/>
  <c r="M83" i="78"/>
  <c r="P82" i="78"/>
  <c r="M82" i="78"/>
  <c r="O82" i="78" s="1"/>
  <c r="P81" i="78"/>
  <c r="M81" i="78"/>
  <c r="O81" i="78" s="1"/>
  <c r="P80" i="78"/>
  <c r="M80" i="78"/>
  <c r="O80" i="78" s="1"/>
  <c r="P79" i="78"/>
  <c r="M79" i="78"/>
  <c r="O79" i="78" s="1"/>
  <c r="P78" i="78"/>
  <c r="M78" i="78"/>
  <c r="O78" i="78" s="1"/>
  <c r="P77" i="78"/>
  <c r="M77" i="78"/>
  <c r="P76" i="78"/>
  <c r="M76" i="78"/>
  <c r="P75" i="78"/>
  <c r="M75" i="78"/>
  <c r="P74" i="78"/>
  <c r="M74" i="78"/>
  <c r="O74" i="78" s="1"/>
  <c r="P73" i="78"/>
  <c r="M73" i="78"/>
  <c r="O73" i="78" s="1"/>
  <c r="P72" i="78"/>
  <c r="M72" i="78"/>
  <c r="O72" i="78" s="1"/>
  <c r="P71" i="78"/>
  <c r="M71" i="78"/>
  <c r="P70" i="78"/>
  <c r="M70" i="78"/>
  <c r="O70" i="78" s="1"/>
  <c r="P69" i="78"/>
  <c r="M69" i="78"/>
  <c r="P68" i="78"/>
  <c r="M68" i="78"/>
  <c r="P67" i="78"/>
  <c r="M67" i="78"/>
  <c r="P66" i="78"/>
  <c r="M66" i="78"/>
  <c r="O66" i="78" s="1"/>
  <c r="P65" i="78"/>
  <c r="M65" i="78"/>
  <c r="O65" i="78" s="1"/>
  <c r="P64" i="78"/>
  <c r="M64" i="78"/>
  <c r="N64" i="78" s="1"/>
  <c r="P63" i="78"/>
  <c r="M63" i="78"/>
  <c r="O63" i="78" s="1"/>
  <c r="P62" i="78"/>
  <c r="M62" i="78"/>
  <c r="O62" i="78" s="1"/>
  <c r="P61" i="78"/>
  <c r="M61" i="78"/>
  <c r="P60" i="78"/>
  <c r="M60" i="78"/>
  <c r="P59" i="78"/>
  <c r="M59" i="78"/>
  <c r="P58" i="78"/>
  <c r="M58" i="78"/>
  <c r="O58" i="78" s="1"/>
  <c r="P57" i="78"/>
  <c r="M57" i="78"/>
  <c r="N57" i="78" s="1"/>
  <c r="P56" i="78"/>
  <c r="M56" i="78"/>
  <c r="O56" i="78" s="1"/>
  <c r="P55" i="78"/>
  <c r="M55" i="78"/>
  <c r="N55" i="78" s="1"/>
  <c r="P54" i="78"/>
  <c r="M54" i="78"/>
  <c r="N54" i="78" s="1"/>
  <c r="P53" i="78"/>
  <c r="M53" i="78"/>
  <c r="O53" i="78" s="1"/>
  <c r="P52" i="78"/>
  <c r="M52" i="78"/>
  <c r="P51" i="78"/>
  <c r="M51" i="78"/>
  <c r="O51" i="78" s="1"/>
  <c r="P50" i="78"/>
  <c r="M50" i="78"/>
  <c r="P49" i="78"/>
  <c r="M49" i="78"/>
  <c r="O49" i="78" s="1"/>
  <c r="P48" i="78"/>
  <c r="M48" i="78"/>
  <c r="O48" i="78" s="1"/>
  <c r="P47" i="78"/>
  <c r="M47" i="78"/>
  <c r="O47" i="78" s="1"/>
  <c r="P46" i="78"/>
  <c r="M46" i="78"/>
  <c r="O46" i="78" s="1"/>
  <c r="P45" i="78"/>
  <c r="M45" i="78"/>
  <c r="O45" i="78" s="1"/>
  <c r="P44" i="78"/>
  <c r="M44" i="78"/>
  <c r="P43" i="78"/>
  <c r="M43" i="78"/>
  <c r="N43" i="78" s="1"/>
  <c r="P42" i="78"/>
  <c r="M42" i="78"/>
  <c r="N42" i="78" s="1"/>
  <c r="P41" i="78"/>
  <c r="M41" i="78"/>
  <c r="O41" i="78" s="1"/>
  <c r="P40" i="78"/>
  <c r="M40" i="78"/>
  <c r="N40" i="78" s="1"/>
  <c r="P39" i="78"/>
  <c r="M39" i="78"/>
  <c r="O39" i="78" s="1"/>
  <c r="P38" i="78"/>
  <c r="M38" i="78"/>
  <c r="O38" i="78" s="1"/>
  <c r="P37" i="78"/>
  <c r="M37" i="78"/>
  <c r="O37" i="78" s="1"/>
  <c r="P36" i="78"/>
  <c r="M36" i="78"/>
  <c r="O36" i="78" s="1"/>
  <c r="P35" i="78"/>
  <c r="M35" i="78"/>
  <c r="P34" i="78"/>
  <c r="M34" i="78"/>
  <c r="O34" i="78" s="1"/>
  <c r="P33" i="78"/>
  <c r="M33" i="78"/>
  <c r="O33" i="78" s="1"/>
  <c r="P32" i="78"/>
  <c r="M32" i="78"/>
  <c r="P31" i="78"/>
  <c r="M31" i="78"/>
  <c r="N31" i="78" s="1"/>
  <c r="P30" i="78"/>
  <c r="M30" i="78"/>
  <c r="N30" i="78" s="1"/>
  <c r="P29" i="78"/>
  <c r="M29" i="78"/>
  <c r="O29" i="78" s="1"/>
  <c r="P28" i="78"/>
  <c r="M28" i="78"/>
  <c r="N28" i="78" s="1"/>
  <c r="P27" i="78"/>
  <c r="M27" i="78"/>
  <c r="O27" i="78" s="1"/>
  <c r="P26" i="78"/>
  <c r="M26" i="78"/>
  <c r="O26" i="78" s="1"/>
  <c r="P25" i="78"/>
  <c r="M25" i="78"/>
  <c r="O25" i="78" s="1"/>
  <c r="P24" i="78"/>
  <c r="M24" i="78"/>
  <c r="O24" i="78" s="1"/>
  <c r="P23" i="78"/>
  <c r="M23" i="78"/>
  <c r="P22" i="78"/>
  <c r="M22" i="78"/>
  <c r="O22" i="78" s="1"/>
  <c r="P21" i="78"/>
  <c r="M21" i="78"/>
  <c r="O21" i="78" s="1"/>
  <c r="P20" i="78"/>
  <c r="M20" i="78"/>
  <c r="P19" i="78"/>
  <c r="M19" i="78"/>
  <c r="N19" i="78" s="1"/>
  <c r="P18" i="78"/>
  <c r="M18" i="78"/>
  <c r="N18" i="78" s="1"/>
  <c r="B18" i="78"/>
  <c r="B19" i="78" s="1"/>
  <c r="B20" i="78" s="1"/>
  <c r="B21" i="78" s="1"/>
  <c r="B22" i="78" s="1"/>
  <c r="B23" i="78" s="1"/>
  <c r="B24" i="78" s="1"/>
  <c r="B25" i="78" s="1"/>
  <c r="B26" i="78" s="1"/>
  <c r="B27" i="78" s="1"/>
  <c r="B28" i="78" s="1"/>
  <c r="B29" i="78" s="1"/>
  <c r="B30" i="78" s="1"/>
  <c r="B31" i="78" s="1"/>
  <c r="B32" i="78" s="1"/>
  <c r="B33" i="78" s="1"/>
  <c r="B34" i="78" s="1"/>
  <c r="B35" i="78" s="1"/>
  <c r="B36" i="78" s="1"/>
  <c r="B37" i="78" s="1"/>
  <c r="B38" i="78" s="1"/>
  <c r="B39" i="78" s="1"/>
  <c r="B40" i="78" s="1"/>
  <c r="B41" i="78" s="1"/>
  <c r="B42" i="78" s="1"/>
  <c r="B43" i="78" s="1"/>
  <c r="B44" i="78" s="1"/>
  <c r="B45" i="78" s="1"/>
  <c r="B46" i="78" s="1"/>
  <c r="AY38" i="15"/>
  <c r="AY55" i="15"/>
  <c r="AY52" i="15"/>
  <c r="N140" i="78" l="1"/>
  <c r="G140" i="78" s="1"/>
  <c r="N148" i="78"/>
  <c r="G148" i="78" s="1"/>
  <c r="G151" i="78"/>
  <c r="N156" i="78"/>
  <c r="G156" i="78" s="1"/>
  <c r="G159" i="78"/>
  <c r="N164" i="78"/>
  <c r="G164" i="78" s="1"/>
  <c r="G167" i="78"/>
  <c r="N172" i="78"/>
  <c r="G172" i="78" s="1"/>
  <c r="G175" i="78"/>
  <c r="N180" i="78"/>
  <c r="G180" i="78" s="1"/>
  <c r="O143" i="78"/>
  <c r="G143" i="78" s="1"/>
  <c r="O151" i="78"/>
  <c r="O159" i="78"/>
  <c r="O167" i="78"/>
  <c r="O175" i="78"/>
  <c r="G141" i="78"/>
  <c r="N146" i="78"/>
  <c r="G146" i="78" s="1"/>
  <c r="G149" i="78"/>
  <c r="N154" i="78"/>
  <c r="G154" i="78" s="1"/>
  <c r="G157" i="78"/>
  <c r="N162" i="78"/>
  <c r="G162" i="78" s="1"/>
  <c r="G165" i="78"/>
  <c r="N170" i="78"/>
  <c r="G170" i="78" s="1"/>
  <c r="N178" i="78"/>
  <c r="G178" i="78" s="1"/>
  <c r="G181" i="78"/>
  <c r="N141" i="78"/>
  <c r="G144" i="78"/>
  <c r="N149" i="78"/>
  <c r="G152" i="78"/>
  <c r="N157" i="78"/>
  <c r="G160" i="78"/>
  <c r="N165" i="78"/>
  <c r="G168" i="78"/>
  <c r="N173" i="78"/>
  <c r="G173" i="78" s="1"/>
  <c r="N144" i="78"/>
  <c r="N152" i="78"/>
  <c r="N160" i="78"/>
  <c r="N168" i="78"/>
  <c r="G171" i="78"/>
  <c r="N176" i="78"/>
  <c r="G176" i="78" s="1"/>
  <c r="G179" i="78"/>
  <c r="N147" i="78"/>
  <c r="G147" i="78" s="1"/>
  <c r="N155" i="78"/>
  <c r="N163" i="78"/>
  <c r="N171" i="78"/>
  <c r="G182" i="78"/>
  <c r="O147" i="78"/>
  <c r="O155" i="78"/>
  <c r="G155" i="78" s="1"/>
  <c r="O163" i="78"/>
  <c r="G163" i="78" s="1"/>
  <c r="O171" i="78"/>
  <c r="O179" i="78"/>
  <c r="G145" i="78"/>
  <c r="G153" i="78"/>
  <c r="G161" i="78"/>
  <c r="G169" i="78"/>
  <c r="G177" i="78"/>
  <c r="N72" i="78"/>
  <c r="N88" i="78"/>
  <c r="G88" i="78" s="1"/>
  <c r="O112" i="78"/>
  <c r="O64" i="78"/>
  <c r="G64" i="78" s="1"/>
  <c r="N120" i="78"/>
  <c r="G120" i="78" s="1"/>
  <c r="N126" i="78"/>
  <c r="G126" i="78" s="1"/>
  <c r="O96" i="78"/>
  <c r="G96" i="78"/>
  <c r="G112" i="78"/>
  <c r="G18" i="78"/>
  <c r="O104" i="78"/>
  <c r="G104" i="78" s="1"/>
  <c r="N21" i="78"/>
  <c r="N26" i="78"/>
  <c r="N62" i="78"/>
  <c r="G62" i="78" s="1"/>
  <c r="N128" i="78"/>
  <c r="G128" i="78" s="1"/>
  <c r="N45" i="78"/>
  <c r="O57" i="78"/>
  <c r="G57" i="78" s="1"/>
  <c r="N86" i="78"/>
  <c r="G86" i="78" s="1"/>
  <c r="N110" i="78"/>
  <c r="G110" i="78" s="1"/>
  <c r="N70" i="78"/>
  <c r="G70" i="78" s="1"/>
  <c r="N118" i="78"/>
  <c r="G118" i="78" s="1"/>
  <c r="G72" i="78"/>
  <c r="N136" i="78"/>
  <c r="N80" i="78"/>
  <c r="G80" i="78" s="1"/>
  <c r="N134" i="78"/>
  <c r="N34" i="78"/>
  <c r="G34" i="78" s="1"/>
  <c r="H34" i="78" s="1"/>
  <c r="N33" i="78"/>
  <c r="O43" i="78"/>
  <c r="G43" i="78" s="1"/>
  <c r="H43" i="78" s="1"/>
  <c r="N94" i="78"/>
  <c r="G94" i="78" s="1"/>
  <c r="N56" i="78"/>
  <c r="G56" i="78" s="1"/>
  <c r="O18" i="78"/>
  <c r="N48" i="78"/>
  <c r="G48" i="78" s="1"/>
  <c r="N78" i="78"/>
  <c r="G78" i="78" s="1"/>
  <c r="N102" i="78"/>
  <c r="G102" i="78" s="1"/>
  <c r="G136" i="78"/>
  <c r="N124" i="78"/>
  <c r="N132" i="78"/>
  <c r="N84" i="78"/>
  <c r="N92" i="78"/>
  <c r="N100" i="78"/>
  <c r="N108" i="78"/>
  <c r="G108" i="78" s="1"/>
  <c r="N116" i="78"/>
  <c r="G116" i="78" s="1"/>
  <c r="O30" i="78"/>
  <c r="G30" i="78" s="1"/>
  <c r="H30" i="78" s="1"/>
  <c r="N49" i="78"/>
  <c r="G49" i="78" s="1"/>
  <c r="H49" i="78" s="1"/>
  <c r="O60" i="78"/>
  <c r="N63" i="78"/>
  <c r="G63" i="78" s="1"/>
  <c r="O68" i="78"/>
  <c r="N71" i="78"/>
  <c r="O76" i="78"/>
  <c r="N79" i="78"/>
  <c r="G79" i="78" s="1"/>
  <c r="G82" i="78"/>
  <c r="O84" i="78"/>
  <c r="O92" i="78"/>
  <c r="N95" i="78"/>
  <c r="O100" i="78"/>
  <c r="N103" i="78"/>
  <c r="O108" i="78"/>
  <c r="N111" i="78"/>
  <c r="O116" i="78"/>
  <c r="N119" i="78"/>
  <c r="G119" i="78" s="1"/>
  <c r="O124" i="78"/>
  <c r="N127" i="78"/>
  <c r="G127" i="78" s="1"/>
  <c r="O132" i="78"/>
  <c r="N135" i="78"/>
  <c r="G135" i="78" s="1"/>
  <c r="N37" i="78"/>
  <c r="G37" i="78" s="1"/>
  <c r="H37" i="78" s="1"/>
  <c r="N38" i="78"/>
  <c r="G38" i="78" s="1"/>
  <c r="H38" i="78" s="1"/>
  <c r="N66" i="78"/>
  <c r="G66" i="78" s="1"/>
  <c r="N74" i="78"/>
  <c r="G74" i="78" s="1"/>
  <c r="N82" i="78"/>
  <c r="N90" i="78"/>
  <c r="G90" i="78" s="1"/>
  <c r="N98" i="78"/>
  <c r="G98" i="78" s="1"/>
  <c r="N106" i="78"/>
  <c r="G106" i="78" s="1"/>
  <c r="N114" i="78"/>
  <c r="G114" i="78" s="1"/>
  <c r="N122" i="78"/>
  <c r="G122" i="78" s="1"/>
  <c r="N130" i="78"/>
  <c r="G130" i="78" s="1"/>
  <c r="N138" i="78"/>
  <c r="G138" i="78" s="1"/>
  <c r="N68" i="78"/>
  <c r="G68" i="78" s="1"/>
  <c r="O111" i="78"/>
  <c r="N24" i="78"/>
  <c r="G24" i="78" s="1"/>
  <c r="H24" i="78" s="1"/>
  <c r="O42" i="78"/>
  <c r="G42" i="78" s="1"/>
  <c r="H42" i="78" s="1"/>
  <c r="G21" i="78"/>
  <c r="H21" i="78" s="1"/>
  <c r="N27" i="78"/>
  <c r="G27" i="78" s="1"/>
  <c r="H27" i="78" s="1"/>
  <c r="O31" i="78"/>
  <c r="G31" i="78" s="1"/>
  <c r="H31" i="78" s="1"/>
  <c r="N46" i="78"/>
  <c r="G46" i="78" s="1"/>
  <c r="H46" i="78" s="1"/>
  <c r="N50" i="78"/>
  <c r="N61" i="78"/>
  <c r="N69" i="78"/>
  <c r="N77" i="78"/>
  <c r="N85" i="78"/>
  <c r="N93" i="78"/>
  <c r="N101" i="78"/>
  <c r="N109" i="78"/>
  <c r="N117" i="78"/>
  <c r="N125" i="78"/>
  <c r="N133" i="78"/>
  <c r="O71" i="78"/>
  <c r="O87" i="78"/>
  <c r="G87" i="78" s="1"/>
  <c r="O50" i="78"/>
  <c r="G50" i="78" s="1"/>
  <c r="H50" i="78" s="1"/>
  <c r="O54" i="78"/>
  <c r="G54" i="78" s="1"/>
  <c r="O61" i="78"/>
  <c r="G61" i="78" s="1"/>
  <c r="O69" i="78"/>
  <c r="O77" i="78"/>
  <c r="O85" i="78"/>
  <c r="O93" i="78"/>
  <c r="O101" i="78"/>
  <c r="O109" i="78"/>
  <c r="O117" i="78"/>
  <c r="O125" i="78"/>
  <c r="O133" i="78"/>
  <c r="N76" i="78"/>
  <c r="G76" i="78" s="1"/>
  <c r="O95" i="78"/>
  <c r="G95" i="78" s="1"/>
  <c r="N36" i="78"/>
  <c r="G36" i="78" s="1"/>
  <c r="H36" i="78" s="1"/>
  <c r="N39" i="78"/>
  <c r="G39" i="78" s="1"/>
  <c r="H39" i="78" s="1"/>
  <c r="N59" i="78"/>
  <c r="N67" i="78"/>
  <c r="N75" i="78"/>
  <c r="N83" i="78"/>
  <c r="N91" i="78"/>
  <c r="N99" i="78"/>
  <c r="N107" i="78"/>
  <c r="N115" i="78"/>
  <c r="N123" i="78"/>
  <c r="N131" i="78"/>
  <c r="G134" i="78"/>
  <c r="N139" i="78"/>
  <c r="N25" i="78"/>
  <c r="G25" i="78" s="1"/>
  <c r="H25" i="78" s="1"/>
  <c r="N51" i="78"/>
  <c r="G51" i="78" s="1"/>
  <c r="H51" i="78" s="1"/>
  <c r="O55" i="78"/>
  <c r="G55" i="78" s="1"/>
  <c r="H55" i="78" s="1"/>
  <c r="O59" i="78"/>
  <c r="O67" i="78"/>
  <c r="O75" i="78"/>
  <c r="G75" i="78" s="1"/>
  <c r="O83" i="78"/>
  <c r="O91" i="78"/>
  <c r="O99" i="78"/>
  <c r="O107" i="78"/>
  <c r="O115" i="78"/>
  <c r="O123" i="78"/>
  <c r="O131" i="78"/>
  <c r="O139" i="78"/>
  <c r="O19" i="78"/>
  <c r="G19" i="78" s="1"/>
  <c r="H19" i="78" s="1"/>
  <c r="O103" i="78"/>
  <c r="G105" i="78"/>
  <c r="G113" i="78"/>
  <c r="N60" i="78"/>
  <c r="G60" i="78" s="1"/>
  <c r="N22" i="78"/>
  <c r="G22" i="78" s="1"/>
  <c r="H22" i="78" s="1"/>
  <c r="N65" i="78"/>
  <c r="G65" i="78" s="1"/>
  <c r="N73" i="78"/>
  <c r="G73" i="78" s="1"/>
  <c r="N81" i="78"/>
  <c r="G81" i="78" s="1"/>
  <c r="N89" i="78"/>
  <c r="G89" i="78" s="1"/>
  <c r="N97" i="78"/>
  <c r="G97" i="78" s="1"/>
  <c r="N105" i="78"/>
  <c r="N113" i="78"/>
  <c r="N121" i="78"/>
  <c r="G121" i="78" s="1"/>
  <c r="N129" i="78"/>
  <c r="G129" i="78" s="1"/>
  <c r="N137" i="78"/>
  <c r="G137" i="78" s="1"/>
  <c r="B47" i="78"/>
  <c r="B50" i="78"/>
  <c r="O52" i="78"/>
  <c r="N52" i="78"/>
  <c r="O28" i="78"/>
  <c r="G28" i="78" s="1"/>
  <c r="H28" i="78" s="1"/>
  <c r="O44" i="78"/>
  <c r="N44" i="78"/>
  <c r="G44" i="78" s="1"/>
  <c r="O40" i="78"/>
  <c r="G40" i="78" s="1"/>
  <c r="H40" i="78" s="1"/>
  <c r="G26" i="78"/>
  <c r="H26" i="78" s="1"/>
  <c r="O32" i="78"/>
  <c r="N32" i="78"/>
  <c r="G32" i="78"/>
  <c r="H32" i="78" s="1"/>
  <c r="G45" i="78"/>
  <c r="H45" i="78" s="1"/>
  <c r="O35" i="78"/>
  <c r="N35" i="78"/>
  <c r="O23" i="78"/>
  <c r="N23" i="78"/>
  <c r="G23" i="78"/>
  <c r="H23" i="78" s="1"/>
  <c r="O20" i="78"/>
  <c r="G20" i="78" s="1"/>
  <c r="N20" i="78"/>
  <c r="G33" i="78"/>
  <c r="H33" i="78" s="1"/>
  <c r="N47" i="78"/>
  <c r="G47" i="78" s="1"/>
  <c r="N58" i="78"/>
  <c r="G58" i="78" s="1"/>
  <c r="H58" i="78" s="1"/>
  <c r="N29" i="78"/>
  <c r="G29" i="78" s="1"/>
  <c r="N41" i="78"/>
  <c r="G41" i="78" s="1"/>
  <c r="H41" i="78" s="1"/>
  <c r="N53" i="78"/>
  <c r="G53" i="78" s="1"/>
  <c r="H53" i="78" s="1"/>
  <c r="AY54" i="15"/>
  <c r="H48" i="78" l="1"/>
  <c r="AY15" i="15"/>
  <c r="H44" i="78"/>
  <c r="AY23" i="15"/>
  <c r="AY19" i="15"/>
  <c r="H18" i="78"/>
  <c r="AY9" i="15"/>
  <c r="H54" i="78"/>
  <c r="AY13" i="15"/>
  <c r="G100" i="78"/>
  <c r="G59" i="78"/>
  <c r="H59" i="78" s="1"/>
  <c r="H47" i="78"/>
  <c r="AY17" i="15"/>
  <c r="G67" i="78"/>
  <c r="G103" i="78"/>
  <c r="G123" i="78"/>
  <c r="G93" i="78"/>
  <c r="G92" i="78"/>
  <c r="G84" i="78"/>
  <c r="G125" i="78"/>
  <c r="G71" i="78"/>
  <c r="G117" i="78"/>
  <c r="G109" i="78"/>
  <c r="G111" i="78"/>
  <c r="G131" i="78"/>
  <c r="G132" i="78"/>
  <c r="G139" i="78"/>
  <c r="G107" i="78"/>
  <c r="G101" i="78"/>
  <c r="G99" i="78"/>
  <c r="G91" i="78"/>
  <c r="G85" i="78"/>
  <c r="G124" i="78"/>
  <c r="G115" i="78"/>
  <c r="G83" i="78"/>
  <c r="AY21" i="15" s="1"/>
  <c r="G77" i="78"/>
  <c r="G133" i="78"/>
  <c r="G69" i="78"/>
  <c r="G35" i="78"/>
  <c r="H35" i="78" s="1"/>
  <c r="G52" i="78"/>
  <c r="H29" i="78"/>
  <c r="D8" i="78"/>
  <c r="D9" i="78"/>
  <c r="D7" i="78"/>
  <c r="D6" i="78"/>
  <c r="D10" i="78"/>
  <c r="H20" i="78"/>
  <c r="B48" i="78"/>
  <c r="B51" i="78"/>
  <c r="AX45" i="15"/>
  <c r="AX44" i="15"/>
  <c r="F6" i="73"/>
  <c r="F8" i="73"/>
  <c r="F7" i="73"/>
  <c r="AX31" i="15"/>
  <c r="AX18" i="15"/>
  <c r="AX52" i="15"/>
  <c r="AX38" i="15"/>
  <c r="M58" i="77"/>
  <c r="O58" i="77" s="1"/>
  <c r="AX55" i="15"/>
  <c r="AW39" i="15"/>
  <c r="AW38" i="15"/>
  <c r="H52" i="78" l="1"/>
  <c r="AY11" i="15"/>
  <c r="D5" i="78"/>
  <c r="G184" i="78"/>
  <c r="D11" i="78" s="1"/>
  <c r="B52" i="78"/>
  <c r="B53" i="78" s="1"/>
  <c r="B54" i="78" s="1"/>
  <c r="B55" i="78" s="1"/>
  <c r="B56" i="78" s="1"/>
  <c r="B57" i="78" s="1"/>
  <c r="B58" i="78" s="1"/>
  <c r="B59" i="78" s="1"/>
  <c r="B60" i="78" s="1"/>
  <c r="B61" i="78" s="1"/>
  <c r="B62" i="78" s="1"/>
  <c r="B63" i="78" s="1"/>
  <c r="B64" i="78" s="1"/>
  <c r="B65" i="78" s="1"/>
  <c r="B66" i="78" s="1"/>
  <c r="B67" i="78" s="1"/>
  <c r="B68" i="78" s="1"/>
  <c r="B69" i="78" s="1"/>
  <c r="B70" i="78" s="1"/>
  <c r="B71" i="78" s="1"/>
  <c r="B72" i="78" s="1"/>
  <c r="B73" i="78" s="1"/>
  <c r="B74" i="78" s="1"/>
  <c r="B75" i="78" s="1"/>
  <c r="B76" i="78" s="1"/>
  <c r="B77" i="78" s="1"/>
  <c r="B78" i="78" s="1"/>
  <c r="B79" i="78" s="1"/>
  <c r="B80" i="78" s="1"/>
  <c r="B81" i="78" s="1"/>
  <c r="B82" i="78" s="1"/>
  <c r="B83" i="78" s="1"/>
  <c r="B84" i="78" s="1"/>
  <c r="B85" i="78" s="1"/>
  <c r="B86" i="78" s="1"/>
  <c r="B87" i="78" s="1"/>
  <c r="B88" i="78" s="1"/>
  <c r="B89" i="78" s="1"/>
  <c r="B90" i="78" s="1"/>
  <c r="B91" i="78" s="1"/>
  <c r="B92" i="78" s="1"/>
  <c r="B93" i="78" s="1"/>
  <c r="B94" i="78" s="1"/>
  <c r="B95" i="78" s="1"/>
  <c r="B96" i="78" s="1"/>
  <c r="B97" i="78" s="1"/>
  <c r="B98" i="78" s="1"/>
  <c r="B99" i="78" s="1"/>
  <c r="B100" i="78" s="1"/>
  <c r="B101" i="78" s="1"/>
  <c r="B102" i="78" s="1"/>
  <c r="B103" i="78" s="1"/>
  <c r="B104" i="78" s="1"/>
  <c r="B105" i="78" s="1"/>
  <c r="B106" i="78" s="1"/>
  <c r="B107" i="78" s="1"/>
  <c r="B108" i="78" s="1"/>
  <c r="B109" i="78" s="1"/>
  <c r="B110" i="78" s="1"/>
  <c r="B111" i="78" s="1"/>
  <c r="B112" i="78" s="1"/>
  <c r="B113" i="78" s="1"/>
  <c r="B114" i="78" s="1"/>
  <c r="B115" i="78" s="1"/>
  <c r="B116" i="78" s="1"/>
  <c r="B117" i="78" s="1"/>
  <c r="B118" i="78" s="1"/>
  <c r="B119" i="78" s="1"/>
  <c r="B120" i="78" s="1"/>
  <c r="B121" i="78" s="1"/>
  <c r="B122" i="78" s="1"/>
  <c r="B123" i="78" s="1"/>
  <c r="B124" i="78" s="1"/>
  <c r="B125" i="78" s="1"/>
  <c r="B126" i="78" s="1"/>
  <c r="B127" i="78" s="1"/>
  <c r="B128" i="78" s="1"/>
  <c r="B129" i="78" s="1"/>
  <c r="B130" i="78" s="1"/>
  <c r="B131" i="78" s="1"/>
  <c r="B132" i="78" s="1"/>
  <c r="B133" i="78" s="1"/>
  <c r="B134" i="78" s="1"/>
  <c r="B135" i="78" s="1"/>
  <c r="B136" i="78" s="1"/>
  <c r="B137" i="78" s="1"/>
  <c r="B138" i="78" s="1"/>
  <c r="B139" i="78" s="1"/>
  <c r="B140" i="78" s="1"/>
  <c r="B141" i="78" s="1"/>
  <c r="B142" i="78" s="1"/>
  <c r="B143" i="78" s="1"/>
  <c r="B144" i="78" s="1"/>
  <c r="B145" i="78" s="1"/>
  <c r="B146" i="78" s="1"/>
  <c r="B147" i="78" s="1"/>
  <c r="B148" i="78" s="1"/>
  <c r="B149" i="78" s="1"/>
  <c r="B150" i="78" s="1"/>
  <c r="B151" i="78" s="1"/>
  <c r="B152" i="78" s="1"/>
  <c r="B153" i="78" s="1"/>
  <c r="B154" i="78" s="1"/>
  <c r="B155" i="78" s="1"/>
  <c r="B156" i="78" s="1"/>
  <c r="B157" i="78" s="1"/>
  <c r="B158" i="78" s="1"/>
  <c r="B159" i="78" s="1"/>
  <c r="B160" i="78" s="1"/>
  <c r="B161" i="78" s="1"/>
  <c r="B162" i="78" s="1"/>
  <c r="B163" i="78" s="1"/>
  <c r="B164" i="78" s="1"/>
  <c r="B165" i="78" s="1"/>
  <c r="B166" i="78" s="1"/>
  <c r="B167" i="78" s="1"/>
  <c r="B168" i="78" s="1"/>
  <c r="B169" i="78" s="1"/>
  <c r="B170" i="78" s="1"/>
  <c r="B171" i="78" s="1"/>
  <c r="B172" i="78" s="1"/>
  <c r="B173" i="78" s="1"/>
  <c r="B174" i="78" s="1"/>
  <c r="B175" i="78" s="1"/>
  <c r="B176" i="78" s="1"/>
  <c r="B177" i="78" s="1"/>
  <c r="B178" i="78" s="1"/>
  <c r="B179" i="78" s="1"/>
  <c r="B180" i="78" s="1"/>
  <c r="B181" i="78" s="1"/>
  <c r="B182" i="78" s="1"/>
  <c r="B49" i="78"/>
  <c r="N58" i="77"/>
  <c r="AW31" i="15"/>
  <c r="AW33" i="15" s="1"/>
  <c r="AW5" i="15" l="1"/>
  <c r="AW45" i="15"/>
  <c r="AW44" i="15"/>
  <c r="AV45" i="15"/>
  <c r="AV44" i="15"/>
  <c r="AX54" i="15" l="1"/>
  <c r="AX22" i="15" l="1"/>
  <c r="AX20" i="15"/>
  <c r="AX16" i="15"/>
  <c r="AX14" i="15"/>
  <c r="AX12" i="15"/>
  <c r="AX10" i="15"/>
  <c r="AX8" i="15"/>
  <c r="E184" i="77"/>
  <c r="P182" i="77"/>
  <c r="M182" i="77"/>
  <c r="O182" i="77" s="1"/>
  <c r="P181" i="77"/>
  <c r="M181" i="77"/>
  <c r="P180" i="77"/>
  <c r="M180" i="77"/>
  <c r="O180" i="77" s="1"/>
  <c r="P179" i="77"/>
  <c r="M179" i="77"/>
  <c r="P178" i="77"/>
  <c r="M178" i="77"/>
  <c r="O178" i="77" s="1"/>
  <c r="P177" i="77"/>
  <c r="M177" i="77"/>
  <c r="P176" i="77"/>
  <c r="M176" i="77"/>
  <c r="O176" i="77" s="1"/>
  <c r="P175" i="77"/>
  <c r="M175" i="77"/>
  <c r="P174" i="77"/>
  <c r="M174" i="77"/>
  <c r="O174" i="77" s="1"/>
  <c r="P173" i="77"/>
  <c r="M173" i="77"/>
  <c r="P172" i="77"/>
  <c r="M172" i="77"/>
  <c r="O172" i="77" s="1"/>
  <c r="P171" i="77"/>
  <c r="M171" i="77"/>
  <c r="P170" i="77"/>
  <c r="M170" i="77"/>
  <c r="O170" i="77" s="1"/>
  <c r="P169" i="77"/>
  <c r="M169" i="77"/>
  <c r="P168" i="77"/>
  <c r="M168" i="77"/>
  <c r="O168" i="77" s="1"/>
  <c r="P167" i="77"/>
  <c r="M167" i="77"/>
  <c r="P166" i="77"/>
  <c r="M166" i="77"/>
  <c r="O166" i="77" s="1"/>
  <c r="P165" i="77"/>
  <c r="M165" i="77"/>
  <c r="P164" i="77"/>
  <c r="M164" i="77"/>
  <c r="O164" i="77" s="1"/>
  <c r="P163" i="77"/>
  <c r="M163" i="77"/>
  <c r="P162" i="77"/>
  <c r="M162" i="77"/>
  <c r="O162" i="77" s="1"/>
  <c r="P161" i="77"/>
  <c r="M161" i="77"/>
  <c r="P160" i="77"/>
  <c r="M160" i="77"/>
  <c r="O160" i="77" s="1"/>
  <c r="P159" i="77"/>
  <c r="M159" i="77"/>
  <c r="P158" i="77"/>
  <c r="M158" i="77"/>
  <c r="O158" i="77" s="1"/>
  <c r="P157" i="77"/>
  <c r="M157" i="77"/>
  <c r="P156" i="77"/>
  <c r="M156" i="77"/>
  <c r="O156" i="77" s="1"/>
  <c r="P155" i="77"/>
  <c r="M155" i="77"/>
  <c r="P154" i="77"/>
  <c r="M154" i="77"/>
  <c r="O154" i="77" s="1"/>
  <c r="P153" i="77"/>
  <c r="M153" i="77"/>
  <c r="P152" i="77"/>
  <c r="M152" i="77"/>
  <c r="O152" i="77" s="1"/>
  <c r="P151" i="77"/>
  <c r="M151" i="77"/>
  <c r="P150" i="77"/>
  <c r="M150" i="77"/>
  <c r="O150" i="77" s="1"/>
  <c r="P149" i="77"/>
  <c r="M149" i="77"/>
  <c r="P148" i="77"/>
  <c r="M148" i="77"/>
  <c r="O148" i="77" s="1"/>
  <c r="P147" i="77"/>
  <c r="M147" i="77"/>
  <c r="P146" i="77"/>
  <c r="M146" i="77"/>
  <c r="O146" i="77" s="1"/>
  <c r="P145" i="77"/>
  <c r="M145" i="77"/>
  <c r="P144" i="77"/>
  <c r="M144" i="77"/>
  <c r="O144" i="77" s="1"/>
  <c r="P143" i="77"/>
  <c r="M143" i="77"/>
  <c r="P142" i="77"/>
  <c r="M142" i="77"/>
  <c r="O142" i="77" s="1"/>
  <c r="P141" i="77"/>
  <c r="M141" i="77"/>
  <c r="P140" i="77"/>
  <c r="M140" i="77"/>
  <c r="O140" i="77" s="1"/>
  <c r="P139" i="77"/>
  <c r="M139" i="77"/>
  <c r="P138" i="77"/>
  <c r="M138" i="77"/>
  <c r="O138" i="77" s="1"/>
  <c r="P137" i="77"/>
  <c r="M137" i="77"/>
  <c r="P136" i="77"/>
  <c r="M136" i="77"/>
  <c r="O136" i="77" s="1"/>
  <c r="P135" i="77"/>
  <c r="M135" i="77"/>
  <c r="P134" i="77"/>
  <c r="M134" i="77"/>
  <c r="O134" i="77" s="1"/>
  <c r="P133" i="77"/>
  <c r="M133" i="77"/>
  <c r="P132" i="77"/>
  <c r="M132" i="77"/>
  <c r="O132" i="77" s="1"/>
  <c r="P131" i="77"/>
  <c r="M131" i="77"/>
  <c r="P130" i="77"/>
  <c r="M130" i="77"/>
  <c r="O130" i="77" s="1"/>
  <c r="P129" i="77"/>
  <c r="M129" i="77"/>
  <c r="P128" i="77"/>
  <c r="M128" i="77"/>
  <c r="O128" i="77" s="1"/>
  <c r="P127" i="77"/>
  <c r="M127" i="77"/>
  <c r="P126" i="77"/>
  <c r="M126" i="77"/>
  <c r="O126" i="77" s="1"/>
  <c r="P125" i="77"/>
  <c r="M125" i="77"/>
  <c r="P124" i="77"/>
  <c r="M124" i="77"/>
  <c r="O124" i="77" s="1"/>
  <c r="P123" i="77"/>
  <c r="M123" i="77"/>
  <c r="P122" i="77"/>
  <c r="M122" i="77"/>
  <c r="O122" i="77" s="1"/>
  <c r="P121" i="77"/>
  <c r="M121" i="77"/>
  <c r="P120" i="77"/>
  <c r="M120" i="77"/>
  <c r="O120" i="77" s="1"/>
  <c r="P119" i="77"/>
  <c r="M119" i="77"/>
  <c r="P118" i="77"/>
  <c r="M118" i="77"/>
  <c r="O118" i="77" s="1"/>
  <c r="P117" i="77"/>
  <c r="M117" i="77"/>
  <c r="P116" i="77"/>
  <c r="M116" i="77"/>
  <c r="O116" i="77" s="1"/>
  <c r="P115" i="77"/>
  <c r="M115" i="77"/>
  <c r="P114" i="77"/>
  <c r="M114" i="77"/>
  <c r="O114" i="77" s="1"/>
  <c r="P113" i="77"/>
  <c r="M113" i="77"/>
  <c r="P112" i="77"/>
  <c r="M112" i="77"/>
  <c r="O112" i="77" s="1"/>
  <c r="P111" i="77"/>
  <c r="M111" i="77"/>
  <c r="P110" i="77"/>
  <c r="M110" i="77"/>
  <c r="O110" i="77" s="1"/>
  <c r="P109" i="77"/>
  <c r="M109" i="77"/>
  <c r="P108" i="77"/>
  <c r="M108" i="77"/>
  <c r="O108" i="77" s="1"/>
  <c r="P107" i="77"/>
  <c r="M107" i="77"/>
  <c r="P106" i="77"/>
  <c r="M106" i="77"/>
  <c r="O106" i="77" s="1"/>
  <c r="P105" i="77"/>
  <c r="M105" i="77"/>
  <c r="P104" i="77"/>
  <c r="M104" i="77"/>
  <c r="O104" i="77" s="1"/>
  <c r="P103" i="77"/>
  <c r="M103" i="77"/>
  <c r="P102" i="77"/>
  <c r="M102" i="77"/>
  <c r="O102" i="77" s="1"/>
  <c r="P101" i="77"/>
  <c r="M101" i="77"/>
  <c r="P100" i="77"/>
  <c r="M100" i="77"/>
  <c r="O100" i="77" s="1"/>
  <c r="P99" i="77"/>
  <c r="M99" i="77"/>
  <c r="P98" i="77"/>
  <c r="M98" i="77"/>
  <c r="O98" i="77" s="1"/>
  <c r="P97" i="77"/>
  <c r="M97" i="77"/>
  <c r="P96" i="77"/>
  <c r="M96" i="77"/>
  <c r="O96" i="77" s="1"/>
  <c r="P95" i="77"/>
  <c r="M95" i="77"/>
  <c r="P94" i="77"/>
  <c r="M94" i="77"/>
  <c r="O94" i="77" s="1"/>
  <c r="P93" i="77"/>
  <c r="M93" i="77"/>
  <c r="P92" i="77"/>
  <c r="M92" i="77"/>
  <c r="O92" i="77" s="1"/>
  <c r="P91" i="77"/>
  <c r="M91" i="77"/>
  <c r="P90" i="77"/>
  <c r="M90" i="77"/>
  <c r="O90" i="77" s="1"/>
  <c r="P89" i="77"/>
  <c r="M89" i="77"/>
  <c r="P88" i="77"/>
  <c r="M88" i="77"/>
  <c r="O88" i="77" s="1"/>
  <c r="P87" i="77"/>
  <c r="M87" i="77"/>
  <c r="P86" i="77"/>
  <c r="M86" i="77"/>
  <c r="O86" i="77" s="1"/>
  <c r="P85" i="77"/>
  <c r="M85" i="77"/>
  <c r="P84" i="77"/>
  <c r="M84" i="77"/>
  <c r="O84" i="77" s="1"/>
  <c r="P83" i="77"/>
  <c r="M83" i="77"/>
  <c r="P82" i="77"/>
  <c r="M82" i="77"/>
  <c r="O82" i="77" s="1"/>
  <c r="P81" i="77"/>
  <c r="M81" i="77"/>
  <c r="P80" i="77"/>
  <c r="M80" i="77"/>
  <c r="O80" i="77" s="1"/>
  <c r="P79" i="77"/>
  <c r="M79" i="77"/>
  <c r="P78" i="77"/>
  <c r="M78" i="77"/>
  <c r="O78" i="77" s="1"/>
  <c r="P77" i="77"/>
  <c r="M77" i="77"/>
  <c r="P76" i="77"/>
  <c r="M76" i="77"/>
  <c r="O76" i="77" s="1"/>
  <c r="P75" i="77"/>
  <c r="M75" i="77"/>
  <c r="P74" i="77"/>
  <c r="M74" i="77"/>
  <c r="O74" i="77" s="1"/>
  <c r="P73" i="77"/>
  <c r="M73" i="77"/>
  <c r="P72" i="77"/>
  <c r="M72" i="77"/>
  <c r="O72" i="77" s="1"/>
  <c r="P71" i="77"/>
  <c r="M71" i="77"/>
  <c r="P70" i="77"/>
  <c r="M70" i="77"/>
  <c r="O70" i="77" s="1"/>
  <c r="P69" i="77"/>
  <c r="M69" i="77"/>
  <c r="P68" i="77"/>
  <c r="M68" i="77"/>
  <c r="O68" i="77" s="1"/>
  <c r="P67" i="77"/>
  <c r="M67" i="77"/>
  <c r="P66" i="77"/>
  <c r="M66" i="77"/>
  <c r="O66" i="77" s="1"/>
  <c r="P65" i="77"/>
  <c r="M65" i="77"/>
  <c r="P64" i="77"/>
  <c r="M64" i="77"/>
  <c r="O64" i="77" s="1"/>
  <c r="P63" i="77"/>
  <c r="M63" i="77"/>
  <c r="P62" i="77"/>
  <c r="M62" i="77"/>
  <c r="O62" i="77" s="1"/>
  <c r="P61" i="77"/>
  <c r="M61" i="77"/>
  <c r="P60" i="77"/>
  <c r="M60" i="77"/>
  <c r="O60" i="77" s="1"/>
  <c r="P59" i="77"/>
  <c r="M59" i="77"/>
  <c r="P58" i="77"/>
  <c r="P57" i="77"/>
  <c r="M57" i="77"/>
  <c r="O57" i="77" s="1"/>
  <c r="P56" i="77"/>
  <c r="M56" i="77"/>
  <c r="O56" i="77" s="1"/>
  <c r="P55" i="77"/>
  <c r="M55" i="77"/>
  <c r="O55" i="77" s="1"/>
  <c r="P54" i="77"/>
  <c r="M54" i="77"/>
  <c r="N54" i="77" s="1"/>
  <c r="P53" i="77"/>
  <c r="M53" i="77"/>
  <c r="O53" i="77" s="1"/>
  <c r="P52" i="77"/>
  <c r="M52" i="77"/>
  <c r="N52" i="77" s="1"/>
  <c r="P51" i="77"/>
  <c r="M51" i="77"/>
  <c r="P50" i="77"/>
  <c r="M50" i="77"/>
  <c r="P49" i="77"/>
  <c r="M49" i="77"/>
  <c r="O49" i="77" s="1"/>
  <c r="P48" i="77"/>
  <c r="M48" i="77"/>
  <c r="N48" i="77" s="1"/>
  <c r="P47" i="77"/>
  <c r="M47" i="77"/>
  <c r="O47" i="77" s="1"/>
  <c r="P46" i="77"/>
  <c r="M46" i="77"/>
  <c r="N46" i="77" s="1"/>
  <c r="P45" i="77"/>
  <c r="M45" i="77"/>
  <c r="O45" i="77" s="1"/>
  <c r="P44" i="77"/>
  <c r="M44" i="77"/>
  <c r="N44" i="77" s="1"/>
  <c r="P43" i="77"/>
  <c r="M43" i="77"/>
  <c r="N43" i="77" s="1"/>
  <c r="P42" i="77"/>
  <c r="M42" i="77"/>
  <c r="N42" i="77" s="1"/>
  <c r="P41" i="77"/>
  <c r="M41" i="77"/>
  <c r="O41" i="77" s="1"/>
  <c r="P40" i="77"/>
  <c r="M40" i="77"/>
  <c r="O40" i="77" s="1"/>
  <c r="P39" i="77"/>
  <c r="M39" i="77"/>
  <c r="P38" i="77"/>
  <c r="M38" i="77"/>
  <c r="P37" i="77"/>
  <c r="M37" i="77"/>
  <c r="P36" i="77"/>
  <c r="M36" i="77"/>
  <c r="N36" i="77" s="1"/>
  <c r="P35" i="77"/>
  <c r="M35" i="77"/>
  <c r="N35" i="77" s="1"/>
  <c r="P34" i="77"/>
  <c r="M34" i="77"/>
  <c r="N34" i="77" s="1"/>
  <c r="P33" i="77"/>
  <c r="M33" i="77"/>
  <c r="O33" i="77" s="1"/>
  <c r="P32" i="77"/>
  <c r="M32" i="77"/>
  <c r="N32" i="77" s="1"/>
  <c r="P31" i="77"/>
  <c r="M31" i="77"/>
  <c r="O31" i="77" s="1"/>
  <c r="P30" i="77"/>
  <c r="M30" i="77"/>
  <c r="N30" i="77" s="1"/>
  <c r="P29" i="77"/>
  <c r="M29" i="77"/>
  <c r="O29" i="77" s="1"/>
  <c r="P28" i="77"/>
  <c r="M28" i="77"/>
  <c r="N28" i="77" s="1"/>
  <c r="P27" i="77"/>
  <c r="M27" i="77"/>
  <c r="P26" i="77"/>
  <c r="M26" i="77"/>
  <c r="P25" i="77"/>
  <c r="M25" i="77"/>
  <c r="O25" i="77" s="1"/>
  <c r="P24" i="77"/>
  <c r="M24" i="77"/>
  <c r="N24" i="77" s="1"/>
  <c r="P23" i="77"/>
  <c r="M23" i="77"/>
  <c r="O23" i="77" s="1"/>
  <c r="P22" i="77"/>
  <c r="M22" i="77"/>
  <c r="N22" i="77" s="1"/>
  <c r="P21" i="77"/>
  <c r="M21" i="77"/>
  <c r="O21" i="77" s="1"/>
  <c r="P20" i="77"/>
  <c r="M20" i="77"/>
  <c r="N20" i="77" s="1"/>
  <c r="P19" i="77"/>
  <c r="M19" i="77"/>
  <c r="O19" i="77" s="1"/>
  <c r="P18" i="77"/>
  <c r="M18" i="77"/>
  <c r="N18" i="77" s="1"/>
  <c r="B18" i="77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B30" i="77" s="1"/>
  <c r="B31" i="77" s="1"/>
  <c r="B32" i="77" s="1"/>
  <c r="B33" i="77" s="1"/>
  <c r="B34" i="77" s="1"/>
  <c r="B35" i="77" s="1"/>
  <c r="B36" i="77" s="1"/>
  <c r="B37" i="77" s="1"/>
  <c r="B38" i="77" s="1"/>
  <c r="B39" i="77" s="1"/>
  <c r="B40" i="77" s="1"/>
  <c r="B41" i="77" s="1"/>
  <c r="B42" i="77" s="1"/>
  <c r="B43" i="77" s="1"/>
  <c r="B44" i="77" s="1"/>
  <c r="B45" i="77" s="1"/>
  <c r="B46" i="77" s="1"/>
  <c r="P59" i="76"/>
  <c r="M59" i="76"/>
  <c r="O59" i="76" s="1"/>
  <c r="M58" i="76"/>
  <c r="N58" i="76" s="1"/>
  <c r="P58" i="76"/>
  <c r="P57" i="76"/>
  <c r="M57" i="76"/>
  <c r="O57" i="76" s="1"/>
  <c r="AW52" i="15"/>
  <c r="AW55" i="15"/>
  <c r="B31" i="69"/>
  <c r="C31" i="69"/>
  <c r="D31" i="69"/>
  <c r="AW22" i="15"/>
  <c r="AW20" i="15"/>
  <c r="AW18" i="15"/>
  <c r="AW16" i="15"/>
  <c r="AW14" i="15"/>
  <c r="AW12" i="15"/>
  <c r="AW10" i="15"/>
  <c r="AW8" i="15"/>
  <c r="E187" i="76"/>
  <c r="P185" i="76"/>
  <c r="M185" i="76"/>
  <c r="O185" i="76" s="1"/>
  <c r="P184" i="76"/>
  <c r="M184" i="76"/>
  <c r="O184" i="76" s="1"/>
  <c r="P183" i="76"/>
  <c r="M183" i="76"/>
  <c r="O183" i="76" s="1"/>
  <c r="P182" i="76"/>
  <c r="M182" i="76"/>
  <c r="N182" i="76" s="1"/>
  <c r="P181" i="76"/>
  <c r="M181" i="76"/>
  <c r="N181" i="76" s="1"/>
  <c r="P180" i="76"/>
  <c r="M180" i="76"/>
  <c r="O180" i="76" s="1"/>
  <c r="P179" i="76"/>
  <c r="M179" i="76"/>
  <c r="P178" i="76"/>
  <c r="M178" i="76"/>
  <c r="O178" i="76" s="1"/>
  <c r="P177" i="76"/>
  <c r="M177" i="76"/>
  <c r="O177" i="76" s="1"/>
  <c r="P176" i="76"/>
  <c r="M176" i="76"/>
  <c r="O176" i="76" s="1"/>
  <c r="P175" i="76"/>
  <c r="M175" i="76"/>
  <c r="N175" i="76" s="1"/>
  <c r="P174" i="76"/>
  <c r="M174" i="76"/>
  <c r="O174" i="76" s="1"/>
  <c r="P173" i="76"/>
  <c r="M173" i="76"/>
  <c r="O173" i="76" s="1"/>
  <c r="P172" i="76"/>
  <c r="M172" i="76"/>
  <c r="N172" i="76" s="1"/>
  <c r="P171" i="76"/>
  <c r="M171" i="76"/>
  <c r="O171" i="76" s="1"/>
  <c r="P170" i="76"/>
  <c r="M170" i="76"/>
  <c r="O170" i="76" s="1"/>
  <c r="P169" i="76"/>
  <c r="M169" i="76"/>
  <c r="N169" i="76" s="1"/>
  <c r="P168" i="76"/>
  <c r="M168" i="76"/>
  <c r="O168" i="76" s="1"/>
  <c r="P167" i="76"/>
  <c r="M167" i="76"/>
  <c r="P166" i="76"/>
  <c r="M166" i="76"/>
  <c r="O166" i="76" s="1"/>
  <c r="P165" i="76"/>
  <c r="M165" i="76"/>
  <c r="O165" i="76" s="1"/>
  <c r="P164" i="76"/>
  <c r="M164" i="76"/>
  <c r="O164" i="76" s="1"/>
  <c r="P163" i="76"/>
  <c r="M163" i="76"/>
  <c r="N163" i="76" s="1"/>
  <c r="P162" i="76"/>
  <c r="M162" i="76"/>
  <c r="N162" i="76" s="1"/>
  <c r="P161" i="76"/>
  <c r="M161" i="76"/>
  <c r="O161" i="76" s="1"/>
  <c r="P160" i="76"/>
  <c r="M160" i="76"/>
  <c r="O160" i="76" s="1"/>
  <c r="P159" i="76"/>
  <c r="M159" i="76"/>
  <c r="O159" i="76" s="1"/>
  <c r="P158" i="76"/>
  <c r="M158" i="76"/>
  <c r="O158" i="76" s="1"/>
  <c r="P157" i="76"/>
  <c r="O157" i="76"/>
  <c r="M157" i="76"/>
  <c r="N157" i="76" s="1"/>
  <c r="P156" i="76"/>
  <c r="M156" i="76"/>
  <c r="O156" i="76" s="1"/>
  <c r="P155" i="76"/>
  <c r="M155" i="76"/>
  <c r="P154" i="76"/>
  <c r="M154" i="76"/>
  <c r="O154" i="76" s="1"/>
  <c r="P153" i="76"/>
  <c r="M153" i="76"/>
  <c r="N153" i="76" s="1"/>
  <c r="P152" i="76"/>
  <c r="M152" i="76"/>
  <c r="O152" i="76" s="1"/>
  <c r="P151" i="76"/>
  <c r="M151" i="76"/>
  <c r="N151" i="76" s="1"/>
  <c r="P150" i="76"/>
  <c r="O150" i="76"/>
  <c r="N150" i="76"/>
  <c r="M150" i="76"/>
  <c r="P149" i="76"/>
  <c r="O149" i="76"/>
  <c r="N149" i="76"/>
  <c r="G149" i="76" s="1"/>
  <c r="M149" i="76"/>
  <c r="P148" i="76"/>
  <c r="M148" i="76"/>
  <c r="O148" i="76" s="1"/>
  <c r="P147" i="76"/>
  <c r="M147" i="76"/>
  <c r="O147" i="76" s="1"/>
  <c r="P146" i="76"/>
  <c r="M146" i="76"/>
  <c r="O146" i="76" s="1"/>
  <c r="P145" i="76"/>
  <c r="O145" i="76"/>
  <c r="M145" i="76"/>
  <c r="N145" i="76" s="1"/>
  <c r="P144" i="76"/>
  <c r="M144" i="76"/>
  <c r="O144" i="76" s="1"/>
  <c r="P143" i="76"/>
  <c r="M143" i="76"/>
  <c r="P142" i="76"/>
  <c r="M142" i="76"/>
  <c r="O142" i="76" s="1"/>
  <c r="P141" i="76"/>
  <c r="M141" i="76"/>
  <c r="O141" i="76" s="1"/>
  <c r="P140" i="76"/>
  <c r="M140" i="76"/>
  <c r="O140" i="76" s="1"/>
  <c r="P139" i="76"/>
  <c r="M139" i="76"/>
  <c r="P138" i="76"/>
  <c r="M138" i="76"/>
  <c r="O138" i="76" s="1"/>
  <c r="P137" i="76"/>
  <c r="M137" i="76"/>
  <c r="O137" i="76" s="1"/>
  <c r="P136" i="76"/>
  <c r="M136" i="76"/>
  <c r="O136" i="76" s="1"/>
  <c r="P135" i="76"/>
  <c r="M135" i="76"/>
  <c r="O135" i="76" s="1"/>
  <c r="P134" i="76"/>
  <c r="M134" i="76"/>
  <c r="O134" i="76" s="1"/>
  <c r="P133" i="76"/>
  <c r="M133" i="76"/>
  <c r="O133" i="76" s="1"/>
  <c r="P132" i="76"/>
  <c r="M132" i="76"/>
  <c r="O132" i="76" s="1"/>
  <c r="P131" i="76"/>
  <c r="M131" i="76"/>
  <c r="P130" i="76"/>
  <c r="M130" i="76"/>
  <c r="N130" i="76" s="1"/>
  <c r="P129" i="76"/>
  <c r="M129" i="76"/>
  <c r="O129" i="76" s="1"/>
  <c r="P128" i="76"/>
  <c r="M128" i="76"/>
  <c r="O128" i="76" s="1"/>
  <c r="P127" i="76"/>
  <c r="M127" i="76"/>
  <c r="O127" i="76" s="1"/>
  <c r="P126" i="76"/>
  <c r="M126" i="76"/>
  <c r="O126" i="76" s="1"/>
  <c r="P125" i="76"/>
  <c r="M125" i="76"/>
  <c r="O125" i="76" s="1"/>
  <c r="P124" i="76"/>
  <c r="M124" i="76"/>
  <c r="O124" i="76" s="1"/>
  <c r="P123" i="76"/>
  <c r="M123" i="76"/>
  <c r="N123" i="76" s="1"/>
  <c r="P122" i="76"/>
  <c r="M122" i="76"/>
  <c r="N122" i="76" s="1"/>
  <c r="P121" i="76"/>
  <c r="M121" i="76"/>
  <c r="O121" i="76" s="1"/>
  <c r="P120" i="76"/>
  <c r="M120" i="76"/>
  <c r="O120" i="76" s="1"/>
  <c r="P119" i="76"/>
  <c r="M119" i="76"/>
  <c r="N119" i="76" s="1"/>
  <c r="P118" i="76"/>
  <c r="M118" i="76"/>
  <c r="N118" i="76" s="1"/>
  <c r="P117" i="76"/>
  <c r="M117" i="76"/>
  <c r="O117" i="76" s="1"/>
  <c r="P116" i="76"/>
  <c r="M116" i="76"/>
  <c r="O116" i="76" s="1"/>
  <c r="P115" i="76"/>
  <c r="M115" i="76"/>
  <c r="N115" i="76" s="1"/>
  <c r="P114" i="76"/>
  <c r="M114" i="76"/>
  <c r="O114" i="76" s="1"/>
  <c r="P113" i="76"/>
  <c r="M113" i="76"/>
  <c r="O113" i="76" s="1"/>
  <c r="P112" i="76"/>
  <c r="M112" i="76"/>
  <c r="O112" i="76" s="1"/>
  <c r="P111" i="76"/>
  <c r="M111" i="76"/>
  <c r="N111" i="76" s="1"/>
  <c r="P110" i="76"/>
  <c r="M110" i="76"/>
  <c r="O110" i="76" s="1"/>
  <c r="P109" i="76"/>
  <c r="M109" i="76"/>
  <c r="O109" i="76" s="1"/>
  <c r="P108" i="76"/>
  <c r="M108" i="76"/>
  <c r="O108" i="76" s="1"/>
  <c r="P107" i="76"/>
  <c r="M107" i="76"/>
  <c r="O107" i="76" s="1"/>
  <c r="P106" i="76"/>
  <c r="M106" i="76"/>
  <c r="O106" i="76" s="1"/>
  <c r="P105" i="76"/>
  <c r="M105" i="76"/>
  <c r="O105" i="76" s="1"/>
  <c r="P104" i="76"/>
  <c r="M104" i="76"/>
  <c r="O104" i="76" s="1"/>
  <c r="P103" i="76"/>
  <c r="M103" i="76"/>
  <c r="N103" i="76" s="1"/>
  <c r="P102" i="76"/>
  <c r="M102" i="76"/>
  <c r="O102" i="76" s="1"/>
  <c r="P101" i="76"/>
  <c r="M101" i="76"/>
  <c r="O101" i="76" s="1"/>
  <c r="P100" i="76"/>
  <c r="M100" i="76"/>
  <c r="O100" i="76" s="1"/>
  <c r="P99" i="76"/>
  <c r="M99" i="76"/>
  <c r="P98" i="76"/>
  <c r="M98" i="76"/>
  <c r="O98" i="76" s="1"/>
  <c r="P97" i="76"/>
  <c r="M97" i="76"/>
  <c r="O97" i="76" s="1"/>
  <c r="P96" i="76"/>
  <c r="M96" i="76"/>
  <c r="O96" i="76" s="1"/>
  <c r="P95" i="76"/>
  <c r="M95" i="76"/>
  <c r="N95" i="76" s="1"/>
  <c r="P94" i="76"/>
  <c r="M94" i="76"/>
  <c r="O94" i="76" s="1"/>
  <c r="P93" i="76"/>
  <c r="M93" i="76"/>
  <c r="O93" i="76" s="1"/>
  <c r="P92" i="76"/>
  <c r="M92" i="76"/>
  <c r="O92" i="76" s="1"/>
  <c r="P91" i="76"/>
  <c r="M91" i="76"/>
  <c r="P90" i="76"/>
  <c r="M90" i="76"/>
  <c r="N90" i="76" s="1"/>
  <c r="P89" i="76"/>
  <c r="M89" i="76"/>
  <c r="O89" i="76" s="1"/>
  <c r="P88" i="76"/>
  <c r="M88" i="76"/>
  <c r="O88" i="76" s="1"/>
  <c r="P87" i="76"/>
  <c r="M87" i="76"/>
  <c r="N87" i="76" s="1"/>
  <c r="P86" i="76"/>
  <c r="M86" i="76"/>
  <c r="O86" i="76" s="1"/>
  <c r="P85" i="76"/>
  <c r="M85" i="76"/>
  <c r="O85" i="76" s="1"/>
  <c r="P84" i="76"/>
  <c r="M84" i="76"/>
  <c r="O84" i="76" s="1"/>
  <c r="P83" i="76"/>
  <c r="M83" i="76"/>
  <c r="O83" i="76" s="1"/>
  <c r="P82" i="76"/>
  <c r="M82" i="76"/>
  <c r="N82" i="76" s="1"/>
  <c r="P81" i="76"/>
  <c r="M81" i="76"/>
  <c r="N81" i="76" s="1"/>
  <c r="P80" i="76"/>
  <c r="M80" i="76"/>
  <c r="O80" i="76" s="1"/>
  <c r="P79" i="76"/>
  <c r="M79" i="76"/>
  <c r="N79" i="76" s="1"/>
  <c r="P78" i="76"/>
  <c r="M78" i="76"/>
  <c r="O78" i="76" s="1"/>
  <c r="P77" i="76"/>
  <c r="M77" i="76"/>
  <c r="O77" i="76" s="1"/>
  <c r="P76" i="76"/>
  <c r="M76" i="76"/>
  <c r="N76" i="76" s="1"/>
  <c r="P75" i="76"/>
  <c r="M75" i="76"/>
  <c r="O75" i="76" s="1"/>
  <c r="P74" i="76"/>
  <c r="M74" i="76"/>
  <c r="N74" i="76" s="1"/>
  <c r="P73" i="76"/>
  <c r="M73" i="76"/>
  <c r="O73" i="76" s="1"/>
  <c r="P72" i="76"/>
  <c r="M72" i="76"/>
  <c r="O72" i="76" s="1"/>
  <c r="P71" i="76"/>
  <c r="M71" i="76"/>
  <c r="N71" i="76" s="1"/>
  <c r="P70" i="76"/>
  <c r="M70" i="76"/>
  <c r="N70" i="76" s="1"/>
  <c r="P69" i="76"/>
  <c r="M69" i="76"/>
  <c r="O69" i="76" s="1"/>
  <c r="P68" i="76"/>
  <c r="M68" i="76"/>
  <c r="O68" i="76" s="1"/>
  <c r="P67" i="76"/>
  <c r="M67" i="76"/>
  <c r="P66" i="76"/>
  <c r="M66" i="76"/>
  <c r="O66" i="76" s="1"/>
  <c r="P65" i="76"/>
  <c r="M65" i="76"/>
  <c r="N65" i="76" s="1"/>
  <c r="P64" i="76"/>
  <c r="M64" i="76"/>
  <c r="O64" i="76" s="1"/>
  <c r="P63" i="76"/>
  <c r="M63" i="76"/>
  <c r="N63" i="76" s="1"/>
  <c r="P62" i="76"/>
  <c r="M62" i="76"/>
  <c r="P61" i="76"/>
  <c r="M61" i="76"/>
  <c r="O61" i="76" s="1"/>
  <c r="P60" i="76"/>
  <c r="M60" i="76"/>
  <c r="N60" i="76" s="1"/>
  <c r="P56" i="76"/>
  <c r="M56" i="76"/>
  <c r="O56" i="76" s="1"/>
  <c r="P55" i="76"/>
  <c r="M55" i="76"/>
  <c r="O55" i="76" s="1"/>
  <c r="P54" i="76"/>
  <c r="M54" i="76"/>
  <c r="O54" i="76" s="1"/>
  <c r="P53" i="76"/>
  <c r="M53" i="76"/>
  <c r="N53" i="76" s="1"/>
  <c r="P52" i="76"/>
  <c r="M52" i="76"/>
  <c r="O52" i="76" s="1"/>
  <c r="P51" i="76"/>
  <c r="M51" i="76"/>
  <c r="N51" i="76" s="1"/>
  <c r="P50" i="76"/>
  <c r="M50" i="76"/>
  <c r="O50" i="76" s="1"/>
  <c r="P49" i="76"/>
  <c r="M49" i="76"/>
  <c r="O49" i="76" s="1"/>
  <c r="P48" i="76"/>
  <c r="M48" i="76"/>
  <c r="O48" i="76" s="1"/>
  <c r="P47" i="76"/>
  <c r="M47" i="76"/>
  <c r="O47" i="76" s="1"/>
  <c r="P46" i="76"/>
  <c r="M46" i="76"/>
  <c r="O46" i="76" s="1"/>
  <c r="P45" i="76"/>
  <c r="M45" i="76"/>
  <c r="O45" i="76" s="1"/>
  <c r="P44" i="76"/>
  <c r="M44" i="76"/>
  <c r="O44" i="76" s="1"/>
  <c r="P43" i="76"/>
  <c r="M43" i="76"/>
  <c r="N43" i="76" s="1"/>
  <c r="P42" i="76"/>
  <c r="M42" i="76"/>
  <c r="N42" i="76" s="1"/>
  <c r="P41" i="76"/>
  <c r="M41" i="76"/>
  <c r="N41" i="76" s="1"/>
  <c r="P40" i="76"/>
  <c r="M40" i="76"/>
  <c r="P39" i="76"/>
  <c r="M39" i="76"/>
  <c r="N39" i="76" s="1"/>
  <c r="P38" i="76"/>
  <c r="M38" i="76"/>
  <c r="O38" i="76" s="1"/>
  <c r="P37" i="76"/>
  <c r="M37" i="76"/>
  <c r="O37" i="76" s="1"/>
  <c r="P36" i="76"/>
  <c r="M36" i="76"/>
  <c r="O36" i="76" s="1"/>
  <c r="P35" i="76"/>
  <c r="M35" i="76"/>
  <c r="O35" i="76" s="1"/>
  <c r="P34" i="76"/>
  <c r="M34" i="76"/>
  <c r="O34" i="76" s="1"/>
  <c r="P33" i="76"/>
  <c r="M33" i="76"/>
  <c r="O33" i="76" s="1"/>
  <c r="P32" i="76"/>
  <c r="M32" i="76"/>
  <c r="O32" i="76" s="1"/>
  <c r="P31" i="76"/>
  <c r="M31" i="76"/>
  <c r="N31" i="76" s="1"/>
  <c r="P30" i="76"/>
  <c r="M30" i="76"/>
  <c r="O30" i="76" s="1"/>
  <c r="P29" i="76"/>
  <c r="M29" i="76"/>
  <c r="N29" i="76" s="1"/>
  <c r="P28" i="76"/>
  <c r="M28" i="76"/>
  <c r="O28" i="76" s="1"/>
  <c r="P27" i="76"/>
  <c r="M27" i="76"/>
  <c r="O27" i="76" s="1"/>
  <c r="P26" i="76"/>
  <c r="M26" i="76"/>
  <c r="O26" i="76" s="1"/>
  <c r="P25" i="76"/>
  <c r="M25" i="76"/>
  <c r="O25" i="76" s="1"/>
  <c r="P24" i="76"/>
  <c r="M24" i="76"/>
  <c r="O24" i="76" s="1"/>
  <c r="P23" i="76"/>
  <c r="M23" i="76"/>
  <c r="O23" i="76" s="1"/>
  <c r="P22" i="76"/>
  <c r="M22" i="76"/>
  <c r="O22" i="76" s="1"/>
  <c r="P21" i="76"/>
  <c r="M21" i="76"/>
  <c r="N21" i="76" s="1"/>
  <c r="P20" i="76"/>
  <c r="M20" i="76"/>
  <c r="O20" i="76" s="1"/>
  <c r="P19" i="76"/>
  <c r="M19" i="76"/>
  <c r="O19" i="76" s="1"/>
  <c r="P18" i="76"/>
  <c r="M18" i="76"/>
  <c r="N18" i="76" s="1"/>
  <c r="B18" i="76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H12" i="74"/>
  <c r="O52" i="77" l="1"/>
  <c r="O30" i="77"/>
  <c r="N49" i="77"/>
  <c r="O28" i="77"/>
  <c r="G28" i="77" s="1"/>
  <c r="H28" i="77" s="1"/>
  <c r="O35" i="77"/>
  <c r="G35" i="77" s="1"/>
  <c r="H35" i="77" s="1"/>
  <c r="N25" i="77"/>
  <c r="G25" i="77" s="1"/>
  <c r="H25" i="77" s="1"/>
  <c r="O43" i="77"/>
  <c r="G43" i="77" s="1"/>
  <c r="H43" i="77" s="1"/>
  <c r="N47" i="77"/>
  <c r="G47" i="77" s="1"/>
  <c r="N55" i="77"/>
  <c r="G55" i="77" s="1"/>
  <c r="H55" i="77" s="1"/>
  <c r="O18" i="77"/>
  <c r="G18" i="77" s="1"/>
  <c r="O22" i="77"/>
  <c r="G22" i="77" s="1"/>
  <c r="H22" i="77" s="1"/>
  <c r="O36" i="77"/>
  <c r="G36" i="77" s="1"/>
  <c r="H36" i="77" s="1"/>
  <c r="N40" i="77"/>
  <c r="G40" i="77" s="1"/>
  <c r="H40" i="77" s="1"/>
  <c r="N29" i="77"/>
  <c r="G29" i="77" s="1"/>
  <c r="H29" i="77" s="1"/>
  <c r="G52" i="77"/>
  <c r="H52" i="77" s="1"/>
  <c r="N19" i="77"/>
  <c r="G19" i="77" s="1"/>
  <c r="H19" i="77" s="1"/>
  <c r="N37" i="77"/>
  <c r="O48" i="77"/>
  <c r="G48" i="77" s="1"/>
  <c r="H48" i="77" s="1"/>
  <c r="N56" i="77"/>
  <c r="G56" i="77" s="1"/>
  <c r="N23" i="77"/>
  <c r="G23" i="77" s="1"/>
  <c r="H23" i="77" s="1"/>
  <c r="O37" i="77"/>
  <c r="N41" i="77"/>
  <c r="G41" i="77" s="1"/>
  <c r="H41" i="77" s="1"/>
  <c r="O34" i="77"/>
  <c r="G34" i="77" s="1"/>
  <c r="H34" i="77" s="1"/>
  <c r="N53" i="77"/>
  <c r="G53" i="77" s="1"/>
  <c r="N31" i="77"/>
  <c r="G31" i="77" s="1"/>
  <c r="H31" i="77" s="1"/>
  <c r="O42" i="77"/>
  <c r="G42" i="77" s="1"/>
  <c r="H42" i="77" s="1"/>
  <c r="N57" i="77"/>
  <c r="G57" i="77" s="1"/>
  <c r="O24" i="77"/>
  <c r="G24" i="77" s="1"/>
  <c r="H24" i="77" s="1"/>
  <c r="O46" i="77"/>
  <c r="G46" i="77" s="1"/>
  <c r="O54" i="77"/>
  <c r="B50" i="77"/>
  <c r="B47" i="77"/>
  <c r="G49" i="77"/>
  <c r="H49" i="77" s="1"/>
  <c r="O65" i="77"/>
  <c r="N65" i="77"/>
  <c r="O39" i="77"/>
  <c r="N39" i="77"/>
  <c r="O71" i="77"/>
  <c r="N71" i="77"/>
  <c r="O77" i="77"/>
  <c r="N77" i="77"/>
  <c r="O83" i="77"/>
  <c r="N83" i="77"/>
  <c r="G83" i="77" s="1"/>
  <c r="O89" i="77"/>
  <c r="N89" i="77"/>
  <c r="O95" i="77"/>
  <c r="N95" i="77"/>
  <c r="O101" i="77"/>
  <c r="N101" i="77"/>
  <c r="G101" i="77" s="1"/>
  <c r="O107" i="77"/>
  <c r="N107" i="77"/>
  <c r="O113" i="77"/>
  <c r="N113" i="77"/>
  <c r="O119" i="77"/>
  <c r="N119" i="77"/>
  <c r="O125" i="77"/>
  <c r="N125" i="77"/>
  <c r="O131" i="77"/>
  <c r="N131" i="77"/>
  <c r="O137" i="77"/>
  <c r="N137" i="77"/>
  <c r="G137" i="77" s="1"/>
  <c r="O143" i="77"/>
  <c r="N143" i="77"/>
  <c r="O149" i="77"/>
  <c r="N149" i="77"/>
  <c r="O155" i="77"/>
  <c r="N155" i="77"/>
  <c r="G155" i="77" s="1"/>
  <c r="O161" i="77"/>
  <c r="N161" i="77"/>
  <c r="O167" i="77"/>
  <c r="N167" i="77"/>
  <c r="O173" i="77"/>
  <c r="N173" i="77"/>
  <c r="G173" i="77" s="1"/>
  <c r="O179" i="77"/>
  <c r="N179" i="77"/>
  <c r="O26" i="77"/>
  <c r="N26" i="77"/>
  <c r="G26" i="77" s="1"/>
  <c r="H26" i="77" s="1"/>
  <c r="O61" i="77"/>
  <c r="N61" i="77"/>
  <c r="O27" i="77"/>
  <c r="N27" i="77"/>
  <c r="G27" i="77" s="1"/>
  <c r="H27" i="77" s="1"/>
  <c r="O50" i="77"/>
  <c r="N50" i="77"/>
  <c r="O67" i="77"/>
  <c r="N67" i="77"/>
  <c r="O73" i="77"/>
  <c r="N73" i="77"/>
  <c r="O79" i="77"/>
  <c r="N79" i="77"/>
  <c r="O85" i="77"/>
  <c r="N85" i="77"/>
  <c r="G85" i="77" s="1"/>
  <c r="O91" i="77"/>
  <c r="N91" i="77"/>
  <c r="O97" i="77"/>
  <c r="N97" i="77"/>
  <c r="O103" i="77"/>
  <c r="N103" i="77"/>
  <c r="G103" i="77" s="1"/>
  <c r="O109" i="77"/>
  <c r="N109" i="77"/>
  <c r="O115" i="77"/>
  <c r="N115" i="77"/>
  <c r="O121" i="77"/>
  <c r="N121" i="77"/>
  <c r="G121" i="77" s="1"/>
  <c r="O127" i="77"/>
  <c r="N127" i="77"/>
  <c r="O133" i="77"/>
  <c r="N133" i="77"/>
  <c r="O139" i="77"/>
  <c r="N139" i="77"/>
  <c r="G139" i="77" s="1"/>
  <c r="O145" i="77"/>
  <c r="N145" i="77"/>
  <c r="O151" i="77"/>
  <c r="N151" i="77"/>
  <c r="O157" i="77"/>
  <c r="N157" i="77"/>
  <c r="G157" i="77" s="1"/>
  <c r="O163" i="77"/>
  <c r="N163" i="77"/>
  <c r="O169" i="77"/>
  <c r="N169" i="77"/>
  <c r="O175" i="77"/>
  <c r="N175" i="77"/>
  <c r="G175" i="77" s="1"/>
  <c r="O181" i="77"/>
  <c r="N181" i="77"/>
  <c r="O51" i="77"/>
  <c r="N51" i="77"/>
  <c r="O63" i="77"/>
  <c r="N63" i="77"/>
  <c r="O38" i="77"/>
  <c r="N38" i="77"/>
  <c r="O59" i="77"/>
  <c r="N59" i="77"/>
  <c r="O69" i="77"/>
  <c r="N69" i="77"/>
  <c r="O75" i="77"/>
  <c r="N75" i="77"/>
  <c r="G75" i="77" s="1"/>
  <c r="O81" i="77"/>
  <c r="N81" i="77"/>
  <c r="O87" i="77"/>
  <c r="N87" i="77"/>
  <c r="O93" i="77"/>
  <c r="N93" i="77"/>
  <c r="O99" i="77"/>
  <c r="N99" i="77"/>
  <c r="G99" i="77" s="1"/>
  <c r="O105" i="77"/>
  <c r="N105" i="77"/>
  <c r="O111" i="77"/>
  <c r="N111" i="77"/>
  <c r="O117" i="77"/>
  <c r="N117" i="77"/>
  <c r="O123" i="77"/>
  <c r="N123" i="77"/>
  <c r="O129" i="77"/>
  <c r="N129" i="77"/>
  <c r="G129" i="77" s="1"/>
  <c r="O135" i="77"/>
  <c r="N135" i="77"/>
  <c r="O141" i="77"/>
  <c r="N141" i="77"/>
  <c r="O147" i="77"/>
  <c r="N147" i="77"/>
  <c r="G147" i="77" s="1"/>
  <c r="O153" i="77"/>
  <c r="N153" i="77"/>
  <c r="O159" i="77"/>
  <c r="N159" i="77"/>
  <c r="O165" i="77"/>
  <c r="N165" i="77"/>
  <c r="O171" i="77"/>
  <c r="N171" i="77"/>
  <c r="G171" i="77" s="1"/>
  <c r="O177" i="77"/>
  <c r="N177" i="77"/>
  <c r="O20" i="77"/>
  <c r="G20" i="77" s="1"/>
  <c r="H20" i="77" s="1"/>
  <c r="O32" i="77"/>
  <c r="G32" i="77" s="1"/>
  <c r="H32" i="77" s="1"/>
  <c r="O44" i="77"/>
  <c r="G44" i="77" s="1"/>
  <c r="H44" i="77" s="1"/>
  <c r="N21" i="77"/>
  <c r="G21" i="77" s="1"/>
  <c r="H21" i="77" s="1"/>
  <c r="G30" i="77"/>
  <c r="N33" i="77"/>
  <c r="G33" i="77" s="1"/>
  <c r="H33" i="77" s="1"/>
  <c r="N45" i="77"/>
  <c r="G45" i="77" s="1"/>
  <c r="H45" i="77" s="1"/>
  <c r="G54" i="77"/>
  <c r="N60" i="77"/>
  <c r="G60" i="77" s="1"/>
  <c r="N62" i="77"/>
  <c r="G62" i="77" s="1"/>
  <c r="N64" i="77"/>
  <c r="G64" i="77" s="1"/>
  <c r="N66" i="77"/>
  <c r="G66" i="77" s="1"/>
  <c r="N68" i="77"/>
  <c r="G68" i="77" s="1"/>
  <c r="N70" i="77"/>
  <c r="G70" i="77" s="1"/>
  <c r="N72" i="77"/>
  <c r="G72" i="77" s="1"/>
  <c r="N74" i="77"/>
  <c r="G74" i="77" s="1"/>
  <c r="N76" i="77"/>
  <c r="G76" i="77" s="1"/>
  <c r="N78" i="77"/>
  <c r="G78" i="77" s="1"/>
  <c r="N80" i="77"/>
  <c r="G80" i="77" s="1"/>
  <c r="N82" i="77"/>
  <c r="G82" i="77" s="1"/>
  <c r="N84" i="77"/>
  <c r="G84" i="77" s="1"/>
  <c r="N86" i="77"/>
  <c r="G86" i="77" s="1"/>
  <c r="N88" i="77"/>
  <c r="G88" i="77" s="1"/>
  <c r="N90" i="77"/>
  <c r="G90" i="77" s="1"/>
  <c r="N92" i="77"/>
  <c r="G92" i="77" s="1"/>
  <c r="N94" i="77"/>
  <c r="G94" i="77" s="1"/>
  <c r="N96" i="77"/>
  <c r="G96" i="77" s="1"/>
  <c r="N98" i="77"/>
  <c r="G98" i="77" s="1"/>
  <c r="N100" i="77"/>
  <c r="G100" i="77" s="1"/>
  <c r="N102" i="77"/>
  <c r="G102" i="77" s="1"/>
  <c r="N104" i="77"/>
  <c r="G104" i="77" s="1"/>
  <c r="N106" i="77"/>
  <c r="G106" i="77" s="1"/>
  <c r="N108" i="77"/>
  <c r="G108" i="77" s="1"/>
  <c r="N110" i="77"/>
  <c r="G110" i="77" s="1"/>
  <c r="N112" i="77"/>
  <c r="G112" i="77" s="1"/>
  <c r="N114" i="77"/>
  <c r="G114" i="77" s="1"/>
  <c r="N116" i="77"/>
  <c r="G116" i="77" s="1"/>
  <c r="N118" i="77"/>
  <c r="G118" i="77" s="1"/>
  <c r="N120" i="77"/>
  <c r="G120" i="77" s="1"/>
  <c r="N122" i="77"/>
  <c r="G122" i="77" s="1"/>
  <c r="N124" i="77"/>
  <c r="G124" i="77" s="1"/>
  <c r="N126" i="77"/>
  <c r="G126" i="77" s="1"/>
  <c r="N128" i="77"/>
  <c r="G128" i="77" s="1"/>
  <c r="N130" i="77"/>
  <c r="G130" i="77" s="1"/>
  <c r="N132" i="77"/>
  <c r="G132" i="77" s="1"/>
  <c r="N134" i="77"/>
  <c r="G134" i="77" s="1"/>
  <c r="N136" i="77"/>
  <c r="G136" i="77" s="1"/>
  <c r="N138" i="77"/>
  <c r="G138" i="77" s="1"/>
  <c r="N140" i="77"/>
  <c r="G140" i="77" s="1"/>
  <c r="N142" i="77"/>
  <c r="G142" i="77" s="1"/>
  <c r="N144" i="77"/>
  <c r="G144" i="77" s="1"/>
  <c r="N146" i="77"/>
  <c r="G146" i="77" s="1"/>
  <c r="N148" i="77"/>
  <c r="G148" i="77" s="1"/>
  <c r="N150" i="77"/>
  <c r="G150" i="77" s="1"/>
  <c r="N152" i="77"/>
  <c r="G152" i="77" s="1"/>
  <c r="N154" i="77"/>
  <c r="G154" i="77" s="1"/>
  <c r="N156" i="77"/>
  <c r="G156" i="77" s="1"/>
  <c r="N158" i="77"/>
  <c r="G158" i="77" s="1"/>
  <c r="N160" i="77"/>
  <c r="G160" i="77" s="1"/>
  <c r="N162" i="77"/>
  <c r="G162" i="77" s="1"/>
  <c r="N164" i="77"/>
  <c r="G164" i="77" s="1"/>
  <c r="N166" i="77"/>
  <c r="G166" i="77" s="1"/>
  <c r="N168" i="77"/>
  <c r="G168" i="77" s="1"/>
  <c r="N170" i="77"/>
  <c r="G170" i="77" s="1"/>
  <c r="N172" i="77"/>
  <c r="G172" i="77" s="1"/>
  <c r="N174" i="77"/>
  <c r="G174" i="77" s="1"/>
  <c r="N176" i="77"/>
  <c r="G176" i="77" s="1"/>
  <c r="N178" i="77"/>
  <c r="G178" i="77" s="1"/>
  <c r="N180" i="77"/>
  <c r="G180" i="77" s="1"/>
  <c r="N182" i="77"/>
  <c r="G182" i="77" s="1"/>
  <c r="N59" i="76"/>
  <c r="G59" i="76" s="1"/>
  <c r="O169" i="76"/>
  <c r="N174" i="76"/>
  <c r="G174" i="76" s="1"/>
  <c r="G150" i="76"/>
  <c r="G162" i="76"/>
  <c r="O162" i="76"/>
  <c r="N173" i="76"/>
  <c r="G173" i="76" s="1"/>
  <c r="O58" i="76"/>
  <c r="G58" i="76" s="1"/>
  <c r="N164" i="76"/>
  <c r="N161" i="76"/>
  <c r="G161" i="76" s="1"/>
  <c r="G164" i="76"/>
  <c r="O181" i="76"/>
  <c r="G181" i="76" s="1"/>
  <c r="N152" i="76"/>
  <c r="G152" i="76" s="1"/>
  <c r="N176" i="76"/>
  <c r="G176" i="76" s="1"/>
  <c r="N57" i="76"/>
  <c r="G57" i="76" s="1"/>
  <c r="O42" i="76"/>
  <c r="N144" i="76"/>
  <c r="G144" i="76" s="1"/>
  <c r="O151" i="76"/>
  <c r="G151" i="76" s="1"/>
  <c r="N156" i="76"/>
  <c r="G156" i="76" s="1"/>
  <c r="O163" i="76"/>
  <c r="G163" i="76" s="1"/>
  <c r="N168" i="76"/>
  <c r="G168" i="76" s="1"/>
  <c r="O175" i="76"/>
  <c r="G175" i="76" s="1"/>
  <c r="G178" i="76"/>
  <c r="N180" i="76"/>
  <c r="G180" i="76" s="1"/>
  <c r="N143" i="76"/>
  <c r="N155" i="76"/>
  <c r="N167" i="76"/>
  <c r="O182" i="76"/>
  <c r="G182" i="76" s="1"/>
  <c r="N154" i="76"/>
  <c r="G154" i="76" s="1"/>
  <c r="N166" i="76"/>
  <c r="G166" i="76" s="1"/>
  <c r="N178" i="76"/>
  <c r="N165" i="76"/>
  <c r="G165" i="76" s="1"/>
  <c r="O172" i="76"/>
  <c r="G172" i="76" s="1"/>
  <c r="N146" i="76"/>
  <c r="G146" i="76" s="1"/>
  <c r="O153" i="76"/>
  <c r="G153" i="76" s="1"/>
  <c r="N158" i="76"/>
  <c r="G158" i="76" s="1"/>
  <c r="G145" i="76"/>
  <c r="N147" i="76"/>
  <c r="G147" i="76" s="1"/>
  <c r="G157" i="76"/>
  <c r="N159" i="76"/>
  <c r="G159" i="76" s="1"/>
  <c r="G169" i="76"/>
  <c r="N171" i="76"/>
  <c r="G171" i="76" s="1"/>
  <c r="N183" i="76"/>
  <c r="G183" i="76" s="1"/>
  <c r="O155" i="76"/>
  <c r="N160" i="76"/>
  <c r="G160" i="76" s="1"/>
  <c r="N102" i="76"/>
  <c r="G102" i="76" s="1"/>
  <c r="N179" i="76"/>
  <c r="O143" i="76"/>
  <c r="N148" i="76"/>
  <c r="G148" i="76" s="1"/>
  <c r="O167" i="76"/>
  <c r="O179" i="76"/>
  <c r="N177" i="76"/>
  <c r="G177" i="76" s="1"/>
  <c r="N170" i="76"/>
  <c r="G170" i="76" s="1"/>
  <c r="N136" i="76"/>
  <c r="G136" i="76" s="1"/>
  <c r="O90" i="76"/>
  <c r="N94" i="76"/>
  <c r="G94" i="76" s="1"/>
  <c r="O123" i="76"/>
  <c r="G123" i="76" s="1"/>
  <c r="N98" i="76"/>
  <c r="G98" i="76" s="1"/>
  <c r="N22" i="76"/>
  <c r="O82" i="76"/>
  <c r="G82" i="76" s="1"/>
  <c r="O115" i="76"/>
  <c r="G115" i="76" s="1"/>
  <c r="O74" i="76"/>
  <c r="G74" i="76" s="1"/>
  <c r="O103" i="76"/>
  <c r="G103" i="76" s="1"/>
  <c r="O18" i="76"/>
  <c r="N54" i="76"/>
  <c r="G54" i="76" s="1"/>
  <c r="O95" i="76"/>
  <c r="G95" i="76" s="1"/>
  <c r="O62" i="76"/>
  <c r="N83" i="76"/>
  <c r="G83" i="76" s="1"/>
  <c r="N34" i="76"/>
  <c r="G34" i="76" s="1"/>
  <c r="H34" i="76" s="1"/>
  <c r="N138" i="76"/>
  <c r="G138" i="76" s="1"/>
  <c r="O130" i="76"/>
  <c r="G130" i="76" s="1"/>
  <c r="N30" i="76"/>
  <c r="G30" i="76" s="1"/>
  <c r="H30" i="76" s="1"/>
  <c r="N86" i="76"/>
  <c r="G86" i="76" s="1"/>
  <c r="O111" i="76"/>
  <c r="G111" i="76" s="1"/>
  <c r="N66" i="76"/>
  <c r="G66" i="76" s="1"/>
  <c r="N62" i="76"/>
  <c r="O70" i="76"/>
  <c r="G70" i="76" s="1"/>
  <c r="N91" i="76"/>
  <c r="O87" i="76"/>
  <c r="G87" i="76" s="1"/>
  <c r="O79" i="76"/>
  <c r="G79" i="76" s="1"/>
  <c r="N134" i="76"/>
  <c r="G134" i="76" s="1"/>
  <c r="O71" i="76"/>
  <c r="G71" i="76" s="1"/>
  <c r="O63" i="76"/>
  <c r="G63" i="76" s="1"/>
  <c r="N114" i="76"/>
  <c r="G114" i="76" s="1"/>
  <c r="O122" i="76"/>
  <c r="G122" i="76" s="1"/>
  <c r="N139" i="76"/>
  <c r="N46" i="76"/>
  <c r="G46" i="76" s="1"/>
  <c r="H46" i="76" s="1"/>
  <c r="N106" i="76"/>
  <c r="N110" i="76"/>
  <c r="G110" i="76" s="1"/>
  <c r="O118" i="76"/>
  <c r="G118" i="76" s="1"/>
  <c r="N131" i="76"/>
  <c r="O139" i="76"/>
  <c r="O119" i="76"/>
  <c r="G119" i="76" s="1"/>
  <c r="N78" i="76"/>
  <c r="G78" i="76" s="1"/>
  <c r="N107" i="76"/>
  <c r="G107" i="76" s="1"/>
  <c r="N99" i="76"/>
  <c r="O99" i="76"/>
  <c r="O91" i="76"/>
  <c r="N75" i="76"/>
  <c r="G75" i="76" s="1"/>
  <c r="N67" i="76"/>
  <c r="O67" i="76"/>
  <c r="N126" i="76"/>
  <c r="G126" i="76" s="1"/>
  <c r="O131" i="76"/>
  <c r="G42" i="76"/>
  <c r="H42" i="76" s="1"/>
  <c r="N73" i="76"/>
  <c r="G73" i="76" s="1"/>
  <c r="N89" i="76"/>
  <c r="G89" i="76" s="1"/>
  <c r="N97" i="76"/>
  <c r="G97" i="76" s="1"/>
  <c r="N105" i="76"/>
  <c r="G105" i="76" s="1"/>
  <c r="N113" i="76"/>
  <c r="G113" i="76" s="1"/>
  <c r="N121" i="76"/>
  <c r="G121" i="76" s="1"/>
  <c r="N129" i="76"/>
  <c r="G129" i="76" s="1"/>
  <c r="N142" i="76"/>
  <c r="G142" i="76" s="1"/>
  <c r="O65" i="76"/>
  <c r="G65" i="76" s="1"/>
  <c r="O81" i="76"/>
  <c r="G81" i="76" s="1"/>
  <c r="N92" i="76"/>
  <c r="G92" i="76" s="1"/>
  <c r="N100" i="76"/>
  <c r="G100" i="76" s="1"/>
  <c r="N108" i="76"/>
  <c r="G108" i="76" s="1"/>
  <c r="N116" i="76"/>
  <c r="G116" i="76" s="1"/>
  <c r="N124" i="76"/>
  <c r="G124" i="76" s="1"/>
  <c r="N132" i="76"/>
  <c r="G132" i="76" s="1"/>
  <c r="N137" i="76"/>
  <c r="G137" i="76" s="1"/>
  <c r="N27" i="76"/>
  <c r="G27" i="76" s="1"/>
  <c r="H27" i="76" s="1"/>
  <c r="O39" i="76"/>
  <c r="G39" i="76" s="1"/>
  <c r="H39" i="76" s="1"/>
  <c r="O51" i="76"/>
  <c r="G51" i="76" s="1"/>
  <c r="H51" i="76" s="1"/>
  <c r="N68" i="76"/>
  <c r="G68" i="76" s="1"/>
  <c r="N84" i="76"/>
  <c r="G84" i="76" s="1"/>
  <c r="N36" i="76"/>
  <c r="G36" i="76" s="1"/>
  <c r="H36" i="76" s="1"/>
  <c r="N48" i="76"/>
  <c r="G48" i="76" s="1"/>
  <c r="N56" i="76"/>
  <c r="G56" i="76" s="1"/>
  <c r="O76" i="76"/>
  <c r="G76" i="76" s="1"/>
  <c r="N140" i="76"/>
  <c r="G140" i="76" s="1"/>
  <c r="N24" i="76"/>
  <c r="G24" i="76" s="1"/>
  <c r="H24" i="76" s="1"/>
  <c r="N127" i="76"/>
  <c r="G127" i="76" s="1"/>
  <c r="N135" i="76"/>
  <c r="G135" i="76" s="1"/>
  <c r="G90" i="76"/>
  <c r="G106" i="76"/>
  <c r="N45" i="76"/>
  <c r="G45" i="76" s="1"/>
  <c r="H45" i="76" s="1"/>
  <c r="N33" i="76"/>
  <c r="G33" i="76" s="1"/>
  <c r="H33" i="76" s="1"/>
  <c r="O21" i="76"/>
  <c r="G21" i="76" s="1"/>
  <c r="H21" i="76" s="1"/>
  <c r="N25" i="76"/>
  <c r="G25" i="76" s="1"/>
  <c r="H25" i="76" s="1"/>
  <c r="N37" i="76"/>
  <c r="G37" i="76" s="1"/>
  <c r="H37" i="76" s="1"/>
  <c r="N49" i="76"/>
  <c r="G49" i="76" s="1"/>
  <c r="H49" i="76" s="1"/>
  <c r="N69" i="76"/>
  <c r="G69" i="76" s="1"/>
  <c r="N77" i="76"/>
  <c r="G77" i="76" s="1"/>
  <c r="N85" i="76"/>
  <c r="G85" i="76" s="1"/>
  <c r="N93" i="76"/>
  <c r="G93" i="76" s="1"/>
  <c r="N101" i="76"/>
  <c r="G101" i="76" s="1"/>
  <c r="N109" i="76"/>
  <c r="G109" i="76" s="1"/>
  <c r="N117" i="76"/>
  <c r="G117" i="76" s="1"/>
  <c r="N125" i="76"/>
  <c r="G125" i="76" s="1"/>
  <c r="N133" i="76"/>
  <c r="G133" i="76" s="1"/>
  <c r="N64" i="76"/>
  <c r="G64" i="76" s="1"/>
  <c r="N72" i="76"/>
  <c r="G72" i="76" s="1"/>
  <c r="N80" i="76"/>
  <c r="G80" i="76" s="1"/>
  <c r="N88" i="76"/>
  <c r="G88" i="76" s="1"/>
  <c r="N96" i="76"/>
  <c r="G96" i="76" s="1"/>
  <c r="N104" i="76"/>
  <c r="G104" i="76" s="1"/>
  <c r="N112" i="76"/>
  <c r="G112" i="76" s="1"/>
  <c r="N120" i="76"/>
  <c r="G120" i="76" s="1"/>
  <c r="N128" i="76"/>
  <c r="G128" i="76" s="1"/>
  <c r="N141" i="76"/>
  <c r="G141" i="76" s="1"/>
  <c r="G18" i="76"/>
  <c r="G22" i="76"/>
  <c r="H22" i="76" s="1"/>
  <c r="B47" i="76"/>
  <c r="B50" i="76"/>
  <c r="O29" i="76"/>
  <c r="G29" i="76" s="1"/>
  <c r="H29" i="76" s="1"/>
  <c r="O41" i="76"/>
  <c r="G41" i="76" s="1"/>
  <c r="H41" i="76" s="1"/>
  <c r="O53" i="76"/>
  <c r="G53" i="76" s="1"/>
  <c r="H53" i="76" s="1"/>
  <c r="N19" i="76"/>
  <c r="G19" i="76" s="1"/>
  <c r="H19" i="76" s="1"/>
  <c r="N55" i="76"/>
  <c r="G55" i="76" s="1"/>
  <c r="H55" i="76" s="1"/>
  <c r="N26" i="76"/>
  <c r="G26" i="76" s="1"/>
  <c r="O31" i="76"/>
  <c r="G31" i="76" s="1"/>
  <c r="H31" i="76" s="1"/>
  <c r="N38" i="76"/>
  <c r="G38" i="76" s="1"/>
  <c r="H38" i="76" s="1"/>
  <c r="O43" i="76"/>
  <c r="G43" i="76" s="1"/>
  <c r="H43" i="76" s="1"/>
  <c r="N50" i="76"/>
  <c r="G50" i="76" s="1"/>
  <c r="H50" i="76" s="1"/>
  <c r="O60" i="76"/>
  <c r="G60" i="76" s="1"/>
  <c r="N184" i="76"/>
  <c r="G184" i="76" s="1"/>
  <c r="N28" i="76"/>
  <c r="G28" i="76" s="1"/>
  <c r="H28" i="76" s="1"/>
  <c r="N40" i="76"/>
  <c r="N52" i="76"/>
  <c r="G52" i="76" s="1"/>
  <c r="N23" i="76"/>
  <c r="G23" i="76" s="1"/>
  <c r="H23" i="76" s="1"/>
  <c r="N35" i="76"/>
  <c r="G35" i="76" s="1"/>
  <c r="H35" i="76" s="1"/>
  <c r="O40" i="76"/>
  <c r="N47" i="76"/>
  <c r="G47" i="76" s="1"/>
  <c r="N20" i="76"/>
  <c r="G20" i="76" s="1"/>
  <c r="H20" i="76" s="1"/>
  <c r="N32" i="76"/>
  <c r="G32" i="76" s="1"/>
  <c r="H32" i="76" s="1"/>
  <c r="N44" i="76"/>
  <c r="G44" i="76" s="1"/>
  <c r="N61" i="76"/>
  <c r="G61" i="76" s="1"/>
  <c r="H61" i="76" s="1"/>
  <c r="N185" i="76"/>
  <c r="G185" i="76" s="1"/>
  <c r="AW54" i="15"/>
  <c r="AV31" i="15"/>
  <c r="AV5" i="15"/>
  <c r="F3" i="73"/>
  <c r="H47" i="77" l="1"/>
  <c r="AX17" i="15"/>
  <c r="G50" i="77"/>
  <c r="G39" i="77"/>
  <c r="H39" i="77" s="1"/>
  <c r="H30" i="77"/>
  <c r="G38" i="77"/>
  <c r="H38" i="77" s="1"/>
  <c r="H46" i="77"/>
  <c r="AX23" i="15"/>
  <c r="H50" i="77"/>
  <c r="AX15" i="15"/>
  <c r="H54" i="77"/>
  <c r="AX13" i="15"/>
  <c r="H53" i="77"/>
  <c r="AX11" i="15"/>
  <c r="G58" i="77"/>
  <c r="H58" i="77" s="1"/>
  <c r="G165" i="77"/>
  <c r="G93" i="77"/>
  <c r="G123" i="77"/>
  <c r="G163" i="77"/>
  <c r="G127" i="77"/>
  <c r="G91" i="77"/>
  <c r="G131" i="77"/>
  <c r="G65" i="77"/>
  <c r="G61" i="77"/>
  <c r="G181" i="77"/>
  <c r="G145" i="77"/>
  <c r="G109" i="77"/>
  <c r="G73" i="77"/>
  <c r="G149" i="77"/>
  <c r="G113" i="77"/>
  <c r="G77" i="77"/>
  <c r="G37" i="77"/>
  <c r="H37" i="77" s="1"/>
  <c r="G67" i="77"/>
  <c r="G143" i="77"/>
  <c r="G71" i="77"/>
  <c r="G177" i="77"/>
  <c r="G141" i="77"/>
  <c r="G105" i="77"/>
  <c r="G69" i="77"/>
  <c r="G135" i="77"/>
  <c r="G59" i="77"/>
  <c r="H59" i="77" s="1"/>
  <c r="G169" i="77"/>
  <c r="G133" i="77"/>
  <c r="G97" i="77"/>
  <c r="G179" i="77"/>
  <c r="G107" i="77"/>
  <c r="G63" i="77"/>
  <c r="G159" i="77"/>
  <c r="G87" i="77"/>
  <c r="G153" i="77"/>
  <c r="G117" i="77"/>
  <c r="G81" i="77"/>
  <c r="G167" i="77"/>
  <c r="G95" i="77"/>
  <c r="G119" i="77"/>
  <c r="G111" i="77"/>
  <c r="G51" i="77"/>
  <c r="H51" i="77" s="1"/>
  <c r="G151" i="77"/>
  <c r="G115" i="77"/>
  <c r="G79" i="77"/>
  <c r="G161" i="77"/>
  <c r="G125" i="77"/>
  <c r="G89" i="77"/>
  <c r="H18" i="77"/>
  <c r="B51" i="77"/>
  <c r="B48" i="77"/>
  <c r="G91" i="76"/>
  <c r="G167" i="76"/>
  <c r="G155" i="76"/>
  <c r="G143" i="76"/>
  <c r="AW19" i="15"/>
  <c r="G179" i="76"/>
  <c r="H48" i="76"/>
  <c r="AW15" i="15"/>
  <c r="H18" i="76"/>
  <c r="H47" i="76"/>
  <c r="AW17" i="15"/>
  <c r="H52" i="76"/>
  <c r="AW11" i="15"/>
  <c r="G62" i="76"/>
  <c r="H62" i="76" s="1"/>
  <c r="H44" i="76"/>
  <c r="AW23" i="15"/>
  <c r="G139" i="76"/>
  <c r="D8" i="76" s="1"/>
  <c r="H54" i="76"/>
  <c r="AW13" i="15"/>
  <c r="G131" i="76"/>
  <c r="G99" i="76"/>
  <c r="G67" i="76"/>
  <c r="G40" i="76"/>
  <c r="H40" i="76" s="1"/>
  <c r="H26" i="76"/>
  <c r="B48" i="76"/>
  <c r="B51" i="76"/>
  <c r="D30" i="75"/>
  <c r="D31" i="75" s="1"/>
  <c r="D36" i="75" s="1"/>
  <c r="D37" i="75" s="1"/>
  <c r="C30" i="75"/>
  <c r="C31" i="75" s="1"/>
  <c r="C36" i="75" s="1"/>
  <c r="C37" i="75" s="1"/>
  <c r="B30" i="75"/>
  <c r="B31" i="75" s="1"/>
  <c r="B36" i="75" s="1"/>
  <c r="B37" i="75" s="1"/>
  <c r="D11" i="75"/>
  <c r="D10" i="75"/>
  <c r="C10" i="75"/>
  <c r="C11" i="75" s="1"/>
  <c r="B10" i="75"/>
  <c r="C1" i="75"/>
  <c r="B1" i="75"/>
  <c r="D31" i="65"/>
  <c r="AV38" i="15"/>
  <c r="AV55" i="15"/>
  <c r="AV52" i="15"/>
  <c r="AV22" i="15"/>
  <c r="AV21" i="15"/>
  <c r="AV20" i="15"/>
  <c r="AV18" i="15"/>
  <c r="AV16" i="15"/>
  <c r="AV14" i="15"/>
  <c r="AV12" i="15"/>
  <c r="AV10" i="15"/>
  <c r="AV8" i="15"/>
  <c r="G60" i="74"/>
  <c r="E184" i="74"/>
  <c r="P182" i="74"/>
  <c r="M182" i="74"/>
  <c r="O182" i="74" s="1"/>
  <c r="P181" i="74"/>
  <c r="M181" i="74"/>
  <c r="P180" i="74"/>
  <c r="M180" i="74"/>
  <c r="O180" i="74" s="1"/>
  <c r="P179" i="74"/>
  <c r="M179" i="74"/>
  <c r="P178" i="74"/>
  <c r="M178" i="74"/>
  <c r="O178" i="74" s="1"/>
  <c r="P177" i="74"/>
  <c r="M177" i="74"/>
  <c r="P176" i="74"/>
  <c r="M176" i="74"/>
  <c r="O176" i="74" s="1"/>
  <c r="P175" i="74"/>
  <c r="M175" i="74"/>
  <c r="P174" i="74"/>
  <c r="M174" i="74"/>
  <c r="O174" i="74" s="1"/>
  <c r="P173" i="74"/>
  <c r="M173" i="74"/>
  <c r="P172" i="74"/>
  <c r="M172" i="74"/>
  <c r="O172" i="74" s="1"/>
  <c r="P171" i="74"/>
  <c r="M171" i="74"/>
  <c r="P170" i="74"/>
  <c r="M170" i="74"/>
  <c r="O170" i="74" s="1"/>
  <c r="P169" i="74"/>
  <c r="M169" i="74"/>
  <c r="P168" i="74"/>
  <c r="M168" i="74"/>
  <c r="O168" i="74" s="1"/>
  <c r="P167" i="74"/>
  <c r="M167" i="74"/>
  <c r="N167" i="74" s="1"/>
  <c r="P166" i="74"/>
  <c r="M166" i="74"/>
  <c r="O166" i="74" s="1"/>
  <c r="P165" i="74"/>
  <c r="M165" i="74"/>
  <c r="P164" i="74"/>
  <c r="M164" i="74"/>
  <c r="O164" i="74" s="1"/>
  <c r="P163" i="74"/>
  <c r="M163" i="74"/>
  <c r="N163" i="74" s="1"/>
  <c r="P162" i="74"/>
  <c r="M162" i="74"/>
  <c r="O162" i="74" s="1"/>
  <c r="P161" i="74"/>
  <c r="M161" i="74"/>
  <c r="P160" i="74"/>
  <c r="M160" i="74"/>
  <c r="O160" i="74" s="1"/>
  <c r="P159" i="74"/>
  <c r="M159" i="74"/>
  <c r="N159" i="74" s="1"/>
  <c r="P158" i="74"/>
  <c r="M158" i="74"/>
  <c r="O158" i="74" s="1"/>
  <c r="P157" i="74"/>
  <c r="M157" i="74"/>
  <c r="P156" i="74"/>
  <c r="M156" i="74"/>
  <c r="O156" i="74" s="1"/>
  <c r="P155" i="74"/>
  <c r="M155" i="74"/>
  <c r="N155" i="74" s="1"/>
  <c r="P154" i="74"/>
  <c r="M154" i="74"/>
  <c r="O154" i="74" s="1"/>
  <c r="P153" i="74"/>
  <c r="M153" i="74"/>
  <c r="P152" i="74"/>
  <c r="M152" i="74"/>
  <c r="O152" i="74" s="1"/>
  <c r="P151" i="74"/>
  <c r="M151" i="74"/>
  <c r="P150" i="74"/>
  <c r="M150" i="74"/>
  <c r="O150" i="74" s="1"/>
  <c r="P149" i="74"/>
  <c r="M149" i="74"/>
  <c r="P148" i="74"/>
  <c r="M148" i="74"/>
  <c r="O148" i="74" s="1"/>
  <c r="P147" i="74"/>
  <c r="M147" i="74"/>
  <c r="N147" i="74" s="1"/>
  <c r="P146" i="74"/>
  <c r="M146" i="74"/>
  <c r="O146" i="74" s="1"/>
  <c r="P145" i="74"/>
  <c r="M145" i="74"/>
  <c r="P144" i="74"/>
  <c r="M144" i="74"/>
  <c r="O144" i="74" s="1"/>
  <c r="P143" i="74"/>
  <c r="M143" i="74"/>
  <c r="P142" i="74"/>
  <c r="M142" i="74"/>
  <c r="O142" i="74" s="1"/>
  <c r="P141" i="74"/>
  <c r="M141" i="74"/>
  <c r="P140" i="74"/>
  <c r="M140" i="74"/>
  <c r="O140" i="74" s="1"/>
  <c r="P139" i="74"/>
  <c r="M139" i="74"/>
  <c r="N139" i="74" s="1"/>
  <c r="P138" i="74"/>
  <c r="M138" i="74"/>
  <c r="O138" i="74" s="1"/>
  <c r="P137" i="74"/>
  <c r="M137" i="74"/>
  <c r="P136" i="74"/>
  <c r="M136" i="74"/>
  <c r="O136" i="74" s="1"/>
  <c r="P135" i="74"/>
  <c r="M135" i="74"/>
  <c r="N135" i="74" s="1"/>
  <c r="P134" i="74"/>
  <c r="M134" i="74"/>
  <c r="O134" i="74" s="1"/>
  <c r="P133" i="74"/>
  <c r="M133" i="74"/>
  <c r="P132" i="74"/>
  <c r="M132" i="74"/>
  <c r="O132" i="74" s="1"/>
  <c r="P131" i="74"/>
  <c r="M131" i="74"/>
  <c r="P130" i="74"/>
  <c r="M130" i="74"/>
  <c r="O130" i="74" s="1"/>
  <c r="P129" i="74"/>
  <c r="M129" i="74"/>
  <c r="P128" i="74"/>
  <c r="M128" i="74"/>
  <c r="O128" i="74" s="1"/>
  <c r="P127" i="74"/>
  <c r="M127" i="74"/>
  <c r="N127" i="74" s="1"/>
  <c r="P126" i="74"/>
  <c r="M126" i="74"/>
  <c r="O126" i="74" s="1"/>
  <c r="P125" i="74"/>
  <c r="M125" i="74"/>
  <c r="P124" i="74"/>
  <c r="M124" i="74"/>
  <c r="O124" i="74" s="1"/>
  <c r="P123" i="74"/>
  <c r="M123" i="74"/>
  <c r="N123" i="74" s="1"/>
  <c r="P122" i="74"/>
  <c r="M122" i="74"/>
  <c r="O122" i="74" s="1"/>
  <c r="P121" i="74"/>
  <c r="M121" i="74"/>
  <c r="P120" i="74"/>
  <c r="M120" i="74"/>
  <c r="O120" i="74" s="1"/>
  <c r="P119" i="74"/>
  <c r="M119" i="74"/>
  <c r="P118" i="74"/>
  <c r="M118" i="74"/>
  <c r="O118" i="74" s="1"/>
  <c r="P117" i="74"/>
  <c r="M117" i="74"/>
  <c r="P116" i="74"/>
  <c r="M116" i="74"/>
  <c r="O116" i="74" s="1"/>
  <c r="P115" i="74"/>
  <c r="M115" i="74"/>
  <c r="N115" i="74" s="1"/>
  <c r="P114" i="74"/>
  <c r="M114" i="74"/>
  <c r="O114" i="74" s="1"/>
  <c r="P113" i="74"/>
  <c r="M113" i="74"/>
  <c r="P112" i="74"/>
  <c r="M112" i="74"/>
  <c r="O112" i="74" s="1"/>
  <c r="P111" i="74"/>
  <c r="M111" i="74"/>
  <c r="N111" i="74" s="1"/>
  <c r="P110" i="74"/>
  <c r="M110" i="74"/>
  <c r="O110" i="74" s="1"/>
  <c r="P109" i="74"/>
  <c r="M109" i="74"/>
  <c r="P108" i="74"/>
  <c r="M108" i="74"/>
  <c r="O108" i="74" s="1"/>
  <c r="P107" i="74"/>
  <c r="M107" i="74"/>
  <c r="P106" i="74"/>
  <c r="M106" i="74"/>
  <c r="O106" i="74" s="1"/>
  <c r="P105" i="74"/>
  <c r="M105" i="74"/>
  <c r="P104" i="74"/>
  <c r="M104" i="74"/>
  <c r="O104" i="74" s="1"/>
  <c r="P103" i="74"/>
  <c r="M103" i="74"/>
  <c r="N103" i="74" s="1"/>
  <c r="P102" i="74"/>
  <c r="M102" i="74"/>
  <c r="O102" i="74" s="1"/>
  <c r="P101" i="74"/>
  <c r="M101" i="74"/>
  <c r="P100" i="74"/>
  <c r="M100" i="74"/>
  <c r="O100" i="74" s="1"/>
  <c r="P99" i="74"/>
  <c r="M99" i="74"/>
  <c r="N99" i="74" s="1"/>
  <c r="P98" i="74"/>
  <c r="M98" i="74"/>
  <c r="O98" i="74" s="1"/>
  <c r="P97" i="74"/>
  <c r="M97" i="74"/>
  <c r="P96" i="74"/>
  <c r="M96" i="74"/>
  <c r="O96" i="74" s="1"/>
  <c r="P95" i="74"/>
  <c r="M95" i="74"/>
  <c r="P94" i="74"/>
  <c r="M94" i="74"/>
  <c r="O94" i="74" s="1"/>
  <c r="P93" i="74"/>
  <c r="M93" i="74"/>
  <c r="P92" i="74"/>
  <c r="M92" i="74"/>
  <c r="P91" i="74"/>
  <c r="M91" i="74"/>
  <c r="N91" i="74" s="1"/>
  <c r="P90" i="74"/>
  <c r="M90" i="74"/>
  <c r="P89" i="74"/>
  <c r="M89" i="74"/>
  <c r="P88" i="74"/>
  <c r="M88" i="74"/>
  <c r="P87" i="74"/>
  <c r="M87" i="74"/>
  <c r="P86" i="74"/>
  <c r="M86" i="74"/>
  <c r="P85" i="74"/>
  <c r="M85" i="74"/>
  <c r="P84" i="74"/>
  <c r="M84" i="74"/>
  <c r="P83" i="74"/>
  <c r="M83" i="74"/>
  <c r="N83" i="74" s="1"/>
  <c r="P82" i="74"/>
  <c r="M82" i="74"/>
  <c r="P81" i="74"/>
  <c r="M81" i="74"/>
  <c r="P80" i="74"/>
  <c r="M80" i="74"/>
  <c r="P79" i="74"/>
  <c r="M79" i="74"/>
  <c r="N79" i="74" s="1"/>
  <c r="P78" i="74"/>
  <c r="M78" i="74"/>
  <c r="P77" i="74"/>
  <c r="M77" i="74"/>
  <c r="P76" i="74"/>
  <c r="M76" i="74"/>
  <c r="P75" i="74"/>
  <c r="M75" i="74"/>
  <c r="N75" i="74" s="1"/>
  <c r="P74" i="74"/>
  <c r="M74" i="74"/>
  <c r="P73" i="74"/>
  <c r="M73" i="74"/>
  <c r="P72" i="74"/>
  <c r="M72" i="74"/>
  <c r="P71" i="74"/>
  <c r="M71" i="74"/>
  <c r="P70" i="74"/>
  <c r="M70" i="74"/>
  <c r="P69" i="74"/>
  <c r="M69" i="74"/>
  <c r="P68" i="74"/>
  <c r="M68" i="74"/>
  <c r="P67" i="74"/>
  <c r="M67" i="74"/>
  <c r="N67" i="74" s="1"/>
  <c r="P66" i="74"/>
  <c r="M66" i="74"/>
  <c r="P65" i="74"/>
  <c r="M65" i="74"/>
  <c r="P64" i="74"/>
  <c r="M64" i="74"/>
  <c r="P63" i="74"/>
  <c r="M63" i="74"/>
  <c r="N63" i="74" s="1"/>
  <c r="P62" i="74"/>
  <c r="M62" i="74"/>
  <c r="P61" i="74"/>
  <c r="M61" i="74"/>
  <c r="P60" i="74"/>
  <c r="M60" i="74"/>
  <c r="P59" i="74"/>
  <c r="M59" i="74"/>
  <c r="N59" i="74" s="1"/>
  <c r="P58" i="74"/>
  <c r="M58" i="74"/>
  <c r="O58" i="74" s="1"/>
  <c r="P57" i="74"/>
  <c r="M57" i="74"/>
  <c r="N57" i="74" s="1"/>
  <c r="P56" i="74"/>
  <c r="M56" i="74"/>
  <c r="N56" i="74" s="1"/>
  <c r="P55" i="74"/>
  <c r="M55" i="74"/>
  <c r="N55" i="74" s="1"/>
  <c r="P54" i="74"/>
  <c r="M54" i="74"/>
  <c r="O54" i="74" s="1"/>
  <c r="P53" i="74"/>
  <c r="M53" i="74"/>
  <c r="O53" i="74" s="1"/>
  <c r="P52" i="74"/>
  <c r="M52" i="74"/>
  <c r="P51" i="74"/>
  <c r="M51" i="74"/>
  <c r="P50" i="74"/>
  <c r="M50" i="74"/>
  <c r="O50" i="74" s="1"/>
  <c r="P49" i="74"/>
  <c r="M49" i="74"/>
  <c r="O49" i="74" s="1"/>
  <c r="P48" i="74"/>
  <c r="M48" i="74"/>
  <c r="O48" i="74" s="1"/>
  <c r="P47" i="74"/>
  <c r="M47" i="74"/>
  <c r="O47" i="74" s="1"/>
  <c r="P46" i="74"/>
  <c r="M46" i="74"/>
  <c r="O46" i="74" s="1"/>
  <c r="P45" i="74"/>
  <c r="M45" i="74"/>
  <c r="P44" i="74"/>
  <c r="M44" i="74"/>
  <c r="O44" i="74" s="1"/>
  <c r="P43" i="74"/>
  <c r="M43" i="74"/>
  <c r="N43" i="74" s="1"/>
  <c r="P42" i="74"/>
  <c r="M42" i="74"/>
  <c r="O42" i="74" s="1"/>
  <c r="P41" i="74"/>
  <c r="M41" i="74"/>
  <c r="O41" i="74" s="1"/>
  <c r="P40" i="74"/>
  <c r="M40" i="74"/>
  <c r="O40" i="74" s="1"/>
  <c r="P39" i="74"/>
  <c r="M39" i="74"/>
  <c r="P38" i="74"/>
  <c r="M38" i="74"/>
  <c r="N38" i="74" s="1"/>
  <c r="P37" i="74"/>
  <c r="M37" i="74"/>
  <c r="O37" i="74" s="1"/>
  <c r="P36" i="74"/>
  <c r="M36" i="74"/>
  <c r="O36" i="74" s="1"/>
  <c r="P35" i="74"/>
  <c r="M35" i="74"/>
  <c r="O35" i="74" s="1"/>
  <c r="P34" i="74"/>
  <c r="M34" i="74"/>
  <c r="O34" i="74" s="1"/>
  <c r="P33" i="74"/>
  <c r="M33" i="74"/>
  <c r="P32" i="74"/>
  <c r="M32" i="74"/>
  <c r="O32" i="74" s="1"/>
  <c r="P31" i="74"/>
  <c r="M31" i="74"/>
  <c r="N31" i="74" s="1"/>
  <c r="P30" i="74"/>
  <c r="M30" i="74"/>
  <c r="O30" i="74" s="1"/>
  <c r="P29" i="74"/>
  <c r="M29" i="74"/>
  <c r="O29" i="74" s="1"/>
  <c r="P28" i="74"/>
  <c r="M28" i="74"/>
  <c r="P27" i="74"/>
  <c r="M27" i="74"/>
  <c r="P26" i="74"/>
  <c r="M26" i="74"/>
  <c r="O26" i="74" s="1"/>
  <c r="P25" i="74"/>
  <c r="M25" i="74"/>
  <c r="P24" i="74"/>
  <c r="M24" i="74"/>
  <c r="O24" i="74" s="1"/>
  <c r="P23" i="74"/>
  <c r="M23" i="74"/>
  <c r="N23" i="74" s="1"/>
  <c r="P22" i="74"/>
  <c r="M22" i="74"/>
  <c r="O22" i="74" s="1"/>
  <c r="P21" i="74"/>
  <c r="M21" i="74"/>
  <c r="P20" i="74"/>
  <c r="M20" i="74"/>
  <c r="O20" i="74" s="1"/>
  <c r="P19" i="74"/>
  <c r="M19" i="74"/>
  <c r="N19" i="74" s="1"/>
  <c r="P18" i="74"/>
  <c r="M18" i="74"/>
  <c r="O18" i="74" s="1"/>
  <c r="B18" i="74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AV39" i="15"/>
  <c r="AX19" i="15" l="1"/>
  <c r="AX9" i="15"/>
  <c r="AX21" i="15"/>
  <c r="D8" i="77"/>
  <c r="D9" i="77"/>
  <c r="D7" i="77"/>
  <c r="D10" i="77"/>
  <c r="D5" i="77"/>
  <c r="D6" i="77"/>
  <c r="G184" i="77"/>
  <c r="D11" i="77" s="1"/>
  <c r="B49" i="77"/>
  <c r="B52" i="77"/>
  <c r="B53" i="77" s="1"/>
  <c r="B54" i="77" s="1"/>
  <c r="B55" i="77" s="1"/>
  <c r="B56" i="77" s="1"/>
  <c r="B57" i="77" s="1"/>
  <c r="B58" i="77" s="1"/>
  <c r="B59" i="77" s="1"/>
  <c r="B60" i="77" s="1"/>
  <c r="B61" i="77" s="1"/>
  <c r="B62" i="77" s="1"/>
  <c r="B63" i="77" s="1"/>
  <c r="B64" i="77" s="1"/>
  <c r="B65" i="77" s="1"/>
  <c r="B66" i="77" s="1"/>
  <c r="B67" i="77" s="1"/>
  <c r="B68" i="77" s="1"/>
  <c r="B69" i="77" s="1"/>
  <c r="B70" i="77" s="1"/>
  <c r="B71" i="77" s="1"/>
  <c r="B72" i="77" s="1"/>
  <c r="B73" i="77" s="1"/>
  <c r="B74" i="77" s="1"/>
  <c r="B75" i="77" s="1"/>
  <c r="B76" i="77" s="1"/>
  <c r="B77" i="77" s="1"/>
  <c r="B78" i="77" s="1"/>
  <c r="B79" i="77" s="1"/>
  <c r="B80" i="77" s="1"/>
  <c r="B81" i="77" s="1"/>
  <c r="B82" i="77" s="1"/>
  <c r="B83" i="77" s="1"/>
  <c r="B84" i="77" s="1"/>
  <c r="B85" i="77" s="1"/>
  <c r="B86" i="77" s="1"/>
  <c r="B87" i="77" s="1"/>
  <c r="B88" i="77" s="1"/>
  <c r="B89" i="77" s="1"/>
  <c r="B90" i="77" s="1"/>
  <c r="B91" i="77" s="1"/>
  <c r="B92" i="77" s="1"/>
  <c r="B93" i="77" s="1"/>
  <c r="B94" i="77" s="1"/>
  <c r="B95" i="77" s="1"/>
  <c r="B96" i="77" s="1"/>
  <c r="B97" i="77" s="1"/>
  <c r="B98" i="77" s="1"/>
  <c r="B99" i="77" s="1"/>
  <c r="B100" i="77" s="1"/>
  <c r="B101" i="77" s="1"/>
  <c r="B102" i="77" s="1"/>
  <c r="B103" i="77" s="1"/>
  <c r="B104" i="77" s="1"/>
  <c r="B105" i="77" s="1"/>
  <c r="B106" i="77" s="1"/>
  <c r="B107" i="77" s="1"/>
  <c r="B108" i="77" s="1"/>
  <c r="B109" i="77" s="1"/>
  <c r="B110" i="77" s="1"/>
  <c r="B111" i="77" s="1"/>
  <c r="B112" i="77" s="1"/>
  <c r="B113" i="77" s="1"/>
  <c r="B114" i="77" s="1"/>
  <c r="B115" i="77" s="1"/>
  <c r="B116" i="77" s="1"/>
  <c r="B117" i="77" s="1"/>
  <c r="B118" i="77" s="1"/>
  <c r="B119" i="77" s="1"/>
  <c r="B120" i="77" s="1"/>
  <c r="B121" i="77" s="1"/>
  <c r="B122" i="77" s="1"/>
  <c r="B123" i="77" s="1"/>
  <c r="B124" i="77" s="1"/>
  <c r="B125" i="77" s="1"/>
  <c r="B126" i="77" s="1"/>
  <c r="B127" i="77" s="1"/>
  <c r="B128" i="77" s="1"/>
  <c r="B129" i="77" s="1"/>
  <c r="B130" i="77" s="1"/>
  <c r="B131" i="77" s="1"/>
  <c r="B132" i="77" s="1"/>
  <c r="B133" i="77" s="1"/>
  <c r="B134" i="77" s="1"/>
  <c r="B135" i="77" s="1"/>
  <c r="B136" i="77" s="1"/>
  <c r="B137" i="77" s="1"/>
  <c r="B138" i="77" s="1"/>
  <c r="B139" i="77" s="1"/>
  <c r="B140" i="77" s="1"/>
  <c r="B141" i="77" s="1"/>
  <c r="B142" i="77" s="1"/>
  <c r="B143" i="77" s="1"/>
  <c r="B144" i="77" s="1"/>
  <c r="B145" i="77" s="1"/>
  <c r="B146" i="77" s="1"/>
  <c r="B147" i="77" s="1"/>
  <c r="B148" i="77" s="1"/>
  <c r="B149" i="77" s="1"/>
  <c r="B150" i="77" s="1"/>
  <c r="B151" i="77" s="1"/>
  <c r="B152" i="77" s="1"/>
  <c r="B153" i="77" s="1"/>
  <c r="B154" i="77" s="1"/>
  <c r="B155" i="77" s="1"/>
  <c r="B156" i="77" s="1"/>
  <c r="B157" i="77" s="1"/>
  <c r="B158" i="77" s="1"/>
  <c r="B159" i="77" s="1"/>
  <c r="B160" i="77" s="1"/>
  <c r="B161" i="77" s="1"/>
  <c r="B162" i="77" s="1"/>
  <c r="B163" i="77" s="1"/>
  <c r="B164" i="77" s="1"/>
  <c r="B165" i="77" s="1"/>
  <c r="B166" i="77" s="1"/>
  <c r="B167" i="77" s="1"/>
  <c r="B168" i="77" s="1"/>
  <c r="B169" i="77" s="1"/>
  <c r="B170" i="77" s="1"/>
  <c r="B171" i="77" s="1"/>
  <c r="B172" i="77" s="1"/>
  <c r="B173" i="77" s="1"/>
  <c r="B174" i="77" s="1"/>
  <c r="B175" i="77" s="1"/>
  <c r="B176" i="77" s="1"/>
  <c r="B177" i="77" s="1"/>
  <c r="B178" i="77" s="1"/>
  <c r="B179" i="77" s="1"/>
  <c r="B180" i="77" s="1"/>
  <c r="B181" i="77" s="1"/>
  <c r="B182" i="77" s="1"/>
  <c r="D10" i="76"/>
  <c r="D6" i="76"/>
  <c r="D9" i="76"/>
  <c r="AW9" i="15"/>
  <c r="AW21" i="15"/>
  <c r="G187" i="76"/>
  <c r="D11" i="76" s="1"/>
  <c r="D5" i="76"/>
  <c r="D7" i="76"/>
  <c r="B49" i="76"/>
  <c r="B52" i="76"/>
  <c r="B53" i="76" s="1"/>
  <c r="B54" i="76" s="1"/>
  <c r="B55" i="76" s="1"/>
  <c r="B56" i="76" s="1"/>
  <c r="B57" i="76" s="1"/>
  <c r="B58" i="76" s="1"/>
  <c r="B59" i="76" s="1"/>
  <c r="B60" i="76" s="1"/>
  <c r="B61" i="76" s="1"/>
  <c r="B62" i="76" s="1"/>
  <c r="B63" i="76" s="1"/>
  <c r="B64" i="76" s="1"/>
  <c r="B65" i="76" s="1"/>
  <c r="B66" i="76" s="1"/>
  <c r="B67" i="76" s="1"/>
  <c r="B68" i="76" s="1"/>
  <c r="B69" i="76" s="1"/>
  <c r="B70" i="76" s="1"/>
  <c r="B71" i="76" s="1"/>
  <c r="B72" i="76" s="1"/>
  <c r="B73" i="76" s="1"/>
  <c r="B74" i="76" s="1"/>
  <c r="B75" i="76" s="1"/>
  <c r="B76" i="76" s="1"/>
  <c r="B77" i="76" s="1"/>
  <c r="B78" i="76" s="1"/>
  <c r="B79" i="76" s="1"/>
  <c r="B80" i="76" s="1"/>
  <c r="B81" i="76" s="1"/>
  <c r="B82" i="76" s="1"/>
  <c r="B83" i="76" s="1"/>
  <c r="B84" i="76" s="1"/>
  <c r="B85" i="76" s="1"/>
  <c r="B86" i="76" s="1"/>
  <c r="B87" i="76" s="1"/>
  <c r="B88" i="76" s="1"/>
  <c r="B89" i="76" s="1"/>
  <c r="B90" i="76" s="1"/>
  <c r="B91" i="76" s="1"/>
  <c r="B92" i="76" s="1"/>
  <c r="B93" i="76" s="1"/>
  <c r="B94" i="76" s="1"/>
  <c r="B95" i="76" s="1"/>
  <c r="B96" i="76" s="1"/>
  <c r="B97" i="76" s="1"/>
  <c r="B98" i="76" s="1"/>
  <c r="B99" i="76" s="1"/>
  <c r="B100" i="76" s="1"/>
  <c r="B101" i="76" s="1"/>
  <c r="B102" i="76" s="1"/>
  <c r="B103" i="76" s="1"/>
  <c r="B104" i="76" s="1"/>
  <c r="B105" i="76" s="1"/>
  <c r="B106" i="76" s="1"/>
  <c r="B107" i="76" s="1"/>
  <c r="B108" i="76" s="1"/>
  <c r="B109" i="76" s="1"/>
  <c r="B110" i="76" s="1"/>
  <c r="B111" i="76" s="1"/>
  <c r="B112" i="76" s="1"/>
  <c r="B113" i="76" s="1"/>
  <c r="B114" i="76" s="1"/>
  <c r="B115" i="76" s="1"/>
  <c r="B116" i="76" s="1"/>
  <c r="B117" i="76" s="1"/>
  <c r="B118" i="76" s="1"/>
  <c r="B119" i="76" s="1"/>
  <c r="B120" i="76" s="1"/>
  <c r="B121" i="76" s="1"/>
  <c r="B122" i="76" s="1"/>
  <c r="B123" i="76" s="1"/>
  <c r="B124" i="76" s="1"/>
  <c r="B125" i="76" s="1"/>
  <c r="B126" i="76" s="1"/>
  <c r="B127" i="76" s="1"/>
  <c r="B128" i="76" s="1"/>
  <c r="B129" i="76" s="1"/>
  <c r="B130" i="76" s="1"/>
  <c r="B131" i="76" s="1"/>
  <c r="B132" i="76" s="1"/>
  <c r="B133" i="76" s="1"/>
  <c r="B134" i="76" s="1"/>
  <c r="B135" i="76" s="1"/>
  <c r="B136" i="76" s="1"/>
  <c r="B137" i="76" s="1"/>
  <c r="B138" i="76" s="1"/>
  <c r="B139" i="76" s="1"/>
  <c r="B140" i="76" s="1"/>
  <c r="B141" i="76" s="1"/>
  <c r="B142" i="76" s="1"/>
  <c r="B143" i="76" s="1"/>
  <c r="B144" i="76" s="1"/>
  <c r="B145" i="76" s="1"/>
  <c r="B146" i="76" s="1"/>
  <c r="B147" i="76" s="1"/>
  <c r="B148" i="76" s="1"/>
  <c r="B149" i="76" s="1"/>
  <c r="B150" i="76" s="1"/>
  <c r="B151" i="76" s="1"/>
  <c r="B152" i="76" s="1"/>
  <c r="B153" i="76" s="1"/>
  <c r="B154" i="76" s="1"/>
  <c r="B155" i="76" s="1"/>
  <c r="B156" i="76" s="1"/>
  <c r="B157" i="76" s="1"/>
  <c r="B158" i="76" s="1"/>
  <c r="B159" i="76" s="1"/>
  <c r="B160" i="76" s="1"/>
  <c r="B161" i="76" s="1"/>
  <c r="B162" i="76" s="1"/>
  <c r="B163" i="76" s="1"/>
  <c r="B164" i="76" s="1"/>
  <c r="B165" i="76" s="1"/>
  <c r="B166" i="76" s="1"/>
  <c r="B167" i="76" s="1"/>
  <c r="B168" i="76" s="1"/>
  <c r="B169" i="76" s="1"/>
  <c r="B170" i="76" s="1"/>
  <c r="B171" i="76" s="1"/>
  <c r="B172" i="76" s="1"/>
  <c r="B173" i="76" s="1"/>
  <c r="B174" i="76" s="1"/>
  <c r="B175" i="76" s="1"/>
  <c r="B176" i="76" s="1"/>
  <c r="B177" i="76" s="1"/>
  <c r="B178" i="76" s="1"/>
  <c r="B179" i="76" s="1"/>
  <c r="B180" i="76" s="1"/>
  <c r="B181" i="76" s="1"/>
  <c r="B182" i="76" s="1"/>
  <c r="B183" i="76" s="1"/>
  <c r="B184" i="76" s="1"/>
  <c r="B185" i="76" s="1"/>
  <c r="AV28" i="15"/>
  <c r="B11" i="75"/>
  <c r="C13" i="75" s="1"/>
  <c r="O23" i="74"/>
  <c r="G23" i="74" s="1"/>
  <c r="H23" i="74" s="1"/>
  <c r="N41" i="74"/>
  <c r="G41" i="74" s="1"/>
  <c r="H41" i="74" s="1"/>
  <c r="N32" i="74"/>
  <c r="G32" i="74" s="1"/>
  <c r="H32" i="74" s="1"/>
  <c r="N58" i="74"/>
  <c r="G58" i="74" s="1"/>
  <c r="H58" i="74" s="1"/>
  <c r="N26" i="74"/>
  <c r="G26" i="74" s="1"/>
  <c r="H26" i="74" s="1"/>
  <c r="O38" i="74"/>
  <c r="G38" i="74" s="1"/>
  <c r="H38" i="74" s="1"/>
  <c r="O19" i="74"/>
  <c r="G19" i="74" s="1"/>
  <c r="H19" i="74" s="1"/>
  <c r="N46" i="74"/>
  <c r="G46" i="74" s="1"/>
  <c r="H46" i="74" s="1"/>
  <c r="N35" i="74"/>
  <c r="G35" i="74" s="1"/>
  <c r="H35" i="74" s="1"/>
  <c r="O43" i="74"/>
  <c r="G43" i="74" s="1"/>
  <c r="H43" i="74" s="1"/>
  <c r="N50" i="74"/>
  <c r="G50" i="74" s="1"/>
  <c r="O55" i="74"/>
  <c r="G55" i="74" s="1"/>
  <c r="N34" i="74"/>
  <c r="G34" i="74" s="1"/>
  <c r="H34" i="74" s="1"/>
  <c r="O31" i="74"/>
  <c r="N20" i="74"/>
  <c r="G20" i="74" s="1"/>
  <c r="H20" i="74" s="1"/>
  <c r="N44" i="74"/>
  <c r="G44" i="74" s="1"/>
  <c r="N47" i="74"/>
  <c r="G47" i="74" s="1"/>
  <c r="O57" i="74"/>
  <c r="G57" i="74" s="1"/>
  <c r="AV19" i="15" s="1"/>
  <c r="B47" i="74"/>
  <c r="B50" i="74"/>
  <c r="O82" i="74"/>
  <c r="N82" i="74"/>
  <c r="O71" i="74"/>
  <c r="O87" i="74"/>
  <c r="O95" i="74"/>
  <c r="O107" i="74"/>
  <c r="O119" i="74"/>
  <c r="O131" i="74"/>
  <c r="O143" i="74"/>
  <c r="G143" i="74" s="1"/>
  <c r="O151" i="74"/>
  <c r="G151" i="74" s="1"/>
  <c r="O171" i="74"/>
  <c r="N71" i="74"/>
  <c r="N87" i="74"/>
  <c r="N95" i="74"/>
  <c r="N107" i="74"/>
  <c r="N119" i="74"/>
  <c r="N131" i="74"/>
  <c r="N143" i="74"/>
  <c r="N151" i="74"/>
  <c r="N171" i="74"/>
  <c r="N18" i="74"/>
  <c r="G18" i="74" s="1"/>
  <c r="O62" i="74"/>
  <c r="N62" i="74"/>
  <c r="O86" i="74"/>
  <c r="N86" i="74"/>
  <c r="O175" i="74"/>
  <c r="N175" i="74"/>
  <c r="G175" i="74" s="1"/>
  <c r="O63" i="74"/>
  <c r="G63" i="74" s="1"/>
  <c r="O83" i="74"/>
  <c r="G83" i="74" s="1"/>
  <c r="O99" i="74"/>
  <c r="G99" i="74" s="1"/>
  <c r="O111" i="74"/>
  <c r="G111" i="74" s="1"/>
  <c r="O123" i="74"/>
  <c r="G123" i="74" s="1"/>
  <c r="O135" i="74"/>
  <c r="G135" i="74" s="1"/>
  <c r="O147" i="74"/>
  <c r="G147" i="74" s="1"/>
  <c r="O159" i="74"/>
  <c r="G159" i="74" s="1"/>
  <c r="O163" i="74"/>
  <c r="G163" i="74" s="1"/>
  <c r="O167" i="74"/>
  <c r="G167" i="74" s="1"/>
  <c r="N28" i="74"/>
  <c r="O45" i="74"/>
  <c r="O56" i="74"/>
  <c r="G56" i="74" s="1"/>
  <c r="O181" i="74"/>
  <c r="N181" i="74"/>
  <c r="N52" i="74"/>
  <c r="O78" i="74"/>
  <c r="N78" i="74"/>
  <c r="N30" i="74"/>
  <c r="G30" i="74" s="1"/>
  <c r="H30" i="74" s="1"/>
  <c r="O59" i="74"/>
  <c r="G59" i="74" s="1"/>
  <c r="H59" i="74" s="1"/>
  <c r="O75" i="74"/>
  <c r="G75" i="74" s="1"/>
  <c r="O91" i="74"/>
  <c r="G91" i="74" s="1"/>
  <c r="O103" i="74"/>
  <c r="G103" i="74" s="1"/>
  <c r="O115" i="74"/>
  <c r="G115" i="74" s="1"/>
  <c r="O127" i="74"/>
  <c r="G127" i="74" s="1"/>
  <c r="O139" i="74"/>
  <c r="G139" i="74" s="1"/>
  <c r="O155" i="74"/>
  <c r="G155" i="74" s="1"/>
  <c r="N25" i="74"/>
  <c r="O39" i="74"/>
  <c r="N39" i="74"/>
  <c r="G39" i="74" s="1"/>
  <c r="H39" i="74" s="1"/>
  <c r="O25" i="74"/>
  <c r="O28" i="74"/>
  <c r="N42" i="74"/>
  <c r="G42" i="74" s="1"/>
  <c r="H42" i="74" s="1"/>
  <c r="N45" i="74"/>
  <c r="N49" i="74"/>
  <c r="G49" i="74" s="1"/>
  <c r="H49" i="74" s="1"/>
  <c r="O66" i="74"/>
  <c r="N66" i="74"/>
  <c r="O90" i="74"/>
  <c r="N90" i="74"/>
  <c r="G90" i="74" s="1"/>
  <c r="O67" i="74"/>
  <c r="G67" i="74" s="1"/>
  <c r="O64" i="74"/>
  <c r="N64" i="74"/>
  <c r="O72" i="74"/>
  <c r="N72" i="74"/>
  <c r="G72" i="74" s="1"/>
  <c r="O84" i="74"/>
  <c r="N84" i="74"/>
  <c r="O177" i="74"/>
  <c r="N177" i="74"/>
  <c r="N37" i="74"/>
  <c r="G37" i="74"/>
  <c r="H37" i="74" s="1"/>
  <c r="N40" i="74"/>
  <c r="G40" i="74" s="1"/>
  <c r="H40" i="74" s="1"/>
  <c r="O21" i="74"/>
  <c r="N21" i="74"/>
  <c r="G21" i="74" s="1"/>
  <c r="H21" i="74" s="1"/>
  <c r="O33" i="74"/>
  <c r="O179" i="74"/>
  <c r="N179" i="74"/>
  <c r="G179" i="74" s="1"/>
  <c r="N33" i="74"/>
  <c r="O70" i="74"/>
  <c r="N70" i="74"/>
  <c r="G70" i="74" s="1"/>
  <c r="O27" i="74"/>
  <c r="N27" i="74"/>
  <c r="O52" i="74"/>
  <c r="O79" i="74"/>
  <c r="G79" i="74" s="1"/>
  <c r="O60" i="74"/>
  <c r="N60" i="74"/>
  <c r="O68" i="74"/>
  <c r="N68" i="74"/>
  <c r="O76" i="74"/>
  <c r="N76" i="74"/>
  <c r="O80" i="74"/>
  <c r="N80" i="74"/>
  <c r="G80" i="74" s="1"/>
  <c r="O88" i="74"/>
  <c r="N88" i="74"/>
  <c r="O92" i="74"/>
  <c r="N92" i="74"/>
  <c r="O61" i="74"/>
  <c r="O65" i="74"/>
  <c r="O69" i="74"/>
  <c r="O73" i="74"/>
  <c r="O77" i="74"/>
  <c r="O81" i="74"/>
  <c r="O85" i="74"/>
  <c r="O89" i="74"/>
  <c r="O93" i="74"/>
  <c r="O97" i="74"/>
  <c r="O101" i="74"/>
  <c r="O105" i="74"/>
  <c r="O109" i="74"/>
  <c r="O113" i="74"/>
  <c r="O117" i="74"/>
  <c r="O121" i="74"/>
  <c r="O125" i="74"/>
  <c r="O129" i="74"/>
  <c r="O133" i="74"/>
  <c r="O137" i="74"/>
  <c r="O141" i="74"/>
  <c r="O145" i="74"/>
  <c r="O149" i="74"/>
  <c r="O153" i="74"/>
  <c r="O157" i="74"/>
  <c r="O161" i="74"/>
  <c r="O165" i="74"/>
  <c r="O169" i="74"/>
  <c r="O173" i="74"/>
  <c r="N173" i="74"/>
  <c r="G173" i="74" s="1"/>
  <c r="O74" i="74"/>
  <c r="N74" i="74"/>
  <c r="O51" i="74"/>
  <c r="N51" i="74"/>
  <c r="N54" i="74"/>
  <c r="G54" i="74" s="1"/>
  <c r="H54" i="74" s="1"/>
  <c r="N61" i="74"/>
  <c r="N65" i="74"/>
  <c r="N69" i="74"/>
  <c r="N73" i="74"/>
  <c r="N77" i="74"/>
  <c r="N81" i="74"/>
  <c r="N85" i="74"/>
  <c r="N89" i="74"/>
  <c r="N93" i="74"/>
  <c r="G93" i="74" s="1"/>
  <c r="N97" i="74"/>
  <c r="N101" i="74"/>
  <c r="N105" i="74"/>
  <c r="N109" i="74"/>
  <c r="N113" i="74"/>
  <c r="N117" i="74"/>
  <c r="G117" i="74" s="1"/>
  <c r="N121" i="74"/>
  <c r="N125" i="74"/>
  <c r="N129" i="74"/>
  <c r="N133" i="74"/>
  <c r="N137" i="74"/>
  <c r="N141" i="74"/>
  <c r="N145" i="74"/>
  <c r="G145" i="74" s="1"/>
  <c r="N149" i="74"/>
  <c r="N153" i="74"/>
  <c r="N157" i="74"/>
  <c r="N161" i="74"/>
  <c r="N165" i="74"/>
  <c r="G165" i="74" s="1"/>
  <c r="N169" i="74"/>
  <c r="N94" i="74"/>
  <c r="G94" i="74" s="1"/>
  <c r="N96" i="74"/>
  <c r="G96" i="74" s="1"/>
  <c r="N98" i="74"/>
  <c r="G98" i="74" s="1"/>
  <c r="N100" i="74"/>
  <c r="G100" i="74" s="1"/>
  <c r="N102" i="74"/>
  <c r="G102" i="74" s="1"/>
  <c r="N104" i="74"/>
  <c r="G104" i="74" s="1"/>
  <c r="N106" i="74"/>
  <c r="G106" i="74" s="1"/>
  <c r="N108" i="74"/>
  <c r="G108" i="74" s="1"/>
  <c r="N110" i="74"/>
  <c r="G110" i="74" s="1"/>
  <c r="N112" i="74"/>
  <c r="G112" i="74" s="1"/>
  <c r="N114" i="74"/>
  <c r="G114" i="74" s="1"/>
  <c r="N116" i="74"/>
  <c r="G116" i="74" s="1"/>
  <c r="N118" i="74"/>
  <c r="G118" i="74" s="1"/>
  <c r="N120" i="74"/>
  <c r="G120" i="74" s="1"/>
  <c r="N122" i="74"/>
  <c r="G122" i="74" s="1"/>
  <c r="N124" i="74"/>
  <c r="G124" i="74" s="1"/>
  <c r="N126" i="74"/>
  <c r="G126" i="74" s="1"/>
  <c r="N128" i="74"/>
  <c r="G128" i="74" s="1"/>
  <c r="N130" i="74"/>
  <c r="G130" i="74" s="1"/>
  <c r="N132" i="74"/>
  <c r="G132" i="74" s="1"/>
  <c r="N134" i="74"/>
  <c r="G134" i="74" s="1"/>
  <c r="N136" i="74"/>
  <c r="G136" i="74" s="1"/>
  <c r="N138" i="74"/>
  <c r="G138" i="74" s="1"/>
  <c r="N140" i="74"/>
  <c r="G140" i="74" s="1"/>
  <c r="N142" i="74"/>
  <c r="G142" i="74" s="1"/>
  <c r="N144" i="74"/>
  <c r="G144" i="74" s="1"/>
  <c r="N146" i="74"/>
  <c r="G146" i="74" s="1"/>
  <c r="N148" i="74"/>
  <c r="G148" i="74" s="1"/>
  <c r="N150" i="74"/>
  <c r="G150" i="74" s="1"/>
  <c r="N152" i="74"/>
  <c r="G152" i="74" s="1"/>
  <c r="N154" i="74"/>
  <c r="G154" i="74" s="1"/>
  <c r="N156" i="74"/>
  <c r="G156" i="74" s="1"/>
  <c r="N158" i="74"/>
  <c r="G158" i="74" s="1"/>
  <c r="N160" i="74"/>
  <c r="G160" i="74" s="1"/>
  <c r="N162" i="74"/>
  <c r="G162" i="74" s="1"/>
  <c r="N164" i="74"/>
  <c r="G164" i="74" s="1"/>
  <c r="N166" i="74"/>
  <c r="G166" i="74" s="1"/>
  <c r="N168" i="74"/>
  <c r="G168" i="74" s="1"/>
  <c r="N170" i="74"/>
  <c r="G170" i="74" s="1"/>
  <c r="N172" i="74"/>
  <c r="G172" i="74" s="1"/>
  <c r="N174" i="74"/>
  <c r="G174" i="74" s="1"/>
  <c r="N176" i="74"/>
  <c r="G176" i="74" s="1"/>
  <c r="N178" i="74"/>
  <c r="G178" i="74" s="1"/>
  <c r="N180" i="74"/>
  <c r="G180" i="74" s="1"/>
  <c r="N182" i="74"/>
  <c r="G182" i="74" s="1"/>
  <c r="N22" i="74"/>
  <c r="G22" i="74" s="1"/>
  <c r="H22" i="74" s="1"/>
  <c r="G31" i="74"/>
  <c r="H31" i="74" s="1"/>
  <c r="N29" i="74"/>
  <c r="G29" i="74" s="1"/>
  <c r="H29" i="74" s="1"/>
  <c r="N53" i="74"/>
  <c r="G53" i="74" s="1"/>
  <c r="H53" i="74" s="1"/>
  <c r="N24" i="74"/>
  <c r="G24" i="74" s="1"/>
  <c r="H24" i="74" s="1"/>
  <c r="N36" i="74"/>
  <c r="G36" i="74" s="1"/>
  <c r="H36" i="74" s="1"/>
  <c r="N48" i="74"/>
  <c r="G48" i="74" s="1"/>
  <c r="H48" i="74" s="1"/>
  <c r="AU39" i="15"/>
  <c r="H47" i="74" l="1"/>
  <c r="AV17" i="15"/>
  <c r="H50" i="74"/>
  <c r="G33" i="74"/>
  <c r="H33" i="74" s="1"/>
  <c r="H44" i="74"/>
  <c r="AV23" i="15"/>
  <c r="H55" i="74"/>
  <c r="AV13" i="15"/>
  <c r="G177" i="74"/>
  <c r="G181" i="74"/>
  <c r="G141" i="74"/>
  <c r="G149" i="74"/>
  <c r="G86" i="74"/>
  <c r="G129" i="74"/>
  <c r="G121" i="74"/>
  <c r="G73" i="74"/>
  <c r="G137" i="74"/>
  <c r="G78" i="74"/>
  <c r="G74" i="74"/>
  <c r="G88" i="74"/>
  <c r="G97" i="74"/>
  <c r="G113" i="74"/>
  <c r="G131" i="74"/>
  <c r="G109" i="74"/>
  <c r="G66" i="74"/>
  <c r="G171" i="74"/>
  <c r="G125" i="74"/>
  <c r="G77" i="74"/>
  <c r="G133" i="74"/>
  <c r="G169" i="74"/>
  <c r="G119" i="74"/>
  <c r="G161" i="74"/>
  <c r="G84" i="74"/>
  <c r="G107" i="74"/>
  <c r="G87" i="74"/>
  <c r="G153" i="74"/>
  <c r="G157" i="74"/>
  <c r="G82" i="74"/>
  <c r="G64" i="74"/>
  <c r="G62" i="74"/>
  <c r="G69" i="74"/>
  <c r="G85" i="74"/>
  <c r="G105" i="74"/>
  <c r="G101" i="74"/>
  <c r="G51" i="74"/>
  <c r="H51" i="74" s="1"/>
  <c r="G68" i="74"/>
  <c r="G45" i="74"/>
  <c r="H45" i="74" s="1"/>
  <c r="G95" i="74"/>
  <c r="G81" i="74"/>
  <c r="G52" i="74"/>
  <c r="G28" i="74"/>
  <c r="H28" i="74" s="1"/>
  <c r="G76" i="74"/>
  <c r="G89" i="74"/>
  <c r="G61" i="74"/>
  <c r="G71" i="74"/>
  <c r="G65" i="74"/>
  <c r="G92" i="74"/>
  <c r="G25" i="74"/>
  <c r="H25" i="74" s="1"/>
  <c r="G27" i="74"/>
  <c r="H27" i="74" s="1"/>
  <c r="D10" i="74"/>
  <c r="D7" i="74"/>
  <c r="H18" i="74"/>
  <c r="B51" i="74"/>
  <c r="B48" i="74"/>
  <c r="AV54" i="15"/>
  <c r="AU52" i="15"/>
  <c r="AU54" i="15"/>
  <c r="AS64" i="15"/>
  <c r="BS64" i="15"/>
  <c r="BR64" i="15"/>
  <c r="BQ64" i="15"/>
  <c r="BP64" i="15"/>
  <c r="BO64" i="15"/>
  <c r="BN64" i="15"/>
  <c r="BM64" i="15"/>
  <c r="BL64" i="15"/>
  <c r="BK64" i="15"/>
  <c r="BJ64" i="15"/>
  <c r="BI64" i="15"/>
  <c r="BH64" i="15"/>
  <c r="BG64" i="15"/>
  <c r="BF64" i="15"/>
  <c r="BE64" i="15"/>
  <c r="BD64" i="15"/>
  <c r="BC64" i="15"/>
  <c r="BB64" i="15"/>
  <c r="BA64" i="15"/>
  <c r="AZ64" i="15"/>
  <c r="AY64" i="15"/>
  <c r="AX64" i="15"/>
  <c r="AW64" i="15"/>
  <c r="AV64" i="15"/>
  <c r="F4" i="73"/>
  <c r="AT64" i="15" s="1"/>
  <c r="F5" i="73"/>
  <c r="AU64" i="15" s="1"/>
  <c r="AU31" i="15"/>
  <c r="C31" i="65" s="1"/>
  <c r="AV15" i="15" l="1"/>
  <c r="AV9" i="15"/>
  <c r="H52" i="74"/>
  <c r="AV11" i="15"/>
  <c r="D9" i="74"/>
  <c r="D8" i="74"/>
  <c r="D6" i="74"/>
  <c r="D5" i="74"/>
  <c r="G184" i="74"/>
  <c r="D11" i="74" s="1"/>
  <c r="B52" i="74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B64" i="74" s="1"/>
  <c r="B65" i="74" s="1"/>
  <c r="B66" i="74" s="1"/>
  <c r="B67" i="74" s="1"/>
  <c r="B68" i="74" s="1"/>
  <c r="B69" i="74" s="1"/>
  <c r="B70" i="74" s="1"/>
  <c r="B71" i="74" s="1"/>
  <c r="B72" i="74" s="1"/>
  <c r="B73" i="74" s="1"/>
  <c r="B74" i="74" s="1"/>
  <c r="B75" i="74" s="1"/>
  <c r="B76" i="74" s="1"/>
  <c r="B77" i="74" s="1"/>
  <c r="B78" i="74" s="1"/>
  <c r="B79" i="74" s="1"/>
  <c r="B80" i="74" s="1"/>
  <c r="B81" i="74" s="1"/>
  <c r="B82" i="74" s="1"/>
  <c r="B83" i="74" s="1"/>
  <c r="B84" i="74" s="1"/>
  <c r="B85" i="74" s="1"/>
  <c r="B86" i="74" s="1"/>
  <c r="B87" i="74" s="1"/>
  <c r="B88" i="74" s="1"/>
  <c r="B89" i="74" s="1"/>
  <c r="B90" i="74" s="1"/>
  <c r="B91" i="74" s="1"/>
  <c r="B92" i="74" s="1"/>
  <c r="B93" i="74" s="1"/>
  <c r="B94" i="74" s="1"/>
  <c r="B95" i="74" s="1"/>
  <c r="B96" i="74" s="1"/>
  <c r="B97" i="74" s="1"/>
  <c r="B98" i="74" s="1"/>
  <c r="B99" i="74" s="1"/>
  <c r="B100" i="74" s="1"/>
  <c r="B101" i="74" s="1"/>
  <c r="B102" i="74" s="1"/>
  <c r="B103" i="74" s="1"/>
  <c r="B104" i="74" s="1"/>
  <c r="B105" i="74" s="1"/>
  <c r="B106" i="74" s="1"/>
  <c r="B107" i="74" s="1"/>
  <c r="B108" i="74" s="1"/>
  <c r="B109" i="74" s="1"/>
  <c r="B110" i="74" s="1"/>
  <c r="B111" i="74" s="1"/>
  <c r="B112" i="74" s="1"/>
  <c r="B113" i="74" s="1"/>
  <c r="B114" i="74" s="1"/>
  <c r="B115" i="74" s="1"/>
  <c r="B116" i="74" s="1"/>
  <c r="B117" i="74" s="1"/>
  <c r="B118" i="74" s="1"/>
  <c r="B119" i="74" s="1"/>
  <c r="B120" i="74" s="1"/>
  <c r="B121" i="74" s="1"/>
  <c r="B122" i="74" s="1"/>
  <c r="B123" i="74" s="1"/>
  <c r="B124" i="74" s="1"/>
  <c r="B125" i="74" s="1"/>
  <c r="B126" i="74" s="1"/>
  <c r="B127" i="74" s="1"/>
  <c r="B128" i="74" s="1"/>
  <c r="B129" i="74" s="1"/>
  <c r="B130" i="74" s="1"/>
  <c r="B131" i="74" s="1"/>
  <c r="B132" i="74" s="1"/>
  <c r="B133" i="74" s="1"/>
  <c r="B134" i="74" s="1"/>
  <c r="B135" i="74" s="1"/>
  <c r="B136" i="74" s="1"/>
  <c r="B137" i="74" s="1"/>
  <c r="B138" i="74" s="1"/>
  <c r="B139" i="74" s="1"/>
  <c r="B140" i="74" s="1"/>
  <c r="B141" i="74" s="1"/>
  <c r="B142" i="74" s="1"/>
  <c r="B143" i="74" s="1"/>
  <c r="B144" i="74" s="1"/>
  <c r="B145" i="74" s="1"/>
  <c r="B146" i="74" s="1"/>
  <c r="B147" i="74" s="1"/>
  <c r="B148" i="74" s="1"/>
  <c r="B149" i="74" s="1"/>
  <c r="B150" i="74" s="1"/>
  <c r="B151" i="74" s="1"/>
  <c r="B152" i="74" s="1"/>
  <c r="B153" i="74" s="1"/>
  <c r="B154" i="74" s="1"/>
  <c r="B155" i="74" s="1"/>
  <c r="B156" i="74" s="1"/>
  <c r="B157" i="74" s="1"/>
  <c r="B158" i="74" s="1"/>
  <c r="B159" i="74" s="1"/>
  <c r="B160" i="74" s="1"/>
  <c r="B161" i="74" s="1"/>
  <c r="B162" i="74" s="1"/>
  <c r="B163" i="74" s="1"/>
  <c r="B164" i="74" s="1"/>
  <c r="B165" i="74" s="1"/>
  <c r="B166" i="74" s="1"/>
  <c r="B167" i="74" s="1"/>
  <c r="B168" i="74" s="1"/>
  <c r="B169" i="74" s="1"/>
  <c r="B170" i="74" s="1"/>
  <c r="B171" i="74" s="1"/>
  <c r="B172" i="74" s="1"/>
  <c r="B173" i="74" s="1"/>
  <c r="B174" i="74" s="1"/>
  <c r="B175" i="74" s="1"/>
  <c r="B176" i="74" s="1"/>
  <c r="B177" i="74" s="1"/>
  <c r="B178" i="74" s="1"/>
  <c r="B179" i="74" s="1"/>
  <c r="B180" i="74" s="1"/>
  <c r="B181" i="74" s="1"/>
  <c r="B182" i="74" s="1"/>
  <c r="B49" i="74"/>
  <c r="BS50" i="15"/>
  <c r="BR50" i="15"/>
  <c r="BQ50" i="15"/>
  <c r="BP50" i="15"/>
  <c r="BO50" i="15"/>
  <c r="BN50" i="15"/>
  <c r="BM50" i="15"/>
  <c r="BL50" i="15"/>
  <c r="BK50" i="15"/>
  <c r="BJ50" i="15"/>
  <c r="BI50" i="15"/>
  <c r="BH50" i="15"/>
  <c r="BG50" i="15"/>
  <c r="BF50" i="15"/>
  <c r="BE50" i="15"/>
  <c r="BD50" i="15"/>
  <c r="BC50" i="15"/>
  <c r="BB50" i="15"/>
  <c r="BA50" i="15"/>
  <c r="AZ50" i="15"/>
  <c r="AY50" i="15"/>
  <c r="AX50" i="15"/>
  <c r="AW50" i="15"/>
  <c r="AV50" i="15"/>
  <c r="BS56" i="15"/>
  <c r="BR56" i="15"/>
  <c r="BQ56" i="15"/>
  <c r="BP56" i="15"/>
  <c r="BO56" i="15"/>
  <c r="BN56" i="15"/>
  <c r="BM56" i="15"/>
  <c r="BL56" i="15"/>
  <c r="BK56" i="15"/>
  <c r="BJ56" i="15"/>
  <c r="BI56" i="15"/>
  <c r="BH56" i="15"/>
  <c r="BG56" i="15"/>
  <c r="BF56" i="15"/>
  <c r="BE56" i="15"/>
  <c r="BD56" i="15"/>
  <c r="BC56" i="15"/>
  <c r="BB56" i="15"/>
  <c r="BA56" i="15"/>
  <c r="AZ56" i="15"/>
  <c r="AY56" i="15"/>
  <c r="AX56" i="15"/>
  <c r="AW56" i="15"/>
  <c r="AU56" i="15"/>
  <c r="AU45" i="15"/>
  <c r="AU44" i="15"/>
  <c r="AT19" i="15"/>
  <c r="AU22" i="15"/>
  <c r="AU20" i="15"/>
  <c r="AU18" i="15"/>
  <c r="AU16" i="15"/>
  <c r="AU14" i="15"/>
  <c r="AU12" i="15"/>
  <c r="AU10" i="15"/>
  <c r="AU8" i="15"/>
  <c r="AU5" i="15"/>
  <c r="E184" i="72"/>
  <c r="P182" i="72"/>
  <c r="M182" i="72"/>
  <c r="O182" i="72" s="1"/>
  <c r="P181" i="72"/>
  <c r="M181" i="72"/>
  <c r="O181" i="72" s="1"/>
  <c r="P180" i="72"/>
  <c r="M180" i="72"/>
  <c r="N180" i="72" s="1"/>
  <c r="P179" i="72"/>
  <c r="M179" i="72"/>
  <c r="N179" i="72" s="1"/>
  <c r="P178" i="72"/>
  <c r="M178" i="72"/>
  <c r="O178" i="72" s="1"/>
  <c r="P177" i="72"/>
  <c r="M177" i="72"/>
  <c r="P176" i="72"/>
  <c r="M176" i="72"/>
  <c r="O176" i="72" s="1"/>
  <c r="P175" i="72"/>
  <c r="M175" i="72"/>
  <c r="O175" i="72" s="1"/>
  <c r="P174" i="72"/>
  <c r="M174" i="72"/>
  <c r="O174" i="72" s="1"/>
  <c r="P173" i="72"/>
  <c r="M173" i="72"/>
  <c r="O173" i="72" s="1"/>
  <c r="P172" i="72"/>
  <c r="O172" i="72"/>
  <c r="N172" i="72"/>
  <c r="G172" i="72" s="1"/>
  <c r="M172" i="72"/>
  <c r="P171" i="72"/>
  <c r="M171" i="72"/>
  <c r="O171" i="72" s="1"/>
  <c r="P170" i="72"/>
  <c r="O170" i="72"/>
  <c r="M170" i="72"/>
  <c r="P169" i="72"/>
  <c r="O169" i="72"/>
  <c r="M169" i="72"/>
  <c r="N169" i="72" s="1"/>
  <c r="P168" i="72"/>
  <c r="M168" i="72"/>
  <c r="N168" i="72" s="1"/>
  <c r="P167" i="72"/>
  <c r="M167" i="72"/>
  <c r="N167" i="72" s="1"/>
  <c r="P166" i="72"/>
  <c r="M166" i="72"/>
  <c r="O166" i="72" s="1"/>
  <c r="P165" i="72"/>
  <c r="O165" i="72"/>
  <c r="N165" i="72"/>
  <c r="M165" i="72"/>
  <c r="P164" i="72"/>
  <c r="M164" i="72"/>
  <c r="O164" i="72" s="1"/>
  <c r="P163" i="72"/>
  <c r="M163" i="72"/>
  <c r="N163" i="72" s="1"/>
  <c r="P162" i="72"/>
  <c r="M162" i="72"/>
  <c r="N162" i="72" s="1"/>
  <c r="P161" i="72"/>
  <c r="M161" i="72"/>
  <c r="O161" i="72" s="1"/>
  <c r="P160" i="72"/>
  <c r="O160" i="72"/>
  <c r="M160" i="72"/>
  <c r="N160" i="72" s="1"/>
  <c r="G160" i="72" s="1"/>
  <c r="P159" i="72"/>
  <c r="M159" i="72"/>
  <c r="O159" i="72" s="1"/>
  <c r="P158" i="72"/>
  <c r="M158" i="72"/>
  <c r="O158" i="72" s="1"/>
  <c r="P157" i="72"/>
  <c r="O157" i="72"/>
  <c r="M157" i="72"/>
  <c r="N157" i="72" s="1"/>
  <c r="P156" i="72"/>
  <c r="M156" i="72"/>
  <c r="N156" i="72" s="1"/>
  <c r="P155" i="72"/>
  <c r="O155" i="72"/>
  <c r="M155" i="72"/>
  <c r="N155" i="72" s="1"/>
  <c r="P154" i="72"/>
  <c r="M154" i="72"/>
  <c r="O154" i="72" s="1"/>
  <c r="P153" i="72"/>
  <c r="O153" i="72"/>
  <c r="N153" i="72"/>
  <c r="M153" i="72"/>
  <c r="P152" i="72"/>
  <c r="M152" i="72"/>
  <c r="O152" i="72" s="1"/>
  <c r="P151" i="72"/>
  <c r="M151" i="72"/>
  <c r="O151" i="72" s="1"/>
  <c r="P150" i="72"/>
  <c r="O150" i="72"/>
  <c r="N150" i="72"/>
  <c r="M150" i="72"/>
  <c r="P149" i="72"/>
  <c r="M149" i="72"/>
  <c r="O149" i="72" s="1"/>
  <c r="P148" i="72"/>
  <c r="O148" i="72"/>
  <c r="N148" i="72"/>
  <c r="M148" i="72"/>
  <c r="P147" i="72"/>
  <c r="M147" i="72"/>
  <c r="O147" i="72" s="1"/>
  <c r="P146" i="72"/>
  <c r="O146" i="72"/>
  <c r="N146" i="72"/>
  <c r="M146" i="72"/>
  <c r="P145" i="72"/>
  <c r="M145" i="72"/>
  <c r="O145" i="72" s="1"/>
  <c r="P144" i="72"/>
  <c r="M144" i="72"/>
  <c r="N144" i="72" s="1"/>
  <c r="P143" i="72"/>
  <c r="O143" i="72"/>
  <c r="M143" i="72"/>
  <c r="N143" i="72" s="1"/>
  <c r="P142" i="72"/>
  <c r="M142" i="72"/>
  <c r="O142" i="72" s="1"/>
  <c r="P141" i="72"/>
  <c r="M141" i="72"/>
  <c r="O141" i="72" s="1"/>
  <c r="P140" i="72"/>
  <c r="M140" i="72"/>
  <c r="O140" i="72" s="1"/>
  <c r="P139" i="72"/>
  <c r="M139" i="72"/>
  <c r="O139" i="72" s="1"/>
  <c r="P138" i="72"/>
  <c r="M138" i="72"/>
  <c r="N138" i="72" s="1"/>
  <c r="P137" i="72"/>
  <c r="M137" i="72"/>
  <c r="O137" i="72" s="1"/>
  <c r="P136" i="72"/>
  <c r="M136" i="72"/>
  <c r="N136" i="72" s="1"/>
  <c r="P135" i="72"/>
  <c r="M135" i="72"/>
  <c r="O135" i="72" s="1"/>
  <c r="P134" i="72"/>
  <c r="O134" i="72"/>
  <c r="M134" i="72"/>
  <c r="P133" i="72"/>
  <c r="M133" i="72"/>
  <c r="N133" i="72" s="1"/>
  <c r="P132" i="72"/>
  <c r="M132" i="72"/>
  <c r="N132" i="72" s="1"/>
  <c r="P131" i="72"/>
  <c r="O131" i="72"/>
  <c r="M131" i="72"/>
  <c r="N131" i="72" s="1"/>
  <c r="P130" i="72"/>
  <c r="M130" i="72"/>
  <c r="O130" i="72" s="1"/>
  <c r="P129" i="72"/>
  <c r="O129" i="72"/>
  <c r="N129" i="72"/>
  <c r="M129" i="72"/>
  <c r="P128" i="72"/>
  <c r="M128" i="72"/>
  <c r="O128" i="72" s="1"/>
  <c r="P127" i="72"/>
  <c r="M127" i="72"/>
  <c r="O127" i="72" s="1"/>
  <c r="P126" i="72"/>
  <c r="O126" i="72"/>
  <c r="N126" i="72"/>
  <c r="M126" i="72"/>
  <c r="P125" i="72"/>
  <c r="M125" i="72"/>
  <c r="O125" i="72" s="1"/>
  <c r="P124" i="72"/>
  <c r="M124" i="72"/>
  <c r="O124" i="72" s="1"/>
  <c r="P123" i="72"/>
  <c r="M123" i="72"/>
  <c r="O123" i="72" s="1"/>
  <c r="P122" i="72"/>
  <c r="M122" i="72"/>
  <c r="P121" i="72"/>
  <c r="M121" i="72"/>
  <c r="O121" i="72" s="1"/>
  <c r="P120" i="72"/>
  <c r="M120" i="72"/>
  <c r="N120" i="72" s="1"/>
  <c r="P119" i="72"/>
  <c r="M119" i="72"/>
  <c r="N119" i="72" s="1"/>
  <c r="P118" i="72"/>
  <c r="M118" i="72"/>
  <c r="N118" i="72" s="1"/>
  <c r="P117" i="72"/>
  <c r="M117" i="72"/>
  <c r="P116" i="72"/>
  <c r="M116" i="72"/>
  <c r="O116" i="72" s="1"/>
  <c r="P115" i="72"/>
  <c r="M115" i="72"/>
  <c r="O115" i="72" s="1"/>
  <c r="P114" i="72"/>
  <c r="M114" i="72"/>
  <c r="O114" i="72" s="1"/>
  <c r="P113" i="72"/>
  <c r="O113" i="72"/>
  <c r="M113" i="72"/>
  <c r="N113" i="72" s="1"/>
  <c r="P112" i="72"/>
  <c r="M112" i="72"/>
  <c r="O112" i="72" s="1"/>
  <c r="P111" i="72"/>
  <c r="M111" i="72"/>
  <c r="O111" i="72" s="1"/>
  <c r="P110" i="72"/>
  <c r="M110" i="72"/>
  <c r="P109" i="72"/>
  <c r="M109" i="72"/>
  <c r="O109" i="72" s="1"/>
  <c r="P108" i="72"/>
  <c r="M108" i="72"/>
  <c r="N108" i="72" s="1"/>
  <c r="P107" i="72"/>
  <c r="M107" i="72"/>
  <c r="N107" i="72" s="1"/>
  <c r="P106" i="72"/>
  <c r="M106" i="72"/>
  <c r="N106" i="72" s="1"/>
  <c r="P105" i="72"/>
  <c r="M105" i="72"/>
  <c r="N105" i="72" s="1"/>
  <c r="P104" i="72"/>
  <c r="M104" i="72"/>
  <c r="N104" i="72" s="1"/>
  <c r="P103" i="72"/>
  <c r="M103" i="72"/>
  <c r="O103" i="72" s="1"/>
  <c r="P102" i="72"/>
  <c r="M102" i="72"/>
  <c r="O102" i="72" s="1"/>
  <c r="P101" i="72"/>
  <c r="M101" i="72"/>
  <c r="N101" i="72" s="1"/>
  <c r="P100" i="72"/>
  <c r="M100" i="72"/>
  <c r="O100" i="72" s="1"/>
  <c r="P99" i="72"/>
  <c r="M99" i="72"/>
  <c r="O99" i="72" s="1"/>
  <c r="P98" i="72"/>
  <c r="M98" i="72"/>
  <c r="P97" i="72"/>
  <c r="M97" i="72"/>
  <c r="O97" i="72" s="1"/>
  <c r="P96" i="72"/>
  <c r="M96" i="72"/>
  <c r="N96" i="72" s="1"/>
  <c r="P95" i="72"/>
  <c r="M95" i="72"/>
  <c r="N95" i="72" s="1"/>
  <c r="P94" i="72"/>
  <c r="M94" i="72"/>
  <c r="N94" i="72" s="1"/>
  <c r="P93" i="72"/>
  <c r="M93" i="72"/>
  <c r="N93" i="72" s="1"/>
  <c r="P92" i="72"/>
  <c r="M92" i="72"/>
  <c r="N92" i="72" s="1"/>
  <c r="P91" i="72"/>
  <c r="M91" i="72"/>
  <c r="O91" i="72" s="1"/>
  <c r="P90" i="72"/>
  <c r="M90" i="72"/>
  <c r="O90" i="72" s="1"/>
  <c r="P89" i="72"/>
  <c r="M89" i="72"/>
  <c r="O89" i="72" s="1"/>
  <c r="P88" i="72"/>
  <c r="M88" i="72"/>
  <c r="N88" i="72" s="1"/>
  <c r="P87" i="72"/>
  <c r="M87" i="72"/>
  <c r="O87" i="72" s="1"/>
  <c r="P86" i="72"/>
  <c r="M86" i="72"/>
  <c r="P85" i="72"/>
  <c r="M85" i="72"/>
  <c r="O85" i="72" s="1"/>
  <c r="P84" i="72"/>
  <c r="M84" i="72"/>
  <c r="N84" i="72" s="1"/>
  <c r="P83" i="72"/>
  <c r="M83" i="72"/>
  <c r="N83" i="72" s="1"/>
  <c r="P82" i="72"/>
  <c r="M82" i="72"/>
  <c r="O82" i="72" s="1"/>
  <c r="P81" i="72"/>
  <c r="M81" i="72"/>
  <c r="P80" i="72"/>
  <c r="M80" i="72"/>
  <c r="N80" i="72" s="1"/>
  <c r="P79" i="72"/>
  <c r="M79" i="72"/>
  <c r="O79" i="72" s="1"/>
  <c r="P78" i="72"/>
  <c r="M78" i="72"/>
  <c r="O78" i="72" s="1"/>
  <c r="P77" i="72"/>
  <c r="M77" i="72"/>
  <c r="N77" i="72" s="1"/>
  <c r="P76" i="72"/>
  <c r="M76" i="72"/>
  <c r="P75" i="72"/>
  <c r="M75" i="72"/>
  <c r="O75" i="72" s="1"/>
  <c r="P74" i="72"/>
  <c r="M74" i="72"/>
  <c r="P73" i="72"/>
  <c r="M73" i="72"/>
  <c r="O73" i="72" s="1"/>
  <c r="P72" i="72"/>
  <c r="M72" i="72"/>
  <c r="N72" i="72" s="1"/>
  <c r="P71" i="72"/>
  <c r="M71" i="72"/>
  <c r="O71" i="72" s="1"/>
  <c r="P70" i="72"/>
  <c r="M70" i="72"/>
  <c r="O70" i="72" s="1"/>
  <c r="P69" i="72"/>
  <c r="M69" i="72"/>
  <c r="N69" i="72" s="1"/>
  <c r="P68" i="72"/>
  <c r="M68" i="72"/>
  <c r="N68" i="72" s="1"/>
  <c r="P67" i="72"/>
  <c r="M67" i="72"/>
  <c r="O67" i="72" s="1"/>
  <c r="P66" i="72"/>
  <c r="M66" i="72"/>
  <c r="O66" i="72" s="1"/>
  <c r="P65" i="72"/>
  <c r="M65" i="72"/>
  <c r="O65" i="72" s="1"/>
  <c r="P64" i="72"/>
  <c r="M64" i="72"/>
  <c r="N64" i="72" s="1"/>
  <c r="P63" i="72"/>
  <c r="M63" i="72"/>
  <c r="O63" i="72" s="1"/>
  <c r="P62" i="72"/>
  <c r="M62" i="72"/>
  <c r="P61" i="72"/>
  <c r="M61" i="72"/>
  <c r="O61" i="72" s="1"/>
  <c r="P60" i="72"/>
  <c r="M60" i="72"/>
  <c r="N60" i="72" s="1"/>
  <c r="P59" i="72"/>
  <c r="M59" i="72"/>
  <c r="O59" i="72" s="1"/>
  <c r="P58" i="72"/>
  <c r="M58" i="72"/>
  <c r="O58" i="72" s="1"/>
  <c r="P57" i="72"/>
  <c r="M57" i="72"/>
  <c r="N57" i="72" s="1"/>
  <c r="P56" i="72"/>
  <c r="M56" i="72"/>
  <c r="O56" i="72" s="1"/>
  <c r="P55" i="72"/>
  <c r="M55" i="72"/>
  <c r="N55" i="72" s="1"/>
  <c r="P54" i="72"/>
  <c r="M54" i="72"/>
  <c r="P53" i="72"/>
  <c r="M53" i="72"/>
  <c r="N53" i="72" s="1"/>
  <c r="P52" i="72"/>
  <c r="M52" i="72"/>
  <c r="O52" i="72" s="1"/>
  <c r="P51" i="72"/>
  <c r="M51" i="72"/>
  <c r="N51" i="72" s="1"/>
  <c r="P50" i="72"/>
  <c r="M50" i="72"/>
  <c r="P49" i="72"/>
  <c r="M49" i="72"/>
  <c r="O49" i="72" s="1"/>
  <c r="P48" i="72"/>
  <c r="M48" i="72"/>
  <c r="O48" i="72" s="1"/>
  <c r="P47" i="72"/>
  <c r="M47" i="72"/>
  <c r="N47" i="72" s="1"/>
  <c r="P46" i="72"/>
  <c r="M46" i="72"/>
  <c r="O46" i="72" s="1"/>
  <c r="P45" i="72"/>
  <c r="M45" i="72"/>
  <c r="N45" i="72" s="1"/>
  <c r="P44" i="72"/>
  <c r="M44" i="72"/>
  <c r="O44" i="72" s="1"/>
  <c r="P43" i="72"/>
  <c r="M43" i="72"/>
  <c r="N43" i="72" s="1"/>
  <c r="P42" i="72"/>
  <c r="M42" i="72"/>
  <c r="N42" i="72" s="1"/>
  <c r="P41" i="72"/>
  <c r="M41" i="72"/>
  <c r="N41" i="72" s="1"/>
  <c r="P40" i="72"/>
  <c r="M40" i="72"/>
  <c r="O40" i="72" s="1"/>
  <c r="P39" i="72"/>
  <c r="M39" i="72"/>
  <c r="O39" i="72" s="1"/>
  <c r="P38" i="72"/>
  <c r="M38" i="72"/>
  <c r="P37" i="72"/>
  <c r="M37" i="72"/>
  <c r="O37" i="72" s="1"/>
  <c r="P36" i="72"/>
  <c r="M36" i="72"/>
  <c r="O36" i="72" s="1"/>
  <c r="P35" i="72"/>
  <c r="M35" i="72"/>
  <c r="N35" i="72" s="1"/>
  <c r="P34" i="72"/>
  <c r="M34" i="72"/>
  <c r="O34" i="72" s="1"/>
  <c r="P33" i="72"/>
  <c r="M33" i="72"/>
  <c r="N33" i="72" s="1"/>
  <c r="P32" i="72"/>
  <c r="M32" i="72"/>
  <c r="O32" i="72" s="1"/>
  <c r="P31" i="72"/>
  <c r="M31" i="72"/>
  <c r="P30" i="72"/>
  <c r="M30" i="72"/>
  <c r="O30" i="72" s="1"/>
  <c r="P29" i="72"/>
  <c r="M29" i="72"/>
  <c r="N29" i="72" s="1"/>
  <c r="P28" i="72"/>
  <c r="M28" i="72"/>
  <c r="O28" i="72" s="1"/>
  <c r="P27" i="72"/>
  <c r="M27" i="72"/>
  <c r="O27" i="72" s="1"/>
  <c r="P26" i="72"/>
  <c r="M26" i="72"/>
  <c r="P25" i="72"/>
  <c r="M25" i="72"/>
  <c r="O25" i="72" s="1"/>
  <c r="P24" i="72"/>
  <c r="M24" i="72"/>
  <c r="O24" i="72" s="1"/>
  <c r="P23" i="72"/>
  <c r="M23" i="72"/>
  <c r="N23" i="72" s="1"/>
  <c r="P22" i="72"/>
  <c r="M22" i="72"/>
  <c r="O22" i="72" s="1"/>
  <c r="P21" i="72"/>
  <c r="M21" i="72"/>
  <c r="P20" i="72"/>
  <c r="M20" i="72"/>
  <c r="O20" i="72" s="1"/>
  <c r="P19" i="72"/>
  <c r="M19" i="72"/>
  <c r="N19" i="72" s="1"/>
  <c r="P18" i="72"/>
  <c r="M18" i="72"/>
  <c r="O18" i="72" s="1"/>
  <c r="B18" i="72"/>
  <c r="B19" i="72" s="1"/>
  <c r="B20" i="72" s="1"/>
  <c r="B21" i="72" s="1"/>
  <c r="B22" i="72" s="1"/>
  <c r="B23" i="72" s="1"/>
  <c r="B24" i="72" s="1"/>
  <c r="B25" i="72" s="1"/>
  <c r="B26" i="72" s="1"/>
  <c r="B27" i="72" s="1"/>
  <c r="B28" i="72" s="1"/>
  <c r="B29" i="72" s="1"/>
  <c r="B30" i="72" s="1"/>
  <c r="B31" i="72" s="1"/>
  <c r="B32" i="72" s="1"/>
  <c r="B33" i="72" s="1"/>
  <c r="B34" i="72" s="1"/>
  <c r="B35" i="72" s="1"/>
  <c r="B36" i="72" s="1"/>
  <c r="B37" i="72" s="1"/>
  <c r="B38" i="72" s="1"/>
  <c r="B39" i="72" s="1"/>
  <c r="B40" i="72" s="1"/>
  <c r="B41" i="72" s="1"/>
  <c r="B42" i="72" s="1"/>
  <c r="B43" i="72" s="1"/>
  <c r="B44" i="72" s="1"/>
  <c r="B45" i="72" s="1"/>
  <c r="B46" i="72" s="1"/>
  <c r="AU38" i="15"/>
  <c r="AU55" i="15"/>
  <c r="AT38" i="15"/>
  <c r="AT39" i="15"/>
  <c r="AT45" i="15"/>
  <c r="AT44" i="15"/>
  <c r="H53" i="70"/>
  <c r="AU50" i="15" l="1"/>
  <c r="N27" i="72"/>
  <c r="G27" i="72" s="1"/>
  <c r="H27" i="72" s="1"/>
  <c r="N24" i="72"/>
  <c r="O68" i="72"/>
  <c r="N97" i="72"/>
  <c r="O77" i="72"/>
  <c r="O64" i="72"/>
  <c r="N124" i="72"/>
  <c r="G124" i="72" s="1"/>
  <c r="N128" i="72"/>
  <c r="O136" i="72"/>
  <c r="G136" i="72" s="1"/>
  <c r="N141" i="72"/>
  <c r="G146" i="72"/>
  <c r="O162" i="72"/>
  <c r="G158" i="72"/>
  <c r="G128" i="72"/>
  <c r="G150" i="72"/>
  <c r="G162" i="72"/>
  <c r="O167" i="72"/>
  <c r="G167" i="72" s="1"/>
  <c r="G129" i="72"/>
  <c r="O133" i="72"/>
  <c r="N158" i="72"/>
  <c r="N177" i="72"/>
  <c r="G177" i="72" s="1"/>
  <c r="N109" i="72"/>
  <c r="O177" i="72"/>
  <c r="N134" i="72"/>
  <c r="G134" i="72" s="1"/>
  <c r="O138" i="72"/>
  <c r="G169" i="72"/>
  <c r="G141" i="72"/>
  <c r="G126" i="72"/>
  <c r="G148" i="72"/>
  <c r="G165" i="72"/>
  <c r="G153" i="72"/>
  <c r="N170" i="72"/>
  <c r="G170" i="72" s="1"/>
  <c r="O179" i="72"/>
  <c r="G179" i="72" s="1"/>
  <c r="G139" i="72"/>
  <c r="G151" i="72"/>
  <c r="G175" i="72"/>
  <c r="O163" i="72"/>
  <c r="G163" i="72" s="1"/>
  <c r="O60" i="72"/>
  <c r="G60" i="72" s="1"/>
  <c r="N65" i="72"/>
  <c r="G65" i="72" s="1"/>
  <c r="O69" i="72"/>
  <c r="G69" i="72" s="1"/>
  <c r="O95" i="72"/>
  <c r="G95" i="72" s="1"/>
  <c r="N125" i="72"/>
  <c r="G125" i="72" s="1"/>
  <c r="O132" i="72"/>
  <c r="G132" i="72" s="1"/>
  <c r="N137" i="72"/>
  <c r="G137" i="72" s="1"/>
  <c r="O144" i="72"/>
  <c r="G144" i="72" s="1"/>
  <c r="N149" i="72"/>
  <c r="G149" i="72" s="1"/>
  <c r="O156" i="72"/>
  <c r="G156" i="72" s="1"/>
  <c r="N161" i="72"/>
  <c r="G161" i="72" s="1"/>
  <c r="O168" i="72"/>
  <c r="G168" i="72" s="1"/>
  <c r="N173" i="72"/>
  <c r="G173" i="72" s="1"/>
  <c r="O180" i="72"/>
  <c r="G180" i="72" s="1"/>
  <c r="N130" i="72"/>
  <c r="G130" i="72" s="1"/>
  <c r="N142" i="72"/>
  <c r="G142" i="72" s="1"/>
  <c r="N154" i="72"/>
  <c r="G154" i="72" s="1"/>
  <c r="N166" i="72"/>
  <c r="G166" i="72" s="1"/>
  <c r="N178" i="72"/>
  <c r="G178" i="72" s="1"/>
  <c r="N175" i="72"/>
  <c r="G133" i="72"/>
  <c r="N135" i="72"/>
  <c r="G135" i="72" s="1"/>
  <c r="G145" i="72"/>
  <c r="N147" i="72"/>
  <c r="G147" i="72" s="1"/>
  <c r="G157" i="72"/>
  <c r="N159" i="72"/>
  <c r="G159" i="72" s="1"/>
  <c r="N171" i="72"/>
  <c r="G171" i="72" s="1"/>
  <c r="N127" i="72"/>
  <c r="G127" i="72" s="1"/>
  <c r="N139" i="72"/>
  <c r="N151" i="72"/>
  <c r="O96" i="72"/>
  <c r="O101" i="72"/>
  <c r="G101" i="72" s="1"/>
  <c r="G138" i="72"/>
  <c r="N140" i="72"/>
  <c r="G140" i="72" s="1"/>
  <c r="N152" i="72"/>
  <c r="G152" i="72" s="1"/>
  <c r="N164" i="72"/>
  <c r="G164" i="72" s="1"/>
  <c r="N176" i="72"/>
  <c r="G176" i="72" s="1"/>
  <c r="N181" i="72"/>
  <c r="G181" i="72" s="1"/>
  <c r="N73" i="72"/>
  <c r="G73" i="72" s="1"/>
  <c r="O92" i="72"/>
  <c r="G92" i="72" s="1"/>
  <c r="G131" i="72"/>
  <c r="G143" i="72"/>
  <c r="N145" i="72"/>
  <c r="G155" i="72"/>
  <c r="O23" i="72"/>
  <c r="G23" i="72" s="1"/>
  <c r="H23" i="72" s="1"/>
  <c r="N174" i="72"/>
  <c r="G174" i="72" s="1"/>
  <c r="N18" i="72"/>
  <c r="G18" i="72" s="1"/>
  <c r="G113" i="72"/>
  <c r="G68" i="72"/>
  <c r="O72" i="72"/>
  <c r="O107" i="72"/>
  <c r="G107" i="72" s="1"/>
  <c r="O120" i="72"/>
  <c r="G120" i="72"/>
  <c r="O51" i="72"/>
  <c r="G51" i="72" s="1"/>
  <c r="H51" i="72" s="1"/>
  <c r="N61" i="72"/>
  <c r="G61" i="72" s="1"/>
  <c r="N112" i="72"/>
  <c r="G112" i="72" s="1"/>
  <c r="O83" i="72"/>
  <c r="G83" i="72" s="1"/>
  <c r="N100" i="72"/>
  <c r="G100" i="72" s="1"/>
  <c r="O104" i="72"/>
  <c r="G104" i="72" s="1"/>
  <c r="O108" i="72"/>
  <c r="G108" i="72" s="1"/>
  <c r="N117" i="72"/>
  <c r="N36" i="72"/>
  <c r="G36" i="72" s="1"/>
  <c r="H36" i="72" s="1"/>
  <c r="N71" i="72"/>
  <c r="G71" i="72" s="1"/>
  <c r="G96" i="72"/>
  <c r="O117" i="72"/>
  <c r="G117" i="72" s="1"/>
  <c r="N59" i="72"/>
  <c r="G59" i="72" s="1"/>
  <c r="H59" i="72" s="1"/>
  <c r="N76" i="72"/>
  <c r="O80" i="72"/>
  <c r="G80" i="72" s="1"/>
  <c r="O84" i="72"/>
  <c r="G84" i="72" s="1"/>
  <c r="O88" i="72"/>
  <c r="G88" i="72" s="1"/>
  <c r="G72" i="72"/>
  <c r="O76" i="72"/>
  <c r="O105" i="72"/>
  <c r="G105" i="72" s="1"/>
  <c r="G119" i="72"/>
  <c r="N28" i="72"/>
  <c r="G28" i="72" s="1"/>
  <c r="H28" i="72" s="1"/>
  <c r="O33" i="72"/>
  <c r="G33" i="72" s="1"/>
  <c r="H33" i="72" s="1"/>
  <c r="N81" i="72"/>
  <c r="N85" i="72"/>
  <c r="G85" i="72" s="1"/>
  <c r="N89" i="72"/>
  <c r="G89" i="72" s="1"/>
  <c r="O93" i="72"/>
  <c r="G93" i="72" s="1"/>
  <c r="O119" i="72"/>
  <c r="G77" i="72"/>
  <c r="O81" i="72"/>
  <c r="G109" i="72"/>
  <c r="G97" i="72"/>
  <c r="N21" i="72"/>
  <c r="N40" i="72"/>
  <c r="G40" i="72" s="1"/>
  <c r="H40" i="72" s="1"/>
  <c r="N62" i="72"/>
  <c r="N74" i="72"/>
  <c r="N86" i="72"/>
  <c r="N98" i="72"/>
  <c r="G98" i="72" s="1"/>
  <c r="N110" i="72"/>
  <c r="N122" i="72"/>
  <c r="O21" i="72"/>
  <c r="N48" i="72"/>
  <c r="G48" i="72" s="1"/>
  <c r="H48" i="72" s="1"/>
  <c r="O62" i="72"/>
  <c r="N67" i="72"/>
  <c r="G67" i="72" s="1"/>
  <c r="O74" i="72"/>
  <c r="N79" i="72"/>
  <c r="G79" i="72" s="1"/>
  <c r="O86" i="72"/>
  <c r="N91" i="72"/>
  <c r="G91" i="72" s="1"/>
  <c r="O98" i="72"/>
  <c r="N103" i="72"/>
  <c r="G103" i="72" s="1"/>
  <c r="O110" i="72"/>
  <c r="N115" i="72"/>
  <c r="G115" i="72" s="1"/>
  <c r="O122" i="72"/>
  <c r="O29" i="72"/>
  <c r="G29" i="72" s="1"/>
  <c r="H29" i="72" s="1"/>
  <c r="N52" i="72"/>
  <c r="G52" i="72" s="1"/>
  <c r="H52" i="72" s="1"/>
  <c r="O41" i="72"/>
  <c r="G41" i="72" s="1"/>
  <c r="H41" i="72" s="1"/>
  <c r="N70" i="72"/>
  <c r="G70" i="72" s="1"/>
  <c r="N82" i="72"/>
  <c r="G82" i="72" s="1"/>
  <c r="N30" i="72"/>
  <c r="G30" i="72" s="1"/>
  <c r="H30" i="72" s="1"/>
  <c r="O45" i="72"/>
  <c r="G45" i="72" s="1"/>
  <c r="H45" i="72" s="1"/>
  <c r="O53" i="72"/>
  <c r="G53" i="72" s="1"/>
  <c r="N63" i="72"/>
  <c r="G63" i="72" s="1"/>
  <c r="N75" i="72"/>
  <c r="G75" i="72" s="1"/>
  <c r="N87" i="72"/>
  <c r="G87" i="72" s="1"/>
  <c r="O94" i="72"/>
  <c r="G94" i="72" s="1"/>
  <c r="N99" i="72"/>
  <c r="G99" i="72" s="1"/>
  <c r="O106" i="72"/>
  <c r="G106" i="72" s="1"/>
  <c r="N111" i="72"/>
  <c r="G111" i="72" s="1"/>
  <c r="O118" i="72"/>
  <c r="G118" i="72" s="1"/>
  <c r="N123" i="72"/>
  <c r="G123" i="72" s="1"/>
  <c r="N116" i="72"/>
  <c r="G116" i="72" s="1"/>
  <c r="N121" i="72"/>
  <c r="G121" i="72" s="1"/>
  <c r="O35" i="72"/>
  <c r="G35" i="72" s="1"/>
  <c r="H35" i="72" s="1"/>
  <c r="N39" i="72"/>
  <c r="G39" i="72" s="1"/>
  <c r="H39" i="72" s="1"/>
  <c r="O42" i="72"/>
  <c r="G42" i="72" s="1"/>
  <c r="H42" i="72" s="1"/>
  <c r="N54" i="72"/>
  <c r="G64" i="72"/>
  <c r="N66" i="72"/>
  <c r="G66" i="72" s="1"/>
  <c r="N78" i="72"/>
  <c r="G78" i="72" s="1"/>
  <c r="N90" i="72"/>
  <c r="G90" i="72" s="1"/>
  <c r="N102" i="72"/>
  <c r="G102" i="72" s="1"/>
  <c r="N114" i="72"/>
  <c r="G114" i="72" s="1"/>
  <c r="G24" i="72"/>
  <c r="H24" i="72" s="1"/>
  <c r="O54" i="72"/>
  <c r="O47" i="72"/>
  <c r="G47" i="72" s="1"/>
  <c r="B47" i="72"/>
  <c r="B50" i="72"/>
  <c r="N31" i="72"/>
  <c r="O19" i="72"/>
  <c r="G19" i="72" s="1"/>
  <c r="N26" i="72"/>
  <c r="G26" i="72" s="1"/>
  <c r="H26" i="72" s="1"/>
  <c r="O31" i="72"/>
  <c r="N38" i="72"/>
  <c r="O43" i="72"/>
  <c r="G43" i="72" s="1"/>
  <c r="H43" i="72" s="1"/>
  <c r="N50" i="72"/>
  <c r="O55" i="72"/>
  <c r="G55" i="72" s="1"/>
  <c r="O57" i="72"/>
  <c r="G57" i="72" s="1"/>
  <c r="AU19" i="15" s="1"/>
  <c r="O26" i="72"/>
  <c r="O38" i="72"/>
  <c r="O50" i="72"/>
  <c r="G32" i="72"/>
  <c r="H32" i="72" s="1"/>
  <c r="G44" i="72"/>
  <c r="H44" i="72" s="1"/>
  <c r="N25" i="72"/>
  <c r="G25" i="72" s="1"/>
  <c r="H25" i="72" s="1"/>
  <c r="N37" i="72"/>
  <c r="G37" i="72" s="1"/>
  <c r="H37" i="72" s="1"/>
  <c r="N49" i="72"/>
  <c r="G49" i="72" s="1"/>
  <c r="H49" i="72" s="1"/>
  <c r="N56" i="72"/>
  <c r="G56" i="72" s="1"/>
  <c r="N20" i="72"/>
  <c r="G20" i="72" s="1"/>
  <c r="H20" i="72" s="1"/>
  <c r="N32" i="72"/>
  <c r="N44" i="72"/>
  <c r="N58" i="72"/>
  <c r="G58" i="72" s="1"/>
  <c r="H58" i="72" s="1"/>
  <c r="N182" i="72"/>
  <c r="G182" i="72" s="1"/>
  <c r="N22" i="72"/>
  <c r="G22" i="72" s="1"/>
  <c r="H22" i="72" s="1"/>
  <c r="N34" i="72"/>
  <c r="G34" i="72" s="1"/>
  <c r="H34" i="72" s="1"/>
  <c r="N46" i="72"/>
  <c r="G46" i="72" s="1"/>
  <c r="H46" i="70"/>
  <c r="H47" i="70"/>
  <c r="AT57" i="15"/>
  <c r="AT56" i="15"/>
  <c r="AS56" i="15"/>
  <c r="AT50" i="15"/>
  <c r="H47" i="72" l="1"/>
  <c r="AU17" i="15"/>
  <c r="G38" i="72"/>
  <c r="H38" i="72" s="1"/>
  <c r="H18" i="72"/>
  <c r="G54" i="72"/>
  <c r="H54" i="72" s="1"/>
  <c r="H46" i="72"/>
  <c r="AU23" i="15"/>
  <c r="H55" i="72"/>
  <c r="AU13" i="15"/>
  <c r="H53" i="72"/>
  <c r="AU11" i="15"/>
  <c r="G50" i="72"/>
  <c r="G86" i="72"/>
  <c r="G74" i="72"/>
  <c r="AU21" i="15"/>
  <c r="G110" i="72"/>
  <c r="G81" i="72"/>
  <c r="G62" i="72"/>
  <c r="G21" i="72"/>
  <c r="H21" i="72" s="1"/>
  <c r="G76" i="72"/>
  <c r="G122" i="72"/>
  <c r="G31" i="72"/>
  <c r="H31" i="72" s="1"/>
  <c r="H19" i="72"/>
  <c r="D8" i="72"/>
  <c r="D6" i="72"/>
  <c r="D9" i="72"/>
  <c r="D7" i="72"/>
  <c r="D5" i="72"/>
  <c r="B48" i="72"/>
  <c r="B51" i="72"/>
  <c r="AS52" i="15"/>
  <c r="AT55" i="15"/>
  <c r="AS54" i="15"/>
  <c r="AS55" i="15"/>
  <c r="AS45" i="15"/>
  <c r="AS44" i="15"/>
  <c r="AU9" i="15" l="1"/>
  <c r="H50" i="72"/>
  <c r="AU15" i="15"/>
  <c r="G184" i="72"/>
  <c r="D11" i="72" s="1"/>
  <c r="D10" i="72"/>
  <c r="B49" i="72"/>
  <c r="B52" i="72"/>
  <c r="B53" i="72" s="1"/>
  <c r="B54" i="72" s="1"/>
  <c r="B55" i="72" s="1"/>
  <c r="B56" i="72" s="1"/>
  <c r="B57" i="72" s="1"/>
  <c r="B58" i="72" s="1"/>
  <c r="B59" i="72" s="1"/>
  <c r="B60" i="72" s="1"/>
  <c r="B61" i="72" s="1"/>
  <c r="B62" i="72" s="1"/>
  <c r="B63" i="72" s="1"/>
  <c r="B64" i="72" s="1"/>
  <c r="B65" i="72" s="1"/>
  <c r="B66" i="72" s="1"/>
  <c r="B67" i="72" s="1"/>
  <c r="B68" i="72" s="1"/>
  <c r="B69" i="72" s="1"/>
  <c r="B70" i="72" s="1"/>
  <c r="B71" i="72" s="1"/>
  <c r="B72" i="72" s="1"/>
  <c r="B73" i="72" s="1"/>
  <c r="B74" i="72" s="1"/>
  <c r="B75" i="72" s="1"/>
  <c r="B76" i="72" s="1"/>
  <c r="B77" i="72" s="1"/>
  <c r="B78" i="72" s="1"/>
  <c r="B79" i="72" s="1"/>
  <c r="B80" i="72" s="1"/>
  <c r="B81" i="72" s="1"/>
  <c r="B82" i="72" s="1"/>
  <c r="B83" i="72" s="1"/>
  <c r="B84" i="72" s="1"/>
  <c r="B85" i="72" s="1"/>
  <c r="B86" i="72" s="1"/>
  <c r="B87" i="72" s="1"/>
  <c r="B88" i="72" s="1"/>
  <c r="B89" i="72" s="1"/>
  <c r="B90" i="72" s="1"/>
  <c r="B91" i="72" s="1"/>
  <c r="B92" i="72" s="1"/>
  <c r="B93" i="72" s="1"/>
  <c r="B94" i="72" s="1"/>
  <c r="B95" i="72" s="1"/>
  <c r="B96" i="72" s="1"/>
  <c r="B97" i="72" s="1"/>
  <c r="B98" i="72" s="1"/>
  <c r="B99" i="72" s="1"/>
  <c r="B100" i="72" s="1"/>
  <c r="B101" i="72" s="1"/>
  <c r="B102" i="72" s="1"/>
  <c r="B103" i="72" s="1"/>
  <c r="B104" i="72" s="1"/>
  <c r="B105" i="72" s="1"/>
  <c r="B106" i="72" s="1"/>
  <c r="B107" i="72" s="1"/>
  <c r="B108" i="72" s="1"/>
  <c r="B109" i="72" s="1"/>
  <c r="B110" i="72" s="1"/>
  <c r="B111" i="72" s="1"/>
  <c r="B112" i="72" s="1"/>
  <c r="B113" i="72" s="1"/>
  <c r="B114" i="72" s="1"/>
  <c r="B115" i="72" s="1"/>
  <c r="B116" i="72" s="1"/>
  <c r="B117" i="72" s="1"/>
  <c r="B118" i="72" s="1"/>
  <c r="B119" i="72" s="1"/>
  <c r="B120" i="72" s="1"/>
  <c r="B121" i="72" s="1"/>
  <c r="B122" i="72" s="1"/>
  <c r="B123" i="72" s="1"/>
  <c r="B124" i="72" s="1"/>
  <c r="B125" i="72" s="1"/>
  <c r="B126" i="72" s="1"/>
  <c r="B127" i="72" s="1"/>
  <c r="B128" i="72" s="1"/>
  <c r="B129" i="72" s="1"/>
  <c r="B130" i="72" s="1"/>
  <c r="B131" i="72" s="1"/>
  <c r="B132" i="72" s="1"/>
  <c r="B133" i="72" s="1"/>
  <c r="B134" i="72" s="1"/>
  <c r="B135" i="72" s="1"/>
  <c r="B136" i="72" s="1"/>
  <c r="B137" i="72" s="1"/>
  <c r="B138" i="72" s="1"/>
  <c r="B139" i="72" s="1"/>
  <c r="B140" i="72" s="1"/>
  <c r="B141" i="72" s="1"/>
  <c r="B142" i="72" s="1"/>
  <c r="B143" i="72" s="1"/>
  <c r="B144" i="72" s="1"/>
  <c r="B145" i="72" s="1"/>
  <c r="B146" i="72" s="1"/>
  <c r="B147" i="72" s="1"/>
  <c r="B148" i="72" s="1"/>
  <c r="B149" i="72" s="1"/>
  <c r="B150" i="72" s="1"/>
  <c r="B151" i="72" s="1"/>
  <c r="B152" i="72" s="1"/>
  <c r="B153" i="72" s="1"/>
  <c r="B154" i="72" s="1"/>
  <c r="B155" i="72" s="1"/>
  <c r="B156" i="72" s="1"/>
  <c r="B157" i="72" s="1"/>
  <c r="B158" i="72" s="1"/>
  <c r="B159" i="72" s="1"/>
  <c r="B160" i="72" s="1"/>
  <c r="B161" i="72" s="1"/>
  <c r="B162" i="72" s="1"/>
  <c r="B163" i="72" s="1"/>
  <c r="B164" i="72" s="1"/>
  <c r="B165" i="72" s="1"/>
  <c r="B166" i="72" s="1"/>
  <c r="B167" i="72" s="1"/>
  <c r="B168" i="72" s="1"/>
  <c r="B169" i="72" s="1"/>
  <c r="B170" i="72" s="1"/>
  <c r="B171" i="72" s="1"/>
  <c r="B172" i="72" s="1"/>
  <c r="B173" i="72" s="1"/>
  <c r="B174" i="72" s="1"/>
  <c r="B175" i="72" s="1"/>
  <c r="B176" i="72" s="1"/>
  <c r="B177" i="72" s="1"/>
  <c r="B178" i="72" s="1"/>
  <c r="B179" i="72" s="1"/>
  <c r="B180" i="72" s="1"/>
  <c r="B181" i="72" s="1"/>
  <c r="B182" i="72" s="1"/>
  <c r="AS57" i="15"/>
  <c r="AS50" i="15"/>
  <c r="AT31" i="15"/>
  <c r="AT22" i="15" l="1"/>
  <c r="AT20" i="15"/>
  <c r="AT18" i="15"/>
  <c r="AT16" i="15"/>
  <c r="AT14" i="15"/>
  <c r="AT12" i="15"/>
  <c r="AT10" i="15"/>
  <c r="AT8" i="15"/>
  <c r="E184" i="70"/>
  <c r="P182" i="70"/>
  <c r="M182" i="70"/>
  <c r="N182" i="70" s="1"/>
  <c r="P181" i="70"/>
  <c r="M181" i="70"/>
  <c r="N181" i="70" s="1"/>
  <c r="P180" i="70"/>
  <c r="M180" i="70"/>
  <c r="N180" i="70" s="1"/>
  <c r="P179" i="70"/>
  <c r="O179" i="70"/>
  <c r="M179" i="70"/>
  <c r="N179" i="70" s="1"/>
  <c r="P178" i="70"/>
  <c r="M178" i="70"/>
  <c r="N178" i="70" s="1"/>
  <c r="P177" i="70"/>
  <c r="M177" i="70"/>
  <c r="N177" i="70" s="1"/>
  <c r="P176" i="70"/>
  <c r="M176" i="70"/>
  <c r="N176" i="70" s="1"/>
  <c r="P175" i="70"/>
  <c r="O175" i="70"/>
  <c r="M175" i="70"/>
  <c r="N175" i="70" s="1"/>
  <c r="P174" i="70"/>
  <c r="N174" i="70"/>
  <c r="M174" i="70"/>
  <c r="O174" i="70" s="1"/>
  <c r="P173" i="70"/>
  <c r="O173" i="70"/>
  <c r="M173" i="70"/>
  <c r="N173" i="70" s="1"/>
  <c r="P172" i="70"/>
  <c r="M172" i="70"/>
  <c r="O172" i="70" s="1"/>
  <c r="P171" i="70"/>
  <c r="M171" i="70"/>
  <c r="N171" i="70" s="1"/>
  <c r="P170" i="70"/>
  <c r="N170" i="70"/>
  <c r="M170" i="70"/>
  <c r="O170" i="70" s="1"/>
  <c r="P169" i="70"/>
  <c r="M169" i="70"/>
  <c r="N169" i="70" s="1"/>
  <c r="P168" i="70"/>
  <c r="M168" i="70"/>
  <c r="N168" i="70" s="1"/>
  <c r="P167" i="70"/>
  <c r="M167" i="70"/>
  <c r="N167" i="70" s="1"/>
  <c r="P166" i="70"/>
  <c r="M166" i="70"/>
  <c r="O166" i="70" s="1"/>
  <c r="P165" i="70"/>
  <c r="M165" i="70"/>
  <c r="N165" i="70" s="1"/>
  <c r="P164" i="70"/>
  <c r="N164" i="70"/>
  <c r="M164" i="70"/>
  <c r="O164" i="70" s="1"/>
  <c r="P163" i="70"/>
  <c r="O163" i="70"/>
  <c r="M163" i="70"/>
  <c r="N163" i="70" s="1"/>
  <c r="P162" i="70"/>
  <c r="M162" i="70"/>
  <c r="O162" i="70" s="1"/>
  <c r="P161" i="70"/>
  <c r="M161" i="70"/>
  <c r="N161" i="70" s="1"/>
  <c r="P160" i="70"/>
  <c r="M160" i="70"/>
  <c r="O160" i="70" s="1"/>
  <c r="P159" i="70"/>
  <c r="M159" i="70"/>
  <c r="N159" i="70" s="1"/>
  <c r="P158" i="70"/>
  <c r="M158" i="70"/>
  <c r="O158" i="70" s="1"/>
  <c r="P157" i="70"/>
  <c r="M157" i="70"/>
  <c r="N157" i="70" s="1"/>
  <c r="P156" i="70"/>
  <c r="M156" i="70"/>
  <c r="O156" i="70" s="1"/>
  <c r="P155" i="70"/>
  <c r="O155" i="70"/>
  <c r="M155" i="70"/>
  <c r="N155" i="70" s="1"/>
  <c r="P154" i="70"/>
  <c r="N154" i="70"/>
  <c r="M154" i="70"/>
  <c r="O154" i="70" s="1"/>
  <c r="P153" i="70"/>
  <c r="O153" i="70"/>
  <c r="M153" i="70"/>
  <c r="N153" i="70" s="1"/>
  <c r="P152" i="70"/>
  <c r="O152" i="70"/>
  <c r="M152" i="70"/>
  <c r="N152" i="70" s="1"/>
  <c r="P151" i="70"/>
  <c r="M151" i="70"/>
  <c r="N151" i="70" s="1"/>
  <c r="P150" i="70"/>
  <c r="M150" i="70"/>
  <c r="O150" i="70" s="1"/>
  <c r="P149" i="70"/>
  <c r="M149" i="70"/>
  <c r="N149" i="70" s="1"/>
  <c r="P148" i="70"/>
  <c r="M148" i="70"/>
  <c r="O148" i="70" s="1"/>
  <c r="P147" i="70"/>
  <c r="M147" i="70"/>
  <c r="N147" i="70" s="1"/>
  <c r="P146" i="70"/>
  <c r="M146" i="70"/>
  <c r="O146" i="70" s="1"/>
  <c r="P145" i="70"/>
  <c r="G145" i="70" s="1"/>
  <c r="O145" i="70"/>
  <c r="M145" i="70"/>
  <c r="N145" i="70" s="1"/>
  <c r="P144" i="70"/>
  <c r="N144" i="70"/>
  <c r="M144" i="70"/>
  <c r="O144" i="70" s="1"/>
  <c r="P143" i="70"/>
  <c r="M143" i="70"/>
  <c r="N143" i="70" s="1"/>
  <c r="P142" i="70"/>
  <c r="O142" i="70"/>
  <c r="M142" i="70"/>
  <c r="N142" i="70" s="1"/>
  <c r="P141" i="70"/>
  <c r="M141" i="70"/>
  <c r="N141" i="70" s="1"/>
  <c r="P140" i="70"/>
  <c r="M140" i="70"/>
  <c r="O140" i="70" s="1"/>
  <c r="P139" i="70"/>
  <c r="M139" i="70"/>
  <c r="N139" i="70" s="1"/>
  <c r="P138" i="70"/>
  <c r="O138" i="70"/>
  <c r="N138" i="70"/>
  <c r="M138" i="70"/>
  <c r="P137" i="70"/>
  <c r="O137" i="70"/>
  <c r="M137" i="70"/>
  <c r="N137" i="70" s="1"/>
  <c r="P136" i="70"/>
  <c r="O136" i="70"/>
  <c r="M136" i="70"/>
  <c r="N136" i="70" s="1"/>
  <c r="P135" i="70"/>
  <c r="O135" i="70"/>
  <c r="M135" i="70"/>
  <c r="N135" i="70" s="1"/>
  <c r="P134" i="70"/>
  <c r="M134" i="70"/>
  <c r="O134" i="70" s="1"/>
  <c r="P133" i="70"/>
  <c r="M133" i="70"/>
  <c r="N133" i="70" s="1"/>
  <c r="P132" i="70"/>
  <c r="M132" i="70"/>
  <c r="N132" i="70" s="1"/>
  <c r="P131" i="70"/>
  <c r="M131" i="70"/>
  <c r="N131" i="70" s="1"/>
  <c r="P130" i="70"/>
  <c r="M130" i="70"/>
  <c r="O130" i="70" s="1"/>
  <c r="P129" i="70"/>
  <c r="M129" i="70"/>
  <c r="N129" i="70" s="1"/>
  <c r="P128" i="70"/>
  <c r="M128" i="70"/>
  <c r="O128" i="70" s="1"/>
  <c r="P127" i="70"/>
  <c r="O127" i="70"/>
  <c r="M127" i="70"/>
  <c r="N127" i="70" s="1"/>
  <c r="P126" i="70"/>
  <c r="M126" i="70"/>
  <c r="O126" i="70" s="1"/>
  <c r="P125" i="70"/>
  <c r="M125" i="70"/>
  <c r="N125" i="70" s="1"/>
  <c r="P124" i="70"/>
  <c r="O124" i="70"/>
  <c r="N124" i="70"/>
  <c r="M124" i="70"/>
  <c r="P123" i="70"/>
  <c r="M123" i="70"/>
  <c r="N123" i="70" s="1"/>
  <c r="P122" i="70"/>
  <c r="M122" i="70"/>
  <c r="N122" i="70" s="1"/>
  <c r="P121" i="70"/>
  <c r="M121" i="70"/>
  <c r="N121" i="70" s="1"/>
  <c r="P120" i="70"/>
  <c r="M120" i="70"/>
  <c r="O120" i="70" s="1"/>
  <c r="P119" i="70"/>
  <c r="O119" i="70"/>
  <c r="M119" i="70"/>
  <c r="N119" i="70" s="1"/>
  <c r="P118" i="70"/>
  <c r="M118" i="70"/>
  <c r="O118" i="70" s="1"/>
  <c r="P117" i="70"/>
  <c r="M117" i="70"/>
  <c r="N117" i="70" s="1"/>
  <c r="P116" i="70"/>
  <c r="M116" i="70"/>
  <c r="O116" i="70" s="1"/>
  <c r="P115" i="70"/>
  <c r="M115" i="70"/>
  <c r="N115" i="70" s="1"/>
  <c r="P114" i="70"/>
  <c r="O114" i="70"/>
  <c r="M114" i="70"/>
  <c r="N114" i="70" s="1"/>
  <c r="P113" i="70"/>
  <c r="M113" i="70"/>
  <c r="N113" i="70" s="1"/>
  <c r="P112" i="70"/>
  <c r="M112" i="70"/>
  <c r="O112" i="70" s="1"/>
  <c r="P111" i="70"/>
  <c r="M111" i="70"/>
  <c r="N111" i="70" s="1"/>
  <c r="P110" i="70"/>
  <c r="M110" i="70"/>
  <c r="O110" i="70" s="1"/>
  <c r="P109" i="70"/>
  <c r="M109" i="70"/>
  <c r="N109" i="70" s="1"/>
  <c r="P108" i="70"/>
  <c r="M108" i="70"/>
  <c r="N108" i="70" s="1"/>
  <c r="P107" i="70"/>
  <c r="M107" i="70"/>
  <c r="N107" i="70" s="1"/>
  <c r="P106" i="70"/>
  <c r="M106" i="70"/>
  <c r="O106" i="70" s="1"/>
  <c r="P105" i="70"/>
  <c r="M105" i="70"/>
  <c r="N105" i="70" s="1"/>
  <c r="P104" i="70"/>
  <c r="M104" i="70"/>
  <c r="O104" i="70" s="1"/>
  <c r="P103" i="70"/>
  <c r="M103" i="70"/>
  <c r="N103" i="70" s="1"/>
  <c r="P102" i="70"/>
  <c r="M102" i="70"/>
  <c r="N102" i="70" s="1"/>
  <c r="P101" i="70"/>
  <c r="M101" i="70"/>
  <c r="N101" i="70" s="1"/>
  <c r="P100" i="70"/>
  <c r="M100" i="70"/>
  <c r="O100" i="70" s="1"/>
  <c r="P99" i="70"/>
  <c r="M99" i="70"/>
  <c r="N99" i="70" s="1"/>
  <c r="P98" i="70"/>
  <c r="M98" i="70"/>
  <c r="O98" i="70" s="1"/>
  <c r="P97" i="70"/>
  <c r="M97" i="70"/>
  <c r="N97" i="70" s="1"/>
  <c r="P96" i="70"/>
  <c r="M96" i="70"/>
  <c r="N96" i="70" s="1"/>
  <c r="P95" i="70"/>
  <c r="M95" i="70"/>
  <c r="N95" i="70" s="1"/>
  <c r="P94" i="70"/>
  <c r="M94" i="70"/>
  <c r="O94" i="70" s="1"/>
  <c r="P93" i="70"/>
  <c r="M93" i="70"/>
  <c r="N93" i="70" s="1"/>
  <c r="P92" i="70"/>
  <c r="M92" i="70"/>
  <c r="N92" i="70" s="1"/>
  <c r="P91" i="70"/>
  <c r="M91" i="70"/>
  <c r="N91" i="70" s="1"/>
  <c r="P90" i="70"/>
  <c r="M90" i="70"/>
  <c r="O90" i="70" s="1"/>
  <c r="P89" i="70"/>
  <c r="M89" i="70"/>
  <c r="N89" i="70" s="1"/>
  <c r="P88" i="70"/>
  <c r="M88" i="70"/>
  <c r="O88" i="70" s="1"/>
  <c r="P87" i="70"/>
  <c r="M87" i="70"/>
  <c r="N87" i="70" s="1"/>
  <c r="P86" i="70"/>
  <c r="M86" i="70"/>
  <c r="O86" i="70" s="1"/>
  <c r="P85" i="70"/>
  <c r="M85" i="70"/>
  <c r="N85" i="70" s="1"/>
  <c r="P84" i="70"/>
  <c r="M84" i="70"/>
  <c r="O84" i="70" s="1"/>
  <c r="P83" i="70"/>
  <c r="M83" i="70"/>
  <c r="N83" i="70" s="1"/>
  <c r="P82" i="70"/>
  <c r="M82" i="70"/>
  <c r="O82" i="70" s="1"/>
  <c r="P81" i="70"/>
  <c r="M81" i="70"/>
  <c r="N81" i="70" s="1"/>
  <c r="P80" i="70"/>
  <c r="M80" i="70"/>
  <c r="O80" i="70" s="1"/>
  <c r="P79" i="70"/>
  <c r="M79" i="70"/>
  <c r="N79" i="70" s="1"/>
  <c r="P78" i="70"/>
  <c r="M78" i="70"/>
  <c r="N78" i="70" s="1"/>
  <c r="P77" i="70"/>
  <c r="M77" i="70"/>
  <c r="N77" i="70" s="1"/>
  <c r="P76" i="70"/>
  <c r="M76" i="70"/>
  <c r="O76" i="70" s="1"/>
  <c r="P75" i="70"/>
  <c r="M75" i="70"/>
  <c r="N75" i="70" s="1"/>
  <c r="P74" i="70"/>
  <c r="M74" i="70"/>
  <c r="N74" i="70" s="1"/>
  <c r="P73" i="70"/>
  <c r="M73" i="70"/>
  <c r="N73" i="70" s="1"/>
  <c r="P72" i="70"/>
  <c r="M72" i="70"/>
  <c r="O72" i="70" s="1"/>
  <c r="P71" i="70"/>
  <c r="M71" i="70"/>
  <c r="N71" i="70" s="1"/>
  <c r="P70" i="70"/>
  <c r="M70" i="70"/>
  <c r="O70" i="70" s="1"/>
  <c r="P69" i="70"/>
  <c r="M69" i="70"/>
  <c r="N69" i="70" s="1"/>
  <c r="P68" i="70"/>
  <c r="M68" i="70"/>
  <c r="O68" i="70" s="1"/>
  <c r="P67" i="70"/>
  <c r="M67" i="70"/>
  <c r="N67" i="70" s="1"/>
  <c r="P66" i="70"/>
  <c r="M66" i="70"/>
  <c r="N66" i="70" s="1"/>
  <c r="P65" i="70"/>
  <c r="M65" i="70"/>
  <c r="N65" i="70" s="1"/>
  <c r="P64" i="70"/>
  <c r="M64" i="70"/>
  <c r="O64" i="70" s="1"/>
  <c r="P63" i="70"/>
  <c r="M63" i="70"/>
  <c r="N63" i="70" s="1"/>
  <c r="P62" i="70"/>
  <c r="M62" i="70"/>
  <c r="O62" i="70" s="1"/>
  <c r="P61" i="70"/>
  <c r="M61" i="70"/>
  <c r="N61" i="70" s="1"/>
  <c r="P60" i="70"/>
  <c r="M60" i="70"/>
  <c r="O60" i="70" s="1"/>
  <c r="P59" i="70"/>
  <c r="M59" i="70"/>
  <c r="N59" i="70" s="1"/>
  <c r="P58" i="70"/>
  <c r="M58" i="70"/>
  <c r="P57" i="70"/>
  <c r="M57" i="70"/>
  <c r="O57" i="70" s="1"/>
  <c r="P56" i="70"/>
  <c r="M56" i="70"/>
  <c r="O56" i="70" s="1"/>
  <c r="P55" i="70"/>
  <c r="M55" i="70"/>
  <c r="O55" i="70" s="1"/>
  <c r="P54" i="70"/>
  <c r="M54" i="70"/>
  <c r="P53" i="70"/>
  <c r="M53" i="70"/>
  <c r="P52" i="70"/>
  <c r="M52" i="70"/>
  <c r="O52" i="70" s="1"/>
  <c r="P51" i="70"/>
  <c r="M51" i="70"/>
  <c r="O51" i="70" s="1"/>
  <c r="P50" i="70"/>
  <c r="M50" i="70"/>
  <c r="P49" i="70"/>
  <c r="M49" i="70"/>
  <c r="O49" i="70" s="1"/>
  <c r="P48" i="70"/>
  <c r="M48" i="70"/>
  <c r="P47" i="70"/>
  <c r="M47" i="70"/>
  <c r="N47" i="70" s="1"/>
  <c r="P46" i="70"/>
  <c r="M46" i="70"/>
  <c r="N46" i="70" s="1"/>
  <c r="P45" i="70"/>
  <c r="M45" i="70"/>
  <c r="N45" i="70" s="1"/>
  <c r="P44" i="70"/>
  <c r="M44" i="70"/>
  <c r="P43" i="70"/>
  <c r="M43" i="70"/>
  <c r="O43" i="70" s="1"/>
  <c r="P42" i="70"/>
  <c r="M42" i="70"/>
  <c r="P41" i="70"/>
  <c r="M41" i="70"/>
  <c r="O41" i="70" s="1"/>
  <c r="P40" i="70"/>
  <c r="M40" i="70"/>
  <c r="O40" i="70" s="1"/>
  <c r="P39" i="70"/>
  <c r="M39" i="70"/>
  <c r="O39" i="70" s="1"/>
  <c r="P38" i="70"/>
  <c r="M38" i="70"/>
  <c r="O38" i="70" s="1"/>
  <c r="P37" i="70"/>
  <c r="M37" i="70"/>
  <c r="O37" i="70" s="1"/>
  <c r="P36" i="70"/>
  <c r="M36" i="70"/>
  <c r="N36" i="70" s="1"/>
  <c r="P35" i="70"/>
  <c r="M35" i="70"/>
  <c r="O35" i="70" s="1"/>
  <c r="P34" i="70"/>
  <c r="M34" i="70"/>
  <c r="O34" i="70" s="1"/>
  <c r="P33" i="70"/>
  <c r="M33" i="70"/>
  <c r="N33" i="70" s="1"/>
  <c r="P32" i="70"/>
  <c r="M32" i="70"/>
  <c r="P31" i="70"/>
  <c r="M31" i="70"/>
  <c r="O31" i="70" s="1"/>
  <c r="P30" i="70"/>
  <c r="M30" i="70"/>
  <c r="O30" i="70" s="1"/>
  <c r="P29" i="70"/>
  <c r="M29" i="70"/>
  <c r="P28" i="70"/>
  <c r="M28" i="70"/>
  <c r="O28" i="70" s="1"/>
  <c r="P27" i="70"/>
  <c r="M27" i="70"/>
  <c r="N27" i="70" s="1"/>
  <c r="P26" i="70"/>
  <c r="M26" i="70"/>
  <c r="O26" i="70" s="1"/>
  <c r="P25" i="70"/>
  <c r="M25" i="70"/>
  <c r="O25" i="70" s="1"/>
  <c r="P24" i="70"/>
  <c r="M24" i="70"/>
  <c r="O24" i="70" s="1"/>
  <c r="P23" i="70"/>
  <c r="M23" i="70"/>
  <c r="N23" i="70" s="1"/>
  <c r="P22" i="70"/>
  <c r="M22" i="70"/>
  <c r="N22" i="70" s="1"/>
  <c r="P21" i="70"/>
  <c r="M21" i="70"/>
  <c r="N21" i="70" s="1"/>
  <c r="P20" i="70"/>
  <c r="M20" i="70"/>
  <c r="P19" i="70"/>
  <c r="M19" i="70"/>
  <c r="O19" i="70" s="1"/>
  <c r="P18" i="70"/>
  <c r="M18" i="70"/>
  <c r="O18" i="70" s="1"/>
  <c r="B18" i="70"/>
  <c r="B19" i="70" s="1"/>
  <c r="B20" i="70" s="1"/>
  <c r="B21" i="70" s="1"/>
  <c r="B22" i="70" s="1"/>
  <c r="B23" i="70" s="1"/>
  <c r="B24" i="70" s="1"/>
  <c r="B25" i="70" s="1"/>
  <c r="B26" i="70" s="1"/>
  <c r="B27" i="70" s="1"/>
  <c r="B28" i="70" s="1"/>
  <c r="B29" i="70" s="1"/>
  <c r="B30" i="70" s="1"/>
  <c r="B31" i="70" s="1"/>
  <c r="B32" i="70" s="1"/>
  <c r="B33" i="70" s="1"/>
  <c r="B34" i="70" s="1"/>
  <c r="B35" i="70" s="1"/>
  <c r="B36" i="70" s="1"/>
  <c r="B37" i="70" s="1"/>
  <c r="B38" i="70" s="1"/>
  <c r="B39" i="70" s="1"/>
  <c r="B40" i="70" s="1"/>
  <c r="B41" i="70" s="1"/>
  <c r="B42" i="70" s="1"/>
  <c r="B43" i="70" s="1"/>
  <c r="B44" i="70" s="1"/>
  <c r="B45" i="70" s="1"/>
  <c r="B46" i="70" s="1"/>
  <c r="N28" i="70" l="1"/>
  <c r="O23" i="70"/>
  <c r="N18" i="70"/>
  <c r="O46" i="70"/>
  <c r="N86" i="70"/>
  <c r="N116" i="70"/>
  <c r="O96" i="70"/>
  <c r="O122" i="70"/>
  <c r="G122" i="70" s="1"/>
  <c r="O121" i="70"/>
  <c r="N68" i="70"/>
  <c r="G68" i="70" s="1"/>
  <c r="N118" i="70"/>
  <c r="G118" i="70" s="1"/>
  <c r="O109" i="70"/>
  <c r="G109" i="70" s="1"/>
  <c r="G121" i="70"/>
  <c r="O108" i="70"/>
  <c r="O167" i="70"/>
  <c r="G154" i="70"/>
  <c r="N172" i="70"/>
  <c r="G157" i="70"/>
  <c r="O168" i="70"/>
  <c r="G124" i="70"/>
  <c r="O147" i="70"/>
  <c r="G147" i="70" s="1"/>
  <c r="G135" i="70"/>
  <c r="O143" i="70"/>
  <c r="G143" i="70" s="1"/>
  <c r="O165" i="70"/>
  <c r="G170" i="70"/>
  <c r="G165" i="70"/>
  <c r="O125" i="70"/>
  <c r="N130" i="70"/>
  <c r="N148" i="70"/>
  <c r="N162" i="70"/>
  <c r="G179" i="70"/>
  <c r="O157" i="70"/>
  <c r="G138" i="70"/>
  <c r="G148" i="70"/>
  <c r="O113" i="70"/>
  <c r="G113" i="70" s="1"/>
  <c r="N110" i="70"/>
  <c r="G110" i="70" s="1"/>
  <c r="O129" i="70"/>
  <c r="G129" i="70" s="1"/>
  <c r="O132" i="70"/>
  <c r="G132" i="70" s="1"/>
  <c r="G142" i="70"/>
  <c r="O169" i="70"/>
  <c r="G169" i="70" s="1"/>
  <c r="G172" i="70"/>
  <c r="N84" i="70"/>
  <c r="N120" i="70"/>
  <c r="G120" i="70" s="1"/>
  <c r="N126" i="70"/>
  <c r="G126" i="70" s="1"/>
  <c r="O139" i="70"/>
  <c r="G139" i="70" s="1"/>
  <c r="N146" i="70"/>
  <c r="G146" i="70" s="1"/>
  <c r="O149" i="70"/>
  <c r="G149" i="70" s="1"/>
  <c r="N156" i="70"/>
  <c r="O159" i="70"/>
  <c r="G159" i="70" s="1"/>
  <c r="N166" i="70"/>
  <c r="G166" i="70" s="1"/>
  <c r="O176" i="70"/>
  <c r="G176" i="70" s="1"/>
  <c r="O180" i="70"/>
  <c r="O78" i="70"/>
  <c r="G78" i="70" s="1"/>
  <c r="G96" i="70"/>
  <c r="O117" i="70"/>
  <c r="G117" i="70" s="1"/>
  <c r="O123" i="70"/>
  <c r="G123" i="70" s="1"/>
  <c r="G133" i="70"/>
  <c r="G163" i="70"/>
  <c r="G173" i="70"/>
  <c r="G116" i="70"/>
  <c r="O27" i="70"/>
  <c r="G27" i="70" s="1"/>
  <c r="H27" i="70" s="1"/>
  <c r="G114" i="70"/>
  <c r="G136" i="70"/>
  <c r="G46" i="70"/>
  <c r="O111" i="70"/>
  <c r="G111" i="70" s="1"/>
  <c r="G127" i="70"/>
  <c r="O133" i="70"/>
  <c r="N140" i="70"/>
  <c r="G140" i="70" s="1"/>
  <c r="N150" i="70"/>
  <c r="G150" i="70" s="1"/>
  <c r="G153" i="70"/>
  <c r="N160" i="70"/>
  <c r="G160" i="70" s="1"/>
  <c r="G167" i="70"/>
  <c r="O177" i="70"/>
  <c r="G177" i="70" s="1"/>
  <c r="O181" i="70"/>
  <c r="G181" i="70" s="1"/>
  <c r="G108" i="70"/>
  <c r="G130" i="70"/>
  <c r="G137" i="70"/>
  <c r="N112" i="70"/>
  <c r="G112" i="70" s="1"/>
  <c r="O115" i="70"/>
  <c r="G115" i="70" s="1"/>
  <c r="N134" i="70"/>
  <c r="G134" i="70" s="1"/>
  <c r="O178" i="70"/>
  <c r="G178" i="70" s="1"/>
  <c r="O182" i="70"/>
  <c r="N64" i="70"/>
  <c r="G64" i="70" s="1"/>
  <c r="G125" i="70"/>
  <c r="N128" i="70"/>
  <c r="G128" i="70" s="1"/>
  <c r="O131" i="70"/>
  <c r="G131" i="70" s="1"/>
  <c r="O141" i="70"/>
  <c r="G141" i="70" s="1"/>
  <c r="O151" i="70"/>
  <c r="G151" i="70" s="1"/>
  <c r="N158" i="70"/>
  <c r="G158" i="70" s="1"/>
  <c r="O161" i="70"/>
  <c r="G161" i="70" s="1"/>
  <c r="O171" i="70"/>
  <c r="G171" i="70" s="1"/>
  <c r="G119" i="70"/>
  <c r="G155" i="70"/>
  <c r="G175" i="70"/>
  <c r="G84" i="70"/>
  <c r="N24" i="70"/>
  <c r="G24" i="70" s="1"/>
  <c r="H24" i="70" s="1"/>
  <c r="N34" i="70"/>
  <c r="G34" i="70" s="1"/>
  <c r="H34" i="70" s="1"/>
  <c r="N39" i="70"/>
  <c r="G39" i="70" s="1"/>
  <c r="H39" i="70" s="1"/>
  <c r="O65" i="70"/>
  <c r="O74" i="70"/>
  <c r="G74" i="70" s="1"/>
  <c r="O89" i="70"/>
  <c r="G89" i="70" s="1"/>
  <c r="O93" i="70"/>
  <c r="G93" i="70" s="1"/>
  <c r="O97" i="70"/>
  <c r="G97" i="70" s="1"/>
  <c r="N51" i="70"/>
  <c r="G51" i="70" s="1"/>
  <c r="H51" i="70" s="1"/>
  <c r="N62" i="70"/>
  <c r="G62" i="70" s="1"/>
  <c r="N90" i="70"/>
  <c r="G90" i="70" s="1"/>
  <c r="N94" i="70"/>
  <c r="G94" i="70" s="1"/>
  <c r="O67" i="70"/>
  <c r="G67" i="70" s="1"/>
  <c r="O99" i="70"/>
  <c r="G99" i="70" s="1"/>
  <c r="O103" i="70"/>
  <c r="G103" i="70" s="1"/>
  <c r="N72" i="70"/>
  <c r="G72" i="70" s="1"/>
  <c r="O102" i="70"/>
  <c r="G102" i="70" s="1"/>
  <c r="N100" i="70"/>
  <c r="G100" i="70" s="1"/>
  <c r="O92" i="70"/>
  <c r="G92" i="70" s="1"/>
  <c r="O69" i="70"/>
  <c r="G69" i="70" s="1"/>
  <c r="N52" i="70"/>
  <c r="G52" i="70" s="1"/>
  <c r="N60" i="70"/>
  <c r="G60" i="70" s="1"/>
  <c r="O66" i="70"/>
  <c r="G66" i="70" s="1"/>
  <c r="N82" i="70"/>
  <c r="G82" i="70" s="1"/>
  <c r="N88" i="70"/>
  <c r="G88" i="70" s="1"/>
  <c r="O91" i="70"/>
  <c r="G91" i="70" s="1"/>
  <c r="N56" i="70"/>
  <c r="G56" i="70" s="1"/>
  <c r="O63" i="70"/>
  <c r="G63" i="70" s="1"/>
  <c r="O85" i="70"/>
  <c r="G85" i="70" s="1"/>
  <c r="N104" i="70"/>
  <c r="G104" i="70" s="1"/>
  <c r="O107" i="70"/>
  <c r="G107" i="70" s="1"/>
  <c r="N26" i="70"/>
  <c r="G26" i="70" s="1"/>
  <c r="H26" i="70" s="1"/>
  <c r="N30" i="70"/>
  <c r="G30" i="70" s="1"/>
  <c r="H30" i="70" s="1"/>
  <c r="N49" i="70"/>
  <c r="G49" i="70" s="1"/>
  <c r="N70" i="70"/>
  <c r="G70" i="70" s="1"/>
  <c r="O73" i="70"/>
  <c r="G73" i="70" s="1"/>
  <c r="N76" i="70"/>
  <c r="G76" i="70" s="1"/>
  <c r="O79" i="70"/>
  <c r="G79" i="70" s="1"/>
  <c r="O95" i="70"/>
  <c r="G95" i="70" s="1"/>
  <c r="N98" i="70"/>
  <c r="G98" i="70" s="1"/>
  <c r="O101" i="70"/>
  <c r="G101" i="70" s="1"/>
  <c r="O22" i="70"/>
  <c r="G22" i="70" s="1"/>
  <c r="H22" i="70" s="1"/>
  <c r="N19" i="70"/>
  <c r="G19" i="70" s="1"/>
  <c r="H19" i="70" s="1"/>
  <c r="N40" i="70"/>
  <c r="G40" i="70" s="1"/>
  <c r="H40" i="70" s="1"/>
  <c r="O45" i="70"/>
  <c r="G45" i="70" s="1"/>
  <c r="H45" i="70" s="1"/>
  <c r="N57" i="70"/>
  <c r="G57" i="70" s="1"/>
  <c r="O75" i="70"/>
  <c r="G75" i="70" s="1"/>
  <c r="G23" i="70"/>
  <c r="H23" i="70" s="1"/>
  <c r="O61" i="70"/>
  <c r="G61" i="70" s="1"/>
  <c r="N80" i="70"/>
  <c r="G80" i="70" s="1"/>
  <c r="O83" i="70"/>
  <c r="G83" i="70" s="1"/>
  <c r="O105" i="70"/>
  <c r="G105" i="70" s="1"/>
  <c r="O71" i="70"/>
  <c r="G71" i="70" s="1"/>
  <c r="O77" i="70"/>
  <c r="G77" i="70" s="1"/>
  <c r="G86" i="70"/>
  <c r="G65" i="70"/>
  <c r="O21" i="70"/>
  <c r="G21" i="70" s="1"/>
  <c r="H21" i="70" s="1"/>
  <c r="G28" i="70"/>
  <c r="H28" i="70" s="1"/>
  <c r="N106" i="70"/>
  <c r="G106" i="70" s="1"/>
  <c r="O59" i="70"/>
  <c r="G59" i="70" s="1"/>
  <c r="H59" i="70" s="1"/>
  <c r="O81" i="70"/>
  <c r="G81" i="70" s="1"/>
  <c r="O87" i="70"/>
  <c r="G87" i="70" s="1"/>
  <c r="B47" i="70"/>
  <c r="B50" i="70"/>
  <c r="G18" i="70"/>
  <c r="O58" i="70"/>
  <c r="N58" i="70"/>
  <c r="G58" i="70" s="1"/>
  <c r="H58" i="70" s="1"/>
  <c r="G144" i="70"/>
  <c r="G156" i="70"/>
  <c r="G168" i="70"/>
  <c r="O32" i="70"/>
  <c r="N32" i="70"/>
  <c r="N54" i="70"/>
  <c r="G54" i="70" s="1"/>
  <c r="H54" i="70" s="1"/>
  <c r="N37" i="70"/>
  <c r="G37" i="70" s="1"/>
  <c r="H37" i="70" s="1"/>
  <c r="N41" i="70"/>
  <c r="G41" i="70" s="1"/>
  <c r="H41" i="70" s="1"/>
  <c r="N43" i="70"/>
  <c r="G43" i="70" s="1"/>
  <c r="H43" i="70" s="1"/>
  <c r="O54" i="70"/>
  <c r="O20" i="70"/>
  <c r="N20" i="70"/>
  <c r="G20" i="70" s="1"/>
  <c r="H20" i="70" s="1"/>
  <c r="N35" i="70"/>
  <c r="G35" i="70" s="1"/>
  <c r="H35" i="70" s="1"/>
  <c r="O50" i="70"/>
  <c r="N50" i="70"/>
  <c r="O47" i="70"/>
  <c r="G47" i="70" s="1"/>
  <c r="N25" i="70"/>
  <c r="G25" i="70" s="1"/>
  <c r="H25" i="70" s="1"/>
  <c r="N29" i="70"/>
  <c r="N31" i="70"/>
  <c r="G31" i="70" s="1"/>
  <c r="H31" i="70" s="1"/>
  <c r="O33" i="70"/>
  <c r="G33" i="70" s="1"/>
  <c r="H33" i="70" s="1"/>
  <c r="N48" i="70"/>
  <c r="G152" i="70"/>
  <c r="G164" i="70"/>
  <c r="O29" i="70"/>
  <c r="O48" i="70"/>
  <c r="G182" i="70"/>
  <c r="G162" i="70"/>
  <c r="G174" i="70"/>
  <c r="N55" i="70"/>
  <c r="G55" i="70" s="1"/>
  <c r="O44" i="70"/>
  <c r="N44" i="70"/>
  <c r="N38" i="70"/>
  <c r="G38" i="70" s="1"/>
  <c r="H38" i="70" s="1"/>
  <c r="N42" i="70"/>
  <c r="N53" i="70"/>
  <c r="G180" i="70"/>
  <c r="O36" i="70"/>
  <c r="G36" i="70" s="1"/>
  <c r="H36" i="70" s="1"/>
  <c r="O42" i="70"/>
  <c r="O53" i="70"/>
  <c r="AS31" i="15"/>
  <c r="AS33" i="15" s="1"/>
  <c r="H49" i="70" l="1"/>
  <c r="H55" i="70"/>
  <c r="AT13" i="15"/>
  <c r="H52" i="70"/>
  <c r="AT11" i="15"/>
  <c r="AT23" i="15"/>
  <c r="AT17" i="15"/>
  <c r="AT21" i="15"/>
  <c r="G44" i="70"/>
  <c r="H44" i="70" s="1"/>
  <c r="G48" i="70"/>
  <c r="H48" i="70" s="1"/>
  <c r="G29" i="70"/>
  <c r="H29" i="70" s="1"/>
  <c r="G42" i="70"/>
  <c r="H42" i="70" s="1"/>
  <c r="G32" i="70"/>
  <c r="H32" i="70" s="1"/>
  <c r="G53" i="70"/>
  <c r="G50" i="70"/>
  <c r="H50" i="70" s="1"/>
  <c r="D9" i="70"/>
  <c r="D8" i="70"/>
  <c r="H18" i="70"/>
  <c r="D5" i="70"/>
  <c r="B48" i="70"/>
  <c r="B51" i="70"/>
  <c r="D30" i="69"/>
  <c r="C30" i="69"/>
  <c r="B30" i="69"/>
  <c r="D6" i="70" l="1"/>
  <c r="D10" i="70"/>
  <c r="D7" i="70"/>
  <c r="AT9" i="15"/>
  <c r="G184" i="70"/>
  <c r="D11" i="70" s="1"/>
  <c r="AT15" i="15"/>
  <c r="B49" i="70"/>
  <c r="B52" i="70"/>
  <c r="B53" i="70" s="1"/>
  <c r="B54" i="70" s="1"/>
  <c r="B55" i="70" s="1"/>
  <c r="B56" i="70" s="1"/>
  <c r="B57" i="70" s="1"/>
  <c r="B58" i="70" s="1"/>
  <c r="B59" i="70" s="1"/>
  <c r="B60" i="70" s="1"/>
  <c r="B61" i="70" s="1"/>
  <c r="B62" i="70" s="1"/>
  <c r="B63" i="70" s="1"/>
  <c r="B64" i="70" s="1"/>
  <c r="B65" i="70" s="1"/>
  <c r="B66" i="70" s="1"/>
  <c r="B67" i="70" s="1"/>
  <c r="B68" i="70" s="1"/>
  <c r="B69" i="70" s="1"/>
  <c r="B70" i="70" s="1"/>
  <c r="B71" i="70" s="1"/>
  <c r="B72" i="70" s="1"/>
  <c r="B73" i="70" s="1"/>
  <c r="B74" i="70" s="1"/>
  <c r="B75" i="70" s="1"/>
  <c r="B76" i="70" s="1"/>
  <c r="B77" i="70" s="1"/>
  <c r="B78" i="70" s="1"/>
  <c r="B79" i="70" s="1"/>
  <c r="B80" i="70" s="1"/>
  <c r="B81" i="70" s="1"/>
  <c r="B82" i="70" s="1"/>
  <c r="B83" i="70" s="1"/>
  <c r="B84" i="70" s="1"/>
  <c r="B85" i="70" s="1"/>
  <c r="B86" i="70" s="1"/>
  <c r="B87" i="70" s="1"/>
  <c r="B88" i="70" s="1"/>
  <c r="B89" i="70" s="1"/>
  <c r="B90" i="70" s="1"/>
  <c r="B91" i="70" s="1"/>
  <c r="B92" i="70" s="1"/>
  <c r="B93" i="70" s="1"/>
  <c r="B94" i="70" s="1"/>
  <c r="B95" i="70" s="1"/>
  <c r="B96" i="70" s="1"/>
  <c r="B97" i="70" s="1"/>
  <c r="B98" i="70" s="1"/>
  <c r="B99" i="70" s="1"/>
  <c r="B100" i="70" s="1"/>
  <c r="B101" i="70" s="1"/>
  <c r="B102" i="70" s="1"/>
  <c r="B103" i="70" s="1"/>
  <c r="B104" i="70" s="1"/>
  <c r="B105" i="70" s="1"/>
  <c r="B106" i="70" s="1"/>
  <c r="B107" i="70" s="1"/>
  <c r="B108" i="70" s="1"/>
  <c r="B109" i="70" s="1"/>
  <c r="B110" i="70" s="1"/>
  <c r="B111" i="70" s="1"/>
  <c r="B112" i="70" s="1"/>
  <c r="B113" i="70" s="1"/>
  <c r="B114" i="70" s="1"/>
  <c r="B115" i="70" s="1"/>
  <c r="B116" i="70" s="1"/>
  <c r="B117" i="70" s="1"/>
  <c r="B118" i="70" s="1"/>
  <c r="B119" i="70" s="1"/>
  <c r="B120" i="70" s="1"/>
  <c r="B121" i="70" s="1"/>
  <c r="B122" i="70" s="1"/>
  <c r="B123" i="70" s="1"/>
  <c r="B124" i="70" s="1"/>
  <c r="B125" i="70" s="1"/>
  <c r="B126" i="70" s="1"/>
  <c r="B127" i="70" s="1"/>
  <c r="B128" i="70" s="1"/>
  <c r="B129" i="70" s="1"/>
  <c r="B130" i="70" s="1"/>
  <c r="B131" i="70" s="1"/>
  <c r="B132" i="70" s="1"/>
  <c r="B133" i="70" s="1"/>
  <c r="B134" i="70" s="1"/>
  <c r="B135" i="70" s="1"/>
  <c r="B136" i="70" s="1"/>
  <c r="B137" i="70" s="1"/>
  <c r="B138" i="70" s="1"/>
  <c r="B139" i="70" s="1"/>
  <c r="B140" i="70" s="1"/>
  <c r="B141" i="70" s="1"/>
  <c r="B142" i="70" s="1"/>
  <c r="B143" i="70" s="1"/>
  <c r="B144" i="70" s="1"/>
  <c r="B145" i="70" s="1"/>
  <c r="B146" i="70" s="1"/>
  <c r="B147" i="70" s="1"/>
  <c r="B148" i="70" s="1"/>
  <c r="B149" i="70" s="1"/>
  <c r="B150" i="70" s="1"/>
  <c r="B151" i="70" s="1"/>
  <c r="B152" i="70" s="1"/>
  <c r="B153" i="70" s="1"/>
  <c r="B154" i="70" s="1"/>
  <c r="B155" i="70" s="1"/>
  <c r="B156" i="70" s="1"/>
  <c r="B157" i="70" s="1"/>
  <c r="B158" i="70" s="1"/>
  <c r="B159" i="70" s="1"/>
  <c r="B160" i="70" s="1"/>
  <c r="B161" i="70" s="1"/>
  <c r="B162" i="70" s="1"/>
  <c r="B163" i="70" s="1"/>
  <c r="B164" i="70" s="1"/>
  <c r="B165" i="70" s="1"/>
  <c r="B166" i="70" s="1"/>
  <c r="B167" i="70" s="1"/>
  <c r="B168" i="70" s="1"/>
  <c r="B169" i="70" s="1"/>
  <c r="B170" i="70" s="1"/>
  <c r="B171" i="70" s="1"/>
  <c r="B172" i="70" s="1"/>
  <c r="B173" i="70" s="1"/>
  <c r="B174" i="70" s="1"/>
  <c r="B175" i="70" s="1"/>
  <c r="B176" i="70" s="1"/>
  <c r="B177" i="70" s="1"/>
  <c r="B178" i="70" s="1"/>
  <c r="B179" i="70" s="1"/>
  <c r="B180" i="70" s="1"/>
  <c r="B181" i="70" s="1"/>
  <c r="B182" i="70" s="1"/>
  <c r="D36" i="69"/>
  <c r="D37" i="69" s="1"/>
  <c r="C36" i="69"/>
  <c r="C37" i="69" s="1"/>
  <c r="B36" i="69"/>
  <c r="B37" i="69" s="1"/>
  <c r="D10" i="69"/>
  <c r="D11" i="69" s="1"/>
  <c r="C10" i="69"/>
  <c r="B10" i="69"/>
  <c r="C1" i="69"/>
  <c r="C11" i="69" s="1"/>
  <c r="B1" i="69"/>
  <c r="B11" i="69" s="1"/>
  <c r="C13" i="69" l="1"/>
  <c r="AS38" i="15"/>
  <c r="AS22" i="15"/>
  <c r="AS21" i="15"/>
  <c r="AS20" i="15"/>
  <c r="AS18" i="15"/>
  <c r="AS16" i="15"/>
  <c r="AS14" i="15"/>
  <c r="AS12" i="15"/>
  <c r="AS10" i="15"/>
  <c r="AS8" i="15"/>
  <c r="AS5" i="15"/>
  <c r="E184" i="68"/>
  <c r="P182" i="68"/>
  <c r="M182" i="68"/>
  <c r="O182" i="68" s="1"/>
  <c r="P181" i="68"/>
  <c r="M181" i="68"/>
  <c r="O181" i="68" s="1"/>
  <c r="P180" i="68"/>
  <c r="M180" i="68"/>
  <c r="O180" i="68" s="1"/>
  <c r="P179" i="68"/>
  <c r="M179" i="68"/>
  <c r="P178" i="68"/>
  <c r="M178" i="68"/>
  <c r="O178" i="68" s="1"/>
  <c r="P177" i="68"/>
  <c r="M177" i="68"/>
  <c r="P176" i="68"/>
  <c r="M176" i="68"/>
  <c r="O176" i="68" s="1"/>
  <c r="P175" i="68"/>
  <c r="M175" i="68"/>
  <c r="P174" i="68"/>
  <c r="M174" i="68"/>
  <c r="O174" i="68" s="1"/>
  <c r="P173" i="68"/>
  <c r="N173" i="68"/>
  <c r="M173" i="68"/>
  <c r="P172" i="68"/>
  <c r="M172" i="68"/>
  <c r="O172" i="68" s="1"/>
  <c r="P171" i="68"/>
  <c r="M171" i="68"/>
  <c r="N171" i="68" s="1"/>
  <c r="P170" i="68"/>
  <c r="M170" i="68"/>
  <c r="O170" i="68" s="1"/>
  <c r="P169" i="68"/>
  <c r="O169" i="68"/>
  <c r="M169" i="68"/>
  <c r="P168" i="68"/>
  <c r="M168" i="68"/>
  <c r="O168" i="68" s="1"/>
  <c r="P167" i="68"/>
  <c r="M167" i="68"/>
  <c r="P166" i="68"/>
  <c r="M166" i="68"/>
  <c r="O166" i="68" s="1"/>
  <c r="P165" i="68"/>
  <c r="M165" i="68"/>
  <c r="P164" i="68"/>
  <c r="M164" i="68"/>
  <c r="O164" i="68" s="1"/>
  <c r="P163" i="68"/>
  <c r="M163" i="68"/>
  <c r="P162" i="68"/>
  <c r="M162" i="68"/>
  <c r="O162" i="68" s="1"/>
  <c r="P161" i="68"/>
  <c r="M161" i="68"/>
  <c r="O161" i="68" s="1"/>
  <c r="P160" i="68"/>
  <c r="M160" i="68"/>
  <c r="O160" i="68" s="1"/>
  <c r="P159" i="68"/>
  <c r="O159" i="68"/>
  <c r="M159" i="68"/>
  <c r="P158" i="68"/>
  <c r="M158" i="68"/>
  <c r="O158" i="68" s="1"/>
  <c r="P157" i="68"/>
  <c r="M157" i="68"/>
  <c r="P156" i="68"/>
  <c r="M156" i="68"/>
  <c r="O156" i="68" s="1"/>
  <c r="P155" i="68"/>
  <c r="M155" i="68"/>
  <c r="P154" i="68"/>
  <c r="M154" i="68"/>
  <c r="O154" i="68" s="1"/>
  <c r="P153" i="68"/>
  <c r="M153" i="68"/>
  <c r="P152" i="68"/>
  <c r="M152" i="68"/>
  <c r="O152" i="68" s="1"/>
  <c r="P151" i="68"/>
  <c r="M151" i="68"/>
  <c r="N151" i="68" s="1"/>
  <c r="P150" i="68"/>
  <c r="M150" i="68"/>
  <c r="O150" i="68" s="1"/>
  <c r="P149" i="68"/>
  <c r="N149" i="68"/>
  <c r="M149" i="68"/>
  <c r="P148" i="68"/>
  <c r="M148" i="68"/>
  <c r="O148" i="68" s="1"/>
  <c r="P147" i="68"/>
  <c r="M147" i="68"/>
  <c r="P146" i="68"/>
  <c r="M146" i="68"/>
  <c r="O146" i="68" s="1"/>
  <c r="P145" i="68"/>
  <c r="M145" i="68"/>
  <c r="O145" i="68" s="1"/>
  <c r="P144" i="68"/>
  <c r="M144" i="68"/>
  <c r="O144" i="68" s="1"/>
  <c r="P143" i="68"/>
  <c r="N143" i="68"/>
  <c r="M143" i="68"/>
  <c r="P142" i="68"/>
  <c r="M142" i="68"/>
  <c r="O142" i="68" s="1"/>
  <c r="P141" i="68"/>
  <c r="M141" i="68"/>
  <c r="P140" i="68"/>
  <c r="M140" i="68"/>
  <c r="O140" i="68" s="1"/>
  <c r="P139" i="68"/>
  <c r="M139" i="68"/>
  <c r="P138" i="68"/>
  <c r="M138" i="68"/>
  <c r="O138" i="68" s="1"/>
  <c r="P137" i="68"/>
  <c r="M137" i="68"/>
  <c r="N137" i="68" s="1"/>
  <c r="P136" i="68"/>
  <c r="M136" i="68"/>
  <c r="O136" i="68" s="1"/>
  <c r="P135" i="68"/>
  <c r="M135" i="68"/>
  <c r="P134" i="68"/>
  <c r="M134" i="68"/>
  <c r="O134" i="68" s="1"/>
  <c r="P133" i="68"/>
  <c r="M133" i="68"/>
  <c r="O133" i="68" s="1"/>
  <c r="P132" i="68"/>
  <c r="M132" i="68"/>
  <c r="O132" i="68" s="1"/>
  <c r="P131" i="68"/>
  <c r="M131" i="68"/>
  <c r="N131" i="68" s="1"/>
  <c r="P130" i="68"/>
  <c r="M130" i="68"/>
  <c r="O130" i="68" s="1"/>
  <c r="P129" i="68"/>
  <c r="M129" i="68"/>
  <c r="P128" i="68"/>
  <c r="M128" i="68"/>
  <c r="O128" i="68" s="1"/>
  <c r="P127" i="68"/>
  <c r="M127" i="68"/>
  <c r="N127" i="68" s="1"/>
  <c r="P126" i="68"/>
  <c r="M126" i="68"/>
  <c r="O126" i="68" s="1"/>
  <c r="P125" i="68"/>
  <c r="M125" i="68"/>
  <c r="N125" i="68" s="1"/>
  <c r="P124" i="68"/>
  <c r="M124" i="68"/>
  <c r="O124" i="68" s="1"/>
  <c r="P123" i="68"/>
  <c r="M123" i="68"/>
  <c r="P122" i="68"/>
  <c r="M122" i="68"/>
  <c r="O122" i="68" s="1"/>
  <c r="P121" i="68"/>
  <c r="M121" i="68"/>
  <c r="P120" i="68"/>
  <c r="M120" i="68"/>
  <c r="O120" i="68" s="1"/>
  <c r="P119" i="68"/>
  <c r="M119" i="68"/>
  <c r="N119" i="68" s="1"/>
  <c r="P118" i="68"/>
  <c r="M118" i="68"/>
  <c r="O118" i="68" s="1"/>
  <c r="P117" i="68"/>
  <c r="M117" i="68"/>
  <c r="P116" i="68"/>
  <c r="M116" i="68"/>
  <c r="O116" i="68" s="1"/>
  <c r="P115" i="68"/>
  <c r="M115" i="68"/>
  <c r="P114" i="68"/>
  <c r="M114" i="68"/>
  <c r="O114" i="68" s="1"/>
  <c r="P113" i="68"/>
  <c r="M113" i="68"/>
  <c r="N113" i="68" s="1"/>
  <c r="P112" i="68"/>
  <c r="M112" i="68"/>
  <c r="O112" i="68" s="1"/>
  <c r="P111" i="68"/>
  <c r="M111" i="68"/>
  <c r="P110" i="68"/>
  <c r="M110" i="68"/>
  <c r="O110" i="68" s="1"/>
  <c r="P109" i="68"/>
  <c r="M109" i="68"/>
  <c r="O109" i="68" s="1"/>
  <c r="P108" i="68"/>
  <c r="M108" i="68"/>
  <c r="O108" i="68" s="1"/>
  <c r="P107" i="68"/>
  <c r="M107" i="68"/>
  <c r="N107" i="68" s="1"/>
  <c r="P106" i="68"/>
  <c r="M106" i="68"/>
  <c r="O106" i="68" s="1"/>
  <c r="P105" i="68"/>
  <c r="M105" i="68"/>
  <c r="P104" i="68"/>
  <c r="M104" i="68"/>
  <c r="O104" i="68" s="1"/>
  <c r="P103" i="68"/>
  <c r="M103" i="68"/>
  <c r="O103" i="68" s="1"/>
  <c r="P102" i="68"/>
  <c r="M102" i="68"/>
  <c r="O102" i="68" s="1"/>
  <c r="P101" i="68"/>
  <c r="M101" i="68"/>
  <c r="N101" i="68" s="1"/>
  <c r="P100" i="68"/>
  <c r="M100" i="68"/>
  <c r="O100" i="68" s="1"/>
  <c r="P99" i="68"/>
  <c r="M99" i="68"/>
  <c r="P98" i="68"/>
  <c r="M98" i="68"/>
  <c r="O98" i="68" s="1"/>
  <c r="P97" i="68"/>
  <c r="M97" i="68"/>
  <c r="N97" i="68" s="1"/>
  <c r="P96" i="68"/>
  <c r="M96" i="68"/>
  <c r="O96" i="68" s="1"/>
  <c r="P95" i="68"/>
  <c r="M95" i="68"/>
  <c r="N95" i="68" s="1"/>
  <c r="P94" i="68"/>
  <c r="M94" i="68"/>
  <c r="O94" i="68" s="1"/>
  <c r="P93" i="68"/>
  <c r="M93" i="68"/>
  <c r="P92" i="68"/>
  <c r="M92" i="68"/>
  <c r="O92" i="68" s="1"/>
  <c r="P91" i="68"/>
  <c r="M91" i="68"/>
  <c r="P90" i="68"/>
  <c r="M90" i="68"/>
  <c r="O90" i="68" s="1"/>
  <c r="P89" i="68"/>
  <c r="M89" i="68"/>
  <c r="N89" i="68" s="1"/>
  <c r="P88" i="68"/>
  <c r="M88" i="68"/>
  <c r="O88" i="68" s="1"/>
  <c r="P87" i="68"/>
  <c r="M87" i="68"/>
  <c r="P86" i="68"/>
  <c r="M86" i="68"/>
  <c r="O86" i="68" s="1"/>
  <c r="P85" i="68"/>
  <c r="M85" i="68"/>
  <c r="O85" i="68" s="1"/>
  <c r="P84" i="68"/>
  <c r="M84" i="68"/>
  <c r="O84" i="68" s="1"/>
  <c r="P83" i="68"/>
  <c r="M83" i="68"/>
  <c r="N83" i="68" s="1"/>
  <c r="P82" i="68"/>
  <c r="M82" i="68"/>
  <c r="O82" i="68" s="1"/>
  <c r="P81" i="68"/>
  <c r="M81" i="68"/>
  <c r="P80" i="68"/>
  <c r="M80" i="68"/>
  <c r="O80" i="68" s="1"/>
  <c r="P79" i="68"/>
  <c r="M79" i="68"/>
  <c r="P78" i="68"/>
  <c r="M78" i="68"/>
  <c r="O78" i="68" s="1"/>
  <c r="P77" i="68"/>
  <c r="M77" i="68"/>
  <c r="N77" i="68" s="1"/>
  <c r="P76" i="68"/>
  <c r="M76" i="68"/>
  <c r="O76" i="68" s="1"/>
  <c r="P75" i="68"/>
  <c r="M75" i="68"/>
  <c r="P74" i="68"/>
  <c r="M74" i="68"/>
  <c r="O74" i="68" s="1"/>
  <c r="P73" i="68"/>
  <c r="M73" i="68"/>
  <c r="O73" i="68" s="1"/>
  <c r="P72" i="68"/>
  <c r="M72" i="68"/>
  <c r="O72" i="68" s="1"/>
  <c r="P71" i="68"/>
  <c r="M71" i="68"/>
  <c r="N71" i="68" s="1"/>
  <c r="P70" i="68"/>
  <c r="M70" i="68"/>
  <c r="O70" i="68" s="1"/>
  <c r="P69" i="68"/>
  <c r="M69" i="68"/>
  <c r="P68" i="68"/>
  <c r="M68" i="68"/>
  <c r="O68" i="68" s="1"/>
  <c r="P67" i="68"/>
  <c r="M67" i="68"/>
  <c r="O67" i="68" s="1"/>
  <c r="P66" i="68"/>
  <c r="M66" i="68"/>
  <c r="O66" i="68" s="1"/>
  <c r="P65" i="68"/>
  <c r="M65" i="68"/>
  <c r="N65" i="68" s="1"/>
  <c r="P64" i="68"/>
  <c r="M64" i="68"/>
  <c r="O64" i="68" s="1"/>
  <c r="P63" i="68"/>
  <c r="M63" i="68"/>
  <c r="P62" i="68"/>
  <c r="M62" i="68"/>
  <c r="O62" i="68" s="1"/>
  <c r="P61" i="68"/>
  <c r="M61" i="68"/>
  <c r="O61" i="68" s="1"/>
  <c r="P60" i="68"/>
  <c r="M60" i="68"/>
  <c r="O60" i="68" s="1"/>
  <c r="P59" i="68"/>
  <c r="M59" i="68"/>
  <c r="N59" i="68" s="1"/>
  <c r="P58" i="68"/>
  <c r="M58" i="68"/>
  <c r="P57" i="68"/>
  <c r="M57" i="68"/>
  <c r="O57" i="68" s="1"/>
  <c r="P56" i="68"/>
  <c r="M56" i="68"/>
  <c r="O56" i="68" s="1"/>
  <c r="P55" i="68"/>
  <c r="M55" i="68"/>
  <c r="N55" i="68" s="1"/>
  <c r="P54" i="68"/>
  <c r="M54" i="68"/>
  <c r="O54" i="68" s="1"/>
  <c r="P53" i="68"/>
  <c r="M53" i="68"/>
  <c r="O53" i="68" s="1"/>
  <c r="P52" i="68"/>
  <c r="M52" i="68"/>
  <c r="P51" i="68"/>
  <c r="M51" i="68"/>
  <c r="O51" i="68" s="1"/>
  <c r="P50" i="68"/>
  <c r="M50" i="68"/>
  <c r="P49" i="68"/>
  <c r="M49" i="68"/>
  <c r="N49" i="68" s="1"/>
  <c r="P48" i="68"/>
  <c r="M48" i="68"/>
  <c r="N48" i="68" s="1"/>
  <c r="P47" i="68"/>
  <c r="M47" i="68"/>
  <c r="P46" i="68"/>
  <c r="M46" i="68"/>
  <c r="O46" i="68" s="1"/>
  <c r="P45" i="68"/>
  <c r="M45" i="68"/>
  <c r="O45" i="68" s="1"/>
  <c r="P44" i="68"/>
  <c r="M44" i="68"/>
  <c r="P43" i="68"/>
  <c r="M43" i="68"/>
  <c r="O43" i="68" s="1"/>
  <c r="P42" i="68"/>
  <c r="M42" i="68"/>
  <c r="O42" i="68" s="1"/>
  <c r="P41" i="68"/>
  <c r="M41" i="68"/>
  <c r="O41" i="68" s="1"/>
  <c r="P40" i="68"/>
  <c r="M40" i="68"/>
  <c r="P39" i="68"/>
  <c r="M39" i="68"/>
  <c r="O39" i="68" s="1"/>
  <c r="P38" i="68"/>
  <c r="M38" i="68"/>
  <c r="P37" i="68"/>
  <c r="M37" i="68"/>
  <c r="O37" i="68" s="1"/>
  <c r="P36" i="68"/>
  <c r="M36" i="68"/>
  <c r="O36" i="68" s="1"/>
  <c r="P35" i="68"/>
  <c r="M35" i="68"/>
  <c r="O35" i="68" s="1"/>
  <c r="P34" i="68"/>
  <c r="M34" i="68"/>
  <c r="O34" i="68" s="1"/>
  <c r="P33" i="68"/>
  <c r="M33" i="68"/>
  <c r="O33" i="68" s="1"/>
  <c r="P32" i="68"/>
  <c r="M32" i="68"/>
  <c r="P31" i="68"/>
  <c r="M31" i="68"/>
  <c r="O31" i="68" s="1"/>
  <c r="P30" i="68"/>
  <c r="M30" i="68"/>
  <c r="O30" i="68" s="1"/>
  <c r="P29" i="68"/>
  <c r="M29" i="68"/>
  <c r="O29" i="68" s="1"/>
  <c r="P28" i="68"/>
  <c r="M28" i="68"/>
  <c r="N28" i="68" s="1"/>
  <c r="P27" i="68"/>
  <c r="M27" i="68"/>
  <c r="O27" i="68" s="1"/>
  <c r="P26" i="68"/>
  <c r="M26" i="68"/>
  <c r="N26" i="68" s="1"/>
  <c r="P25" i="68"/>
  <c r="M25" i="68"/>
  <c r="O25" i="68" s="1"/>
  <c r="P24" i="68"/>
  <c r="M24" i="68"/>
  <c r="O24" i="68" s="1"/>
  <c r="P23" i="68"/>
  <c r="M23" i="68"/>
  <c r="O23" i="68" s="1"/>
  <c r="P22" i="68"/>
  <c r="M22" i="68"/>
  <c r="O22" i="68" s="1"/>
  <c r="P21" i="68"/>
  <c r="M21" i="68"/>
  <c r="P20" i="68"/>
  <c r="M20" i="68"/>
  <c r="B20" i="68"/>
  <c r="B21" i="68" s="1"/>
  <c r="B22" i="68" s="1"/>
  <c r="B23" i="68" s="1"/>
  <c r="B24" i="68" s="1"/>
  <c r="B25" i="68" s="1"/>
  <c r="B26" i="68" s="1"/>
  <c r="B27" i="68" s="1"/>
  <c r="B28" i="68" s="1"/>
  <c r="B29" i="68" s="1"/>
  <c r="B30" i="68" s="1"/>
  <c r="B31" i="68" s="1"/>
  <c r="B32" i="68" s="1"/>
  <c r="B33" i="68" s="1"/>
  <c r="B34" i="68" s="1"/>
  <c r="B35" i="68" s="1"/>
  <c r="B36" i="68" s="1"/>
  <c r="B37" i="68" s="1"/>
  <c r="B38" i="68" s="1"/>
  <c r="B39" i="68" s="1"/>
  <c r="B40" i="68" s="1"/>
  <c r="B41" i="68" s="1"/>
  <c r="B42" i="68" s="1"/>
  <c r="B43" i="68" s="1"/>
  <c r="B44" i="68" s="1"/>
  <c r="B45" i="68" s="1"/>
  <c r="B46" i="68" s="1"/>
  <c r="P19" i="68"/>
  <c r="M19" i="68"/>
  <c r="N19" i="68" s="1"/>
  <c r="P18" i="68"/>
  <c r="M18" i="68"/>
  <c r="N18" i="68" s="1"/>
  <c r="B18" i="68"/>
  <c r="B19" i="68" s="1"/>
  <c r="AR31" i="15"/>
  <c r="O19" i="68" l="1"/>
  <c r="G19" i="68" s="1"/>
  <c r="H19" i="68" s="1"/>
  <c r="N24" i="68"/>
  <c r="G24" i="68" s="1"/>
  <c r="H24" i="68" s="1"/>
  <c r="N43" i="68"/>
  <c r="G43" i="68" s="1"/>
  <c r="H43" i="68" s="1"/>
  <c r="O38" i="68"/>
  <c r="O48" i="68"/>
  <c r="G48" i="68" s="1"/>
  <c r="N54" i="68"/>
  <c r="G54" i="68" s="1"/>
  <c r="N36" i="68"/>
  <c r="G36" i="68" s="1"/>
  <c r="H36" i="68" s="1"/>
  <c r="O26" i="68"/>
  <c r="G26" i="68" s="1"/>
  <c r="H26" i="68" s="1"/>
  <c r="O50" i="68"/>
  <c r="G50" i="68" s="1"/>
  <c r="H50" i="68" s="1"/>
  <c r="O18" i="68"/>
  <c r="G18" i="68" s="1"/>
  <c r="H18" i="68" s="1"/>
  <c r="O55" i="68"/>
  <c r="G55" i="68" s="1"/>
  <c r="H55" i="68" s="1"/>
  <c r="N38" i="68"/>
  <c r="G38" i="68" s="1"/>
  <c r="H38" i="68" s="1"/>
  <c r="N57" i="68"/>
  <c r="G57" i="68" s="1"/>
  <c r="N31" i="68"/>
  <c r="G31" i="68" s="1"/>
  <c r="H31" i="68" s="1"/>
  <c r="N50" i="68"/>
  <c r="B47" i="68"/>
  <c r="B50" i="68"/>
  <c r="O47" i="68"/>
  <c r="N47" i="68"/>
  <c r="O69" i="68"/>
  <c r="N69" i="68"/>
  <c r="G69" i="68" s="1"/>
  <c r="O105" i="68"/>
  <c r="N105" i="68"/>
  <c r="G141" i="68"/>
  <c r="O141" i="68"/>
  <c r="N141" i="68"/>
  <c r="O173" i="68"/>
  <c r="G173" i="68" s="1"/>
  <c r="O117" i="68"/>
  <c r="N117" i="68"/>
  <c r="G117" i="68" s="1"/>
  <c r="N87" i="68"/>
  <c r="O87" i="68"/>
  <c r="O52" i="68"/>
  <c r="N52" i="68"/>
  <c r="G52" i="68" s="1"/>
  <c r="O153" i="68"/>
  <c r="N153" i="68"/>
  <c r="G153" i="68" s="1"/>
  <c r="O123" i="68"/>
  <c r="N123" i="68"/>
  <c r="O93" i="68"/>
  <c r="N93" i="68"/>
  <c r="O129" i="68"/>
  <c r="N129" i="68"/>
  <c r="G129" i="68" s="1"/>
  <c r="N147" i="68"/>
  <c r="G147" i="68" s="1"/>
  <c r="O147" i="68"/>
  <c r="O81" i="68"/>
  <c r="N81" i="68"/>
  <c r="O49" i="68"/>
  <c r="G49" i="68"/>
  <c r="H49" i="68" s="1"/>
  <c r="N75" i="68"/>
  <c r="O75" i="68"/>
  <c r="O111" i="68"/>
  <c r="N111" i="68"/>
  <c r="G111" i="68" s="1"/>
  <c r="N44" i="68"/>
  <c r="O44" i="68"/>
  <c r="O63" i="68"/>
  <c r="N63" i="68"/>
  <c r="O99" i="68"/>
  <c r="N99" i="68"/>
  <c r="G99" i="68" s="1"/>
  <c r="O135" i="68"/>
  <c r="N135" i="68"/>
  <c r="G177" i="68"/>
  <c r="N40" i="68"/>
  <c r="N181" i="68"/>
  <c r="N30" i="68"/>
  <c r="G30" i="68" s="1"/>
  <c r="N20" i="68"/>
  <c r="O20" i="68"/>
  <c r="O97" i="68"/>
  <c r="G97" i="68" s="1"/>
  <c r="O121" i="68"/>
  <c r="O127" i="68"/>
  <c r="G127" i="68" s="1"/>
  <c r="O139" i="68"/>
  <c r="O151" i="68"/>
  <c r="G155" i="68"/>
  <c r="N161" i="68"/>
  <c r="O171" i="68"/>
  <c r="N32" i="68"/>
  <c r="O32" i="68"/>
  <c r="N45" i="68"/>
  <c r="G45" i="68" s="1"/>
  <c r="H45" i="68" s="1"/>
  <c r="G145" i="68"/>
  <c r="N61" i="68"/>
  <c r="G61" i="68" s="1"/>
  <c r="N109" i="68"/>
  <c r="G109" i="68" s="1"/>
  <c r="N121" i="68"/>
  <c r="G121" i="68" s="1"/>
  <c r="N133" i="68"/>
  <c r="G133" i="68" s="1"/>
  <c r="N25" i="68"/>
  <c r="G25" i="68" s="1"/>
  <c r="H25" i="68" s="1"/>
  <c r="O79" i="68"/>
  <c r="O91" i="68"/>
  <c r="O115" i="68"/>
  <c r="N23" i="68"/>
  <c r="G23" i="68" s="1"/>
  <c r="H23" i="68" s="1"/>
  <c r="N155" i="68"/>
  <c r="G165" i="68"/>
  <c r="N175" i="68"/>
  <c r="G175" i="68" s="1"/>
  <c r="N42" i="68"/>
  <c r="G42" i="68" s="1"/>
  <c r="H42" i="68" s="1"/>
  <c r="O163" i="68"/>
  <c r="N177" i="68"/>
  <c r="O177" i="68"/>
  <c r="G151" i="68"/>
  <c r="O167" i="68"/>
  <c r="N145" i="68"/>
  <c r="N33" i="68"/>
  <c r="G33" i="68" s="1"/>
  <c r="H33" i="68" s="1"/>
  <c r="N58" i="68"/>
  <c r="O58" i="68"/>
  <c r="O28" i="68"/>
  <c r="G28" i="68" s="1"/>
  <c r="H28" i="68" s="1"/>
  <c r="O155" i="68"/>
  <c r="N165" i="68"/>
  <c r="O175" i="68"/>
  <c r="N163" i="68"/>
  <c r="G163" i="68" s="1"/>
  <c r="N37" i="68"/>
  <c r="G37" i="68" s="1"/>
  <c r="H37" i="68" s="1"/>
  <c r="N157" i="68"/>
  <c r="G157" i="68" s="1"/>
  <c r="G181" i="68"/>
  <c r="N35" i="68"/>
  <c r="G35" i="68" s="1"/>
  <c r="H35" i="68" s="1"/>
  <c r="O157" i="68"/>
  <c r="O40" i="68"/>
  <c r="N73" i="68"/>
  <c r="G73" i="68" s="1"/>
  <c r="N79" i="68"/>
  <c r="N91" i="68"/>
  <c r="N103" i="68"/>
  <c r="G103" i="68" s="1"/>
  <c r="N115" i="68"/>
  <c r="G161" i="68"/>
  <c r="N21" i="68"/>
  <c r="N56" i="68"/>
  <c r="G56" i="68" s="1"/>
  <c r="AS19" i="15" s="1"/>
  <c r="O165" i="68"/>
  <c r="N179" i="68"/>
  <c r="N167" i="68"/>
  <c r="G167" i="68" s="1"/>
  <c r="G171" i="68"/>
  <c r="N67" i="68"/>
  <c r="G67" i="68" s="1"/>
  <c r="N85" i="68"/>
  <c r="G85" i="68" s="1"/>
  <c r="N139" i="68"/>
  <c r="O21" i="68"/>
  <c r="O59" i="68"/>
  <c r="G59" i="68" s="1"/>
  <c r="H59" i="68" s="1"/>
  <c r="O65" i="68"/>
  <c r="G65" i="68" s="1"/>
  <c r="O71" i="68"/>
  <c r="G71" i="68" s="1"/>
  <c r="O77" i="68"/>
  <c r="G77" i="68" s="1"/>
  <c r="O83" i="68"/>
  <c r="G83" i="68" s="1"/>
  <c r="O89" i="68"/>
  <c r="G89" i="68" s="1"/>
  <c r="O95" i="68"/>
  <c r="G95" i="68" s="1"/>
  <c r="O101" i="68"/>
  <c r="G101" i="68" s="1"/>
  <c r="O107" i="68"/>
  <c r="G107" i="68" s="1"/>
  <c r="O113" i="68"/>
  <c r="G113" i="68" s="1"/>
  <c r="O119" i="68"/>
  <c r="G119" i="68" s="1"/>
  <c r="O125" i="68"/>
  <c r="G125" i="68" s="1"/>
  <c r="O131" i="68"/>
  <c r="G131" i="68" s="1"/>
  <c r="O137" i="68"/>
  <c r="G137" i="68" s="1"/>
  <c r="O143" i="68"/>
  <c r="G143" i="68" s="1"/>
  <c r="O149" i="68"/>
  <c r="G149" i="68" s="1"/>
  <c r="N159" i="68"/>
  <c r="G159" i="68" s="1"/>
  <c r="N169" i="68"/>
  <c r="G169" i="68" s="1"/>
  <c r="O179" i="68"/>
  <c r="G179" i="68" s="1"/>
  <c r="N27" i="68"/>
  <c r="G27" i="68" s="1"/>
  <c r="H27" i="68" s="1"/>
  <c r="N39" i="68"/>
  <c r="G39" i="68" s="1"/>
  <c r="H39" i="68" s="1"/>
  <c r="N51" i="68"/>
  <c r="G51" i="68" s="1"/>
  <c r="H51" i="68" s="1"/>
  <c r="N60" i="68"/>
  <c r="G60" i="68" s="1"/>
  <c r="N62" i="68"/>
  <c r="G62" i="68" s="1"/>
  <c r="N64" i="68"/>
  <c r="G64" i="68" s="1"/>
  <c r="N66" i="68"/>
  <c r="G66" i="68" s="1"/>
  <c r="N68" i="68"/>
  <c r="G68" i="68" s="1"/>
  <c r="N70" i="68"/>
  <c r="G70" i="68" s="1"/>
  <c r="N72" i="68"/>
  <c r="G72" i="68" s="1"/>
  <c r="N74" i="68"/>
  <c r="G74" i="68" s="1"/>
  <c r="N76" i="68"/>
  <c r="G76" i="68" s="1"/>
  <c r="N78" i="68"/>
  <c r="G78" i="68" s="1"/>
  <c r="N80" i="68"/>
  <c r="G80" i="68" s="1"/>
  <c r="N82" i="68"/>
  <c r="G82" i="68" s="1"/>
  <c r="N84" i="68"/>
  <c r="G84" i="68" s="1"/>
  <c r="N86" i="68"/>
  <c r="G86" i="68" s="1"/>
  <c r="N88" i="68"/>
  <c r="G88" i="68" s="1"/>
  <c r="N90" i="68"/>
  <c r="G90" i="68" s="1"/>
  <c r="N92" i="68"/>
  <c r="G92" i="68" s="1"/>
  <c r="N94" i="68"/>
  <c r="G94" i="68" s="1"/>
  <c r="N96" i="68"/>
  <c r="G96" i="68" s="1"/>
  <c r="N98" i="68"/>
  <c r="G98" i="68" s="1"/>
  <c r="N100" i="68"/>
  <c r="G100" i="68" s="1"/>
  <c r="N102" i="68"/>
  <c r="G102" i="68" s="1"/>
  <c r="N104" i="68"/>
  <c r="G104" i="68" s="1"/>
  <c r="N106" i="68"/>
  <c r="G106" i="68" s="1"/>
  <c r="N108" i="68"/>
  <c r="G108" i="68" s="1"/>
  <c r="N110" i="68"/>
  <c r="G110" i="68" s="1"/>
  <c r="N112" i="68"/>
  <c r="G112" i="68" s="1"/>
  <c r="N114" i="68"/>
  <c r="G114" i="68" s="1"/>
  <c r="N116" i="68"/>
  <c r="G116" i="68" s="1"/>
  <c r="N118" i="68"/>
  <c r="G118" i="68" s="1"/>
  <c r="N120" i="68"/>
  <c r="G120" i="68" s="1"/>
  <c r="N122" i="68"/>
  <c r="G122" i="68" s="1"/>
  <c r="N124" i="68"/>
  <c r="G124" i="68" s="1"/>
  <c r="N126" i="68"/>
  <c r="G126" i="68" s="1"/>
  <c r="N128" i="68"/>
  <c r="G128" i="68" s="1"/>
  <c r="N130" i="68"/>
  <c r="G130" i="68" s="1"/>
  <c r="N132" i="68"/>
  <c r="G132" i="68" s="1"/>
  <c r="N134" i="68"/>
  <c r="G134" i="68" s="1"/>
  <c r="N136" i="68"/>
  <c r="G136" i="68" s="1"/>
  <c r="N138" i="68"/>
  <c r="G138" i="68" s="1"/>
  <c r="N140" i="68"/>
  <c r="G140" i="68" s="1"/>
  <c r="N142" i="68"/>
  <c r="G142" i="68" s="1"/>
  <c r="N144" i="68"/>
  <c r="G144" i="68" s="1"/>
  <c r="N146" i="68"/>
  <c r="G146" i="68" s="1"/>
  <c r="N148" i="68"/>
  <c r="G148" i="68" s="1"/>
  <c r="N150" i="68"/>
  <c r="G150" i="68" s="1"/>
  <c r="N152" i="68"/>
  <c r="G152" i="68" s="1"/>
  <c r="N154" i="68"/>
  <c r="G154" i="68" s="1"/>
  <c r="N156" i="68"/>
  <c r="G156" i="68" s="1"/>
  <c r="N158" i="68"/>
  <c r="G158" i="68" s="1"/>
  <c r="N160" i="68"/>
  <c r="G160" i="68" s="1"/>
  <c r="N162" i="68"/>
  <c r="G162" i="68" s="1"/>
  <c r="N164" i="68"/>
  <c r="G164" i="68" s="1"/>
  <c r="N166" i="68"/>
  <c r="G166" i="68" s="1"/>
  <c r="N168" i="68"/>
  <c r="G168" i="68" s="1"/>
  <c r="N170" i="68"/>
  <c r="G170" i="68" s="1"/>
  <c r="N172" i="68"/>
  <c r="G172" i="68" s="1"/>
  <c r="N174" i="68"/>
  <c r="G174" i="68" s="1"/>
  <c r="N176" i="68"/>
  <c r="G176" i="68" s="1"/>
  <c r="N178" i="68"/>
  <c r="G178" i="68" s="1"/>
  <c r="N180" i="68"/>
  <c r="G180" i="68" s="1"/>
  <c r="N182" i="68"/>
  <c r="G182" i="68" s="1"/>
  <c r="N22" i="68"/>
  <c r="G22" i="68" s="1"/>
  <c r="H22" i="68" s="1"/>
  <c r="N34" i="68"/>
  <c r="G34" i="68" s="1"/>
  <c r="H34" i="68" s="1"/>
  <c r="N46" i="68"/>
  <c r="G46" i="68" s="1"/>
  <c r="H46" i="68" s="1"/>
  <c r="N29" i="68"/>
  <c r="G29" i="68" s="1"/>
  <c r="H29" i="68" s="1"/>
  <c r="N41" i="68"/>
  <c r="G41" i="68" s="1"/>
  <c r="H41" i="68" s="1"/>
  <c r="N53" i="68"/>
  <c r="G53" i="68" s="1"/>
  <c r="H53" i="68" s="1"/>
  <c r="AS39" i="15"/>
  <c r="D31" i="61"/>
  <c r="AR38" i="15"/>
  <c r="H48" i="68" l="1"/>
  <c r="AS15" i="15"/>
  <c r="H54" i="68"/>
  <c r="AS13" i="15"/>
  <c r="H52" i="68"/>
  <c r="AS11" i="15"/>
  <c r="H30" i="68"/>
  <c r="G139" i="68"/>
  <c r="G105" i="68"/>
  <c r="G91" i="68"/>
  <c r="G79" i="68"/>
  <c r="G115" i="68"/>
  <c r="G93" i="68"/>
  <c r="G87" i="68"/>
  <c r="G40" i="68"/>
  <c r="H40" i="68" s="1"/>
  <c r="G135" i="68"/>
  <c r="G123" i="68"/>
  <c r="G81" i="68"/>
  <c r="G44" i="68"/>
  <c r="G63" i="68"/>
  <c r="G21" i="68"/>
  <c r="H21" i="68" s="1"/>
  <c r="G75" i="68"/>
  <c r="G47" i="68"/>
  <c r="G58" i="68"/>
  <c r="H58" i="68" s="1"/>
  <c r="G20" i="68"/>
  <c r="G32" i="68"/>
  <c r="H32" i="68" s="1"/>
  <c r="B48" i="68"/>
  <c r="B51" i="68"/>
  <c r="AR33" i="15"/>
  <c r="C31" i="61"/>
  <c r="F373" i="16"/>
  <c r="H47" i="68" l="1"/>
  <c r="AS17" i="15"/>
  <c r="AS9" i="15"/>
  <c r="H44" i="68"/>
  <c r="AS23" i="15"/>
  <c r="B52" i="68"/>
  <c r="B53" i="68" s="1"/>
  <c r="B54" i="68" s="1"/>
  <c r="B55" i="68" s="1"/>
  <c r="B56" i="68" s="1"/>
  <c r="B57" i="68" s="1"/>
  <c r="B58" i="68" s="1"/>
  <c r="B59" i="68" s="1"/>
  <c r="B60" i="68" s="1"/>
  <c r="B61" i="68" s="1"/>
  <c r="B62" i="68" s="1"/>
  <c r="B63" i="68" s="1"/>
  <c r="B64" i="68" s="1"/>
  <c r="B65" i="68" s="1"/>
  <c r="B66" i="68" s="1"/>
  <c r="B67" i="68" s="1"/>
  <c r="B68" i="68" s="1"/>
  <c r="B69" i="68" s="1"/>
  <c r="B70" i="68" s="1"/>
  <c r="B71" i="68" s="1"/>
  <c r="B72" i="68" s="1"/>
  <c r="B73" i="68" s="1"/>
  <c r="B74" i="68" s="1"/>
  <c r="B75" i="68" s="1"/>
  <c r="B76" i="68" s="1"/>
  <c r="B77" i="68" s="1"/>
  <c r="B78" i="68" s="1"/>
  <c r="B79" i="68" s="1"/>
  <c r="B80" i="68" s="1"/>
  <c r="B81" i="68" s="1"/>
  <c r="B82" i="68" s="1"/>
  <c r="B83" i="68" s="1"/>
  <c r="B84" i="68" s="1"/>
  <c r="B85" i="68" s="1"/>
  <c r="B86" i="68" s="1"/>
  <c r="B87" i="68" s="1"/>
  <c r="B88" i="68" s="1"/>
  <c r="B89" i="68" s="1"/>
  <c r="B90" i="68" s="1"/>
  <c r="B91" i="68" s="1"/>
  <c r="B92" i="68" s="1"/>
  <c r="B93" i="68" s="1"/>
  <c r="B94" i="68" s="1"/>
  <c r="B95" i="68" s="1"/>
  <c r="B96" i="68" s="1"/>
  <c r="B97" i="68" s="1"/>
  <c r="B98" i="68" s="1"/>
  <c r="B99" i="68" s="1"/>
  <c r="B100" i="68" s="1"/>
  <c r="B101" i="68" s="1"/>
  <c r="B102" i="68" s="1"/>
  <c r="B103" i="68" s="1"/>
  <c r="B104" i="68" s="1"/>
  <c r="B105" i="68" s="1"/>
  <c r="B106" i="68" s="1"/>
  <c r="B107" i="68" s="1"/>
  <c r="B108" i="68" s="1"/>
  <c r="B109" i="68" s="1"/>
  <c r="B110" i="68" s="1"/>
  <c r="B111" i="68" s="1"/>
  <c r="B112" i="68" s="1"/>
  <c r="B113" i="68" s="1"/>
  <c r="B114" i="68" s="1"/>
  <c r="B115" i="68" s="1"/>
  <c r="B116" i="68" s="1"/>
  <c r="B117" i="68" s="1"/>
  <c r="B118" i="68" s="1"/>
  <c r="B119" i="68" s="1"/>
  <c r="B120" i="68" s="1"/>
  <c r="B121" i="68" s="1"/>
  <c r="B122" i="68" s="1"/>
  <c r="B123" i="68" s="1"/>
  <c r="B124" i="68" s="1"/>
  <c r="B125" i="68" s="1"/>
  <c r="B126" i="68" s="1"/>
  <c r="B127" i="68" s="1"/>
  <c r="B128" i="68" s="1"/>
  <c r="B129" i="68" s="1"/>
  <c r="B130" i="68" s="1"/>
  <c r="B131" i="68" s="1"/>
  <c r="B132" i="68" s="1"/>
  <c r="B133" i="68" s="1"/>
  <c r="B134" i="68" s="1"/>
  <c r="B135" i="68" s="1"/>
  <c r="B136" i="68" s="1"/>
  <c r="B137" i="68" s="1"/>
  <c r="B138" i="68" s="1"/>
  <c r="B139" i="68" s="1"/>
  <c r="B140" i="68" s="1"/>
  <c r="B141" i="68" s="1"/>
  <c r="B142" i="68" s="1"/>
  <c r="B143" i="68" s="1"/>
  <c r="B144" i="68" s="1"/>
  <c r="B145" i="68" s="1"/>
  <c r="B146" i="68" s="1"/>
  <c r="B147" i="68" s="1"/>
  <c r="B148" i="68" s="1"/>
  <c r="B149" i="68" s="1"/>
  <c r="B150" i="68" s="1"/>
  <c r="B151" i="68" s="1"/>
  <c r="B152" i="68" s="1"/>
  <c r="B153" i="68" s="1"/>
  <c r="B154" i="68" s="1"/>
  <c r="B155" i="68" s="1"/>
  <c r="B156" i="68" s="1"/>
  <c r="B157" i="68" s="1"/>
  <c r="B158" i="68" s="1"/>
  <c r="B159" i="68" s="1"/>
  <c r="B160" i="68" s="1"/>
  <c r="B161" i="68" s="1"/>
  <c r="B162" i="68" s="1"/>
  <c r="B163" i="68" s="1"/>
  <c r="B164" i="68" s="1"/>
  <c r="B165" i="68" s="1"/>
  <c r="B166" i="68" s="1"/>
  <c r="B167" i="68" s="1"/>
  <c r="B168" i="68" s="1"/>
  <c r="B169" i="68" s="1"/>
  <c r="B170" i="68" s="1"/>
  <c r="B171" i="68" s="1"/>
  <c r="B172" i="68" s="1"/>
  <c r="B173" i="68" s="1"/>
  <c r="B174" i="68" s="1"/>
  <c r="B175" i="68" s="1"/>
  <c r="B176" i="68" s="1"/>
  <c r="B177" i="68" s="1"/>
  <c r="B178" i="68" s="1"/>
  <c r="B179" i="68" s="1"/>
  <c r="B180" i="68" s="1"/>
  <c r="B181" i="68" s="1"/>
  <c r="B182" i="68" s="1"/>
  <c r="B49" i="68"/>
  <c r="H20" i="68"/>
  <c r="D9" i="68"/>
  <c r="D10" i="68"/>
  <c r="D8" i="68"/>
  <c r="D7" i="68"/>
  <c r="D5" i="68"/>
  <c r="G184" i="68"/>
  <c r="D11" i="68" s="1"/>
  <c r="D6" i="68"/>
  <c r="AQ21" i="15"/>
  <c r="AS26" i="15" l="1"/>
  <c r="AR39" i="15"/>
  <c r="AQ31" i="15"/>
  <c r="AS29" i="15" l="1"/>
  <c r="AS34" i="15"/>
  <c r="AR25" i="15"/>
  <c r="AR24" i="15"/>
  <c r="AR22" i="15"/>
  <c r="AR20" i="15"/>
  <c r="AR18" i="15"/>
  <c r="AR16" i="15"/>
  <c r="AR14" i="15"/>
  <c r="AR12" i="15"/>
  <c r="AR10" i="15"/>
  <c r="AR8" i="15"/>
  <c r="AR5" i="15"/>
  <c r="E184" i="67"/>
  <c r="P182" i="67"/>
  <c r="M182" i="67"/>
  <c r="N182" i="67" s="1"/>
  <c r="P181" i="67"/>
  <c r="M181" i="67"/>
  <c r="P180" i="67"/>
  <c r="M180" i="67"/>
  <c r="O180" i="67" s="1"/>
  <c r="P179" i="67"/>
  <c r="M179" i="67"/>
  <c r="P178" i="67"/>
  <c r="M178" i="67"/>
  <c r="O178" i="67" s="1"/>
  <c r="P177" i="67"/>
  <c r="M177" i="67"/>
  <c r="P176" i="67"/>
  <c r="M176" i="67"/>
  <c r="O176" i="67" s="1"/>
  <c r="P175" i="67"/>
  <c r="M175" i="67"/>
  <c r="P174" i="67"/>
  <c r="M174" i="67"/>
  <c r="N174" i="67" s="1"/>
  <c r="P173" i="67"/>
  <c r="M173" i="67"/>
  <c r="P172" i="67"/>
  <c r="M172" i="67"/>
  <c r="O172" i="67" s="1"/>
  <c r="P171" i="67"/>
  <c r="M171" i="67"/>
  <c r="P170" i="67"/>
  <c r="M170" i="67"/>
  <c r="O170" i="67" s="1"/>
  <c r="P169" i="67"/>
  <c r="M169" i="67"/>
  <c r="P168" i="67"/>
  <c r="M168" i="67"/>
  <c r="O168" i="67" s="1"/>
  <c r="P167" i="67"/>
  <c r="M167" i="67"/>
  <c r="P166" i="67"/>
  <c r="M166" i="67"/>
  <c r="O166" i="67" s="1"/>
  <c r="P165" i="67"/>
  <c r="M165" i="67"/>
  <c r="P164" i="67"/>
  <c r="M164" i="67"/>
  <c r="O164" i="67" s="1"/>
  <c r="P163" i="67"/>
  <c r="M163" i="67"/>
  <c r="P162" i="67"/>
  <c r="M162" i="67"/>
  <c r="N162" i="67" s="1"/>
  <c r="P161" i="67"/>
  <c r="M161" i="67"/>
  <c r="P160" i="67"/>
  <c r="M160" i="67"/>
  <c r="O160" i="67" s="1"/>
  <c r="P159" i="67"/>
  <c r="M159" i="67"/>
  <c r="P158" i="67"/>
  <c r="M158" i="67"/>
  <c r="O158" i="67" s="1"/>
  <c r="P157" i="67"/>
  <c r="M157" i="67"/>
  <c r="P156" i="67"/>
  <c r="M156" i="67"/>
  <c r="O156" i="67" s="1"/>
  <c r="P155" i="67"/>
  <c r="M155" i="67"/>
  <c r="P154" i="67"/>
  <c r="M154" i="67"/>
  <c r="N154" i="67" s="1"/>
  <c r="P153" i="67"/>
  <c r="M153" i="67"/>
  <c r="P152" i="67"/>
  <c r="M152" i="67"/>
  <c r="O152" i="67" s="1"/>
  <c r="P151" i="67"/>
  <c r="M151" i="67"/>
  <c r="P150" i="67"/>
  <c r="M150" i="67"/>
  <c r="O150" i="67" s="1"/>
  <c r="P149" i="67"/>
  <c r="M149" i="67"/>
  <c r="P148" i="67"/>
  <c r="M148" i="67"/>
  <c r="O148" i="67" s="1"/>
  <c r="P147" i="67"/>
  <c r="M147" i="67"/>
  <c r="P146" i="67"/>
  <c r="M146" i="67"/>
  <c r="O146" i="67" s="1"/>
  <c r="P145" i="67"/>
  <c r="M145" i="67"/>
  <c r="P144" i="67"/>
  <c r="M144" i="67"/>
  <c r="O144" i="67" s="1"/>
  <c r="P143" i="67"/>
  <c r="M143" i="67"/>
  <c r="P142" i="67"/>
  <c r="M142" i="67"/>
  <c r="O142" i="67" s="1"/>
  <c r="P141" i="67"/>
  <c r="M141" i="67"/>
  <c r="P140" i="67"/>
  <c r="M140" i="67"/>
  <c r="O140" i="67" s="1"/>
  <c r="P139" i="67"/>
  <c r="M139" i="67"/>
  <c r="P138" i="67"/>
  <c r="M138" i="67"/>
  <c r="N138" i="67" s="1"/>
  <c r="P137" i="67"/>
  <c r="M137" i="67"/>
  <c r="P136" i="67"/>
  <c r="M136" i="67"/>
  <c r="O136" i="67" s="1"/>
  <c r="P135" i="67"/>
  <c r="M135" i="67"/>
  <c r="P134" i="67"/>
  <c r="M134" i="67"/>
  <c r="O134" i="67" s="1"/>
  <c r="P133" i="67"/>
  <c r="M133" i="67"/>
  <c r="P132" i="67"/>
  <c r="M132" i="67"/>
  <c r="O132" i="67" s="1"/>
  <c r="P131" i="67"/>
  <c r="M131" i="67"/>
  <c r="P130" i="67"/>
  <c r="M130" i="67"/>
  <c r="O130" i="67" s="1"/>
  <c r="P129" i="67"/>
  <c r="M129" i="67"/>
  <c r="P128" i="67"/>
  <c r="M128" i="67"/>
  <c r="N128" i="67" s="1"/>
  <c r="P127" i="67"/>
  <c r="M127" i="67"/>
  <c r="P126" i="67"/>
  <c r="M126" i="67"/>
  <c r="O126" i="67" s="1"/>
  <c r="P125" i="67"/>
  <c r="M125" i="67"/>
  <c r="P124" i="67"/>
  <c r="M124" i="67"/>
  <c r="N124" i="67" s="1"/>
  <c r="P123" i="67"/>
  <c r="M123" i="67"/>
  <c r="P122" i="67"/>
  <c r="M122" i="67"/>
  <c r="O122" i="67" s="1"/>
  <c r="P121" i="67"/>
  <c r="M121" i="67"/>
  <c r="P120" i="67"/>
  <c r="M120" i="67"/>
  <c r="N120" i="67" s="1"/>
  <c r="P119" i="67"/>
  <c r="M119" i="67"/>
  <c r="P118" i="67"/>
  <c r="M118" i="67"/>
  <c r="O118" i="67" s="1"/>
  <c r="P117" i="67"/>
  <c r="M117" i="67"/>
  <c r="P116" i="67"/>
  <c r="M116" i="67"/>
  <c r="N116" i="67" s="1"/>
  <c r="P115" i="67"/>
  <c r="M115" i="67"/>
  <c r="P114" i="67"/>
  <c r="M114" i="67"/>
  <c r="O114" i="67" s="1"/>
  <c r="P113" i="67"/>
  <c r="M113" i="67"/>
  <c r="P112" i="67"/>
  <c r="M112" i="67"/>
  <c r="N112" i="67" s="1"/>
  <c r="P111" i="67"/>
  <c r="M111" i="67"/>
  <c r="P110" i="67"/>
  <c r="M110" i="67"/>
  <c r="O110" i="67" s="1"/>
  <c r="P109" i="67"/>
  <c r="M109" i="67"/>
  <c r="P108" i="67"/>
  <c r="M108" i="67"/>
  <c r="N108" i="67" s="1"/>
  <c r="P107" i="67"/>
  <c r="M107" i="67"/>
  <c r="P106" i="67"/>
  <c r="M106" i="67"/>
  <c r="O106" i="67" s="1"/>
  <c r="P105" i="67"/>
  <c r="M105" i="67"/>
  <c r="P104" i="67"/>
  <c r="M104" i="67"/>
  <c r="N104" i="67" s="1"/>
  <c r="P103" i="67"/>
  <c r="M103" i="67"/>
  <c r="P102" i="67"/>
  <c r="M102" i="67"/>
  <c r="O102" i="67" s="1"/>
  <c r="P101" i="67"/>
  <c r="M101" i="67"/>
  <c r="P100" i="67"/>
  <c r="M100" i="67"/>
  <c r="N100" i="67" s="1"/>
  <c r="P99" i="67"/>
  <c r="M99" i="67"/>
  <c r="P98" i="67"/>
  <c r="M98" i="67"/>
  <c r="O98" i="67" s="1"/>
  <c r="P97" i="67"/>
  <c r="M97" i="67"/>
  <c r="P96" i="67"/>
  <c r="M96" i="67"/>
  <c r="N96" i="67" s="1"/>
  <c r="P95" i="67"/>
  <c r="M95" i="67"/>
  <c r="P94" i="67"/>
  <c r="M94" i="67"/>
  <c r="O94" i="67" s="1"/>
  <c r="P93" i="67"/>
  <c r="M93" i="67"/>
  <c r="P92" i="67"/>
  <c r="M92" i="67"/>
  <c r="N92" i="67" s="1"/>
  <c r="P91" i="67"/>
  <c r="M91" i="67"/>
  <c r="P90" i="67"/>
  <c r="N90" i="67"/>
  <c r="M90" i="67"/>
  <c r="O90" i="67" s="1"/>
  <c r="P89" i="67"/>
  <c r="M89" i="67"/>
  <c r="P88" i="67"/>
  <c r="M88" i="67"/>
  <c r="N88" i="67" s="1"/>
  <c r="P87" i="67"/>
  <c r="M87" i="67"/>
  <c r="P86" i="67"/>
  <c r="M86" i="67"/>
  <c r="O86" i="67" s="1"/>
  <c r="P85" i="67"/>
  <c r="M85" i="67"/>
  <c r="P84" i="67"/>
  <c r="M84" i="67"/>
  <c r="N84" i="67" s="1"/>
  <c r="P83" i="67"/>
  <c r="M83" i="67"/>
  <c r="P82" i="67"/>
  <c r="M82" i="67"/>
  <c r="O82" i="67" s="1"/>
  <c r="P81" i="67"/>
  <c r="M81" i="67"/>
  <c r="P80" i="67"/>
  <c r="M80" i="67"/>
  <c r="N80" i="67" s="1"/>
  <c r="P79" i="67"/>
  <c r="M79" i="67"/>
  <c r="P78" i="67"/>
  <c r="M78" i="67"/>
  <c r="O78" i="67" s="1"/>
  <c r="P77" i="67"/>
  <c r="M77" i="67"/>
  <c r="P76" i="67"/>
  <c r="M76" i="67"/>
  <c r="N76" i="67" s="1"/>
  <c r="P75" i="67"/>
  <c r="M75" i="67"/>
  <c r="P74" i="67"/>
  <c r="M74" i="67"/>
  <c r="O74" i="67" s="1"/>
  <c r="P73" i="67"/>
  <c r="M73" i="67"/>
  <c r="P72" i="67"/>
  <c r="M72" i="67"/>
  <c r="N72" i="67" s="1"/>
  <c r="P71" i="67"/>
  <c r="M71" i="67"/>
  <c r="P70" i="67"/>
  <c r="M70" i="67"/>
  <c r="O70" i="67" s="1"/>
  <c r="P69" i="67"/>
  <c r="M69" i="67"/>
  <c r="P68" i="67"/>
  <c r="M68" i="67"/>
  <c r="N68" i="67" s="1"/>
  <c r="P67" i="67"/>
  <c r="M67" i="67"/>
  <c r="P66" i="67"/>
  <c r="M66" i="67"/>
  <c r="O66" i="67" s="1"/>
  <c r="P65" i="67"/>
  <c r="M65" i="67"/>
  <c r="P64" i="67"/>
  <c r="M64" i="67"/>
  <c r="N64" i="67" s="1"/>
  <c r="P63" i="67"/>
  <c r="M63" i="67"/>
  <c r="P62" i="67"/>
  <c r="M62" i="67"/>
  <c r="O62" i="67" s="1"/>
  <c r="P61" i="67"/>
  <c r="M61" i="67"/>
  <c r="P60" i="67"/>
  <c r="M60" i="67"/>
  <c r="N60" i="67" s="1"/>
  <c r="P59" i="67"/>
  <c r="M59" i="67"/>
  <c r="P58" i="67"/>
  <c r="M58" i="67"/>
  <c r="O58" i="67" s="1"/>
  <c r="P57" i="67"/>
  <c r="M57" i="67"/>
  <c r="O57" i="67" s="1"/>
  <c r="P56" i="67"/>
  <c r="M56" i="67"/>
  <c r="N56" i="67" s="1"/>
  <c r="P55" i="67"/>
  <c r="M55" i="67"/>
  <c r="O55" i="67" s="1"/>
  <c r="P54" i="67"/>
  <c r="M54" i="67"/>
  <c r="N54" i="67" s="1"/>
  <c r="P53" i="67"/>
  <c r="M53" i="67"/>
  <c r="O53" i="67" s="1"/>
  <c r="P52" i="67"/>
  <c r="M52" i="67"/>
  <c r="O52" i="67" s="1"/>
  <c r="P51" i="67"/>
  <c r="O51" i="67"/>
  <c r="M51" i="67"/>
  <c r="P50" i="67"/>
  <c r="M50" i="67"/>
  <c r="N50" i="67" s="1"/>
  <c r="P49" i="67"/>
  <c r="M49" i="67"/>
  <c r="O49" i="67" s="1"/>
  <c r="P48" i="67"/>
  <c r="M48" i="67"/>
  <c r="N48" i="67" s="1"/>
  <c r="P47" i="67"/>
  <c r="M47" i="67"/>
  <c r="O47" i="67" s="1"/>
  <c r="P46" i="67"/>
  <c r="M46" i="67"/>
  <c r="O46" i="67" s="1"/>
  <c r="P45" i="67"/>
  <c r="M45" i="67"/>
  <c r="P44" i="67"/>
  <c r="M44" i="67"/>
  <c r="O44" i="67" s="1"/>
  <c r="P43" i="67"/>
  <c r="O43" i="67"/>
  <c r="N43" i="67"/>
  <c r="M43" i="67"/>
  <c r="P42" i="67"/>
  <c r="O42" i="67"/>
  <c r="M42" i="67"/>
  <c r="N42" i="67" s="1"/>
  <c r="P41" i="67"/>
  <c r="M41" i="67"/>
  <c r="O41" i="67" s="1"/>
  <c r="P40" i="67"/>
  <c r="M40" i="67"/>
  <c r="O40" i="67" s="1"/>
  <c r="P39" i="67"/>
  <c r="N39" i="67"/>
  <c r="M39" i="67"/>
  <c r="O39" i="67" s="1"/>
  <c r="P38" i="67"/>
  <c r="M38" i="67"/>
  <c r="N38" i="67" s="1"/>
  <c r="P37" i="67"/>
  <c r="M37" i="67"/>
  <c r="O37" i="67" s="1"/>
  <c r="P36" i="67"/>
  <c r="M36" i="67"/>
  <c r="N36" i="67" s="1"/>
  <c r="P35" i="67"/>
  <c r="M35" i="67"/>
  <c r="O35" i="67" s="1"/>
  <c r="P34" i="67"/>
  <c r="M34" i="67"/>
  <c r="O34" i="67" s="1"/>
  <c r="P33" i="67"/>
  <c r="M33" i="67"/>
  <c r="P32" i="67"/>
  <c r="M32" i="67"/>
  <c r="O32" i="67" s="1"/>
  <c r="P31" i="67"/>
  <c r="M31" i="67"/>
  <c r="O31" i="67" s="1"/>
  <c r="P30" i="67"/>
  <c r="M30" i="67"/>
  <c r="N30" i="67" s="1"/>
  <c r="P29" i="67"/>
  <c r="M29" i="67"/>
  <c r="O29" i="67" s="1"/>
  <c r="P28" i="67"/>
  <c r="M28" i="67"/>
  <c r="O28" i="67" s="1"/>
  <c r="P27" i="67"/>
  <c r="M27" i="67"/>
  <c r="N27" i="67" s="1"/>
  <c r="P26" i="67"/>
  <c r="M26" i="67"/>
  <c r="N26" i="67" s="1"/>
  <c r="P25" i="67"/>
  <c r="M25" i="67"/>
  <c r="O25" i="67" s="1"/>
  <c r="P24" i="67"/>
  <c r="M24" i="67"/>
  <c r="N24" i="67" s="1"/>
  <c r="P23" i="67"/>
  <c r="M23" i="67"/>
  <c r="O23" i="67" s="1"/>
  <c r="P22" i="67"/>
  <c r="M22" i="67"/>
  <c r="O22" i="67" s="1"/>
  <c r="P21" i="67"/>
  <c r="M21" i="67"/>
  <c r="P20" i="67"/>
  <c r="M20" i="67"/>
  <c r="O20" i="67" s="1"/>
  <c r="P19" i="67"/>
  <c r="M19" i="67"/>
  <c r="N19" i="67" s="1"/>
  <c r="P18" i="67"/>
  <c r="M18" i="67"/>
  <c r="N18" i="67" s="1"/>
  <c r="B18" i="67"/>
  <c r="B19" i="67" s="1"/>
  <c r="B20" i="67" s="1"/>
  <c r="B21" i="67" s="1"/>
  <c r="B22" i="67" s="1"/>
  <c r="B23" i="67" s="1"/>
  <c r="B24" i="67" s="1"/>
  <c r="B25" i="67" s="1"/>
  <c r="B26" i="67" s="1"/>
  <c r="B27" i="67" s="1"/>
  <c r="B28" i="67" s="1"/>
  <c r="B29" i="67" s="1"/>
  <c r="B30" i="67" s="1"/>
  <c r="B31" i="67" s="1"/>
  <c r="B32" i="67" s="1"/>
  <c r="B33" i="67" s="1"/>
  <c r="B34" i="67" s="1"/>
  <c r="B35" i="67" s="1"/>
  <c r="B36" i="67" s="1"/>
  <c r="B37" i="67" s="1"/>
  <c r="B38" i="67" s="1"/>
  <c r="B39" i="67" s="1"/>
  <c r="B40" i="67" s="1"/>
  <c r="B41" i="67" s="1"/>
  <c r="B42" i="67" s="1"/>
  <c r="B43" i="67" s="1"/>
  <c r="B44" i="67" s="1"/>
  <c r="B45" i="67" s="1"/>
  <c r="B46" i="67" s="1"/>
  <c r="F372" i="16"/>
  <c r="AQ38" i="15"/>
  <c r="AQ39" i="15"/>
  <c r="AQ25" i="15"/>
  <c r="AQ24" i="15"/>
  <c r="AQ22" i="15"/>
  <c r="AQ20" i="15"/>
  <c r="AQ18" i="15"/>
  <c r="AQ16" i="15"/>
  <c r="AQ14" i="15"/>
  <c r="AQ12" i="15"/>
  <c r="AQ10" i="15"/>
  <c r="AQ8" i="15"/>
  <c r="M178" i="66"/>
  <c r="N178" i="66" s="1"/>
  <c r="P178" i="66"/>
  <c r="M179" i="66"/>
  <c r="N179" i="66" s="1"/>
  <c r="O179" i="66"/>
  <c r="P179" i="66"/>
  <c r="M180" i="66"/>
  <c r="N180" i="66" s="1"/>
  <c r="P180" i="66"/>
  <c r="M144" i="66"/>
  <c r="N144" i="66" s="1"/>
  <c r="P144" i="66"/>
  <c r="M145" i="66"/>
  <c r="N145" i="66" s="1"/>
  <c r="P145" i="66"/>
  <c r="M146" i="66"/>
  <c r="N146" i="66" s="1"/>
  <c r="P146" i="66"/>
  <c r="M147" i="66"/>
  <c r="O147" i="66" s="1"/>
  <c r="P147" i="66"/>
  <c r="M148" i="66"/>
  <c r="N148" i="66" s="1"/>
  <c r="P148" i="66"/>
  <c r="M149" i="66"/>
  <c r="N149" i="66" s="1"/>
  <c r="P149" i="66"/>
  <c r="M150" i="66"/>
  <c r="N150" i="66" s="1"/>
  <c r="O150" i="66"/>
  <c r="P150" i="66"/>
  <c r="M151" i="66"/>
  <c r="P151" i="66"/>
  <c r="M152" i="66"/>
  <c r="N152" i="66" s="1"/>
  <c r="P152" i="66"/>
  <c r="M153" i="66"/>
  <c r="O153" i="66" s="1"/>
  <c r="P153" i="66"/>
  <c r="M154" i="66"/>
  <c r="N154" i="66"/>
  <c r="P154" i="66"/>
  <c r="M155" i="66"/>
  <c r="N155" i="66" s="1"/>
  <c r="P155" i="66"/>
  <c r="M156" i="66"/>
  <c r="N156" i="66" s="1"/>
  <c r="P156" i="66"/>
  <c r="M157" i="66"/>
  <c r="N157" i="66" s="1"/>
  <c r="P157" i="66"/>
  <c r="M158" i="66"/>
  <c r="N158" i="66" s="1"/>
  <c r="P158" i="66"/>
  <c r="M159" i="66"/>
  <c r="O159" i="66" s="1"/>
  <c r="P159" i="66"/>
  <c r="M160" i="66"/>
  <c r="N160" i="66" s="1"/>
  <c r="P160" i="66"/>
  <c r="M161" i="66"/>
  <c r="N161" i="66" s="1"/>
  <c r="P161" i="66"/>
  <c r="M162" i="66"/>
  <c r="N162" i="66" s="1"/>
  <c r="P162" i="66"/>
  <c r="M163" i="66"/>
  <c r="O163" i="66" s="1"/>
  <c r="N163" i="66"/>
  <c r="P163" i="66"/>
  <c r="M164" i="66"/>
  <c r="N164" i="66" s="1"/>
  <c r="P164" i="66"/>
  <c r="M165" i="66"/>
  <c r="O165" i="66" s="1"/>
  <c r="P165" i="66"/>
  <c r="M166" i="66"/>
  <c r="P166" i="66"/>
  <c r="M167" i="66"/>
  <c r="N167" i="66" s="1"/>
  <c r="P167" i="66"/>
  <c r="M168" i="66"/>
  <c r="N168" i="66" s="1"/>
  <c r="P168" i="66"/>
  <c r="M169" i="66"/>
  <c r="N169" i="66"/>
  <c r="O169" i="66"/>
  <c r="P169" i="66"/>
  <c r="M170" i="66"/>
  <c r="N170" i="66" s="1"/>
  <c r="P170" i="66"/>
  <c r="M171" i="66"/>
  <c r="O171" i="66" s="1"/>
  <c r="N171" i="66"/>
  <c r="P171" i="66"/>
  <c r="M172" i="66"/>
  <c r="N172" i="66" s="1"/>
  <c r="P172" i="66"/>
  <c r="M173" i="66"/>
  <c r="N173" i="66"/>
  <c r="O173" i="66"/>
  <c r="P173" i="66"/>
  <c r="M174" i="66"/>
  <c r="P174" i="66"/>
  <c r="M175" i="66"/>
  <c r="O175" i="66" s="1"/>
  <c r="N175" i="66"/>
  <c r="P175" i="66"/>
  <c r="M176" i="66"/>
  <c r="N176" i="66" s="1"/>
  <c r="P176" i="66"/>
  <c r="E184" i="66"/>
  <c r="P182" i="66"/>
  <c r="M182" i="66"/>
  <c r="O182" i="66" s="1"/>
  <c r="P181" i="66"/>
  <c r="M181" i="66"/>
  <c r="O181" i="66" s="1"/>
  <c r="P177" i="66"/>
  <c r="M177" i="66"/>
  <c r="P143" i="66"/>
  <c r="M143" i="66"/>
  <c r="O143" i="66" s="1"/>
  <c r="P142" i="66"/>
  <c r="M142" i="66"/>
  <c r="O142" i="66" s="1"/>
  <c r="P141" i="66"/>
  <c r="M141" i="66"/>
  <c r="N141" i="66" s="1"/>
  <c r="P140" i="66"/>
  <c r="M140" i="66"/>
  <c r="O140" i="66" s="1"/>
  <c r="P139" i="66"/>
  <c r="M139" i="66"/>
  <c r="O139" i="66" s="1"/>
  <c r="P138" i="66"/>
  <c r="M138" i="66"/>
  <c r="P137" i="66"/>
  <c r="M137" i="66"/>
  <c r="O137" i="66" s="1"/>
  <c r="P136" i="66"/>
  <c r="M136" i="66"/>
  <c r="O136" i="66" s="1"/>
  <c r="P135" i="66"/>
  <c r="M135" i="66"/>
  <c r="N135" i="66" s="1"/>
  <c r="P134" i="66"/>
  <c r="M134" i="66"/>
  <c r="O134" i="66" s="1"/>
  <c r="P133" i="66"/>
  <c r="M133" i="66"/>
  <c r="O133" i="66" s="1"/>
  <c r="P132" i="66"/>
  <c r="M132" i="66"/>
  <c r="P131" i="66"/>
  <c r="M131" i="66"/>
  <c r="O131" i="66" s="1"/>
  <c r="P130" i="66"/>
  <c r="M130" i="66"/>
  <c r="O130" i="66" s="1"/>
  <c r="P129" i="66"/>
  <c r="M129" i="66"/>
  <c r="N129" i="66" s="1"/>
  <c r="P128" i="66"/>
  <c r="M128" i="66"/>
  <c r="O128" i="66" s="1"/>
  <c r="P127" i="66"/>
  <c r="M127" i="66"/>
  <c r="O127" i="66" s="1"/>
  <c r="P126" i="66"/>
  <c r="M126" i="66"/>
  <c r="P125" i="66"/>
  <c r="M125" i="66"/>
  <c r="O125" i="66" s="1"/>
  <c r="P124" i="66"/>
  <c r="M124" i="66"/>
  <c r="O124" i="66" s="1"/>
  <c r="P123" i="66"/>
  <c r="M123" i="66"/>
  <c r="N123" i="66" s="1"/>
  <c r="P122" i="66"/>
  <c r="M122" i="66"/>
  <c r="O122" i="66" s="1"/>
  <c r="P121" i="66"/>
  <c r="M121" i="66"/>
  <c r="O121" i="66" s="1"/>
  <c r="P120" i="66"/>
  <c r="M120" i="66"/>
  <c r="P119" i="66"/>
  <c r="M119" i="66"/>
  <c r="O119" i="66" s="1"/>
  <c r="P118" i="66"/>
  <c r="M118" i="66"/>
  <c r="O118" i="66" s="1"/>
  <c r="P117" i="66"/>
  <c r="M117" i="66"/>
  <c r="N117" i="66" s="1"/>
  <c r="P116" i="66"/>
  <c r="M116" i="66"/>
  <c r="O116" i="66" s="1"/>
  <c r="P115" i="66"/>
  <c r="M115" i="66"/>
  <c r="O115" i="66" s="1"/>
  <c r="P114" i="66"/>
  <c r="M114" i="66"/>
  <c r="P113" i="66"/>
  <c r="M113" i="66"/>
  <c r="O113" i="66" s="1"/>
  <c r="P112" i="66"/>
  <c r="M112" i="66"/>
  <c r="O112" i="66" s="1"/>
  <c r="P111" i="66"/>
  <c r="M111" i="66"/>
  <c r="N111" i="66" s="1"/>
  <c r="P110" i="66"/>
  <c r="M110" i="66"/>
  <c r="O110" i="66" s="1"/>
  <c r="P109" i="66"/>
  <c r="M109" i="66"/>
  <c r="O109" i="66" s="1"/>
  <c r="P108" i="66"/>
  <c r="M108" i="66"/>
  <c r="P107" i="66"/>
  <c r="M107" i="66"/>
  <c r="O107" i="66" s="1"/>
  <c r="P106" i="66"/>
  <c r="M106" i="66"/>
  <c r="O106" i="66" s="1"/>
  <c r="P105" i="66"/>
  <c r="M105" i="66"/>
  <c r="N105" i="66" s="1"/>
  <c r="P104" i="66"/>
  <c r="M104" i="66"/>
  <c r="O104" i="66" s="1"/>
  <c r="P103" i="66"/>
  <c r="M103" i="66"/>
  <c r="O103" i="66" s="1"/>
  <c r="P102" i="66"/>
  <c r="M102" i="66"/>
  <c r="P101" i="66"/>
  <c r="M101" i="66"/>
  <c r="O101" i="66" s="1"/>
  <c r="P100" i="66"/>
  <c r="M100" i="66"/>
  <c r="O100" i="66" s="1"/>
  <c r="P99" i="66"/>
  <c r="M99" i="66"/>
  <c r="N99" i="66" s="1"/>
  <c r="P98" i="66"/>
  <c r="M98" i="66"/>
  <c r="N98" i="66" s="1"/>
  <c r="P97" i="66"/>
  <c r="M97" i="66"/>
  <c r="P96" i="66"/>
  <c r="M96" i="66"/>
  <c r="O96" i="66" s="1"/>
  <c r="P95" i="66"/>
  <c r="M95" i="66"/>
  <c r="O95" i="66" s="1"/>
  <c r="P94" i="66"/>
  <c r="M94" i="66"/>
  <c r="N94" i="66" s="1"/>
  <c r="P93" i="66"/>
  <c r="M93" i="66"/>
  <c r="P92" i="66"/>
  <c r="M92" i="66"/>
  <c r="P91" i="66"/>
  <c r="M91" i="66"/>
  <c r="P90" i="66"/>
  <c r="M90" i="66"/>
  <c r="O90" i="66" s="1"/>
  <c r="P89" i="66"/>
  <c r="M89" i="66"/>
  <c r="O89" i="66" s="1"/>
  <c r="P88" i="66"/>
  <c r="M88" i="66"/>
  <c r="O88" i="66" s="1"/>
  <c r="P87" i="66"/>
  <c r="M87" i="66"/>
  <c r="P86" i="66"/>
  <c r="M86" i="66"/>
  <c r="N86" i="66" s="1"/>
  <c r="P85" i="66"/>
  <c r="M85" i="66"/>
  <c r="P84" i="66"/>
  <c r="M84" i="66"/>
  <c r="O84" i="66" s="1"/>
  <c r="P83" i="66"/>
  <c r="M83" i="66"/>
  <c r="O83" i="66" s="1"/>
  <c r="P82" i="66"/>
  <c r="M82" i="66"/>
  <c r="O82" i="66" s="1"/>
  <c r="P81" i="66"/>
  <c r="M81" i="66"/>
  <c r="P80" i="66"/>
  <c r="M80" i="66"/>
  <c r="P79" i="66"/>
  <c r="M79" i="66"/>
  <c r="P78" i="66"/>
  <c r="M78" i="66"/>
  <c r="O78" i="66" s="1"/>
  <c r="P77" i="66"/>
  <c r="M77" i="66"/>
  <c r="O77" i="66" s="1"/>
  <c r="P76" i="66"/>
  <c r="M76" i="66"/>
  <c r="O76" i="66" s="1"/>
  <c r="P75" i="66"/>
  <c r="M75" i="66"/>
  <c r="O75" i="66" s="1"/>
  <c r="P74" i="66"/>
  <c r="M74" i="66"/>
  <c r="P73" i="66"/>
  <c r="M73" i="66"/>
  <c r="P72" i="66"/>
  <c r="M72" i="66"/>
  <c r="O72" i="66" s="1"/>
  <c r="P71" i="66"/>
  <c r="M71" i="66"/>
  <c r="O71" i="66" s="1"/>
  <c r="P70" i="66"/>
  <c r="M70" i="66"/>
  <c r="O70" i="66" s="1"/>
  <c r="P69" i="66"/>
  <c r="M69" i="66"/>
  <c r="O69" i="66" s="1"/>
  <c r="P68" i="66"/>
  <c r="M68" i="66"/>
  <c r="P67" i="66"/>
  <c r="M67" i="66"/>
  <c r="P66" i="66"/>
  <c r="M66" i="66"/>
  <c r="O66" i="66" s="1"/>
  <c r="P65" i="66"/>
  <c r="M65" i="66"/>
  <c r="O65" i="66" s="1"/>
  <c r="P64" i="66"/>
  <c r="M64" i="66"/>
  <c r="O64" i="66" s="1"/>
  <c r="P63" i="66"/>
  <c r="M63" i="66"/>
  <c r="O63" i="66" s="1"/>
  <c r="P62" i="66"/>
  <c r="M62" i="66"/>
  <c r="N62" i="66" s="1"/>
  <c r="P61" i="66"/>
  <c r="M61" i="66"/>
  <c r="P60" i="66"/>
  <c r="M60" i="66"/>
  <c r="P59" i="66"/>
  <c r="M59" i="66"/>
  <c r="P58" i="66"/>
  <c r="M58" i="66"/>
  <c r="P57" i="66"/>
  <c r="M57" i="66"/>
  <c r="P56" i="66"/>
  <c r="M56" i="66"/>
  <c r="O56" i="66" s="1"/>
  <c r="P55" i="66"/>
  <c r="M55" i="66"/>
  <c r="O55" i="66" s="1"/>
  <c r="P54" i="66"/>
  <c r="M54" i="66"/>
  <c r="O54" i="66" s="1"/>
  <c r="P53" i="66"/>
  <c r="M53" i="66"/>
  <c r="O53" i="66" s="1"/>
  <c r="P52" i="66"/>
  <c r="M52" i="66"/>
  <c r="O52" i="66" s="1"/>
  <c r="P51" i="66"/>
  <c r="M51" i="66"/>
  <c r="P50" i="66"/>
  <c r="M50" i="66"/>
  <c r="P49" i="66"/>
  <c r="M49" i="66"/>
  <c r="O49" i="66" s="1"/>
  <c r="P48" i="66"/>
  <c r="M48" i="66"/>
  <c r="O48" i="66" s="1"/>
  <c r="P47" i="66"/>
  <c r="M47" i="66"/>
  <c r="O47" i="66" s="1"/>
  <c r="P46" i="66"/>
  <c r="M46" i="66"/>
  <c r="O46" i="66" s="1"/>
  <c r="P45" i="66"/>
  <c r="M45" i="66"/>
  <c r="P44" i="66"/>
  <c r="M44" i="66"/>
  <c r="P43" i="66"/>
  <c r="M43" i="66"/>
  <c r="O43" i="66" s="1"/>
  <c r="P42" i="66"/>
  <c r="M42" i="66"/>
  <c r="O42" i="66" s="1"/>
  <c r="P41" i="66"/>
  <c r="M41" i="66"/>
  <c r="O41" i="66" s="1"/>
  <c r="P40" i="66"/>
  <c r="M40" i="66"/>
  <c r="P39" i="66"/>
  <c r="M39" i="66"/>
  <c r="P38" i="66"/>
  <c r="M38" i="66"/>
  <c r="P37" i="66"/>
  <c r="M37" i="66"/>
  <c r="O37" i="66" s="1"/>
  <c r="P36" i="66"/>
  <c r="M36" i="66"/>
  <c r="O36" i="66" s="1"/>
  <c r="P35" i="66"/>
  <c r="M35" i="66"/>
  <c r="O35" i="66" s="1"/>
  <c r="P34" i="66"/>
  <c r="M34" i="66"/>
  <c r="P33" i="66"/>
  <c r="M33" i="66"/>
  <c r="P32" i="66"/>
  <c r="M32" i="66"/>
  <c r="O32" i="66" s="1"/>
  <c r="P31" i="66"/>
  <c r="M31" i="66"/>
  <c r="O31" i="66" s="1"/>
  <c r="P30" i="66"/>
  <c r="M30" i="66"/>
  <c r="O30" i="66" s="1"/>
  <c r="P29" i="66"/>
  <c r="M29" i="66"/>
  <c r="O29" i="66" s="1"/>
  <c r="P28" i="66"/>
  <c r="M28" i="66"/>
  <c r="P27" i="66"/>
  <c r="M27" i="66"/>
  <c r="P26" i="66"/>
  <c r="M26" i="66"/>
  <c r="P25" i="66"/>
  <c r="M25" i="66"/>
  <c r="P24" i="66"/>
  <c r="M24" i="66"/>
  <c r="O24" i="66" s="1"/>
  <c r="P23" i="66"/>
  <c r="M23" i="66"/>
  <c r="O23" i="66" s="1"/>
  <c r="P22" i="66"/>
  <c r="M22" i="66"/>
  <c r="P21" i="66"/>
  <c r="M21" i="66"/>
  <c r="P20" i="66"/>
  <c r="M20" i="66"/>
  <c r="P19" i="66"/>
  <c r="M19" i="66"/>
  <c r="O19" i="66" s="1"/>
  <c r="P18" i="66"/>
  <c r="M18" i="66"/>
  <c r="N18" i="66" s="1"/>
  <c r="B18" i="66"/>
  <c r="B19" i="66" s="1"/>
  <c r="B20" i="66" s="1"/>
  <c r="B21" i="66" s="1"/>
  <c r="B22" i="66" s="1"/>
  <c r="B23" i="66" s="1"/>
  <c r="B24" i="66" s="1"/>
  <c r="B25" i="66" s="1"/>
  <c r="B26" i="66" s="1"/>
  <c r="B27" i="66" s="1"/>
  <c r="B28" i="66" s="1"/>
  <c r="B29" i="66" s="1"/>
  <c r="B30" i="66" s="1"/>
  <c r="B31" i="66" s="1"/>
  <c r="B32" i="66" s="1"/>
  <c r="B33" i="66" s="1"/>
  <c r="B34" i="66" s="1"/>
  <c r="B35" i="66" s="1"/>
  <c r="B36" i="66" s="1"/>
  <c r="B37" i="66" s="1"/>
  <c r="B38" i="66" s="1"/>
  <c r="B39" i="66" s="1"/>
  <c r="B40" i="66" s="1"/>
  <c r="B41" i="66" s="1"/>
  <c r="B42" i="66" s="1"/>
  <c r="B43" i="66" s="1"/>
  <c r="B44" i="66" s="1"/>
  <c r="B45" i="66" s="1"/>
  <c r="B46" i="66" s="1"/>
  <c r="O54" i="67" l="1"/>
  <c r="O48" i="67"/>
  <c r="N25" i="67"/>
  <c r="N34" i="67"/>
  <c r="G34" i="67" s="1"/>
  <c r="H34" i="67" s="1"/>
  <c r="G43" i="67"/>
  <c r="H43" i="67" s="1"/>
  <c r="N37" i="67"/>
  <c r="O56" i="67"/>
  <c r="G56" i="67"/>
  <c r="N66" i="67"/>
  <c r="N114" i="67"/>
  <c r="O138" i="67"/>
  <c r="N122" i="67"/>
  <c r="N130" i="67"/>
  <c r="N74" i="67"/>
  <c r="N98" i="67"/>
  <c r="G98" i="67" s="1"/>
  <c r="N82" i="67"/>
  <c r="G82" i="67" s="1"/>
  <c r="N106" i="67"/>
  <c r="N178" i="67"/>
  <c r="O162" i="67"/>
  <c r="G54" i="67"/>
  <c r="N148" i="67"/>
  <c r="O174" i="67"/>
  <c r="G42" i="67"/>
  <c r="H42" i="67" s="1"/>
  <c r="N46" i="67"/>
  <c r="G46" i="67" s="1"/>
  <c r="H46" i="67" s="1"/>
  <c r="N170" i="67"/>
  <c r="N55" i="67"/>
  <c r="G55" i="67" s="1"/>
  <c r="H55" i="67" s="1"/>
  <c r="N70" i="67"/>
  <c r="N86" i="67"/>
  <c r="N102" i="67"/>
  <c r="G102" i="67" s="1"/>
  <c r="N118" i="67"/>
  <c r="G118" i="67" s="1"/>
  <c r="N134" i="67"/>
  <c r="G134" i="67" s="1"/>
  <c r="N160" i="67"/>
  <c r="G160" i="67" s="1"/>
  <c r="O30" i="67"/>
  <c r="G30" i="67" s="1"/>
  <c r="H30" i="67" s="1"/>
  <c r="G39" i="67"/>
  <c r="H39" i="67" s="1"/>
  <c r="N51" i="67"/>
  <c r="G51" i="67" s="1"/>
  <c r="H51" i="67" s="1"/>
  <c r="N156" i="67"/>
  <c r="G156" i="67" s="1"/>
  <c r="G48" i="67"/>
  <c r="N31" i="67"/>
  <c r="O36" i="67"/>
  <c r="G36" i="67" s="1"/>
  <c r="H36" i="67" s="1"/>
  <c r="G40" i="67"/>
  <c r="H40" i="67" s="1"/>
  <c r="N40" i="67"/>
  <c r="N49" i="67"/>
  <c r="G49" i="67" s="1"/>
  <c r="H49" i="67" s="1"/>
  <c r="N62" i="67"/>
  <c r="G62" i="67" s="1"/>
  <c r="N78" i="67"/>
  <c r="N94" i="67"/>
  <c r="N110" i="67"/>
  <c r="G110" i="67" s="1"/>
  <c r="N126" i="67"/>
  <c r="G126" i="67" s="1"/>
  <c r="N136" i="67"/>
  <c r="N158" i="67"/>
  <c r="G158" i="67" s="1"/>
  <c r="G37" i="67"/>
  <c r="H37" i="67" s="1"/>
  <c r="O60" i="67"/>
  <c r="G60" i="67" s="1"/>
  <c r="O64" i="67"/>
  <c r="G64" i="67" s="1"/>
  <c r="O68" i="67"/>
  <c r="G68" i="67" s="1"/>
  <c r="O72" i="67"/>
  <c r="G72" i="67" s="1"/>
  <c r="O76" i="67"/>
  <c r="G76" i="67" s="1"/>
  <c r="O80" i="67"/>
  <c r="G80" i="67" s="1"/>
  <c r="O84" i="67"/>
  <c r="G84" i="67" s="1"/>
  <c r="O88" i="67"/>
  <c r="G88" i="67" s="1"/>
  <c r="O92" i="67"/>
  <c r="G92" i="67" s="1"/>
  <c r="O96" i="67"/>
  <c r="G96" i="67" s="1"/>
  <c r="O100" i="67"/>
  <c r="G100" i="67" s="1"/>
  <c r="O104" i="67"/>
  <c r="G104" i="67" s="1"/>
  <c r="O108" i="67"/>
  <c r="G108" i="67" s="1"/>
  <c r="O112" i="67"/>
  <c r="G112" i="67" s="1"/>
  <c r="O116" i="67"/>
  <c r="O120" i="67"/>
  <c r="G120" i="67" s="1"/>
  <c r="O124" i="67"/>
  <c r="G124" i="67" s="1"/>
  <c r="O128" i="67"/>
  <c r="N150" i="67"/>
  <c r="G150" i="67" s="1"/>
  <c r="O154" i="67"/>
  <c r="G154" i="67" s="1"/>
  <c r="N176" i="67"/>
  <c r="G176" i="67" s="1"/>
  <c r="N146" i="67"/>
  <c r="G146" i="67" s="1"/>
  <c r="N172" i="67"/>
  <c r="G172" i="67" s="1"/>
  <c r="N142" i="67"/>
  <c r="G142" i="67" s="1"/>
  <c r="N168" i="67"/>
  <c r="G168" i="67" s="1"/>
  <c r="N164" i="67"/>
  <c r="G164" i="67" s="1"/>
  <c r="N132" i="67"/>
  <c r="G132" i="67" s="1"/>
  <c r="N180" i="67"/>
  <c r="G180" i="67" s="1"/>
  <c r="G148" i="67"/>
  <c r="N152" i="67"/>
  <c r="G152" i="67" s="1"/>
  <c r="N144" i="67"/>
  <c r="G144" i="67" s="1"/>
  <c r="N166" i="67"/>
  <c r="G166" i="67" s="1"/>
  <c r="G136" i="67"/>
  <c r="N140" i="67"/>
  <c r="G140" i="67" s="1"/>
  <c r="N57" i="67"/>
  <c r="G57" i="67" s="1"/>
  <c r="AR19" i="15" s="1"/>
  <c r="G174" i="67"/>
  <c r="G178" i="67"/>
  <c r="O182" i="67"/>
  <c r="G66" i="67"/>
  <c r="G70" i="67"/>
  <c r="G74" i="67"/>
  <c r="G78" i="67"/>
  <c r="G86" i="67"/>
  <c r="G90" i="67"/>
  <c r="G94" i="67"/>
  <c r="G106" i="67"/>
  <c r="G114" i="67"/>
  <c r="G122" i="67"/>
  <c r="G130" i="67"/>
  <c r="G138" i="67"/>
  <c r="G162" i="67"/>
  <c r="G170" i="67"/>
  <c r="G116" i="67"/>
  <c r="G128" i="67"/>
  <c r="O19" i="67"/>
  <c r="G19" i="67" s="1"/>
  <c r="H19" i="67" s="1"/>
  <c r="O24" i="67"/>
  <c r="G24" i="67" s="1"/>
  <c r="H24" i="67" s="1"/>
  <c r="G25" i="67"/>
  <c r="H25" i="67" s="1"/>
  <c r="N22" i="67"/>
  <c r="G22" i="67" s="1"/>
  <c r="H22" i="67" s="1"/>
  <c r="G31" i="67"/>
  <c r="H31" i="67" s="1"/>
  <c r="O18" i="67"/>
  <c r="G18" i="67" s="1"/>
  <c r="H18" i="67" s="1"/>
  <c r="O27" i="67"/>
  <c r="G27" i="67" s="1"/>
  <c r="H27" i="67" s="1"/>
  <c r="N28" i="67"/>
  <c r="G28" i="67" s="1"/>
  <c r="H28" i="67" s="1"/>
  <c r="B47" i="67"/>
  <c r="B50" i="67"/>
  <c r="N21" i="67"/>
  <c r="O26" i="67"/>
  <c r="G26" i="67" s="1"/>
  <c r="H26" i="67" s="1"/>
  <c r="N33" i="67"/>
  <c r="O38" i="67"/>
  <c r="G38" i="67" s="1"/>
  <c r="H38" i="67" s="1"/>
  <c r="N45" i="67"/>
  <c r="G45" i="67" s="1"/>
  <c r="H45" i="67" s="1"/>
  <c r="O50" i="67"/>
  <c r="G50" i="67" s="1"/>
  <c r="H50" i="67" s="1"/>
  <c r="N59" i="67"/>
  <c r="N61" i="67"/>
  <c r="N63" i="67"/>
  <c r="N65" i="67"/>
  <c r="N67" i="67"/>
  <c r="N69" i="67"/>
  <c r="N71" i="67"/>
  <c r="N73" i="67"/>
  <c r="N75" i="67"/>
  <c r="N77" i="67"/>
  <c r="N79" i="67"/>
  <c r="N81" i="67"/>
  <c r="N83" i="67"/>
  <c r="N85" i="67"/>
  <c r="G85" i="67" s="1"/>
  <c r="N87" i="67"/>
  <c r="N89" i="67"/>
  <c r="N91" i="67"/>
  <c r="N93" i="67"/>
  <c r="N95" i="67"/>
  <c r="N97" i="67"/>
  <c r="N99" i="67"/>
  <c r="N101" i="67"/>
  <c r="N103" i="67"/>
  <c r="N105" i="67"/>
  <c r="N107" i="67"/>
  <c r="G107" i="67" s="1"/>
  <c r="N109" i="67"/>
  <c r="G109" i="67" s="1"/>
  <c r="N111" i="67"/>
  <c r="N113" i="67"/>
  <c r="N115" i="67"/>
  <c r="N117" i="67"/>
  <c r="N119" i="67"/>
  <c r="N121" i="67"/>
  <c r="N123" i="67"/>
  <c r="N125" i="67"/>
  <c r="N127" i="67"/>
  <c r="N129" i="67"/>
  <c r="N131" i="67"/>
  <c r="G131" i="67" s="1"/>
  <c r="N133" i="67"/>
  <c r="G133" i="67" s="1"/>
  <c r="N135" i="67"/>
  <c r="N137" i="67"/>
  <c r="N139" i="67"/>
  <c r="N141" i="67"/>
  <c r="N143" i="67"/>
  <c r="N145" i="67"/>
  <c r="N147" i="67"/>
  <c r="N149" i="67"/>
  <c r="N151" i="67"/>
  <c r="N153" i="67"/>
  <c r="N155" i="67"/>
  <c r="N157" i="67"/>
  <c r="N159" i="67"/>
  <c r="N161" i="67"/>
  <c r="N163" i="67"/>
  <c r="N165" i="67"/>
  <c r="N167" i="67"/>
  <c r="N169" i="67"/>
  <c r="N171" i="67"/>
  <c r="N173" i="67"/>
  <c r="N175" i="67"/>
  <c r="N177" i="67"/>
  <c r="N179" i="67"/>
  <c r="N181" i="67"/>
  <c r="O21" i="67"/>
  <c r="O33" i="67"/>
  <c r="O45" i="67"/>
  <c r="N52" i="67"/>
  <c r="G52" i="67" s="1"/>
  <c r="O59" i="67"/>
  <c r="O61" i="67"/>
  <c r="O63" i="67"/>
  <c r="O65" i="67"/>
  <c r="O67" i="67"/>
  <c r="O69" i="67"/>
  <c r="O71" i="67"/>
  <c r="O73" i="67"/>
  <c r="O75" i="67"/>
  <c r="O77" i="67"/>
  <c r="O79" i="67"/>
  <c r="O81" i="67"/>
  <c r="O83" i="67"/>
  <c r="O85" i="67"/>
  <c r="O87" i="67"/>
  <c r="O89" i="67"/>
  <c r="O91" i="67"/>
  <c r="O93" i="67"/>
  <c r="O95" i="67"/>
  <c r="O97" i="67"/>
  <c r="O99" i="67"/>
  <c r="O101" i="67"/>
  <c r="O103" i="67"/>
  <c r="O105" i="67"/>
  <c r="O107" i="67"/>
  <c r="O109" i="67"/>
  <c r="O111" i="67"/>
  <c r="O113" i="67"/>
  <c r="O115" i="67"/>
  <c r="O117" i="67"/>
  <c r="O119" i="67"/>
  <c r="O121" i="67"/>
  <c r="O123" i="67"/>
  <c r="O125" i="67"/>
  <c r="O127" i="67"/>
  <c r="O129" i="67"/>
  <c r="O131" i="67"/>
  <c r="O133" i="67"/>
  <c r="O135" i="67"/>
  <c r="O137" i="67"/>
  <c r="O139" i="67"/>
  <c r="O141" i="67"/>
  <c r="O143" i="67"/>
  <c r="O145" i="67"/>
  <c r="O147" i="67"/>
  <c r="O149" i="67"/>
  <c r="O151" i="67"/>
  <c r="O153" i="67"/>
  <c r="O155" i="67"/>
  <c r="O157" i="67"/>
  <c r="O159" i="67"/>
  <c r="O161" i="67"/>
  <c r="O163" i="67"/>
  <c r="O165" i="67"/>
  <c r="O167" i="67"/>
  <c r="O169" i="67"/>
  <c r="O171" i="67"/>
  <c r="O173" i="67"/>
  <c r="O175" i="67"/>
  <c r="O177" i="67"/>
  <c r="O179" i="67"/>
  <c r="O181" i="67"/>
  <c r="N23" i="67"/>
  <c r="G23" i="67" s="1"/>
  <c r="H23" i="67" s="1"/>
  <c r="N35" i="67"/>
  <c r="G35" i="67" s="1"/>
  <c r="H35" i="67" s="1"/>
  <c r="N47" i="67"/>
  <c r="G47" i="67" s="1"/>
  <c r="G58" i="67"/>
  <c r="H58" i="67" s="1"/>
  <c r="G182" i="67"/>
  <c r="N20" i="67"/>
  <c r="G20" i="67" s="1"/>
  <c r="H20" i="67" s="1"/>
  <c r="N32" i="67"/>
  <c r="G32" i="67" s="1"/>
  <c r="H32" i="67" s="1"/>
  <c r="N44" i="67"/>
  <c r="G44" i="67" s="1"/>
  <c r="N58" i="67"/>
  <c r="N29" i="67"/>
  <c r="G29" i="67" s="1"/>
  <c r="H29" i="67" s="1"/>
  <c r="N41" i="67"/>
  <c r="G41" i="67" s="1"/>
  <c r="H41" i="67" s="1"/>
  <c r="N53" i="67"/>
  <c r="G53" i="67" s="1"/>
  <c r="H53" i="67" s="1"/>
  <c r="O160" i="66"/>
  <c r="O145" i="66"/>
  <c r="O178" i="66"/>
  <c r="G178" i="66" s="1"/>
  <c r="N147" i="66"/>
  <c r="G179" i="66"/>
  <c r="O156" i="66"/>
  <c r="G156" i="66" s="1"/>
  <c r="N165" i="66"/>
  <c r="G165" i="66" s="1"/>
  <c r="O180" i="66"/>
  <c r="G180" i="66"/>
  <c r="G169" i="66"/>
  <c r="O168" i="66"/>
  <c r="G168" i="66" s="1"/>
  <c r="G163" i="66"/>
  <c r="O148" i="66"/>
  <c r="G148" i="66" s="1"/>
  <c r="O144" i="66"/>
  <c r="G144" i="66" s="1"/>
  <c r="O172" i="66"/>
  <c r="G172" i="66" s="1"/>
  <c r="O167" i="66"/>
  <c r="G167" i="66" s="1"/>
  <c r="O161" i="66"/>
  <c r="G161" i="66" s="1"/>
  <c r="O155" i="66"/>
  <c r="G155" i="66" s="1"/>
  <c r="O151" i="66"/>
  <c r="N153" i="66"/>
  <c r="G153" i="66" s="1"/>
  <c r="N151" i="66"/>
  <c r="G151" i="66" s="1"/>
  <c r="G145" i="66"/>
  <c r="G175" i="66"/>
  <c r="G160" i="66"/>
  <c r="G150" i="66"/>
  <c r="O174" i="66"/>
  <c r="G173" i="66"/>
  <c r="O166" i="66"/>
  <c r="O157" i="66"/>
  <c r="G157" i="66" s="1"/>
  <c r="N174" i="66"/>
  <c r="N166" i="66"/>
  <c r="O162" i="66"/>
  <c r="G162" i="66" s="1"/>
  <c r="N159" i="66"/>
  <c r="G159" i="66" s="1"/>
  <c r="O154" i="66"/>
  <c r="G154" i="66" s="1"/>
  <c r="O149" i="66"/>
  <c r="G149" i="66" s="1"/>
  <c r="G171" i="66"/>
  <c r="G147" i="66"/>
  <c r="O176" i="66"/>
  <c r="G176" i="66" s="1"/>
  <c r="O170" i="66"/>
  <c r="G170" i="66" s="1"/>
  <c r="O164" i="66"/>
  <c r="G164" i="66" s="1"/>
  <c r="O158" i="66"/>
  <c r="G158" i="66" s="1"/>
  <c r="O152" i="66"/>
  <c r="G152" i="66" s="1"/>
  <c r="O146" i="66"/>
  <c r="G146" i="66" s="1"/>
  <c r="N70" i="66"/>
  <c r="G70" i="66" s="1"/>
  <c r="N75" i="66"/>
  <c r="G75" i="66" s="1"/>
  <c r="N37" i="66"/>
  <c r="G37" i="66" s="1"/>
  <c r="H37" i="66" s="1"/>
  <c r="N42" i="66"/>
  <c r="G42" i="66" s="1"/>
  <c r="H42" i="66" s="1"/>
  <c r="N142" i="66"/>
  <c r="G142" i="66" s="1"/>
  <c r="N118" i="66"/>
  <c r="N31" i="66"/>
  <c r="G31" i="66" s="1"/>
  <c r="H31" i="66" s="1"/>
  <c r="N55" i="66"/>
  <c r="G55" i="66" s="1"/>
  <c r="H55" i="66" s="1"/>
  <c r="O99" i="66"/>
  <c r="G99" i="66" s="1"/>
  <c r="O18" i="66"/>
  <c r="G18" i="66" s="1"/>
  <c r="H18" i="66" s="1"/>
  <c r="N106" i="66"/>
  <c r="G106" i="66" s="1"/>
  <c r="O94" i="66"/>
  <c r="G94" i="66" s="1"/>
  <c r="N130" i="66"/>
  <c r="G130" i="66" s="1"/>
  <c r="O25" i="66"/>
  <c r="N25" i="66"/>
  <c r="N88" i="66"/>
  <c r="G88" i="66" s="1"/>
  <c r="N93" i="66"/>
  <c r="N109" i="66"/>
  <c r="G109" i="66" s="1"/>
  <c r="G118" i="66"/>
  <c r="N121" i="66"/>
  <c r="G121" i="66" s="1"/>
  <c r="N133" i="66"/>
  <c r="G133" i="66" s="1"/>
  <c r="N181" i="66"/>
  <c r="G181" i="66" s="1"/>
  <c r="N30" i="66"/>
  <c r="G30" i="66" s="1"/>
  <c r="H30" i="66" s="1"/>
  <c r="N36" i="66"/>
  <c r="G36" i="66" s="1"/>
  <c r="H36" i="66" s="1"/>
  <c r="N49" i="66"/>
  <c r="G49" i="66" s="1"/>
  <c r="H49" i="66" s="1"/>
  <c r="N54" i="66"/>
  <c r="G54" i="66" s="1"/>
  <c r="N57" i="66"/>
  <c r="N64" i="66"/>
  <c r="G64" i="66" s="1"/>
  <c r="N69" i="66"/>
  <c r="G69" i="66" s="1"/>
  <c r="N82" i="66"/>
  <c r="G82" i="66" s="1"/>
  <c r="O93" i="66"/>
  <c r="N19" i="66"/>
  <c r="G19" i="66" s="1"/>
  <c r="H19" i="66" s="1"/>
  <c r="N24" i="66"/>
  <c r="G24" i="66" s="1"/>
  <c r="H24" i="66" s="1"/>
  <c r="O57" i="66"/>
  <c r="N87" i="66"/>
  <c r="N100" i="66"/>
  <c r="N112" i="66"/>
  <c r="G112" i="66" s="1"/>
  <c r="N124" i="66"/>
  <c r="G124" i="66" s="1"/>
  <c r="N136" i="66"/>
  <c r="G136" i="66" s="1"/>
  <c r="N32" i="66"/>
  <c r="G32" i="66" s="1"/>
  <c r="H32" i="66" s="1"/>
  <c r="N43" i="66"/>
  <c r="G43" i="66" s="1"/>
  <c r="H43" i="66" s="1"/>
  <c r="N48" i="66"/>
  <c r="G48" i="66" s="1"/>
  <c r="N56" i="66"/>
  <c r="G56" i="66" s="1"/>
  <c r="N63" i="66"/>
  <c r="G63" i="66" s="1"/>
  <c r="N76" i="66"/>
  <c r="G76" i="66" s="1"/>
  <c r="N81" i="66"/>
  <c r="O87" i="66"/>
  <c r="G100" i="66"/>
  <c r="N103" i="66"/>
  <c r="G103" i="66" s="1"/>
  <c r="N115" i="66"/>
  <c r="G115" i="66" s="1"/>
  <c r="N127" i="66"/>
  <c r="G127" i="66" s="1"/>
  <c r="N139" i="66"/>
  <c r="G139" i="66" s="1"/>
  <c r="O81" i="66"/>
  <c r="B50" i="66"/>
  <c r="B47" i="66"/>
  <c r="O22" i="66"/>
  <c r="N22" i="66"/>
  <c r="O26" i="66"/>
  <c r="N26" i="66"/>
  <c r="G26" i="66" s="1"/>
  <c r="H26" i="66" s="1"/>
  <c r="O40" i="66"/>
  <c r="N40" i="66"/>
  <c r="O44" i="66"/>
  <c r="N44" i="66"/>
  <c r="O50" i="66"/>
  <c r="O92" i="66"/>
  <c r="N92" i="66"/>
  <c r="N50" i="66"/>
  <c r="O67" i="66"/>
  <c r="N67" i="66"/>
  <c r="O27" i="66"/>
  <c r="N27" i="66"/>
  <c r="O58" i="66"/>
  <c r="N58" i="66"/>
  <c r="O39" i="66"/>
  <c r="O68" i="66"/>
  <c r="O102" i="66"/>
  <c r="O132" i="66"/>
  <c r="O138" i="66"/>
  <c r="O177" i="66"/>
  <c r="O34" i="66"/>
  <c r="N34" i="66"/>
  <c r="N39" i="66"/>
  <c r="N177" i="66"/>
  <c r="O62" i="66"/>
  <c r="G62" i="66" s="1"/>
  <c r="O73" i="66"/>
  <c r="N73" i="66"/>
  <c r="O98" i="66"/>
  <c r="G98" i="66" s="1"/>
  <c r="O21" i="66"/>
  <c r="O60" i="66"/>
  <c r="N60" i="66"/>
  <c r="O79" i="66"/>
  <c r="N79" i="66"/>
  <c r="O108" i="66"/>
  <c r="O114" i="66"/>
  <c r="O120" i="66"/>
  <c r="O126" i="66"/>
  <c r="N21" i="66"/>
  <c r="N68" i="66"/>
  <c r="O74" i="66"/>
  <c r="O85" i="66"/>
  <c r="N85" i="66"/>
  <c r="N102" i="66"/>
  <c r="N108" i="66"/>
  <c r="N114" i="66"/>
  <c r="N120" i="66"/>
  <c r="N126" i="66"/>
  <c r="N132" i="66"/>
  <c r="N138" i="66"/>
  <c r="N20" i="66"/>
  <c r="O33" i="66"/>
  <c r="N38" i="66"/>
  <c r="G38" i="66" s="1"/>
  <c r="H38" i="66" s="1"/>
  <c r="O51" i="66"/>
  <c r="N51" i="66"/>
  <c r="N74" i="66"/>
  <c r="O80" i="66"/>
  <c r="O91" i="66"/>
  <c r="N91" i="66"/>
  <c r="O20" i="66"/>
  <c r="O28" i="66"/>
  <c r="N28" i="66"/>
  <c r="N33" i="66"/>
  <c r="O38" i="66"/>
  <c r="N45" i="66"/>
  <c r="O45" i="66"/>
  <c r="O59" i="66"/>
  <c r="N59" i="66"/>
  <c r="N61" i="66"/>
  <c r="O61" i="66"/>
  <c r="N80" i="66"/>
  <c r="O86" i="66"/>
  <c r="G86" i="66" s="1"/>
  <c r="O97" i="66"/>
  <c r="N97" i="66"/>
  <c r="O105" i="66"/>
  <c r="G105" i="66" s="1"/>
  <c r="O111" i="66"/>
  <c r="G111" i="66" s="1"/>
  <c r="O117" i="66"/>
  <c r="G117" i="66" s="1"/>
  <c r="O123" i="66"/>
  <c r="G123" i="66" s="1"/>
  <c r="O129" i="66"/>
  <c r="G129" i="66"/>
  <c r="O135" i="66"/>
  <c r="G135" i="66" s="1"/>
  <c r="O141" i="66"/>
  <c r="G141" i="66" s="1"/>
  <c r="N46" i="66"/>
  <c r="G46" i="66" s="1"/>
  <c r="H46" i="66" s="1"/>
  <c r="N52" i="66"/>
  <c r="G52" i="66" s="1"/>
  <c r="H52" i="66" s="1"/>
  <c r="N66" i="66"/>
  <c r="G66" i="66" s="1"/>
  <c r="N72" i="66"/>
  <c r="G72" i="66" s="1"/>
  <c r="N78" i="66"/>
  <c r="G78" i="66" s="1"/>
  <c r="N84" i="66"/>
  <c r="G84" i="66" s="1"/>
  <c r="N90" i="66"/>
  <c r="G90" i="66" s="1"/>
  <c r="N96" i="66"/>
  <c r="G96" i="66" s="1"/>
  <c r="N101" i="66"/>
  <c r="G101" i="66" s="1"/>
  <c r="N104" i="66"/>
  <c r="G104" i="66" s="1"/>
  <c r="N107" i="66"/>
  <c r="G107" i="66" s="1"/>
  <c r="N110" i="66"/>
  <c r="G110" i="66" s="1"/>
  <c r="N113" i="66"/>
  <c r="G113" i="66" s="1"/>
  <c r="N116" i="66"/>
  <c r="G116" i="66" s="1"/>
  <c r="N119" i="66"/>
  <c r="G119" i="66" s="1"/>
  <c r="N122" i="66"/>
  <c r="G122" i="66" s="1"/>
  <c r="N125" i="66"/>
  <c r="G125" i="66" s="1"/>
  <c r="N128" i="66"/>
  <c r="G128" i="66" s="1"/>
  <c r="N131" i="66"/>
  <c r="G131" i="66" s="1"/>
  <c r="N134" i="66"/>
  <c r="G134" i="66" s="1"/>
  <c r="N137" i="66"/>
  <c r="G137" i="66" s="1"/>
  <c r="N140" i="66"/>
  <c r="G140" i="66" s="1"/>
  <c r="N143" i="66"/>
  <c r="G143" i="66" s="1"/>
  <c r="N182" i="66"/>
  <c r="G182" i="66" s="1"/>
  <c r="N23" i="66"/>
  <c r="G23" i="66" s="1"/>
  <c r="H23" i="66" s="1"/>
  <c r="N29" i="66"/>
  <c r="G29" i="66" s="1"/>
  <c r="N35" i="66"/>
  <c r="G35" i="66" s="1"/>
  <c r="H35" i="66" s="1"/>
  <c r="N41" i="66"/>
  <c r="G41" i="66" s="1"/>
  <c r="H41" i="66" s="1"/>
  <c r="N47" i="66"/>
  <c r="G47" i="66" s="1"/>
  <c r="N53" i="66"/>
  <c r="G53" i="66" s="1"/>
  <c r="N65" i="66"/>
  <c r="G65" i="66" s="1"/>
  <c r="N71" i="66"/>
  <c r="G71" i="66" s="1"/>
  <c r="N77" i="66"/>
  <c r="G77" i="66" s="1"/>
  <c r="N83" i="66"/>
  <c r="G83" i="66" s="1"/>
  <c r="N89" i="66"/>
  <c r="G89" i="66" s="1"/>
  <c r="N95" i="66"/>
  <c r="G95" i="66" s="1"/>
  <c r="G59" i="67" l="1"/>
  <c r="H59" i="67" s="1"/>
  <c r="G117" i="67"/>
  <c r="G129" i="67"/>
  <c r="G81" i="67"/>
  <c r="G127" i="67"/>
  <c r="G103" i="67"/>
  <c r="G79" i="67"/>
  <c r="G105" i="67"/>
  <c r="G93" i="67"/>
  <c r="G61" i="67"/>
  <c r="G83" i="67"/>
  <c r="G181" i="67"/>
  <c r="G157" i="67"/>
  <c r="G179" i="67"/>
  <c r="G155" i="67"/>
  <c r="G141" i="67"/>
  <c r="G177" i="67"/>
  <c r="G153" i="67"/>
  <c r="G151" i="67"/>
  <c r="G175" i="67"/>
  <c r="H53" i="66"/>
  <c r="AQ11" i="15"/>
  <c r="H54" i="66"/>
  <c r="AQ13" i="15"/>
  <c r="AQ19" i="15"/>
  <c r="H47" i="66"/>
  <c r="AQ17" i="15"/>
  <c r="H48" i="66"/>
  <c r="AQ15" i="15"/>
  <c r="H44" i="67"/>
  <c r="AR23" i="15"/>
  <c r="H48" i="67"/>
  <c r="AR15" i="15"/>
  <c r="H47" i="67"/>
  <c r="AR17" i="15"/>
  <c r="G125" i="67"/>
  <c r="G77" i="67"/>
  <c r="G173" i="67"/>
  <c r="G149" i="67"/>
  <c r="G101" i="67"/>
  <c r="G21" i="67"/>
  <c r="AR9" i="15" s="1"/>
  <c r="H54" i="67"/>
  <c r="AR13" i="15"/>
  <c r="H52" i="67"/>
  <c r="AR11" i="15"/>
  <c r="G159" i="67"/>
  <c r="G135" i="67"/>
  <c r="G111" i="67"/>
  <c r="G87" i="67"/>
  <c r="G63" i="67"/>
  <c r="G171" i="67"/>
  <c r="G147" i="67"/>
  <c r="G123" i="67"/>
  <c r="G99" i="67"/>
  <c r="G75" i="67"/>
  <c r="G169" i="67"/>
  <c r="G145" i="67"/>
  <c r="G121" i="67"/>
  <c r="G97" i="67"/>
  <c r="G73" i="67"/>
  <c r="G167" i="67"/>
  <c r="G143" i="67"/>
  <c r="G95" i="67"/>
  <c r="G71" i="67"/>
  <c r="G119" i="67"/>
  <c r="G165" i="67"/>
  <c r="G69" i="67"/>
  <c r="G163" i="67"/>
  <c r="G139" i="67"/>
  <c r="G115" i="67"/>
  <c r="G91" i="67"/>
  <c r="G67" i="67"/>
  <c r="G161" i="67"/>
  <c r="G137" i="67"/>
  <c r="G113" i="67"/>
  <c r="G89" i="67"/>
  <c r="G65" i="67"/>
  <c r="G33" i="67"/>
  <c r="H33" i="67" s="1"/>
  <c r="B48" i="67"/>
  <c r="B51" i="67"/>
  <c r="D9" i="67"/>
  <c r="D10" i="67"/>
  <c r="H29" i="66"/>
  <c r="G174" i="66"/>
  <c r="G93" i="66"/>
  <c r="G28" i="66"/>
  <c r="H28" i="66" s="1"/>
  <c r="G60" i="66"/>
  <c r="G92" i="66"/>
  <c r="G22" i="66"/>
  <c r="H22" i="66" s="1"/>
  <c r="G81" i="66"/>
  <c r="G40" i="66"/>
  <c r="H40" i="66" s="1"/>
  <c r="G166" i="66"/>
  <c r="G114" i="66"/>
  <c r="G68" i="66"/>
  <c r="G58" i="66"/>
  <c r="H58" i="66" s="1"/>
  <c r="G87" i="66"/>
  <c r="G102" i="66"/>
  <c r="G50" i="66"/>
  <c r="H50" i="66" s="1"/>
  <c r="G120" i="66"/>
  <c r="G97" i="66"/>
  <c r="G27" i="66"/>
  <c r="H27" i="66" s="1"/>
  <c r="G126" i="66"/>
  <c r="G57" i="66"/>
  <c r="G33" i="66"/>
  <c r="H33" i="66" s="1"/>
  <c r="G20" i="66"/>
  <c r="H20" i="66" s="1"/>
  <c r="G108" i="66"/>
  <c r="G67" i="66"/>
  <c r="G44" i="66"/>
  <c r="G25" i="66"/>
  <c r="H25" i="66" s="1"/>
  <c r="G80" i="66"/>
  <c r="G74" i="66"/>
  <c r="G177" i="66"/>
  <c r="G45" i="66"/>
  <c r="H45" i="66" s="1"/>
  <c r="G138" i="66"/>
  <c r="G21" i="66"/>
  <c r="H21" i="66" s="1"/>
  <c r="G39" i="66"/>
  <c r="H39" i="66" s="1"/>
  <c r="G59" i="66"/>
  <c r="G51" i="66"/>
  <c r="H51" i="66" s="1"/>
  <c r="G132" i="66"/>
  <c r="G85" i="66"/>
  <c r="G73" i="66"/>
  <c r="G34" i="66"/>
  <c r="H34" i="66" s="1"/>
  <c r="G61" i="66"/>
  <c r="B51" i="66"/>
  <c r="B48" i="66"/>
  <c r="G91" i="66"/>
  <c r="G79" i="66"/>
  <c r="AP20" i="15"/>
  <c r="D6" i="67" l="1"/>
  <c r="D5" i="67"/>
  <c r="AR21" i="15"/>
  <c r="D7" i="67"/>
  <c r="D8" i="67"/>
  <c r="H21" i="67"/>
  <c r="G184" i="67"/>
  <c r="D11" i="67" s="1"/>
  <c r="B52" i="67"/>
  <c r="B53" i="67" s="1"/>
  <c r="B54" i="67" s="1"/>
  <c r="B55" i="67" s="1"/>
  <c r="B56" i="67" s="1"/>
  <c r="B57" i="67" s="1"/>
  <c r="B58" i="67" s="1"/>
  <c r="B59" i="67" s="1"/>
  <c r="B60" i="67" s="1"/>
  <c r="B61" i="67" s="1"/>
  <c r="B62" i="67" s="1"/>
  <c r="B63" i="67" s="1"/>
  <c r="B64" i="67" s="1"/>
  <c r="B65" i="67" s="1"/>
  <c r="B66" i="67" s="1"/>
  <c r="B67" i="67" s="1"/>
  <c r="B68" i="67" s="1"/>
  <c r="B69" i="67" s="1"/>
  <c r="B70" i="67" s="1"/>
  <c r="B71" i="67" s="1"/>
  <c r="B72" i="67" s="1"/>
  <c r="B73" i="67" s="1"/>
  <c r="B74" i="67" s="1"/>
  <c r="B75" i="67" s="1"/>
  <c r="B76" i="67" s="1"/>
  <c r="B77" i="67" s="1"/>
  <c r="B78" i="67" s="1"/>
  <c r="B79" i="67" s="1"/>
  <c r="B80" i="67" s="1"/>
  <c r="B81" i="67" s="1"/>
  <c r="B82" i="67" s="1"/>
  <c r="B83" i="67" s="1"/>
  <c r="B84" i="67" s="1"/>
  <c r="B85" i="67" s="1"/>
  <c r="B86" i="67" s="1"/>
  <c r="B87" i="67" s="1"/>
  <c r="B88" i="67" s="1"/>
  <c r="B89" i="67" s="1"/>
  <c r="B90" i="67" s="1"/>
  <c r="B91" i="67" s="1"/>
  <c r="B92" i="67" s="1"/>
  <c r="B93" i="67" s="1"/>
  <c r="B94" i="67" s="1"/>
  <c r="B95" i="67" s="1"/>
  <c r="B96" i="67" s="1"/>
  <c r="B97" i="67" s="1"/>
  <c r="B98" i="67" s="1"/>
  <c r="B99" i="67" s="1"/>
  <c r="B100" i="67" s="1"/>
  <c r="B101" i="67" s="1"/>
  <c r="B102" i="67" s="1"/>
  <c r="B103" i="67" s="1"/>
  <c r="B104" i="67" s="1"/>
  <c r="B105" i="67" s="1"/>
  <c r="B106" i="67" s="1"/>
  <c r="B107" i="67" s="1"/>
  <c r="B108" i="67" s="1"/>
  <c r="B109" i="67" s="1"/>
  <c r="B110" i="67" s="1"/>
  <c r="B111" i="67" s="1"/>
  <c r="B112" i="67" s="1"/>
  <c r="B113" i="67" s="1"/>
  <c r="B114" i="67" s="1"/>
  <c r="B115" i="67" s="1"/>
  <c r="B116" i="67" s="1"/>
  <c r="B117" i="67" s="1"/>
  <c r="B118" i="67" s="1"/>
  <c r="B119" i="67" s="1"/>
  <c r="B120" i="67" s="1"/>
  <c r="B121" i="67" s="1"/>
  <c r="B122" i="67" s="1"/>
  <c r="B123" i="67" s="1"/>
  <c r="B124" i="67" s="1"/>
  <c r="B125" i="67" s="1"/>
  <c r="B126" i="67" s="1"/>
  <c r="B127" i="67" s="1"/>
  <c r="B128" i="67" s="1"/>
  <c r="B129" i="67" s="1"/>
  <c r="B130" i="67" s="1"/>
  <c r="B131" i="67" s="1"/>
  <c r="B132" i="67" s="1"/>
  <c r="B133" i="67" s="1"/>
  <c r="B134" i="67" s="1"/>
  <c r="B135" i="67" s="1"/>
  <c r="B136" i="67" s="1"/>
  <c r="B137" i="67" s="1"/>
  <c r="B138" i="67" s="1"/>
  <c r="B139" i="67" s="1"/>
  <c r="B140" i="67" s="1"/>
  <c r="B141" i="67" s="1"/>
  <c r="B142" i="67" s="1"/>
  <c r="B143" i="67" s="1"/>
  <c r="B144" i="67" s="1"/>
  <c r="B145" i="67" s="1"/>
  <c r="B146" i="67" s="1"/>
  <c r="B147" i="67" s="1"/>
  <c r="B148" i="67" s="1"/>
  <c r="B149" i="67" s="1"/>
  <c r="B150" i="67" s="1"/>
  <c r="B151" i="67" s="1"/>
  <c r="B152" i="67" s="1"/>
  <c r="B153" i="67" s="1"/>
  <c r="B154" i="67" s="1"/>
  <c r="B155" i="67" s="1"/>
  <c r="B156" i="67" s="1"/>
  <c r="B157" i="67" s="1"/>
  <c r="B158" i="67" s="1"/>
  <c r="B159" i="67" s="1"/>
  <c r="B160" i="67" s="1"/>
  <c r="B161" i="67" s="1"/>
  <c r="B162" i="67" s="1"/>
  <c r="B163" i="67" s="1"/>
  <c r="B164" i="67" s="1"/>
  <c r="B165" i="67" s="1"/>
  <c r="B166" i="67" s="1"/>
  <c r="B167" i="67" s="1"/>
  <c r="B168" i="67" s="1"/>
  <c r="B169" i="67" s="1"/>
  <c r="B170" i="67" s="1"/>
  <c r="B171" i="67" s="1"/>
  <c r="B172" i="67" s="1"/>
  <c r="B173" i="67" s="1"/>
  <c r="B174" i="67" s="1"/>
  <c r="B175" i="67" s="1"/>
  <c r="B176" i="67" s="1"/>
  <c r="B177" i="67" s="1"/>
  <c r="B178" i="67" s="1"/>
  <c r="B179" i="67" s="1"/>
  <c r="B180" i="67" s="1"/>
  <c r="B181" i="67" s="1"/>
  <c r="B182" i="67" s="1"/>
  <c r="B49" i="67"/>
  <c r="H59" i="66"/>
  <c r="H44" i="66"/>
  <c r="AQ23" i="15"/>
  <c r="AQ9" i="15"/>
  <c r="D9" i="66"/>
  <c r="D7" i="66"/>
  <c r="G184" i="66"/>
  <c r="D11" i="66" s="1"/>
  <c r="D10" i="66"/>
  <c r="D8" i="66"/>
  <c r="D6" i="66"/>
  <c r="D5" i="66"/>
  <c r="B52" i="66"/>
  <c r="B53" i="66" s="1"/>
  <c r="B54" i="66" s="1"/>
  <c r="B55" i="66" s="1"/>
  <c r="B56" i="66" s="1"/>
  <c r="B57" i="66" s="1"/>
  <c r="B58" i="66" s="1"/>
  <c r="B59" i="66" s="1"/>
  <c r="B60" i="66" s="1"/>
  <c r="B61" i="66" s="1"/>
  <c r="B62" i="66" s="1"/>
  <c r="B63" i="66" s="1"/>
  <c r="B64" i="66" s="1"/>
  <c r="B65" i="66" s="1"/>
  <c r="B66" i="66" s="1"/>
  <c r="B67" i="66" s="1"/>
  <c r="B68" i="66" s="1"/>
  <c r="B69" i="66" s="1"/>
  <c r="B70" i="66" s="1"/>
  <c r="B71" i="66" s="1"/>
  <c r="B72" i="66" s="1"/>
  <c r="B73" i="66" s="1"/>
  <c r="B74" i="66" s="1"/>
  <c r="B75" i="66" s="1"/>
  <c r="B76" i="66" s="1"/>
  <c r="B77" i="66" s="1"/>
  <c r="B78" i="66" s="1"/>
  <c r="B79" i="66" s="1"/>
  <c r="B80" i="66" s="1"/>
  <c r="B81" i="66" s="1"/>
  <c r="B82" i="66" s="1"/>
  <c r="B83" i="66" s="1"/>
  <c r="B84" i="66" s="1"/>
  <c r="B85" i="66" s="1"/>
  <c r="B86" i="66" s="1"/>
  <c r="B87" i="66" s="1"/>
  <c r="B88" i="66" s="1"/>
  <c r="B89" i="66" s="1"/>
  <c r="B90" i="66" s="1"/>
  <c r="B91" i="66" s="1"/>
  <c r="B92" i="66" s="1"/>
  <c r="B93" i="66" s="1"/>
  <c r="B94" i="66" s="1"/>
  <c r="B95" i="66" s="1"/>
  <c r="B96" i="66" s="1"/>
  <c r="B97" i="66" s="1"/>
  <c r="B98" i="66" s="1"/>
  <c r="B99" i="66" s="1"/>
  <c r="B100" i="66" s="1"/>
  <c r="B101" i="66" s="1"/>
  <c r="B102" i="66" s="1"/>
  <c r="B103" i="66" s="1"/>
  <c r="B104" i="66" s="1"/>
  <c r="B105" i="66" s="1"/>
  <c r="B106" i="66" s="1"/>
  <c r="B107" i="66" s="1"/>
  <c r="B108" i="66" s="1"/>
  <c r="B109" i="66" s="1"/>
  <c r="B110" i="66" s="1"/>
  <c r="B111" i="66" s="1"/>
  <c r="B112" i="66" s="1"/>
  <c r="B113" i="66" s="1"/>
  <c r="B114" i="66" s="1"/>
  <c r="B115" i="66" s="1"/>
  <c r="B116" i="66" s="1"/>
  <c r="B117" i="66" s="1"/>
  <c r="B118" i="66" s="1"/>
  <c r="B119" i="66" s="1"/>
  <c r="B120" i="66" s="1"/>
  <c r="B121" i="66" s="1"/>
  <c r="B122" i="66" s="1"/>
  <c r="B123" i="66" s="1"/>
  <c r="B124" i="66" s="1"/>
  <c r="B125" i="66" s="1"/>
  <c r="B126" i="66" s="1"/>
  <c r="B127" i="66" s="1"/>
  <c r="B128" i="66" s="1"/>
  <c r="B129" i="66" s="1"/>
  <c r="B130" i="66" s="1"/>
  <c r="B131" i="66" s="1"/>
  <c r="B132" i="66" s="1"/>
  <c r="B133" i="66" s="1"/>
  <c r="B134" i="66" s="1"/>
  <c r="B135" i="66" s="1"/>
  <c r="B136" i="66" s="1"/>
  <c r="B137" i="66" s="1"/>
  <c r="B138" i="66" s="1"/>
  <c r="B139" i="66" s="1"/>
  <c r="B140" i="66" s="1"/>
  <c r="B141" i="66" s="1"/>
  <c r="B142" i="66" s="1"/>
  <c r="B143" i="66" s="1"/>
  <c r="B144" i="66" s="1"/>
  <c r="B145" i="66" s="1"/>
  <c r="B146" i="66" s="1"/>
  <c r="B147" i="66" s="1"/>
  <c r="B148" i="66" s="1"/>
  <c r="B149" i="66" s="1"/>
  <c r="B150" i="66" s="1"/>
  <c r="B151" i="66" s="1"/>
  <c r="B152" i="66" s="1"/>
  <c r="B153" i="66" s="1"/>
  <c r="B154" i="66" s="1"/>
  <c r="B155" i="66" s="1"/>
  <c r="B156" i="66" s="1"/>
  <c r="B157" i="66" s="1"/>
  <c r="B158" i="66" s="1"/>
  <c r="B159" i="66" s="1"/>
  <c r="B160" i="66" s="1"/>
  <c r="B161" i="66" s="1"/>
  <c r="B162" i="66" s="1"/>
  <c r="B163" i="66" s="1"/>
  <c r="B164" i="66" s="1"/>
  <c r="B165" i="66" s="1"/>
  <c r="B166" i="66" s="1"/>
  <c r="B167" i="66" s="1"/>
  <c r="B168" i="66" s="1"/>
  <c r="B169" i="66" s="1"/>
  <c r="B170" i="66" s="1"/>
  <c r="B171" i="66" s="1"/>
  <c r="B172" i="66" s="1"/>
  <c r="B173" i="66" s="1"/>
  <c r="B174" i="66" s="1"/>
  <c r="B175" i="66" s="1"/>
  <c r="B176" i="66" s="1"/>
  <c r="B177" i="66" s="1"/>
  <c r="B178" i="66" s="1"/>
  <c r="B179" i="66" s="1"/>
  <c r="B180" i="66" s="1"/>
  <c r="B181" i="66" s="1"/>
  <c r="B182" i="66" s="1"/>
  <c r="B49" i="66"/>
  <c r="AP39" i="15"/>
  <c r="M48" i="64" l="1"/>
  <c r="F371" i="16"/>
  <c r="AP5" i="15" l="1"/>
  <c r="AP31" i="15"/>
  <c r="AP38" i="15"/>
  <c r="AY26" i="15"/>
  <c r="AZ26" i="15"/>
  <c r="AZ34" i="15" s="1"/>
  <c r="BA26" i="15"/>
  <c r="BA34" i="15" s="1"/>
  <c r="BB26" i="15"/>
  <c r="BB34" i="15" s="1"/>
  <c r="BC26" i="15"/>
  <c r="BC34" i="15" s="1"/>
  <c r="BD26" i="15"/>
  <c r="BD34" i="15" s="1"/>
  <c r="BE26" i="15"/>
  <c r="BE34" i="15" s="1"/>
  <c r="BF26" i="15"/>
  <c r="BF34" i="15" s="1"/>
  <c r="BG26" i="15"/>
  <c r="BG34" i="15" s="1"/>
  <c r="BG60" i="15" s="1"/>
  <c r="BH26" i="15"/>
  <c r="BH34" i="15" s="1"/>
  <c r="BI26" i="15"/>
  <c r="BI34" i="15" s="1"/>
  <c r="BJ26" i="15"/>
  <c r="BJ34" i="15" s="1"/>
  <c r="BK26" i="15"/>
  <c r="BK34" i="15" s="1"/>
  <c r="BL26" i="15"/>
  <c r="BL34" i="15" s="1"/>
  <c r="BM26" i="15"/>
  <c r="BM34" i="15" s="1"/>
  <c r="BN26" i="15"/>
  <c r="BN34" i="15" s="1"/>
  <c r="BO26" i="15"/>
  <c r="BO34" i="15" s="1"/>
  <c r="BP26" i="15"/>
  <c r="BP34" i="15" s="1"/>
  <c r="BQ26" i="15"/>
  <c r="BQ34" i="15" s="1"/>
  <c r="BR26" i="15"/>
  <c r="BR34" i="15" s="1"/>
  <c r="BS26" i="15"/>
  <c r="BS34" i="15" s="1"/>
  <c r="BS60" i="15" s="1"/>
  <c r="AY28" i="15"/>
  <c r="AZ28" i="15"/>
  <c r="BA28" i="15"/>
  <c r="BB28" i="15"/>
  <c r="BC28" i="15"/>
  <c r="BD28" i="15"/>
  <c r="BE28" i="15"/>
  <c r="BF28" i="15"/>
  <c r="BG28" i="15"/>
  <c r="BH28" i="15"/>
  <c r="BI28" i="15"/>
  <c r="BJ28" i="15"/>
  <c r="BK28" i="15"/>
  <c r="BL28" i="15"/>
  <c r="BM28" i="15"/>
  <c r="BN28" i="15"/>
  <c r="BO28" i="15"/>
  <c r="BP28" i="15"/>
  <c r="BQ28" i="15"/>
  <c r="BR28" i="15"/>
  <c r="BS28" i="15"/>
  <c r="AY33" i="15"/>
  <c r="AZ33" i="15"/>
  <c r="BA33" i="15"/>
  <c r="BB33" i="15"/>
  <c r="BC33" i="15"/>
  <c r="BD33" i="15"/>
  <c r="BE33" i="15"/>
  <c r="BF33" i="15"/>
  <c r="BG33" i="15"/>
  <c r="BH33" i="15"/>
  <c r="BI33" i="15"/>
  <c r="BJ33" i="15"/>
  <c r="BK33" i="15"/>
  <c r="BL33" i="15"/>
  <c r="BM33" i="15"/>
  <c r="BN33" i="15"/>
  <c r="BO33" i="15"/>
  <c r="BP33" i="15"/>
  <c r="BQ33" i="15"/>
  <c r="BR33" i="15"/>
  <c r="BS33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BL40" i="15"/>
  <c r="BM40" i="15"/>
  <c r="BN40" i="15"/>
  <c r="BO40" i="15"/>
  <c r="BP40" i="15"/>
  <c r="BQ40" i="15"/>
  <c r="BR40" i="15"/>
  <c r="BS40" i="15"/>
  <c r="AY57" i="15"/>
  <c r="AZ57" i="15"/>
  <c r="BA57" i="15"/>
  <c r="BB57" i="15"/>
  <c r="BC57" i="15"/>
  <c r="BD57" i="15"/>
  <c r="BE57" i="15"/>
  <c r="BF57" i="15"/>
  <c r="BG57" i="15"/>
  <c r="BH57" i="15"/>
  <c r="BI57" i="15"/>
  <c r="BJ57" i="15"/>
  <c r="BK57" i="15"/>
  <c r="BL57" i="15"/>
  <c r="BM57" i="15"/>
  <c r="BN57" i="15"/>
  <c r="BO57" i="15"/>
  <c r="BP57" i="15"/>
  <c r="BQ57" i="15"/>
  <c r="BR57" i="15"/>
  <c r="BS57" i="15"/>
  <c r="D30" i="65"/>
  <c r="D36" i="65" s="1"/>
  <c r="D37" i="65" s="1"/>
  <c r="C30" i="65"/>
  <c r="C36" i="65" s="1"/>
  <c r="C37" i="65" s="1"/>
  <c r="B30" i="65"/>
  <c r="B31" i="65" s="1"/>
  <c r="B36" i="65" s="1"/>
  <c r="B37" i="65" s="1"/>
  <c r="D11" i="65"/>
  <c r="D10" i="65"/>
  <c r="C10" i="65"/>
  <c r="B10" i="65"/>
  <c r="C1" i="65"/>
  <c r="C11" i="65" s="1"/>
  <c r="B1" i="65"/>
  <c r="AP40" i="15"/>
  <c r="AP25" i="15"/>
  <c r="AP24" i="15"/>
  <c r="AP22" i="15"/>
  <c r="AP18" i="15"/>
  <c r="AP16" i="15"/>
  <c r="AP14" i="15"/>
  <c r="AP12" i="15"/>
  <c r="AP10" i="15"/>
  <c r="AP8" i="15"/>
  <c r="E148" i="64"/>
  <c r="P146" i="64"/>
  <c r="M146" i="64"/>
  <c r="P145" i="64"/>
  <c r="M145" i="64"/>
  <c r="N145" i="64" s="1"/>
  <c r="P144" i="64"/>
  <c r="M144" i="64"/>
  <c r="N144" i="64" s="1"/>
  <c r="P143" i="64"/>
  <c r="M143" i="64"/>
  <c r="N143" i="64" s="1"/>
  <c r="P142" i="64"/>
  <c r="M142" i="64"/>
  <c r="N142" i="64" s="1"/>
  <c r="P141" i="64"/>
  <c r="M141" i="64"/>
  <c r="N141" i="64" s="1"/>
  <c r="P140" i="64"/>
  <c r="M140" i="64"/>
  <c r="P139" i="64"/>
  <c r="M139" i="64"/>
  <c r="N139" i="64" s="1"/>
  <c r="P138" i="64"/>
  <c r="M138" i="64"/>
  <c r="N138" i="64" s="1"/>
  <c r="P137" i="64"/>
  <c r="M137" i="64"/>
  <c r="N137" i="64" s="1"/>
  <c r="P136" i="64"/>
  <c r="M136" i="64"/>
  <c r="N136" i="64" s="1"/>
  <c r="P135" i="64"/>
  <c r="M135" i="64"/>
  <c r="N135" i="64" s="1"/>
  <c r="P134" i="64"/>
  <c r="M134" i="64"/>
  <c r="P133" i="64"/>
  <c r="M133" i="64"/>
  <c r="N133" i="64" s="1"/>
  <c r="P132" i="64"/>
  <c r="M132" i="64"/>
  <c r="N132" i="64" s="1"/>
  <c r="P131" i="64"/>
  <c r="M131" i="64"/>
  <c r="N131" i="64" s="1"/>
  <c r="P130" i="64"/>
  <c r="M130" i="64"/>
  <c r="N130" i="64" s="1"/>
  <c r="P129" i="64"/>
  <c r="M129" i="64"/>
  <c r="N129" i="64" s="1"/>
  <c r="P128" i="64"/>
  <c r="M128" i="64"/>
  <c r="P127" i="64"/>
  <c r="M127" i="64"/>
  <c r="N127" i="64" s="1"/>
  <c r="P126" i="64"/>
  <c r="M126" i="64"/>
  <c r="N126" i="64" s="1"/>
  <c r="P125" i="64"/>
  <c r="M125" i="64"/>
  <c r="N125" i="64" s="1"/>
  <c r="P124" i="64"/>
  <c r="M124" i="64"/>
  <c r="N124" i="64" s="1"/>
  <c r="P123" i="64"/>
  <c r="M123" i="64"/>
  <c r="N123" i="64" s="1"/>
  <c r="P122" i="64"/>
  <c r="M122" i="64"/>
  <c r="P121" i="64"/>
  <c r="M121" i="64"/>
  <c r="N121" i="64" s="1"/>
  <c r="P120" i="64"/>
  <c r="M120" i="64"/>
  <c r="N120" i="64" s="1"/>
  <c r="P119" i="64"/>
  <c r="M119" i="64"/>
  <c r="N119" i="64" s="1"/>
  <c r="P118" i="64"/>
  <c r="M118" i="64"/>
  <c r="N118" i="64" s="1"/>
  <c r="P117" i="64"/>
  <c r="M117" i="64"/>
  <c r="N117" i="64" s="1"/>
  <c r="P116" i="64"/>
  <c r="M116" i="64"/>
  <c r="P115" i="64"/>
  <c r="M115" i="64"/>
  <c r="N115" i="64" s="1"/>
  <c r="P114" i="64"/>
  <c r="M114" i="64"/>
  <c r="N114" i="64" s="1"/>
  <c r="P113" i="64"/>
  <c r="M113" i="64"/>
  <c r="N113" i="64" s="1"/>
  <c r="P112" i="64"/>
  <c r="M112" i="64"/>
  <c r="N112" i="64" s="1"/>
  <c r="P111" i="64"/>
  <c r="M111" i="64"/>
  <c r="N111" i="64" s="1"/>
  <c r="P110" i="64"/>
  <c r="M110" i="64"/>
  <c r="P109" i="64"/>
  <c r="M109" i="64"/>
  <c r="N109" i="64" s="1"/>
  <c r="P108" i="64"/>
  <c r="M108" i="64"/>
  <c r="N108" i="64" s="1"/>
  <c r="P107" i="64"/>
  <c r="M107" i="64"/>
  <c r="N107" i="64" s="1"/>
  <c r="P106" i="64"/>
  <c r="M106" i="64"/>
  <c r="N106" i="64" s="1"/>
  <c r="P105" i="64"/>
  <c r="M105" i="64"/>
  <c r="N105" i="64" s="1"/>
  <c r="P104" i="64"/>
  <c r="M104" i="64"/>
  <c r="P103" i="64"/>
  <c r="M103" i="64"/>
  <c r="N103" i="64" s="1"/>
  <c r="P102" i="64"/>
  <c r="M102" i="64"/>
  <c r="N102" i="64" s="1"/>
  <c r="P101" i="64"/>
  <c r="M101" i="64"/>
  <c r="N101" i="64" s="1"/>
  <c r="P100" i="64"/>
  <c r="M100" i="64"/>
  <c r="N100" i="64" s="1"/>
  <c r="P99" i="64"/>
  <c r="M99" i="64"/>
  <c r="N99" i="64" s="1"/>
  <c r="P98" i="64"/>
  <c r="M98" i="64"/>
  <c r="P97" i="64"/>
  <c r="M97" i="64"/>
  <c r="N97" i="64" s="1"/>
  <c r="P96" i="64"/>
  <c r="M96" i="64"/>
  <c r="N96" i="64" s="1"/>
  <c r="P95" i="64"/>
  <c r="M95" i="64"/>
  <c r="N95" i="64" s="1"/>
  <c r="P94" i="64"/>
  <c r="M94" i="64"/>
  <c r="N94" i="64" s="1"/>
  <c r="P93" i="64"/>
  <c r="M93" i="64"/>
  <c r="N93" i="64" s="1"/>
  <c r="P92" i="64"/>
  <c r="M92" i="64"/>
  <c r="P91" i="64"/>
  <c r="M91" i="64"/>
  <c r="N91" i="64" s="1"/>
  <c r="P90" i="64"/>
  <c r="M90" i="64"/>
  <c r="N90" i="64" s="1"/>
  <c r="P89" i="64"/>
  <c r="M89" i="64"/>
  <c r="N89" i="64" s="1"/>
  <c r="P88" i="64"/>
  <c r="M88" i="64"/>
  <c r="N88" i="64" s="1"/>
  <c r="P87" i="64"/>
  <c r="M87" i="64"/>
  <c r="N87" i="64" s="1"/>
  <c r="P86" i="64"/>
  <c r="M86" i="64"/>
  <c r="P85" i="64"/>
  <c r="M85" i="64"/>
  <c r="N85" i="64" s="1"/>
  <c r="P84" i="64"/>
  <c r="M84" i="64"/>
  <c r="N84" i="64" s="1"/>
  <c r="P83" i="64"/>
  <c r="M83" i="64"/>
  <c r="N83" i="64" s="1"/>
  <c r="P82" i="64"/>
  <c r="M82" i="64"/>
  <c r="N82" i="64" s="1"/>
  <c r="P81" i="64"/>
  <c r="M81" i="64"/>
  <c r="N81" i="64" s="1"/>
  <c r="P80" i="64"/>
  <c r="M80" i="64"/>
  <c r="P79" i="64"/>
  <c r="M79" i="64"/>
  <c r="N79" i="64" s="1"/>
  <c r="P78" i="64"/>
  <c r="M78" i="64"/>
  <c r="N78" i="64" s="1"/>
  <c r="P77" i="64"/>
  <c r="M77" i="64"/>
  <c r="N77" i="64" s="1"/>
  <c r="P76" i="64"/>
  <c r="M76" i="64"/>
  <c r="N76" i="64" s="1"/>
  <c r="P75" i="64"/>
  <c r="M75" i="64"/>
  <c r="N75" i="64" s="1"/>
  <c r="P74" i="64"/>
  <c r="M74" i="64"/>
  <c r="P73" i="64"/>
  <c r="M73" i="64"/>
  <c r="N73" i="64" s="1"/>
  <c r="P72" i="64"/>
  <c r="M72" i="64"/>
  <c r="O72" i="64" s="1"/>
  <c r="P71" i="64"/>
  <c r="M71" i="64"/>
  <c r="O71" i="64" s="1"/>
  <c r="P70" i="64"/>
  <c r="M70" i="64"/>
  <c r="N70" i="64" s="1"/>
  <c r="P69" i="64"/>
  <c r="M69" i="64"/>
  <c r="P68" i="64"/>
  <c r="M68" i="64"/>
  <c r="O68" i="64" s="1"/>
  <c r="P67" i="64"/>
  <c r="M67" i="64"/>
  <c r="O67" i="64" s="1"/>
  <c r="P66" i="64"/>
  <c r="M66" i="64"/>
  <c r="N66" i="64" s="1"/>
  <c r="P65" i="64"/>
  <c r="M65" i="64"/>
  <c r="O65" i="64" s="1"/>
  <c r="P64" i="64"/>
  <c r="M64" i="64"/>
  <c r="P63" i="64"/>
  <c r="M63" i="64"/>
  <c r="O63" i="64" s="1"/>
  <c r="P62" i="64"/>
  <c r="M62" i="64"/>
  <c r="O62" i="64" s="1"/>
  <c r="P61" i="64"/>
  <c r="M61" i="64"/>
  <c r="O61" i="64" s="1"/>
  <c r="P60" i="64"/>
  <c r="M60" i="64"/>
  <c r="N60" i="64" s="1"/>
  <c r="P59" i="64"/>
  <c r="M59" i="64"/>
  <c r="O59" i="64" s="1"/>
  <c r="P58" i="64"/>
  <c r="M58" i="64"/>
  <c r="P57" i="64"/>
  <c r="M57" i="64"/>
  <c r="O57" i="64" s="1"/>
  <c r="P56" i="64"/>
  <c r="M56" i="64"/>
  <c r="N56" i="64" s="1"/>
  <c r="P55" i="64"/>
  <c r="M55" i="64"/>
  <c r="N55" i="64" s="1"/>
  <c r="P54" i="64"/>
  <c r="M54" i="64"/>
  <c r="O54" i="64" s="1"/>
  <c r="P53" i="64"/>
  <c r="M53" i="64"/>
  <c r="O53" i="64" s="1"/>
  <c r="P52" i="64"/>
  <c r="M52" i="64"/>
  <c r="O52" i="64" s="1"/>
  <c r="P51" i="64"/>
  <c r="M51" i="64"/>
  <c r="P50" i="64"/>
  <c r="M50" i="64"/>
  <c r="O50" i="64" s="1"/>
  <c r="P49" i="64"/>
  <c r="M49" i="64"/>
  <c r="N49" i="64" s="1"/>
  <c r="P48" i="64"/>
  <c r="O48" i="64"/>
  <c r="P47" i="64"/>
  <c r="M47" i="64"/>
  <c r="O47" i="64" s="1"/>
  <c r="P46" i="64"/>
  <c r="M46" i="64"/>
  <c r="P45" i="64"/>
  <c r="M45" i="64"/>
  <c r="P44" i="64"/>
  <c r="M44" i="64"/>
  <c r="O44" i="64" s="1"/>
  <c r="P43" i="64"/>
  <c r="M43" i="64"/>
  <c r="N43" i="64" s="1"/>
  <c r="P42" i="64"/>
  <c r="M42" i="64"/>
  <c r="O42" i="64" s="1"/>
  <c r="P41" i="64"/>
  <c r="M41" i="64"/>
  <c r="O41" i="64" s="1"/>
  <c r="P40" i="64"/>
  <c r="M40" i="64"/>
  <c r="O40" i="64" s="1"/>
  <c r="P39" i="64"/>
  <c r="M39" i="64"/>
  <c r="P38" i="64"/>
  <c r="M38" i="64"/>
  <c r="O38" i="64" s="1"/>
  <c r="P37" i="64"/>
  <c r="M37" i="64"/>
  <c r="N37" i="64" s="1"/>
  <c r="P36" i="64"/>
  <c r="M36" i="64"/>
  <c r="O36" i="64" s="1"/>
  <c r="P35" i="64"/>
  <c r="M35" i="64"/>
  <c r="O35" i="64" s="1"/>
  <c r="P34" i="64"/>
  <c r="M34" i="64"/>
  <c r="O34" i="64" s="1"/>
  <c r="P33" i="64"/>
  <c r="M33" i="64"/>
  <c r="P32" i="64"/>
  <c r="M32" i="64"/>
  <c r="O32" i="64" s="1"/>
  <c r="P31" i="64"/>
  <c r="M31" i="64"/>
  <c r="N31" i="64" s="1"/>
  <c r="P30" i="64"/>
  <c r="M30" i="64"/>
  <c r="O30" i="64" s="1"/>
  <c r="P29" i="64"/>
  <c r="M29" i="64"/>
  <c r="P28" i="64"/>
  <c r="M28" i="64"/>
  <c r="P27" i="64"/>
  <c r="M27" i="64"/>
  <c r="P26" i="64"/>
  <c r="M26" i="64"/>
  <c r="N26" i="64" s="1"/>
  <c r="P25" i="64"/>
  <c r="M25" i="64"/>
  <c r="P24" i="64"/>
  <c r="M24" i="64"/>
  <c r="P23" i="64"/>
  <c r="M23" i="64"/>
  <c r="N23" i="64" s="1"/>
  <c r="P22" i="64"/>
  <c r="M22" i="64"/>
  <c r="P21" i="64"/>
  <c r="M21" i="64"/>
  <c r="P20" i="64"/>
  <c r="M20" i="64"/>
  <c r="N20" i="64" s="1"/>
  <c r="P19" i="64"/>
  <c r="M19" i="64"/>
  <c r="P18" i="64"/>
  <c r="M18" i="64"/>
  <c r="B18" i="64"/>
  <c r="B19" i="64" s="1"/>
  <c r="B20" i="64" s="1"/>
  <c r="B21" i="64" s="1"/>
  <c r="B22" i="64" s="1"/>
  <c r="B23" i="64" s="1"/>
  <c r="B24" i="64" s="1"/>
  <c r="B25" i="64" s="1"/>
  <c r="B26" i="64" s="1"/>
  <c r="B27" i="64" s="1"/>
  <c r="B28" i="64" s="1"/>
  <c r="B29" i="64" s="1"/>
  <c r="B30" i="64" s="1"/>
  <c r="B31" i="64" s="1"/>
  <c r="B32" i="64" s="1"/>
  <c r="B33" i="64" s="1"/>
  <c r="B34" i="64" s="1"/>
  <c r="B35" i="64" s="1"/>
  <c r="B36" i="64" s="1"/>
  <c r="B37" i="64" s="1"/>
  <c r="B38" i="64" s="1"/>
  <c r="B39" i="64" s="1"/>
  <c r="B40" i="64" s="1"/>
  <c r="B41" i="64" s="1"/>
  <c r="B42" i="64" s="1"/>
  <c r="B43" i="64" s="1"/>
  <c r="B44" i="64" s="1"/>
  <c r="B45" i="64" s="1"/>
  <c r="B46" i="64" s="1"/>
  <c r="AO38" i="15"/>
  <c r="D11" i="63"/>
  <c r="B58" i="63"/>
  <c r="BK60" i="15" l="1"/>
  <c r="BK73" i="15" s="1"/>
  <c r="BR60" i="15"/>
  <c r="BF60" i="15"/>
  <c r="BQ60" i="15"/>
  <c r="BQ73" i="15" s="1"/>
  <c r="BE60" i="15"/>
  <c r="BE73" i="15" s="1"/>
  <c r="BP60" i="15"/>
  <c r="BP73" i="15" s="1"/>
  <c r="BD60" i="15"/>
  <c r="BD73" i="15" s="1"/>
  <c r="BC60" i="15"/>
  <c r="BC65" i="15" s="1"/>
  <c r="BO60" i="15"/>
  <c r="BO65" i="15" s="1"/>
  <c r="BN60" i="15"/>
  <c r="BN73" i="15" s="1"/>
  <c r="BB60" i="15"/>
  <c r="BB73" i="15" s="1"/>
  <c r="BM60" i="15"/>
  <c r="BM65" i="15" s="1"/>
  <c r="BA60" i="15"/>
  <c r="BA65" i="15" s="1"/>
  <c r="BL60" i="15"/>
  <c r="AZ60" i="15"/>
  <c r="AZ73" i="15" s="1"/>
  <c r="BJ60" i="15"/>
  <c r="BJ73" i="15" s="1"/>
  <c r="BI60" i="15"/>
  <c r="BI73" i="15" s="1"/>
  <c r="BH60" i="15"/>
  <c r="BH73" i="15" s="1"/>
  <c r="AY34" i="15"/>
  <c r="AY60" i="15" s="1"/>
  <c r="BL73" i="15"/>
  <c r="BG73" i="15"/>
  <c r="BR73" i="15"/>
  <c r="BF73" i="15"/>
  <c r="BA73" i="15"/>
  <c r="BS73" i="15"/>
  <c r="AP28" i="15"/>
  <c r="BR65" i="15"/>
  <c r="BQ65" i="15"/>
  <c r="BJ65" i="15"/>
  <c r="BF65" i="15"/>
  <c r="AZ65" i="15"/>
  <c r="BL65" i="15"/>
  <c r="BG65" i="15"/>
  <c r="BH65" i="15"/>
  <c r="BS65" i="15"/>
  <c r="BK65" i="15"/>
  <c r="B11" i="65"/>
  <c r="C13" i="65"/>
  <c r="O66" i="64"/>
  <c r="G66" i="64" s="1"/>
  <c r="N71" i="64"/>
  <c r="O105" i="64"/>
  <c r="G105" i="64" s="1"/>
  <c r="N57" i="64"/>
  <c r="G57" i="64" s="1"/>
  <c r="AP19" i="15" s="1"/>
  <c r="O37" i="64"/>
  <c r="G37" i="64" s="1"/>
  <c r="H37" i="64" s="1"/>
  <c r="N59" i="64"/>
  <c r="G59" i="64" s="1"/>
  <c r="H59" i="64" s="1"/>
  <c r="O141" i="64"/>
  <c r="G141" i="64" s="1"/>
  <c r="O139" i="64"/>
  <c r="O103" i="64"/>
  <c r="G103" i="64" s="1"/>
  <c r="O93" i="64"/>
  <c r="G93" i="64" s="1"/>
  <c r="O49" i="64"/>
  <c r="G49" i="64" s="1"/>
  <c r="O60" i="64"/>
  <c r="G60" i="64" s="1"/>
  <c r="O79" i="64"/>
  <c r="G79" i="64" s="1"/>
  <c r="O115" i="64"/>
  <c r="G115" i="64" s="1"/>
  <c r="O31" i="64"/>
  <c r="G31" i="64" s="1"/>
  <c r="H31" i="64" s="1"/>
  <c r="O129" i="64"/>
  <c r="G129" i="64" s="1"/>
  <c r="O55" i="64"/>
  <c r="G55" i="64" s="1"/>
  <c r="H55" i="64" s="1"/>
  <c r="N72" i="64"/>
  <c r="G72" i="64" s="1"/>
  <c r="O91" i="64"/>
  <c r="G91" i="64" s="1"/>
  <c r="O127" i="64"/>
  <c r="G127" i="64" s="1"/>
  <c r="O43" i="64"/>
  <c r="G43" i="64" s="1"/>
  <c r="H43" i="64" s="1"/>
  <c r="N65" i="64"/>
  <c r="G65" i="64" s="1"/>
  <c r="O81" i="64"/>
  <c r="G81" i="64" s="1"/>
  <c r="O117" i="64"/>
  <c r="G117" i="64" s="1"/>
  <c r="G71" i="64"/>
  <c r="N64" i="64"/>
  <c r="O64" i="64"/>
  <c r="N69" i="64"/>
  <c r="N63" i="64"/>
  <c r="G63" i="64" s="1"/>
  <c r="O70" i="64"/>
  <c r="G70" i="64" s="1"/>
  <c r="N32" i="64"/>
  <c r="G32" i="64" s="1"/>
  <c r="H32" i="64" s="1"/>
  <c r="N38" i="64"/>
  <c r="G38" i="64" s="1"/>
  <c r="H38" i="64" s="1"/>
  <c r="N44" i="64"/>
  <c r="G44" i="64" s="1"/>
  <c r="H44" i="64" s="1"/>
  <c r="N50" i="64"/>
  <c r="G50" i="64" s="1"/>
  <c r="H50" i="64" s="1"/>
  <c r="O56" i="64"/>
  <c r="G56" i="64" s="1"/>
  <c r="N62" i="64"/>
  <c r="G62" i="64" s="1"/>
  <c r="N68" i="64"/>
  <c r="G68" i="64" s="1"/>
  <c r="O69" i="64"/>
  <c r="O75" i="64"/>
  <c r="G75" i="64" s="1"/>
  <c r="O87" i="64"/>
  <c r="G87" i="64" s="1"/>
  <c r="O99" i="64"/>
  <c r="G99" i="64" s="1"/>
  <c r="O111" i="64"/>
  <c r="G111" i="64" s="1"/>
  <c r="O123" i="64"/>
  <c r="G123" i="64" s="1"/>
  <c r="O135" i="64"/>
  <c r="G135" i="64" s="1"/>
  <c r="N34" i="64"/>
  <c r="G34" i="64" s="1"/>
  <c r="H34" i="64" s="1"/>
  <c r="N40" i="64"/>
  <c r="G40" i="64" s="1"/>
  <c r="H40" i="64" s="1"/>
  <c r="N46" i="64"/>
  <c r="N52" i="64"/>
  <c r="G52" i="64" s="1"/>
  <c r="N61" i="64"/>
  <c r="G61" i="64" s="1"/>
  <c r="N67" i="64"/>
  <c r="G67" i="64" s="1"/>
  <c r="O73" i="64"/>
  <c r="G73" i="64" s="1"/>
  <c r="O85" i="64"/>
  <c r="G85" i="64" s="1"/>
  <c r="O97" i="64"/>
  <c r="G97" i="64" s="1"/>
  <c r="O109" i="64"/>
  <c r="G109" i="64" s="1"/>
  <c r="O121" i="64"/>
  <c r="G121" i="64" s="1"/>
  <c r="O133" i="64"/>
  <c r="G133" i="64" s="1"/>
  <c r="O145" i="64"/>
  <c r="G145" i="64" s="1"/>
  <c r="O46" i="64"/>
  <c r="G139" i="64"/>
  <c r="B47" i="64"/>
  <c r="B50" i="64"/>
  <c r="O18" i="64"/>
  <c r="O21" i="64"/>
  <c r="O24" i="64"/>
  <c r="O33" i="64"/>
  <c r="N33" i="64"/>
  <c r="O51" i="64"/>
  <c r="N51" i="64"/>
  <c r="N18" i="64"/>
  <c r="N21" i="64"/>
  <c r="N24" i="64"/>
  <c r="O26" i="64"/>
  <c r="G26" i="64" s="1"/>
  <c r="H26" i="64" s="1"/>
  <c r="N80" i="64"/>
  <c r="O80" i="64"/>
  <c r="N98" i="64"/>
  <c r="O98" i="64"/>
  <c r="N116" i="64"/>
  <c r="O116" i="64"/>
  <c r="N134" i="64"/>
  <c r="O134" i="64"/>
  <c r="O39" i="64"/>
  <c r="N39" i="64"/>
  <c r="N92" i="64"/>
  <c r="O92" i="64"/>
  <c r="N110" i="64"/>
  <c r="O110" i="64"/>
  <c r="N128" i="64"/>
  <c r="O128" i="64"/>
  <c r="N146" i="64"/>
  <c r="O146" i="64"/>
  <c r="N74" i="64"/>
  <c r="O74" i="64"/>
  <c r="O19" i="64"/>
  <c r="O22" i="64"/>
  <c r="O45" i="64"/>
  <c r="N45" i="64"/>
  <c r="O20" i="64"/>
  <c r="G20" i="64" s="1"/>
  <c r="H20" i="64" s="1"/>
  <c r="O23" i="64"/>
  <c r="G23" i="64" s="1"/>
  <c r="H23" i="64" s="1"/>
  <c r="O28" i="64"/>
  <c r="N28" i="64"/>
  <c r="O25" i="64"/>
  <c r="N25" i="64"/>
  <c r="N19" i="64"/>
  <c r="N22" i="64"/>
  <c r="O27" i="64"/>
  <c r="N27" i="64"/>
  <c r="O29" i="64"/>
  <c r="N29" i="64"/>
  <c r="O58" i="64"/>
  <c r="N58" i="64"/>
  <c r="N86" i="64"/>
  <c r="O86" i="64"/>
  <c r="N104" i="64"/>
  <c r="O104" i="64"/>
  <c r="N122" i="64"/>
  <c r="O122" i="64"/>
  <c r="N140" i="64"/>
  <c r="O140" i="64"/>
  <c r="N35" i="64"/>
  <c r="G35" i="64" s="1"/>
  <c r="H35" i="64" s="1"/>
  <c r="N41" i="64"/>
  <c r="G41" i="64" s="1"/>
  <c r="H41" i="64" s="1"/>
  <c r="N47" i="64"/>
  <c r="G47" i="64" s="1"/>
  <c r="N53" i="64"/>
  <c r="G53" i="64" s="1"/>
  <c r="H53" i="64" s="1"/>
  <c r="O78" i="64"/>
  <c r="G78" i="64" s="1"/>
  <c r="O84" i="64"/>
  <c r="G84" i="64" s="1"/>
  <c r="O90" i="64"/>
  <c r="G90" i="64" s="1"/>
  <c r="O96" i="64"/>
  <c r="G96" i="64" s="1"/>
  <c r="O102" i="64"/>
  <c r="G102" i="64" s="1"/>
  <c r="O108" i="64"/>
  <c r="G108" i="64" s="1"/>
  <c r="O114" i="64"/>
  <c r="G114" i="64" s="1"/>
  <c r="O120" i="64"/>
  <c r="G120" i="64" s="1"/>
  <c r="O126" i="64"/>
  <c r="G126" i="64" s="1"/>
  <c r="O132" i="64"/>
  <c r="G132" i="64" s="1"/>
  <c r="O138" i="64"/>
  <c r="G138" i="64" s="1"/>
  <c r="O144" i="64"/>
  <c r="G144" i="64" s="1"/>
  <c r="N30" i="64"/>
  <c r="G30" i="64" s="1"/>
  <c r="N36" i="64"/>
  <c r="G36" i="64" s="1"/>
  <c r="H36" i="64" s="1"/>
  <c r="N42" i="64"/>
  <c r="G42" i="64" s="1"/>
  <c r="H42" i="64" s="1"/>
  <c r="N48" i="64"/>
  <c r="N54" i="64"/>
  <c r="G54" i="64" s="1"/>
  <c r="O77" i="64"/>
  <c r="G77" i="64" s="1"/>
  <c r="O83" i="64"/>
  <c r="G83" i="64" s="1"/>
  <c r="O89" i="64"/>
  <c r="G89" i="64" s="1"/>
  <c r="O95" i="64"/>
  <c r="G95" i="64" s="1"/>
  <c r="O101" i="64"/>
  <c r="G101" i="64" s="1"/>
  <c r="O107" i="64"/>
  <c r="G107" i="64" s="1"/>
  <c r="O113" i="64"/>
  <c r="G113" i="64" s="1"/>
  <c r="O119" i="64"/>
  <c r="G119" i="64" s="1"/>
  <c r="O125" i="64"/>
  <c r="G125" i="64" s="1"/>
  <c r="O131" i="64"/>
  <c r="G131" i="64" s="1"/>
  <c r="O137" i="64"/>
  <c r="G137" i="64" s="1"/>
  <c r="O143" i="64"/>
  <c r="G143" i="64" s="1"/>
  <c r="O76" i="64"/>
  <c r="G76" i="64" s="1"/>
  <c r="O82" i="64"/>
  <c r="G82" i="64" s="1"/>
  <c r="O88" i="64"/>
  <c r="G88" i="64" s="1"/>
  <c r="O94" i="64"/>
  <c r="G94" i="64" s="1"/>
  <c r="O100" i="64"/>
  <c r="G100" i="64" s="1"/>
  <c r="O106" i="64"/>
  <c r="G106" i="64" s="1"/>
  <c r="O112" i="64"/>
  <c r="G112" i="64" s="1"/>
  <c r="O118" i="64"/>
  <c r="G118" i="64" s="1"/>
  <c r="O124" i="64"/>
  <c r="G124" i="64" s="1"/>
  <c r="O130" i="64"/>
  <c r="G130" i="64" s="1"/>
  <c r="O136" i="64"/>
  <c r="G136" i="64" s="1"/>
  <c r="O142" i="64"/>
  <c r="G142" i="64" s="1"/>
  <c r="M38" i="63"/>
  <c r="O38" i="63" s="1"/>
  <c r="N38" i="63"/>
  <c r="P38" i="63"/>
  <c r="M39" i="63"/>
  <c r="O39" i="63" s="1"/>
  <c r="N39" i="63"/>
  <c r="P39" i="63"/>
  <c r="M40" i="63"/>
  <c r="O40" i="63" s="1"/>
  <c r="P40" i="63"/>
  <c r="M41" i="63"/>
  <c r="N41" i="63" s="1"/>
  <c r="P41" i="63"/>
  <c r="M42" i="63"/>
  <c r="O42" i="63" s="1"/>
  <c r="P42" i="63"/>
  <c r="M43" i="63"/>
  <c r="O43" i="63" s="1"/>
  <c r="P43" i="63"/>
  <c r="M44" i="63"/>
  <c r="O44" i="63" s="1"/>
  <c r="N44" i="63"/>
  <c r="G44" i="63" s="1"/>
  <c r="H44" i="63" s="1"/>
  <c r="P44" i="63"/>
  <c r="M45" i="63"/>
  <c r="N45" i="63" s="1"/>
  <c r="P45" i="63"/>
  <c r="AO31" i="15"/>
  <c r="F370" i="16"/>
  <c r="AO25" i="15"/>
  <c r="AO24" i="15"/>
  <c r="AO22" i="15"/>
  <c r="AO20" i="15"/>
  <c r="AO18" i="15"/>
  <c r="AO16" i="15"/>
  <c r="AO14" i="15"/>
  <c r="AO12" i="15"/>
  <c r="AO10" i="15"/>
  <c r="AO8" i="15"/>
  <c r="AO5" i="15"/>
  <c r="E160" i="63"/>
  <c r="M118" i="63"/>
  <c r="N118" i="63" s="1"/>
  <c r="P118" i="63"/>
  <c r="M119" i="63"/>
  <c r="O119" i="63" s="1"/>
  <c r="P119" i="63"/>
  <c r="M120" i="63"/>
  <c r="O120" i="63" s="1"/>
  <c r="P120" i="63"/>
  <c r="M121" i="63"/>
  <c r="O121" i="63" s="1"/>
  <c r="P121" i="63"/>
  <c r="M122" i="63"/>
  <c r="N122" i="63" s="1"/>
  <c r="P122" i="63"/>
  <c r="M123" i="63"/>
  <c r="N123" i="63" s="1"/>
  <c r="P123" i="63"/>
  <c r="M124" i="63"/>
  <c r="N124" i="63" s="1"/>
  <c r="P124" i="63"/>
  <c r="M125" i="63"/>
  <c r="N125" i="63" s="1"/>
  <c r="P125" i="63"/>
  <c r="M126" i="63"/>
  <c r="N126" i="63" s="1"/>
  <c r="P126" i="63"/>
  <c r="M127" i="63"/>
  <c r="N127" i="63" s="1"/>
  <c r="P127" i="63"/>
  <c r="M128" i="63"/>
  <c r="N128" i="63" s="1"/>
  <c r="P128" i="63"/>
  <c r="M129" i="63"/>
  <c r="N129" i="63" s="1"/>
  <c r="P129" i="63"/>
  <c r="M130" i="63"/>
  <c r="N130" i="63" s="1"/>
  <c r="P130" i="63"/>
  <c r="M131" i="63"/>
  <c r="O131" i="63" s="1"/>
  <c r="P131" i="63"/>
  <c r="M132" i="63"/>
  <c r="N132" i="63" s="1"/>
  <c r="P132" i="63"/>
  <c r="M133" i="63"/>
  <c r="N133" i="63" s="1"/>
  <c r="P133" i="63"/>
  <c r="M134" i="63"/>
  <c r="O134" i="63" s="1"/>
  <c r="P134" i="63"/>
  <c r="M135" i="63"/>
  <c r="N135" i="63" s="1"/>
  <c r="P135" i="63"/>
  <c r="M136" i="63"/>
  <c r="N136" i="63" s="1"/>
  <c r="P136" i="63"/>
  <c r="M137" i="63"/>
  <c r="O137" i="63" s="1"/>
  <c r="P137" i="63"/>
  <c r="M138" i="63"/>
  <c r="N138" i="63" s="1"/>
  <c r="P138" i="63"/>
  <c r="M139" i="63"/>
  <c r="N139" i="63" s="1"/>
  <c r="P139" i="63"/>
  <c r="M140" i="63"/>
  <c r="N140" i="63" s="1"/>
  <c r="P140" i="63"/>
  <c r="M141" i="63"/>
  <c r="O141" i="63" s="1"/>
  <c r="P141" i="63"/>
  <c r="M142" i="63"/>
  <c r="N142" i="63" s="1"/>
  <c r="P142" i="63"/>
  <c r="M143" i="63"/>
  <c r="O143" i="63" s="1"/>
  <c r="P143" i="63"/>
  <c r="M144" i="63"/>
  <c r="O144" i="63" s="1"/>
  <c r="P144" i="63"/>
  <c r="M145" i="63"/>
  <c r="N145" i="63" s="1"/>
  <c r="P145" i="63"/>
  <c r="M146" i="63"/>
  <c r="O146" i="63" s="1"/>
  <c r="P146" i="63"/>
  <c r="M147" i="63"/>
  <c r="O147" i="63" s="1"/>
  <c r="P147" i="63"/>
  <c r="M148" i="63"/>
  <c r="N148" i="63" s="1"/>
  <c r="P148" i="63"/>
  <c r="M149" i="63"/>
  <c r="O149" i="63" s="1"/>
  <c r="P149" i="63"/>
  <c r="M150" i="63"/>
  <c r="O150" i="63" s="1"/>
  <c r="P150" i="63"/>
  <c r="M151" i="63"/>
  <c r="N151" i="63" s="1"/>
  <c r="P151" i="63"/>
  <c r="P158" i="63"/>
  <c r="M158" i="63"/>
  <c r="N158" i="63" s="1"/>
  <c r="P157" i="63"/>
  <c r="M157" i="63"/>
  <c r="N157" i="63" s="1"/>
  <c r="P156" i="63"/>
  <c r="M156" i="63"/>
  <c r="N156" i="63" s="1"/>
  <c r="P155" i="63"/>
  <c r="M155" i="63"/>
  <c r="N155" i="63" s="1"/>
  <c r="P154" i="63"/>
  <c r="M154" i="63"/>
  <c r="N154" i="63" s="1"/>
  <c r="P153" i="63"/>
  <c r="M153" i="63"/>
  <c r="P152" i="63"/>
  <c r="M152" i="63"/>
  <c r="N152" i="63" s="1"/>
  <c r="P117" i="63"/>
  <c r="M117" i="63"/>
  <c r="N117" i="63" s="1"/>
  <c r="P116" i="63"/>
  <c r="M116" i="63"/>
  <c r="N116" i="63" s="1"/>
  <c r="P115" i="63"/>
  <c r="M115" i="63"/>
  <c r="N115" i="63" s="1"/>
  <c r="P114" i="63"/>
  <c r="M114" i="63"/>
  <c r="N114" i="63" s="1"/>
  <c r="P113" i="63"/>
  <c r="M113" i="63"/>
  <c r="P112" i="63"/>
  <c r="M112" i="63"/>
  <c r="N112" i="63" s="1"/>
  <c r="P111" i="63"/>
  <c r="M111" i="63"/>
  <c r="N111" i="63" s="1"/>
  <c r="P110" i="63"/>
  <c r="M110" i="63"/>
  <c r="N110" i="63" s="1"/>
  <c r="P109" i="63"/>
  <c r="M109" i="63"/>
  <c r="N109" i="63" s="1"/>
  <c r="P108" i="63"/>
  <c r="M108" i="63"/>
  <c r="N108" i="63" s="1"/>
  <c r="P107" i="63"/>
  <c r="M107" i="63"/>
  <c r="P106" i="63"/>
  <c r="M106" i="63"/>
  <c r="N106" i="63" s="1"/>
  <c r="P105" i="63"/>
  <c r="M105" i="63"/>
  <c r="N105" i="63" s="1"/>
  <c r="P104" i="63"/>
  <c r="M104" i="63"/>
  <c r="N104" i="63" s="1"/>
  <c r="P103" i="63"/>
  <c r="M103" i="63"/>
  <c r="N103" i="63" s="1"/>
  <c r="P102" i="63"/>
  <c r="M102" i="63"/>
  <c r="N102" i="63" s="1"/>
  <c r="P101" i="63"/>
  <c r="M101" i="63"/>
  <c r="P100" i="63"/>
  <c r="M100" i="63"/>
  <c r="N100" i="63" s="1"/>
  <c r="P99" i="63"/>
  <c r="M99" i="63"/>
  <c r="N99" i="63" s="1"/>
  <c r="P98" i="63"/>
  <c r="M98" i="63"/>
  <c r="N98" i="63" s="1"/>
  <c r="P97" i="63"/>
  <c r="M97" i="63"/>
  <c r="N97" i="63" s="1"/>
  <c r="P96" i="63"/>
  <c r="M96" i="63"/>
  <c r="N96" i="63" s="1"/>
  <c r="P95" i="63"/>
  <c r="M95" i="63"/>
  <c r="P94" i="63"/>
  <c r="M94" i="63"/>
  <c r="N94" i="63" s="1"/>
  <c r="P93" i="63"/>
  <c r="M93" i="63"/>
  <c r="N93" i="63" s="1"/>
  <c r="P92" i="63"/>
  <c r="M92" i="63"/>
  <c r="N92" i="63" s="1"/>
  <c r="P91" i="63"/>
  <c r="M91" i="63"/>
  <c r="N91" i="63" s="1"/>
  <c r="P90" i="63"/>
  <c r="M90" i="63"/>
  <c r="N90" i="63" s="1"/>
  <c r="P89" i="63"/>
  <c r="M89" i="63"/>
  <c r="P88" i="63"/>
  <c r="M88" i="63"/>
  <c r="N88" i="63" s="1"/>
  <c r="P87" i="63"/>
  <c r="M87" i="63"/>
  <c r="N87" i="63" s="1"/>
  <c r="P86" i="63"/>
  <c r="M86" i="63"/>
  <c r="N86" i="63" s="1"/>
  <c r="P85" i="63"/>
  <c r="M85" i="63"/>
  <c r="N85" i="63" s="1"/>
  <c r="P84" i="63"/>
  <c r="M84" i="63"/>
  <c r="N84" i="63" s="1"/>
  <c r="P83" i="63"/>
  <c r="M83" i="63"/>
  <c r="P82" i="63"/>
  <c r="M82" i="63"/>
  <c r="N82" i="63" s="1"/>
  <c r="P81" i="63"/>
  <c r="M81" i="63"/>
  <c r="N81" i="63" s="1"/>
  <c r="P80" i="63"/>
  <c r="M80" i="63"/>
  <c r="N80" i="63" s="1"/>
  <c r="P79" i="63"/>
  <c r="M79" i="63"/>
  <c r="N79" i="63" s="1"/>
  <c r="P78" i="63"/>
  <c r="M78" i="63"/>
  <c r="N78" i="63" s="1"/>
  <c r="P77" i="63"/>
  <c r="M77" i="63"/>
  <c r="P76" i="63"/>
  <c r="M76" i="63"/>
  <c r="N76" i="63" s="1"/>
  <c r="P75" i="63"/>
  <c r="M75" i="63"/>
  <c r="N75" i="63" s="1"/>
  <c r="P74" i="63"/>
  <c r="M74" i="63"/>
  <c r="N74" i="63" s="1"/>
  <c r="P73" i="63"/>
  <c r="M73" i="63"/>
  <c r="N73" i="63" s="1"/>
  <c r="P72" i="63"/>
  <c r="M72" i="63"/>
  <c r="N72" i="63" s="1"/>
  <c r="P71" i="63"/>
  <c r="M71" i="63"/>
  <c r="P70" i="63"/>
  <c r="M70" i="63"/>
  <c r="N70" i="63" s="1"/>
  <c r="P69" i="63"/>
  <c r="M69" i="63"/>
  <c r="N69" i="63" s="1"/>
  <c r="P68" i="63"/>
  <c r="M68" i="63"/>
  <c r="N68" i="63" s="1"/>
  <c r="P67" i="63"/>
  <c r="M67" i="63"/>
  <c r="N67" i="63" s="1"/>
  <c r="P66" i="63"/>
  <c r="M66" i="63"/>
  <c r="N66" i="63" s="1"/>
  <c r="P65" i="63"/>
  <c r="M65" i="63"/>
  <c r="P64" i="63"/>
  <c r="M64" i="63"/>
  <c r="N64" i="63" s="1"/>
  <c r="P63" i="63"/>
  <c r="M63" i="63"/>
  <c r="N63" i="63" s="1"/>
  <c r="P62" i="63"/>
  <c r="M62" i="63"/>
  <c r="N62" i="63" s="1"/>
  <c r="P61" i="63"/>
  <c r="M61" i="63"/>
  <c r="N61" i="63" s="1"/>
  <c r="P60" i="63"/>
  <c r="M60" i="63"/>
  <c r="N60" i="63" s="1"/>
  <c r="P59" i="63"/>
  <c r="M59" i="63"/>
  <c r="O59" i="63" s="1"/>
  <c r="P58" i="63"/>
  <c r="M58" i="63"/>
  <c r="P57" i="63"/>
  <c r="M57" i="63"/>
  <c r="O57" i="63" s="1"/>
  <c r="P56" i="63"/>
  <c r="M56" i="63"/>
  <c r="O56" i="63" s="1"/>
  <c r="P55" i="63"/>
  <c r="M55" i="63"/>
  <c r="P54" i="63"/>
  <c r="M54" i="63"/>
  <c r="O54" i="63" s="1"/>
  <c r="P53" i="63"/>
  <c r="M53" i="63"/>
  <c r="O53" i="63" s="1"/>
  <c r="P52" i="63"/>
  <c r="M52" i="63"/>
  <c r="N52" i="63" s="1"/>
  <c r="P51" i="63"/>
  <c r="M51" i="63"/>
  <c r="O51" i="63" s="1"/>
  <c r="P50" i="63"/>
  <c r="M50" i="63"/>
  <c r="P49" i="63"/>
  <c r="M49" i="63"/>
  <c r="P48" i="63"/>
  <c r="M48" i="63"/>
  <c r="P47" i="63"/>
  <c r="M47" i="63"/>
  <c r="N47" i="63" s="1"/>
  <c r="P46" i="63"/>
  <c r="M46" i="63"/>
  <c r="P37" i="63"/>
  <c r="M37" i="63"/>
  <c r="P36" i="63"/>
  <c r="M36" i="63"/>
  <c r="N36" i="63" s="1"/>
  <c r="P35" i="63"/>
  <c r="M35" i="63"/>
  <c r="N35" i="63" s="1"/>
  <c r="P34" i="63"/>
  <c r="M34" i="63"/>
  <c r="O34" i="63" s="1"/>
  <c r="P33" i="63"/>
  <c r="M33" i="63"/>
  <c r="O33" i="63" s="1"/>
  <c r="P32" i="63"/>
  <c r="M32" i="63"/>
  <c r="N32" i="63" s="1"/>
  <c r="P31" i="63"/>
  <c r="M31" i="63"/>
  <c r="P30" i="63"/>
  <c r="M30" i="63"/>
  <c r="O30" i="63" s="1"/>
  <c r="P29" i="63"/>
  <c r="M29" i="63"/>
  <c r="O29" i="63" s="1"/>
  <c r="P28" i="63"/>
  <c r="M28" i="63"/>
  <c r="O28" i="63" s="1"/>
  <c r="P27" i="63"/>
  <c r="M27" i="63"/>
  <c r="N27" i="63" s="1"/>
  <c r="P26" i="63"/>
  <c r="M26" i="63"/>
  <c r="O26" i="63" s="1"/>
  <c r="P25" i="63"/>
  <c r="M25" i="63"/>
  <c r="P24" i="63"/>
  <c r="M24" i="63"/>
  <c r="O24" i="63" s="1"/>
  <c r="P23" i="63"/>
  <c r="M23" i="63"/>
  <c r="O23" i="63" s="1"/>
  <c r="P22" i="63"/>
  <c r="M22" i="63"/>
  <c r="O22" i="63" s="1"/>
  <c r="P21" i="63"/>
  <c r="M21" i="63"/>
  <c r="O21" i="63" s="1"/>
  <c r="P20" i="63"/>
  <c r="M20" i="63"/>
  <c r="P19" i="63"/>
  <c r="M19" i="63"/>
  <c r="B19" i="63"/>
  <c r="B20" i="63" s="1"/>
  <c r="B21" i="63" s="1"/>
  <c r="B22" i="63" s="1"/>
  <c r="B23" i="63" s="1"/>
  <c r="B24" i="63" s="1"/>
  <c r="B25" i="63" s="1"/>
  <c r="B26" i="63" s="1"/>
  <c r="B27" i="63" s="1"/>
  <c r="B28" i="63" s="1"/>
  <c r="B29" i="63" s="1"/>
  <c r="B30" i="63" s="1"/>
  <c r="AN39" i="15"/>
  <c r="AN20" i="15"/>
  <c r="H48" i="62"/>
  <c r="AO39" i="15"/>
  <c r="AX26" i="15"/>
  <c r="AX29" i="15" s="1"/>
  <c r="AW26" i="15"/>
  <c r="AW29" i="15" s="1"/>
  <c r="AV26" i="15"/>
  <c r="AV29" i="15" s="1"/>
  <c r="AU26" i="15"/>
  <c r="AU29" i="15" s="1"/>
  <c r="AT26" i="15"/>
  <c r="AT29" i="15" s="1"/>
  <c r="AR26" i="15"/>
  <c r="AR34" i="15" s="1"/>
  <c r="AQ26" i="15"/>
  <c r="AQ29" i="15" s="1"/>
  <c r="AY73" i="15" l="1"/>
  <c r="BE74" i="15"/>
  <c r="BP65" i="15"/>
  <c r="BE65" i="15"/>
  <c r="BD65" i="15"/>
  <c r="BC73" i="15"/>
  <c r="BB74" i="15" s="1"/>
  <c r="BI65" i="15"/>
  <c r="BO73" i="15"/>
  <c r="BN74" i="15" s="1"/>
  <c r="BB65" i="15"/>
  <c r="AY65" i="15"/>
  <c r="BM73" i="15"/>
  <c r="BK74" i="15" s="1"/>
  <c r="BN65" i="15"/>
  <c r="BQ74" i="15"/>
  <c r="BH74" i="15"/>
  <c r="AR29" i="15"/>
  <c r="G22" i="64"/>
  <c r="H22" i="64" s="1"/>
  <c r="G46" i="64"/>
  <c r="H46" i="64" s="1"/>
  <c r="G48" i="64"/>
  <c r="H48" i="64" s="1"/>
  <c r="H54" i="64"/>
  <c r="AP13" i="15"/>
  <c r="H52" i="64"/>
  <c r="AP11" i="15"/>
  <c r="H47" i="64"/>
  <c r="AP17" i="15"/>
  <c r="H30" i="64"/>
  <c r="H49" i="64"/>
  <c r="G39" i="64"/>
  <c r="H39" i="64" s="1"/>
  <c r="G33" i="64"/>
  <c r="H33" i="64" s="1"/>
  <c r="G69" i="64"/>
  <c r="G64" i="64"/>
  <c r="AP21" i="15" s="1"/>
  <c r="G45" i="64"/>
  <c r="G146" i="64"/>
  <c r="G134" i="64"/>
  <c r="G51" i="64"/>
  <c r="H51" i="64" s="1"/>
  <c r="G21" i="64"/>
  <c r="H21" i="64" s="1"/>
  <c r="G122" i="64"/>
  <c r="G58" i="64"/>
  <c r="G27" i="64"/>
  <c r="H27" i="64" s="1"/>
  <c r="G18" i="64"/>
  <c r="H18" i="64" s="1"/>
  <c r="G140" i="64"/>
  <c r="G24" i="64"/>
  <c r="H24" i="64" s="1"/>
  <c r="G110" i="64"/>
  <c r="G98" i="64"/>
  <c r="G92" i="64"/>
  <c r="G80" i="64"/>
  <c r="G28" i="64"/>
  <c r="H28" i="64" s="1"/>
  <c r="G128" i="64"/>
  <c r="G116" i="64"/>
  <c r="G104" i="64"/>
  <c r="G19" i="64"/>
  <c r="H19" i="64" s="1"/>
  <c r="G86" i="64"/>
  <c r="G29" i="64"/>
  <c r="H29" i="64" s="1"/>
  <c r="G25" i="64"/>
  <c r="H25" i="64" s="1"/>
  <c r="G74" i="64"/>
  <c r="B51" i="64"/>
  <c r="B48" i="64"/>
  <c r="G38" i="63"/>
  <c r="H38" i="63" s="1"/>
  <c r="O41" i="63"/>
  <c r="G41" i="63" s="1"/>
  <c r="H41" i="63" s="1"/>
  <c r="O45" i="63"/>
  <c r="G45" i="63" s="1"/>
  <c r="H45" i="63" s="1"/>
  <c r="N43" i="63"/>
  <c r="G43" i="63" s="1"/>
  <c r="H43" i="63" s="1"/>
  <c r="N42" i="63"/>
  <c r="G42" i="63" s="1"/>
  <c r="H42" i="63" s="1"/>
  <c r="N40" i="63"/>
  <c r="G40" i="63" s="1"/>
  <c r="H40" i="63" s="1"/>
  <c r="G39" i="63"/>
  <c r="H39" i="63" s="1"/>
  <c r="N141" i="63"/>
  <c r="G141" i="63" s="1"/>
  <c r="N146" i="63"/>
  <c r="G146" i="63" s="1"/>
  <c r="O129" i="63"/>
  <c r="G129" i="63" s="1"/>
  <c r="N144" i="63"/>
  <c r="N131" i="63"/>
  <c r="G131" i="63" s="1"/>
  <c r="O122" i="63"/>
  <c r="G122" i="63" s="1"/>
  <c r="N120" i="63"/>
  <c r="G120" i="63" s="1"/>
  <c r="N150" i="63"/>
  <c r="G150" i="63" s="1"/>
  <c r="O135" i="63"/>
  <c r="G135" i="63" s="1"/>
  <c r="O123" i="63"/>
  <c r="G123" i="63" s="1"/>
  <c r="N119" i="63"/>
  <c r="G119" i="63" s="1"/>
  <c r="G144" i="63"/>
  <c r="N137" i="63"/>
  <c r="G137" i="63" s="1"/>
  <c r="O125" i="63"/>
  <c r="G125" i="63" s="1"/>
  <c r="N147" i="63"/>
  <c r="G147" i="63" s="1"/>
  <c r="N149" i="63"/>
  <c r="G149" i="63" s="1"/>
  <c r="N143" i="63"/>
  <c r="G143" i="63" s="1"/>
  <c r="O112" i="63"/>
  <c r="G112" i="63" s="1"/>
  <c r="O140" i="63"/>
  <c r="G140" i="63" s="1"/>
  <c r="O138" i="63"/>
  <c r="G138" i="63" s="1"/>
  <c r="O132" i="63"/>
  <c r="G132" i="63" s="1"/>
  <c r="N134" i="63"/>
  <c r="G134" i="63" s="1"/>
  <c r="O128" i="63"/>
  <c r="G128" i="63" s="1"/>
  <c r="O126" i="63"/>
  <c r="G126" i="63" s="1"/>
  <c r="N121" i="63"/>
  <c r="G121" i="63" s="1"/>
  <c r="O151" i="63"/>
  <c r="G151" i="63" s="1"/>
  <c r="O148" i="63"/>
  <c r="G148" i="63" s="1"/>
  <c r="O145" i="63"/>
  <c r="G145" i="63" s="1"/>
  <c r="O142" i="63"/>
  <c r="G142" i="63" s="1"/>
  <c r="O139" i="63"/>
  <c r="G139" i="63" s="1"/>
  <c r="O136" i="63"/>
  <c r="G136" i="63" s="1"/>
  <c r="O133" i="63"/>
  <c r="G133" i="63" s="1"/>
  <c r="O130" i="63"/>
  <c r="G130" i="63" s="1"/>
  <c r="O127" i="63"/>
  <c r="G127" i="63" s="1"/>
  <c r="O124" i="63"/>
  <c r="G124" i="63" s="1"/>
  <c r="O118" i="63"/>
  <c r="G118" i="63" s="1"/>
  <c r="O74" i="63"/>
  <c r="G74" i="63" s="1"/>
  <c r="O76" i="63"/>
  <c r="G76" i="63" s="1"/>
  <c r="O66" i="63"/>
  <c r="G66" i="63" s="1"/>
  <c r="N24" i="63"/>
  <c r="G24" i="63" s="1"/>
  <c r="O110" i="63"/>
  <c r="G110" i="63" s="1"/>
  <c r="O70" i="63"/>
  <c r="G70" i="63" s="1"/>
  <c r="O154" i="63"/>
  <c r="G154" i="63" s="1"/>
  <c r="O102" i="63"/>
  <c r="G102" i="63" s="1"/>
  <c r="O92" i="63"/>
  <c r="G92" i="63" s="1"/>
  <c r="O94" i="63"/>
  <c r="G94" i="63" s="1"/>
  <c r="O84" i="63"/>
  <c r="G84" i="63" s="1"/>
  <c r="N53" i="63"/>
  <c r="G53" i="63" s="1"/>
  <c r="O62" i="63"/>
  <c r="G62" i="63" s="1"/>
  <c r="O82" i="63"/>
  <c r="G82" i="63" s="1"/>
  <c r="O100" i="63"/>
  <c r="G100" i="63" s="1"/>
  <c r="O116" i="63"/>
  <c r="G116" i="63" s="1"/>
  <c r="O60" i="63"/>
  <c r="G60" i="63" s="1"/>
  <c r="H60" i="63" s="1"/>
  <c r="O78" i="63"/>
  <c r="G78" i="63" s="1"/>
  <c r="O96" i="63"/>
  <c r="G96" i="63" s="1"/>
  <c r="O114" i="63"/>
  <c r="G114" i="63" s="1"/>
  <c r="N34" i="63"/>
  <c r="G34" i="63" s="1"/>
  <c r="H34" i="63" s="1"/>
  <c r="O64" i="63"/>
  <c r="G64" i="63" s="1"/>
  <c r="O80" i="63"/>
  <c r="G80" i="63" s="1"/>
  <c r="O98" i="63"/>
  <c r="G98" i="63" s="1"/>
  <c r="O152" i="63"/>
  <c r="G152" i="63" s="1"/>
  <c r="N22" i="63"/>
  <c r="G22" i="63" s="1"/>
  <c r="O27" i="63"/>
  <c r="G27" i="63" s="1"/>
  <c r="O32" i="63"/>
  <c r="G32" i="63" s="1"/>
  <c r="H32" i="63" s="1"/>
  <c r="O47" i="63"/>
  <c r="G47" i="63" s="1"/>
  <c r="H47" i="63" s="1"/>
  <c r="O72" i="63"/>
  <c r="G72" i="63" s="1"/>
  <c r="O90" i="63"/>
  <c r="G90" i="63" s="1"/>
  <c r="O108" i="63"/>
  <c r="G108" i="63" s="1"/>
  <c r="N23" i="63"/>
  <c r="G23" i="63" s="1"/>
  <c r="N33" i="63"/>
  <c r="G33" i="63" s="1"/>
  <c r="H33" i="63" s="1"/>
  <c r="N59" i="63"/>
  <c r="G59" i="63" s="1"/>
  <c r="H59" i="63" s="1"/>
  <c r="O68" i="63"/>
  <c r="G68" i="63" s="1"/>
  <c r="O86" i="63"/>
  <c r="G86" i="63" s="1"/>
  <c r="O88" i="63"/>
  <c r="G88" i="63" s="1"/>
  <c r="O104" i="63"/>
  <c r="G104" i="63" s="1"/>
  <c r="O106" i="63"/>
  <c r="G106" i="63" s="1"/>
  <c r="O156" i="63"/>
  <c r="G156" i="63" s="1"/>
  <c r="O158" i="63"/>
  <c r="G158" i="63" s="1"/>
  <c r="O20" i="63"/>
  <c r="N28" i="63"/>
  <c r="G28" i="63" s="1"/>
  <c r="O31" i="63"/>
  <c r="O50" i="63"/>
  <c r="N50" i="63"/>
  <c r="N20" i="63"/>
  <c r="O25" i="63"/>
  <c r="N31" i="63"/>
  <c r="O19" i="63"/>
  <c r="N19" i="63"/>
  <c r="O49" i="63"/>
  <c r="N49" i="63"/>
  <c r="N83" i="63"/>
  <c r="O83" i="63"/>
  <c r="N21" i="63"/>
  <c r="G21" i="63" s="1"/>
  <c r="N26" i="63"/>
  <c r="G26" i="63" s="1"/>
  <c r="N29" i="63"/>
  <c r="G29" i="63" s="1"/>
  <c r="N46" i="63"/>
  <c r="O46" i="63"/>
  <c r="N153" i="63"/>
  <c r="O153" i="63"/>
  <c r="B31" i="63"/>
  <c r="B32" i="63" s="1"/>
  <c r="B33" i="63" s="1"/>
  <c r="B34" i="63" s="1"/>
  <c r="B35" i="63" s="1"/>
  <c r="B36" i="63" s="1"/>
  <c r="B37" i="63" s="1"/>
  <c r="B38" i="63" s="1"/>
  <c r="B39" i="63" s="1"/>
  <c r="B40" i="63" s="1"/>
  <c r="B41" i="63" s="1"/>
  <c r="B42" i="63" s="1"/>
  <c r="B43" i="63" s="1"/>
  <c r="B44" i="63" s="1"/>
  <c r="B45" i="63" s="1"/>
  <c r="B46" i="63" s="1"/>
  <c r="B47" i="63" s="1"/>
  <c r="O37" i="63"/>
  <c r="N37" i="63"/>
  <c r="N58" i="63"/>
  <c r="O58" i="63"/>
  <c r="O48" i="63"/>
  <c r="N48" i="63"/>
  <c r="N25" i="63"/>
  <c r="N30" i="63"/>
  <c r="G30" i="63" s="1"/>
  <c r="N77" i="63"/>
  <c r="O77" i="63"/>
  <c r="N113" i="63"/>
  <c r="O113" i="63"/>
  <c r="N71" i="63"/>
  <c r="O71" i="63"/>
  <c r="N107" i="63"/>
  <c r="O107" i="63"/>
  <c r="N65" i="63"/>
  <c r="O65" i="63"/>
  <c r="N101" i="63"/>
  <c r="O101" i="63"/>
  <c r="O35" i="63"/>
  <c r="G35" i="63" s="1"/>
  <c r="H35" i="63" s="1"/>
  <c r="O36" i="63"/>
  <c r="G36" i="63" s="1"/>
  <c r="H36" i="63" s="1"/>
  <c r="N51" i="63"/>
  <c r="G51" i="63" s="1"/>
  <c r="H51" i="63" s="1"/>
  <c r="O52" i="63"/>
  <c r="G52" i="63" s="1"/>
  <c r="H52" i="63" s="1"/>
  <c r="N54" i="63"/>
  <c r="G54" i="63" s="1"/>
  <c r="H54" i="63" s="1"/>
  <c r="N55" i="63"/>
  <c r="N56" i="63"/>
  <c r="G56" i="63" s="1"/>
  <c r="H56" i="63" s="1"/>
  <c r="N57" i="63"/>
  <c r="G57" i="63" s="1"/>
  <c r="AO19" i="15" s="1"/>
  <c r="N95" i="63"/>
  <c r="O95" i="63"/>
  <c r="O55" i="63"/>
  <c r="N89" i="63"/>
  <c r="O89" i="63"/>
  <c r="O63" i="63"/>
  <c r="G63" i="63" s="1"/>
  <c r="O69" i="63"/>
  <c r="G69" i="63" s="1"/>
  <c r="O75" i="63"/>
  <c r="G75" i="63" s="1"/>
  <c r="O81" i="63"/>
  <c r="G81" i="63" s="1"/>
  <c r="O87" i="63"/>
  <c r="G87" i="63" s="1"/>
  <c r="O93" i="63"/>
  <c r="G93" i="63" s="1"/>
  <c r="O99" i="63"/>
  <c r="G99" i="63" s="1"/>
  <c r="O105" i="63"/>
  <c r="G105" i="63" s="1"/>
  <c r="O111" i="63"/>
  <c r="G111" i="63" s="1"/>
  <c r="O117" i="63"/>
  <c r="G117" i="63" s="1"/>
  <c r="O157" i="63"/>
  <c r="G157" i="63" s="1"/>
  <c r="O61" i="63"/>
  <c r="G61" i="63" s="1"/>
  <c r="O67" i="63"/>
  <c r="G67" i="63" s="1"/>
  <c r="O73" i="63"/>
  <c r="G73" i="63" s="1"/>
  <c r="O79" i="63"/>
  <c r="G79" i="63" s="1"/>
  <c r="O85" i="63"/>
  <c r="G85" i="63" s="1"/>
  <c r="O91" i="63"/>
  <c r="G91" i="63" s="1"/>
  <c r="O97" i="63"/>
  <c r="G97" i="63" s="1"/>
  <c r="O103" i="63"/>
  <c r="G103" i="63" s="1"/>
  <c r="O109" i="63"/>
  <c r="G109" i="63" s="1"/>
  <c r="O115" i="63"/>
  <c r="G115" i="63" s="1"/>
  <c r="O155" i="63"/>
  <c r="G155" i="63" s="1"/>
  <c r="AN31" i="15"/>
  <c r="AY74" i="15" l="1"/>
  <c r="H45" i="64"/>
  <c r="AP23" i="15"/>
  <c r="D8" i="64"/>
  <c r="AP9" i="15"/>
  <c r="H58" i="64"/>
  <c r="AP15" i="15"/>
  <c r="G148" i="64"/>
  <c r="D11" i="64" s="1"/>
  <c r="D10" i="64"/>
  <c r="D5" i="64"/>
  <c r="D9" i="64"/>
  <c r="D6" i="64"/>
  <c r="D7" i="64"/>
  <c r="B52" i="64"/>
  <c r="B53" i="64" s="1"/>
  <c r="B54" i="64" s="1"/>
  <c r="B55" i="64" s="1"/>
  <c r="B56" i="64" s="1"/>
  <c r="B57" i="64" s="1"/>
  <c r="B58" i="64" s="1"/>
  <c r="B59" i="64" s="1"/>
  <c r="B60" i="64" s="1"/>
  <c r="B61" i="64" s="1"/>
  <c r="B62" i="64" s="1"/>
  <c r="B63" i="64" s="1"/>
  <c r="B64" i="64" s="1"/>
  <c r="B65" i="64" s="1"/>
  <c r="B66" i="64" s="1"/>
  <c r="B67" i="64" s="1"/>
  <c r="B68" i="64" s="1"/>
  <c r="B69" i="64" s="1"/>
  <c r="B70" i="64" s="1"/>
  <c r="B71" i="64" s="1"/>
  <c r="B72" i="64" s="1"/>
  <c r="B73" i="64" s="1"/>
  <c r="B74" i="64" s="1"/>
  <c r="B75" i="64" s="1"/>
  <c r="B76" i="64" s="1"/>
  <c r="B77" i="64" s="1"/>
  <c r="B78" i="64" s="1"/>
  <c r="B79" i="64" s="1"/>
  <c r="B80" i="64" s="1"/>
  <c r="B81" i="64" s="1"/>
  <c r="B82" i="64" s="1"/>
  <c r="B83" i="64" s="1"/>
  <c r="B84" i="64" s="1"/>
  <c r="B85" i="64" s="1"/>
  <c r="B86" i="64" s="1"/>
  <c r="B87" i="64" s="1"/>
  <c r="B88" i="64" s="1"/>
  <c r="B89" i="64" s="1"/>
  <c r="B90" i="64" s="1"/>
  <c r="B91" i="64" s="1"/>
  <c r="B92" i="64" s="1"/>
  <c r="B93" i="64" s="1"/>
  <c r="B94" i="64" s="1"/>
  <c r="B95" i="64" s="1"/>
  <c r="B96" i="64" s="1"/>
  <c r="B97" i="64" s="1"/>
  <c r="B98" i="64" s="1"/>
  <c r="B99" i="64" s="1"/>
  <c r="B100" i="64" s="1"/>
  <c r="B101" i="64" s="1"/>
  <c r="B102" i="64" s="1"/>
  <c r="B103" i="64" s="1"/>
  <c r="B104" i="64" s="1"/>
  <c r="B105" i="64" s="1"/>
  <c r="B106" i="64" s="1"/>
  <c r="B107" i="64" s="1"/>
  <c r="B108" i="64" s="1"/>
  <c r="B109" i="64" s="1"/>
  <c r="B110" i="64" s="1"/>
  <c r="B111" i="64" s="1"/>
  <c r="B112" i="64" s="1"/>
  <c r="B113" i="64" s="1"/>
  <c r="B114" i="64" s="1"/>
  <c r="B115" i="64" s="1"/>
  <c r="B116" i="64" s="1"/>
  <c r="B117" i="64" s="1"/>
  <c r="B118" i="64" s="1"/>
  <c r="B119" i="64" s="1"/>
  <c r="B120" i="64" s="1"/>
  <c r="B121" i="64" s="1"/>
  <c r="B122" i="64" s="1"/>
  <c r="B123" i="64" s="1"/>
  <c r="B124" i="64" s="1"/>
  <c r="B125" i="64" s="1"/>
  <c r="B126" i="64" s="1"/>
  <c r="B127" i="64" s="1"/>
  <c r="B128" i="64" s="1"/>
  <c r="B129" i="64" s="1"/>
  <c r="B130" i="64" s="1"/>
  <c r="B131" i="64" s="1"/>
  <c r="B132" i="64" s="1"/>
  <c r="B133" i="64" s="1"/>
  <c r="B134" i="64" s="1"/>
  <c r="B135" i="64" s="1"/>
  <c r="B136" i="64" s="1"/>
  <c r="B137" i="64" s="1"/>
  <c r="B138" i="64" s="1"/>
  <c r="B139" i="64" s="1"/>
  <c r="B140" i="64" s="1"/>
  <c r="B141" i="64" s="1"/>
  <c r="B142" i="64" s="1"/>
  <c r="B143" i="64" s="1"/>
  <c r="B144" i="64" s="1"/>
  <c r="B145" i="64" s="1"/>
  <c r="B146" i="64" s="1"/>
  <c r="B49" i="64"/>
  <c r="G20" i="63"/>
  <c r="G77" i="63"/>
  <c r="H53" i="63"/>
  <c r="AO11" i="15"/>
  <c r="G25" i="63"/>
  <c r="G83" i="63"/>
  <c r="G71" i="63"/>
  <c r="G95" i="63"/>
  <c r="G107" i="63"/>
  <c r="G101" i="63"/>
  <c r="G65" i="63"/>
  <c r="G113" i="63"/>
  <c r="G49" i="63"/>
  <c r="G50" i="63"/>
  <c r="H50" i="63" s="1"/>
  <c r="G19" i="63"/>
  <c r="G55" i="63"/>
  <c r="G153" i="63"/>
  <c r="G31" i="63"/>
  <c r="H31" i="63" s="1"/>
  <c r="G89" i="63"/>
  <c r="G48" i="63"/>
  <c r="G58" i="63"/>
  <c r="H58" i="63" s="1"/>
  <c r="G46" i="63"/>
  <c r="B51" i="63"/>
  <c r="B48" i="63"/>
  <c r="G37" i="63"/>
  <c r="H37" i="63" s="1"/>
  <c r="H38" i="62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AP26" i="15" l="1"/>
  <c r="AP29" i="15" s="1"/>
  <c r="AO21" i="15"/>
  <c r="D9" i="63"/>
  <c r="H49" i="63"/>
  <c r="AO15" i="15"/>
  <c r="H48" i="63"/>
  <c r="AO17" i="15"/>
  <c r="H55" i="63"/>
  <c r="AO13" i="15"/>
  <c r="H46" i="63"/>
  <c r="AO23" i="15"/>
  <c r="AO9" i="15"/>
  <c r="G160" i="63"/>
  <c r="D12" i="63" s="1"/>
  <c r="D6" i="63"/>
  <c r="D8" i="63"/>
  <c r="B49" i="63"/>
  <c r="B52" i="63"/>
  <c r="D10" i="63"/>
  <c r="D7" i="63"/>
  <c r="D5" i="63"/>
  <c r="G19" i="62"/>
  <c r="M31" i="62"/>
  <c r="N31" i="62" s="1"/>
  <c r="P31" i="62"/>
  <c r="M32" i="62"/>
  <c r="N32" i="62" s="1"/>
  <c r="P32" i="62"/>
  <c r="M33" i="62"/>
  <c r="O33" i="62" s="1"/>
  <c r="N33" i="62"/>
  <c r="P33" i="62"/>
  <c r="M34" i="62"/>
  <c r="N34" i="62" s="1"/>
  <c r="P34" i="62"/>
  <c r="M35" i="62"/>
  <c r="N35" i="62" s="1"/>
  <c r="P35" i="62"/>
  <c r="M36" i="62"/>
  <c r="P36" i="62"/>
  <c r="M37" i="62"/>
  <c r="N37" i="62" s="1"/>
  <c r="P37" i="62"/>
  <c r="B31" i="62"/>
  <c r="B32" i="62" s="1"/>
  <c r="B33" i="62" s="1"/>
  <c r="B34" i="62" s="1"/>
  <c r="B35" i="62" s="1"/>
  <c r="B36" i="62" s="1"/>
  <c r="B37" i="62" s="1"/>
  <c r="AN25" i="15"/>
  <c r="AN24" i="15"/>
  <c r="AN22" i="15"/>
  <c r="AN18" i="15"/>
  <c r="AN16" i="15"/>
  <c r="AN14" i="15"/>
  <c r="AN12" i="15"/>
  <c r="AN10" i="15"/>
  <c r="AN8" i="15"/>
  <c r="AN5" i="15"/>
  <c r="AN38" i="15"/>
  <c r="G41" i="59"/>
  <c r="G42" i="59"/>
  <c r="E186" i="62"/>
  <c r="P184" i="62"/>
  <c r="M184" i="62"/>
  <c r="P183" i="62"/>
  <c r="M183" i="62"/>
  <c r="P182" i="62"/>
  <c r="M182" i="62"/>
  <c r="P181" i="62"/>
  <c r="M181" i="62"/>
  <c r="P180" i="62"/>
  <c r="M180" i="62"/>
  <c r="P179" i="62"/>
  <c r="M179" i="62"/>
  <c r="P178" i="62"/>
  <c r="M178" i="62"/>
  <c r="P177" i="62"/>
  <c r="M177" i="62"/>
  <c r="P176" i="62"/>
  <c r="M176" i="62"/>
  <c r="P175" i="62"/>
  <c r="M175" i="62"/>
  <c r="P174" i="62"/>
  <c r="M174" i="62"/>
  <c r="P173" i="62"/>
  <c r="M173" i="62"/>
  <c r="P172" i="62"/>
  <c r="M172" i="62"/>
  <c r="P171" i="62"/>
  <c r="M171" i="62"/>
  <c r="P170" i="62"/>
  <c r="M170" i="62"/>
  <c r="P169" i="62"/>
  <c r="M169" i="62"/>
  <c r="P168" i="62"/>
  <c r="M168" i="62"/>
  <c r="P167" i="62"/>
  <c r="M167" i="62"/>
  <c r="P166" i="62"/>
  <c r="M166" i="62"/>
  <c r="P165" i="62"/>
  <c r="M165" i="62"/>
  <c r="P164" i="62"/>
  <c r="M164" i="62"/>
  <c r="P163" i="62"/>
  <c r="M163" i="62"/>
  <c r="P162" i="62"/>
  <c r="M162" i="62"/>
  <c r="P161" i="62"/>
  <c r="M161" i="62"/>
  <c r="P160" i="62"/>
  <c r="M160" i="62"/>
  <c r="P159" i="62"/>
  <c r="M159" i="62"/>
  <c r="P158" i="62"/>
  <c r="M158" i="62"/>
  <c r="P157" i="62"/>
  <c r="M157" i="62"/>
  <c r="P156" i="62"/>
  <c r="M156" i="62"/>
  <c r="P155" i="62"/>
  <c r="M155" i="62"/>
  <c r="P154" i="62"/>
  <c r="M154" i="62"/>
  <c r="P153" i="62"/>
  <c r="M153" i="62"/>
  <c r="P152" i="62"/>
  <c r="M152" i="62"/>
  <c r="P151" i="62"/>
  <c r="M151" i="62"/>
  <c r="P150" i="62"/>
  <c r="M150" i="62"/>
  <c r="P149" i="62"/>
  <c r="M149" i="62"/>
  <c r="P148" i="62"/>
  <c r="M148" i="62"/>
  <c r="P147" i="62"/>
  <c r="M147" i="62"/>
  <c r="P146" i="62"/>
  <c r="M146" i="62"/>
  <c r="P145" i="62"/>
  <c r="M145" i="62"/>
  <c r="P144" i="62"/>
  <c r="M144" i="62"/>
  <c r="P143" i="62"/>
  <c r="M143" i="62"/>
  <c r="P142" i="62"/>
  <c r="M142" i="62"/>
  <c r="P141" i="62"/>
  <c r="M141" i="62"/>
  <c r="P140" i="62"/>
  <c r="M140" i="62"/>
  <c r="P139" i="62"/>
  <c r="M139" i="62"/>
  <c r="P138" i="62"/>
  <c r="M138" i="62"/>
  <c r="P137" i="62"/>
  <c r="M137" i="62"/>
  <c r="P136" i="62"/>
  <c r="M136" i="62"/>
  <c r="N136" i="62" s="1"/>
  <c r="P135" i="62"/>
  <c r="M135" i="62"/>
  <c r="N135" i="62" s="1"/>
  <c r="P134" i="62"/>
  <c r="M134" i="62"/>
  <c r="P133" i="62"/>
  <c r="M133" i="62"/>
  <c r="N133" i="62" s="1"/>
  <c r="P132" i="62"/>
  <c r="M132" i="62"/>
  <c r="N132" i="62" s="1"/>
  <c r="P131" i="62"/>
  <c r="M131" i="62"/>
  <c r="N131" i="62" s="1"/>
  <c r="P130" i="62"/>
  <c r="M130" i="62"/>
  <c r="N130" i="62" s="1"/>
  <c r="P129" i="62"/>
  <c r="M129" i="62"/>
  <c r="P128" i="62"/>
  <c r="M128" i="62"/>
  <c r="P127" i="62"/>
  <c r="M127" i="62"/>
  <c r="N127" i="62" s="1"/>
  <c r="P126" i="62"/>
  <c r="M126" i="62"/>
  <c r="N126" i="62" s="1"/>
  <c r="P125" i="62"/>
  <c r="M125" i="62"/>
  <c r="N125" i="62" s="1"/>
  <c r="P124" i="62"/>
  <c r="M124" i="62"/>
  <c r="N124" i="62" s="1"/>
  <c r="P123" i="62"/>
  <c r="M123" i="62"/>
  <c r="O123" i="62" s="1"/>
  <c r="P122" i="62"/>
  <c r="M122" i="62"/>
  <c r="P121" i="62"/>
  <c r="M121" i="62"/>
  <c r="N121" i="62" s="1"/>
  <c r="P120" i="62"/>
  <c r="M120" i="62"/>
  <c r="N120" i="62" s="1"/>
  <c r="P119" i="62"/>
  <c r="M119" i="62"/>
  <c r="N119" i="62" s="1"/>
  <c r="P118" i="62"/>
  <c r="M118" i="62"/>
  <c r="N118" i="62" s="1"/>
  <c r="P117" i="62"/>
  <c r="M117" i="62"/>
  <c r="O117" i="62" s="1"/>
  <c r="P116" i="62"/>
  <c r="M116" i="62"/>
  <c r="N116" i="62" s="1"/>
  <c r="P115" i="62"/>
  <c r="M115" i="62"/>
  <c r="P114" i="62"/>
  <c r="M114" i="62"/>
  <c r="N114" i="62" s="1"/>
  <c r="P113" i="62"/>
  <c r="M113" i="62"/>
  <c r="O113" i="62" s="1"/>
  <c r="P112" i="62"/>
  <c r="M112" i="62"/>
  <c r="N112" i="62" s="1"/>
  <c r="P111" i="62"/>
  <c r="M111" i="62"/>
  <c r="N111" i="62" s="1"/>
  <c r="P110" i="62"/>
  <c r="M110" i="62"/>
  <c r="N110" i="62" s="1"/>
  <c r="P109" i="62"/>
  <c r="M109" i="62"/>
  <c r="P108" i="62"/>
  <c r="M108" i="62"/>
  <c r="N108" i="62" s="1"/>
  <c r="P107" i="62"/>
  <c r="M107" i="62"/>
  <c r="O107" i="62" s="1"/>
  <c r="P106" i="62"/>
  <c r="M106" i="62"/>
  <c r="N106" i="62" s="1"/>
  <c r="P105" i="62"/>
  <c r="M105" i="62"/>
  <c r="N105" i="62" s="1"/>
  <c r="P104" i="62"/>
  <c r="M104" i="62"/>
  <c r="N104" i="62" s="1"/>
  <c r="P103" i="62"/>
  <c r="M103" i="62"/>
  <c r="P102" i="62"/>
  <c r="M102" i="62"/>
  <c r="N102" i="62" s="1"/>
  <c r="P101" i="62"/>
  <c r="M101" i="62"/>
  <c r="O101" i="62" s="1"/>
  <c r="P100" i="62"/>
  <c r="M100" i="62"/>
  <c r="N100" i="62" s="1"/>
  <c r="P99" i="62"/>
  <c r="M99" i="62"/>
  <c r="P98" i="62"/>
  <c r="M98" i="62"/>
  <c r="N98" i="62" s="1"/>
  <c r="P97" i="62"/>
  <c r="M97" i="62"/>
  <c r="O97" i="62" s="1"/>
  <c r="P96" i="62"/>
  <c r="M96" i="62"/>
  <c r="P95" i="62"/>
  <c r="M95" i="62"/>
  <c r="N95" i="62" s="1"/>
  <c r="P94" i="62"/>
  <c r="M94" i="62"/>
  <c r="O94" i="62" s="1"/>
  <c r="P93" i="62"/>
  <c r="M93" i="62"/>
  <c r="P92" i="62"/>
  <c r="M92" i="62"/>
  <c r="N92" i="62" s="1"/>
  <c r="P91" i="62"/>
  <c r="M91" i="62"/>
  <c r="O91" i="62" s="1"/>
  <c r="P90" i="62"/>
  <c r="M90" i="62"/>
  <c r="O90" i="62" s="1"/>
  <c r="P89" i="62"/>
  <c r="M89" i="62"/>
  <c r="N89" i="62" s="1"/>
  <c r="P88" i="62"/>
  <c r="M88" i="62"/>
  <c r="O88" i="62" s="1"/>
  <c r="P87" i="62"/>
  <c r="M87" i="62"/>
  <c r="P86" i="62"/>
  <c r="M86" i="62"/>
  <c r="N86" i="62" s="1"/>
  <c r="P85" i="62"/>
  <c r="M85" i="62"/>
  <c r="N85" i="62" s="1"/>
  <c r="P84" i="62"/>
  <c r="M84" i="62"/>
  <c r="P83" i="62"/>
  <c r="M83" i="62"/>
  <c r="N83" i="62" s="1"/>
  <c r="P82" i="62"/>
  <c r="M82" i="62"/>
  <c r="O82" i="62" s="1"/>
  <c r="P81" i="62"/>
  <c r="M81" i="62"/>
  <c r="P80" i="62"/>
  <c r="M80" i="62"/>
  <c r="N80" i="62" s="1"/>
  <c r="P79" i="62"/>
  <c r="M79" i="62"/>
  <c r="O79" i="62" s="1"/>
  <c r="P78" i="62"/>
  <c r="M78" i="62"/>
  <c r="P77" i="62"/>
  <c r="M77" i="62"/>
  <c r="N77" i="62" s="1"/>
  <c r="P76" i="62"/>
  <c r="M76" i="62"/>
  <c r="O76" i="62" s="1"/>
  <c r="P75" i="62"/>
  <c r="M75" i="62"/>
  <c r="P74" i="62"/>
  <c r="M74" i="62"/>
  <c r="N74" i="62" s="1"/>
  <c r="P73" i="62"/>
  <c r="M73" i="62"/>
  <c r="O73" i="62" s="1"/>
  <c r="P72" i="62"/>
  <c r="M72" i="62"/>
  <c r="P71" i="62"/>
  <c r="M71" i="62"/>
  <c r="N71" i="62" s="1"/>
  <c r="P70" i="62"/>
  <c r="M70" i="62"/>
  <c r="O70" i="62" s="1"/>
  <c r="P69" i="62"/>
  <c r="M69" i="62"/>
  <c r="P68" i="62"/>
  <c r="M68" i="62"/>
  <c r="N68" i="62" s="1"/>
  <c r="P67" i="62"/>
  <c r="M67" i="62"/>
  <c r="N67" i="62" s="1"/>
  <c r="P66" i="62"/>
  <c r="M66" i="62"/>
  <c r="P65" i="62"/>
  <c r="M65" i="62"/>
  <c r="N65" i="62" s="1"/>
  <c r="P64" i="62"/>
  <c r="M64" i="62"/>
  <c r="O64" i="62" s="1"/>
  <c r="P63" i="62"/>
  <c r="M63" i="62"/>
  <c r="P62" i="62"/>
  <c r="M62" i="62"/>
  <c r="N62" i="62" s="1"/>
  <c r="P61" i="62"/>
  <c r="M61" i="62"/>
  <c r="O61" i="62" s="1"/>
  <c r="P60" i="62"/>
  <c r="M60" i="62"/>
  <c r="O60" i="62" s="1"/>
  <c r="P59" i="62"/>
  <c r="M59" i="62"/>
  <c r="N59" i="62" s="1"/>
  <c r="P58" i="62"/>
  <c r="M58" i="62"/>
  <c r="O58" i="62" s="1"/>
  <c r="P57" i="62"/>
  <c r="M57" i="62"/>
  <c r="P56" i="62"/>
  <c r="M56" i="62"/>
  <c r="N56" i="62" s="1"/>
  <c r="P55" i="62"/>
  <c r="M55" i="62"/>
  <c r="O55" i="62" s="1"/>
  <c r="P54" i="62"/>
  <c r="M54" i="62"/>
  <c r="P53" i="62"/>
  <c r="M53" i="62"/>
  <c r="N53" i="62" s="1"/>
  <c r="P52" i="62"/>
  <c r="M52" i="62"/>
  <c r="O52" i="62" s="1"/>
  <c r="P51" i="62"/>
  <c r="M51" i="62"/>
  <c r="P50" i="62"/>
  <c r="M50" i="62"/>
  <c r="P49" i="62"/>
  <c r="M49" i="62"/>
  <c r="O49" i="62" s="1"/>
  <c r="P48" i="62"/>
  <c r="M48" i="62"/>
  <c r="N48" i="62" s="1"/>
  <c r="P47" i="62"/>
  <c r="M47" i="62"/>
  <c r="O47" i="62" s="1"/>
  <c r="P46" i="62"/>
  <c r="M46" i="62"/>
  <c r="N46" i="62" s="1"/>
  <c r="P45" i="62"/>
  <c r="M45" i="62"/>
  <c r="N45" i="62" s="1"/>
  <c r="P44" i="62"/>
  <c r="M44" i="62"/>
  <c r="P43" i="62"/>
  <c r="M43" i="62"/>
  <c r="N43" i="62" s="1"/>
  <c r="P42" i="62"/>
  <c r="M42" i="62"/>
  <c r="N42" i="62" s="1"/>
  <c r="P41" i="62"/>
  <c r="M41" i="62"/>
  <c r="O41" i="62" s="1"/>
  <c r="P40" i="62"/>
  <c r="M40" i="62"/>
  <c r="N40" i="62" s="1"/>
  <c r="P39" i="62"/>
  <c r="M39" i="62"/>
  <c r="N39" i="62" s="1"/>
  <c r="P38" i="62"/>
  <c r="M38" i="62"/>
  <c r="O38" i="62" s="1"/>
  <c r="P30" i="62"/>
  <c r="M30" i="62"/>
  <c r="N30" i="62" s="1"/>
  <c r="P29" i="62"/>
  <c r="M29" i="62"/>
  <c r="N29" i="62" s="1"/>
  <c r="P28" i="62"/>
  <c r="M28" i="62"/>
  <c r="O28" i="62" s="1"/>
  <c r="P27" i="62"/>
  <c r="M27" i="62"/>
  <c r="N27" i="62" s="1"/>
  <c r="P26" i="62"/>
  <c r="M26" i="62"/>
  <c r="N26" i="62" s="1"/>
  <c r="P25" i="62"/>
  <c r="M25" i="62"/>
  <c r="P24" i="62"/>
  <c r="M24" i="62"/>
  <c r="O24" i="62" s="1"/>
  <c r="P23" i="62"/>
  <c r="M23" i="62"/>
  <c r="N23" i="62" s="1"/>
  <c r="P22" i="62"/>
  <c r="M22" i="62"/>
  <c r="O22" i="62" s="1"/>
  <c r="P21" i="62"/>
  <c r="M21" i="62"/>
  <c r="N21" i="62" s="1"/>
  <c r="P20" i="62"/>
  <c r="M20" i="62"/>
  <c r="N20" i="62" s="1"/>
  <c r="P19" i="62"/>
  <c r="M19" i="62"/>
  <c r="B19" i="62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8" i="62" s="1"/>
  <c r="B39" i="62" s="1"/>
  <c r="C28" i="19"/>
  <c r="B28" i="19"/>
  <c r="B31" i="61"/>
  <c r="D31" i="56"/>
  <c r="C31" i="56"/>
  <c r="B31" i="56"/>
  <c r="AO28" i="15"/>
  <c r="AR28" i="15"/>
  <c r="AS28" i="15"/>
  <c r="AU28" i="15"/>
  <c r="AW28" i="15"/>
  <c r="AM22" i="15"/>
  <c r="AO26" i="15" l="1"/>
  <c r="AO29" i="15" s="1"/>
  <c r="B50" i="63"/>
  <c r="B53" i="63"/>
  <c r="B54" i="63" s="1"/>
  <c r="B55" i="63" s="1"/>
  <c r="B56" i="63" s="1"/>
  <c r="B57" i="63" s="1"/>
  <c r="B59" i="63" s="1"/>
  <c r="B60" i="63" s="1"/>
  <c r="B61" i="63" s="1"/>
  <c r="B62" i="63" s="1"/>
  <c r="B63" i="63" s="1"/>
  <c r="B64" i="63" s="1"/>
  <c r="B65" i="63" s="1"/>
  <c r="B66" i="63" s="1"/>
  <c r="B67" i="63" s="1"/>
  <c r="B68" i="63" s="1"/>
  <c r="B69" i="63" s="1"/>
  <c r="B70" i="63" s="1"/>
  <c r="B71" i="63" s="1"/>
  <c r="B72" i="63" s="1"/>
  <c r="B73" i="63" s="1"/>
  <c r="B74" i="63" s="1"/>
  <c r="B75" i="63" s="1"/>
  <c r="B76" i="63" s="1"/>
  <c r="B77" i="63" s="1"/>
  <c r="B78" i="63" s="1"/>
  <c r="B79" i="63" s="1"/>
  <c r="B80" i="63" s="1"/>
  <c r="B81" i="63" s="1"/>
  <c r="B82" i="63" s="1"/>
  <c r="B83" i="63" s="1"/>
  <c r="B84" i="63" s="1"/>
  <c r="B85" i="63" s="1"/>
  <c r="B86" i="63" s="1"/>
  <c r="B87" i="63" s="1"/>
  <c r="B88" i="63" s="1"/>
  <c r="B89" i="63" s="1"/>
  <c r="B90" i="63" s="1"/>
  <c r="B91" i="63" s="1"/>
  <c r="B92" i="63" s="1"/>
  <c r="B93" i="63" s="1"/>
  <c r="B94" i="63" s="1"/>
  <c r="B95" i="63" s="1"/>
  <c r="B96" i="63" s="1"/>
  <c r="B97" i="63" s="1"/>
  <c r="B98" i="63" s="1"/>
  <c r="B99" i="63" s="1"/>
  <c r="B100" i="63" s="1"/>
  <c r="B101" i="63" s="1"/>
  <c r="B102" i="63" s="1"/>
  <c r="B103" i="63" s="1"/>
  <c r="B104" i="63" s="1"/>
  <c r="B105" i="63" s="1"/>
  <c r="B106" i="63" s="1"/>
  <c r="B107" i="63" s="1"/>
  <c r="B108" i="63" s="1"/>
  <c r="B109" i="63" s="1"/>
  <c r="B110" i="63" s="1"/>
  <c r="B111" i="63" s="1"/>
  <c r="B112" i="63" s="1"/>
  <c r="B113" i="63" s="1"/>
  <c r="B114" i="63" s="1"/>
  <c r="B115" i="63" s="1"/>
  <c r="B116" i="63" s="1"/>
  <c r="B117" i="63" s="1"/>
  <c r="B118" i="63" s="1"/>
  <c r="B119" i="63" s="1"/>
  <c r="B120" i="63" s="1"/>
  <c r="B121" i="63" s="1"/>
  <c r="B122" i="63" s="1"/>
  <c r="B123" i="63" s="1"/>
  <c r="B124" i="63" s="1"/>
  <c r="B125" i="63" s="1"/>
  <c r="B126" i="63" s="1"/>
  <c r="B127" i="63" s="1"/>
  <c r="B128" i="63" s="1"/>
  <c r="B129" i="63" s="1"/>
  <c r="B130" i="63" s="1"/>
  <c r="B131" i="63" s="1"/>
  <c r="B132" i="63" s="1"/>
  <c r="B133" i="63" s="1"/>
  <c r="B134" i="63" s="1"/>
  <c r="B135" i="63" s="1"/>
  <c r="B136" i="63" s="1"/>
  <c r="B137" i="63" s="1"/>
  <c r="B138" i="63" s="1"/>
  <c r="B139" i="63" s="1"/>
  <c r="B140" i="63" s="1"/>
  <c r="B141" i="63" s="1"/>
  <c r="B142" i="63" s="1"/>
  <c r="B143" i="63" s="1"/>
  <c r="B144" i="63" s="1"/>
  <c r="B145" i="63" s="1"/>
  <c r="B146" i="63" s="1"/>
  <c r="B147" i="63" s="1"/>
  <c r="B148" i="63" s="1"/>
  <c r="B149" i="63" s="1"/>
  <c r="B150" i="63" s="1"/>
  <c r="B151" i="63" s="1"/>
  <c r="B152" i="63" s="1"/>
  <c r="B153" i="63" s="1"/>
  <c r="B154" i="63" s="1"/>
  <c r="B155" i="63" s="1"/>
  <c r="B156" i="63" s="1"/>
  <c r="B157" i="63" s="1"/>
  <c r="B158" i="63" s="1"/>
  <c r="AN28" i="15"/>
  <c r="O37" i="62"/>
  <c r="G37" i="62"/>
  <c r="H37" i="62" s="1"/>
  <c r="O36" i="62"/>
  <c r="N36" i="62"/>
  <c r="G36" i="62" s="1"/>
  <c r="H36" i="62" s="1"/>
  <c r="O35" i="62"/>
  <c r="G35" i="62"/>
  <c r="H35" i="62" s="1"/>
  <c r="O34" i="62"/>
  <c r="G34" i="62"/>
  <c r="H34" i="62" s="1"/>
  <c r="G33" i="62"/>
  <c r="H33" i="62" s="1"/>
  <c r="O32" i="62"/>
  <c r="G32" i="62"/>
  <c r="H32" i="62" s="1"/>
  <c r="O31" i="62"/>
  <c r="G31" i="62" s="1"/>
  <c r="H31" i="62" s="1"/>
  <c r="O29" i="62"/>
  <c r="G29" i="62" s="1"/>
  <c r="H29" i="62" s="1"/>
  <c r="O23" i="62"/>
  <c r="N73" i="62"/>
  <c r="G73" i="62" s="1"/>
  <c r="O130" i="62"/>
  <c r="G130" i="62" s="1"/>
  <c r="O135" i="62"/>
  <c r="G135" i="62" s="1"/>
  <c r="O132" i="62"/>
  <c r="G132" i="62" s="1"/>
  <c r="N91" i="62"/>
  <c r="G91" i="62" s="1"/>
  <c r="N55" i="62"/>
  <c r="G55" i="62" s="1"/>
  <c r="O126" i="62"/>
  <c r="G126" i="62" s="1"/>
  <c r="O136" i="62"/>
  <c r="G136" i="62" s="1"/>
  <c r="O124" i="62"/>
  <c r="G124" i="62" s="1"/>
  <c r="O67" i="62"/>
  <c r="G67" i="62" s="1"/>
  <c r="O85" i="62"/>
  <c r="G85" i="62" s="1"/>
  <c r="O42" i="62"/>
  <c r="G42" i="62" s="1"/>
  <c r="H42" i="62" s="1"/>
  <c r="N61" i="62"/>
  <c r="G61" i="62" s="1"/>
  <c r="N79" i="62"/>
  <c r="G79" i="62" s="1"/>
  <c r="N97" i="62"/>
  <c r="G97" i="62" s="1"/>
  <c r="O48" i="62"/>
  <c r="G48" i="62" s="1"/>
  <c r="N19" i="62"/>
  <c r="O19" i="62"/>
  <c r="O25" i="62"/>
  <c r="O44" i="62"/>
  <c r="N54" i="62"/>
  <c r="N60" i="62"/>
  <c r="G60" i="62" s="1"/>
  <c r="N70" i="62"/>
  <c r="G70" i="62" s="1"/>
  <c r="N76" i="62"/>
  <c r="G76" i="62" s="1"/>
  <c r="O78" i="62"/>
  <c r="N82" i="62"/>
  <c r="G82" i="62" s="1"/>
  <c r="O84" i="62"/>
  <c r="N88" i="62"/>
  <c r="G88" i="62" s="1"/>
  <c r="N94" i="62"/>
  <c r="G94" i="62" s="1"/>
  <c r="O96" i="62"/>
  <c r="O106" i="62"/>
  <c r="G106" i="62" s="1"/>
  <c r="O108" i="62"/>
  <c r="G108" i="62" s="1"/>
  <c r="N25" i="62"/>
  <c r="N38" i="62"/>
  <c r="G38" i="62" s="1"/>
  <c r="N44" i="62"/>
  <c r="O118" i="62"/>
  <c r="G118" i="62" s="1"/>
  <c r="H118" i="62" s="1"/>
  <c r="O120" i="62"/>
  <c r="G120" i="62" s="1"/>
  <c r="H120" i="62" s="1"/>
  <c r="N66" i="62"/>
  <c r="N72" i="62"/>
  <c r="N78" i="62"/>
  <c r="O110" i="62"/>
  <c r="G110" i="62" s="1"/>
  <c r="O114" i="62"/>
  <c r="G114" i="62" s="1"/>
  <c r="N24" i="62"/>
  <c r="G24" i="62" s="1"/>
  <c r="H24" i="62" s="1"/>
  <c r="O54" i="62"/>
  <c r="O30" i="62"/>
  <c r="G30" i="62" s="1"/>
  <c r="H30" i="62" s="1"/>
  <c r="O43" i="62"/>
  <c r="G43" i="62" s="1"/>
  <c r="H43" i="62" s="1"/>
  <c r="O56" i="62"/>
  <c r="G56" i="62" s="1"/>
  <c r="O62" i="62"/>
  <c r="G62" i="62" s="1"/>
  <c r="O68" i="62"/>
  <c r="G68" i="62" s="1"/>
  <c r="O74" i="62"/>
  <c r="G74" i="62" s="1"/>
  <c r="O80" i="62"/>
  <c r="G80" i="62" s="1"/>
  <c r="O86" i="62"/>
  <c r="G86" i="62" s="1"/>
  <c r="O92" i="62"/>
  <c r="G92" i="62" s="1"/>
  <c r="O98" i="62"/>
  <c r="G98" i="62" s="1"/>
  <c r="O100" i="62"/>
  <c r="G100" i="62" s="1"/>
  <c r="O102" i="62"/>
  <c r="G102" i="62" s="1"/>
  <c r="O104" i="62"/>
  <c r="G104" i="62" s="1"/>
  <c r="N84" i="62"/>
  <c r="N90" i="62"/>
  <c r="G90" i="62" s="1"/>
  <c r="N96" i="62"/>
  <c r="G96" i="62" s="1"/>
  <c r="O112" i="62"/>
  <c r="G112" i="62" s="1"/>
  <c r="N52" i="62"/>
  <c r="G52" i="62" s="1"/>
  <c r="N58" i="62"/>
  <c r="G58" i="62" s="1"/>
  <c r="N64" i="62"/>
  <c r="G64" i="62" s="1"/>
  <c r="O66" i="62"/>
  <c r="O72" i="62"/>
  <c r="G23" i="62"/>
  <c r="H23" i="62" s="1"/>
  <c r="B43" i="62"/>
  <c r="B40" i="62"/>
  <c r="O21" i="62"/>
  <c r="G21" i="62" s="1"/>
  <c r="N22" i="62"/>
  <c r="G22" i="62" s="1"/>
  <c r="O27" i="62"/>
  <c r="G27" i="62" s="1"/>
  <c r="H27" i="62" s="1"/>
  <c r="N28" i="62"/>
  <c r="G28" i="62" s="1"/>
  <c r="H28" i="62" s="1"/>
  <c r="O40" i="62"/>
  <c r="G40" i="62" s="1"/>
  <c r="N41" i="62"/>
  <c r="G41" i="62" s="1"/>
  <c r="O46" i="62"/>
  <c r="G46" i="62" s="1"/>
  <c r="H46" i="62" s="1"/>
  <c r="N47" i="62"/>
  <c r="G47" i="62" s="1"/>
  <c r="N49" i="62"/>
  <c r="G49" i="62" s="1"/>
  <c r="AN19" i="15" s="1"/>
  <c r="N50" i="62"/>
  <c r="N51" i="62"/>
  <c r="N57" i="62"/>
  <c r="N63" i="62"/>
  <c r="N69" i="62"/>
  <c r="N75" i="62"/>
  <c r="N81" i="62"/>
  <c r="N87" i="62"/>
  <c r="N93" i="62"/>
  <c r="N99" i="62"/>
  <c r="N103" i="62"/>
  <c r="O103" i="62"/>
  <c r="N115" i="62"/>
  <c r="O115" i="62"/>
  <c r="N129" i="62"/>
  <c r="O168" i="62"/>
  <c r="N168" i="62"/>
  <c r="O174" i="62"/>
  <c r="N174" i="62"/>
  <c r="O180" i="62"/>
  <c r="N180" i="62"/>
  <c r="N109" i="62"/>
  <c r="O109" i="62"/>
  <c r="N122" i="62"/>
  <c r="O122" i="62"/>
  <c r="O20" i="62"/>
  <c r="G20" i="62" s="1"/>
  <c r="O26" i="62"/>
  <c r="G26" i="62" s="1"/>
  <c r="H26" i="62" s="1"/>
  <c r="O39" i="62"/>
  <c r="G39" i="62" s="1"/>
  <c r="H39" i="62" s="1"/>
  <c r="O53" i="62"/>
  <c r="G53" i="62" s="1"/>
  <c r="O59" i="62"/>
  <c r="G59" i="62" s="1"/>
  <c r="O65" i="62"/>
  <c r="G65" i="62" s="1"/>
  <c r="O71" i="62"/>
  <c r="G71" i="62" s="1"/>
  <c r="O77" i="62"/>
  <c r="G77" i="62" s="1"/>
  <c r="O83" i="62"/>
  <c r="G83" i="62" s="1"/>
  <c r="O89" i="62"/>
  <c r="G89" i="62" s="1"/>
  <c r="N123" i="62"/>
  <c r="G123" i="62" s="1"/>
  <c r="O50" i="62"/>
  <c r="O51" i="62"/>
  <c r="O57" i="62"/>
  <c r="O63" i="62"/>
  <c r="O69" i="62"/>
  <c r="O75" i="62"/>
  <c r="O81" i="62"/>
  <c r="O87" i="62"/>
  <c r="O93" i="62"/>
  <c r="O99" i="62"/>
  <c r="O111" i="62"/>
  <c r="G111" i="62" s="1"/>
  <c r="N117" i="62"/>
  <c r="G117" i="62" s="1"/>
  <c r="O129" i="62"/>
  <c r="O45" i="62"/>
  <c r="G45" i="62" s="1"/>
  <c r="O95" i="62"/>
  <c r="G95" i="62" s="1"/>
  <c r="N107" i="62"/>
  <c r="G107" i="62" s="1"/>
  <c r="N101" i="62"/>
  <c r="G101" i="62" s="1"/>
  <c r="N113" i="62"/>
  <c r="G113" i="62" s="1"/>
  <c r="O172" i="62"/>
  <c r="N172" i="62"/>
  <c r="O178" i="62"/>
  <c r="N178" i="62"/>
  <c r="O105" i="62"/>
  <c r="G105" i="62" s="1"/>
  <c r="O116" i="62"/>
  <c r="G116" i="62" s="1"/>
  <c r="N128" i="62"/>
  <c r="O128" i="62"/>
  <c r="N134" i="62"/>
  <c r="O134" i="62"/>
  <c r="O170" i="62"/>
  <c r="N170" i="62"/>
  <c r="O176" i="62"/>
  <c r="N176" i="62"/>
  <c r="O138" i="62"/>
  <c r="N138" i="62"/>
  <c r="O141" i="62"/>
  <c r="N141" i="62"/>
  <c r="O144" i="62"/>
  <c r="N144" i="62"/>
  <c r="O147" i="62"/>
  <c r="N147" i="62"/>
  <c r="O150" i="62"/>
  <c r="N150" i="62"/>
  <c r="O153" i="62"/>
  <c r="N153" i="62"/>
  <c r="O156" i="62"/>
  <c r="N156" i="62"/>
  <c r="O159" i="62"/>
  <c r="N159" i="62"/>
  <c r="O162" i="62"/>
  <c r="N162" i="62"/>
  <c r="O165" i="62"/>
  <c r="N165" i="62"/>
  <c r="O183" i="62"/>
  <c r="N183" i="62"/>
  <c r="O121" i="62"/>
  <c r="G121" i="62" s="1"/>
  <c r="O127" i="62"/>
  <c r="G127" i="62" s="1"/>
  <c r="O133" i="62"/>
  <c r="G133" i="62" s="1"/>
  <c r="O137" i="62"/>
  <c r="N137" i="62"/>
  <c r="O140" i="62"/>
  <c r="N140" i="62"/>
  <c r="O143" i="62"/>
  <c r="N143" i="62"/>
  <c r="O146" i="62"/>
  <c r="N146" i="62"/>
  <c r="O149" i="62"/>
  <c r="N149" i="62"/>
  <c r="O152" i="62"/>
  <c r="N152" i="62"/>
  <c r="O155" i="62"/>
  <c r="N155" i="62"/>
  <c r="O158" i="62"/>
  <c r="N158" i="62"/>
  <c r="O161" i="62"/>
  <c r="N161" i="62"/>
  <c r="O164" i="62"/>
  <c r="N164" i="62"/>
  <c r="O167" i="62"/>
  <c r="N167" i="62"/>
  <c r="O169" i="62"/>
  <c r="N169" i="62"/>
  <c r="O171" i="62"/>
  <c r="N171" i="62"/>
  <c r="O173" i="62"/>
  <c r="N173" i="62"/>
  <c r="O175" i="62"/>
  <c r="N175" i="62"/>
  <c r="O177" i="62"/>
  <c r="N177" i="62"/>
  <c r="O179" i="62"/>
  <c r="N179" i="62"/>
  <c r="O181" i="62"/>
  <c r="N181" i="62"/>
  <c r="O184" i="62"/>
  <c r="N184" i="62"/>
  <c r="O119" i="62"/>
  <c r="G119" i="62" s="1"/>
  <c r="H119" i="62" s="1"/>
  <c r="O125" i="62"/>
  <c r="G125" i="62" s="1"/>
  <c r="O131" i="62"/>
  <c r="G131" i="62" s="1"/>
  <c r="O139" i="62"/>
  <c r="N139" i="62"/>
  <c r="O142" i="62"/>
  <c r="N142" i="62"/>
  <c r="O145" i="62"/>
  <c r="N145" i="62"/>
  <c r="O148" i="62"/>
  <c r="N148" i="62"/>
  <c r="O151" i="62"/>
  <c r="N151" i="62"/>
  <c r="O154" i="62"/>
  <c r="N154" i="62"/>
  <c r="O157" i="62"/>
  <c r="N157" i="62"/>
  <c r="O160" i="62"/>
  <c r="N160" i="62"/>
  <c r="O163" i="62"/>
  <c r="N163" i="62"/>
  <c r="O166" i="62"/>
  <c r="N166" i="62"/>
  <c r="O182" i="62"/>
  <c r="N182" i="62"/>
  <c r="AM31" i="15"/>
  <c r="D31" i="52" s="1"/>
  <c r="G186" i="62" l="1"/>
  <c r="D5" i="62"/>
  <c r="G157" i="62"/>
  <c r="G44" i="62"/>
  <c r="H44" i="62" s="1"/>
  <c r="G122" i="62"/>
  <c r="H45" i="62"/>
  <c r="AN11" i="15"/>
  <c r="G25" i="62"/>
  <c r="H25" i="62" s="1"/>
  <c r="H40" i="62"/>
  <c r="AN17" i="15"/>
  <c r="H47" i="62"/>
  <c r="AN13" i="15"/>
  <c r="H41" i="62"/>
  <c r="AN15" i="15"/>
  <c r="AN23" i="15"/>
  <c r="G180" i="62"/>
  <c r="G99" i="62"/>
  <c r="G176" i="62"/>
  <c r="G140" i="62"/>
  <c r="G183" i="62"/>
  <c r="G159" i="62"/>
  <c r="G150" i="62"/>
  <c r="G141" i="62"/>
  <c r="G172" i="62"/>
  <c r="G184" i="62"/>
  <c r="G181" i="62"/>
  <c r="G175" i="62"/>
  <c r="G169" i="62"/>
  <c r="G161" i="62"/>
  <c r="G152" i="62"/>
  <c r="G143" i="62"/>
  <c r="G134" i="62"/>
  <c r="G160" i="62"/>
  <c r="G179" i="62"/>
  <c r="G173" i="62"/>
  <c r="G167" i="62"/>
  <c r="G158" i="62"/>
  <c r="G149" i="62"/>
  <c r="G129" i="62"/>
  <c r="G151" i="62"/>
  <c r="G168" i="62"/>
  <c r="G164" i="62"/>
  <c r="G78" i="62"/>
  <c r="G182" i="62"/>
  <c r="G142" i="62"/>
  <c r="G162" i="62"/>
  <c r="G153" i="62"/>
  <c r="G144" i="62"/>
  <c r="G128" i="62"/>
  <c r="G84" i="62"/>
  <c r="G72" i="62"/>
  <c r="G166" i="62"/>
  <c r="G148" i="62"/>
  <c r="G139" i="62"/>
  <c r="G177" i="62"/>
  <c r="G171" i="62"/>
  <c r="G155" i="62"/>
  <c r="G146" i="62"/>
  <c r="G137" i="62"/>
  <c r="G178" i="62"/>
  <c r="G93" i="62"/>
  <c r="G163" i="62"/>
  <c r="G154" i="62"/>
  <c r="G145" i="62"/>
  <c r="G170" i="62"/>
  <c r="G174" i="62"/>
  <c r="G87" i="62"/>
  <c r="G51" i="62"/>
  <c r="G66" i="62"/>
  <c r="G54" i="62"/>
  <c r="D6" i="62" s="1"/>
  <c r="G81" i="62"/>
  <c r="G50" i="62"/>
  <c r="G109" i="62"/>
  <c r="G69" i="62"/>
  <c r="G75" i="62"/>
  <c r="G63" i="62"/>
  <c r="G57" i="62"/>
  <c r="G115" i="62"/>
  <c r="G103" i="62"/>
  <c r="G165" i="62"/>
  <c r="G156" i="62"/>
  <c r="G147" i="62"/>
  <c r="G138" i="62"/>
  <c r="B41" i="62"/>
  <c r="B44" i="62"/>
  <c r="AM5" i="15"/>
  <c r="AN21" i="15" l="1"/>
  <c r="AN9" i="15"/>
  <c r="D8" i="62"/>
  <c r="D10" i="62"/>
  <c r="D11" i="62"/>
  <c r="D9" i="62"/>
  <c r="B42" i="62"/>
  <c r="B45" i="62"/>
  <c r="B46" i="62" s="1"/>
  <c r="B47" i="62" s="1"/>
  <c r="B48" i="62" s="1"/>
  <c r="B49" i="62" s="1"/>
  <c r="B50" i="62" s="1"/>
  <c r="B51" i="62" s="1"/>
  <c r="B52" i="62" s="1"/>
  <c r="B53" i="62" s="1"/>
  <c r="B54" i="62" s="1"/>
  <c r="B55" i="62" s="1"/>
  <c r="B56" i="62" s="1"/>
  <c r="B57" i="62" s="1"/>
  <c r="B58" i="62" s="1"/>
  <c r="B59" i="62" s="1"/>
  <c r="B60" i="62" s="1"/>
  <c r="B61" i="62" s="1"/>
  <c r="B62" i="62" s="1"/>
  <c r="B63" i="62" s="1"/>
  <c r="B64" i="62" s="1"/>
  <c r="B65" i="62" s="1"/>
  <c r="B66" i="62" s="1"/>
  <c r="B67" i="62" s="1"/>
  <c r="B68" i="62" s="1"/>
  <c r="B69" i="62" s="1"/>
  <c r="B70" i="62" s="1"/>
  <c r="B71" i="62" s="1"/>
  <c r="B72" i="62" s="1"/>
  <c r="B73" i="62" s="1"/>
  <c r="B74" i="62" s="1"/>
  <c r="B75" i="62" s="1"/>
  <c r="B76" i="62" s="1"/>
  <c r="B77" i="62" s="1"/>
  <c r="B78" i="62" s="1"/>
  <c r="B79" i="62" s="1"/>
  <c r="B80" i="62" s="1"/>
  <c r="B81" i="62" s="1"/>
  <c r="B82" i="62" s="1"/>
  <c r="B83" i="62" s="1"/>
  <c r="B84" i="62" s="1"/>
  <c r="B85" i="62" s="1"/>
  <c r="B86" i="62" s="1"/>
  <c r="B87" i="62" s="1"/>
  <c r="B88" i="62" s="1"/>
  <c r="B89" i="62" s="1"/>
  <c r="B90" i="62" s="1"/>
  <c r="B91" i="62" s="1"/>
  <c r="B92" i="62" s="1"/>
  <c r="B93" i="62" s="1"/>
  <c r="B94" i="62" s="1"/>
  <c r="B95" i="62" s="1"/>
  <c r="B96" i="62" s="1"/>
  <c r="B97" i="62" s="1"/>
  <c r="B98" i="62" s="1"/>
  <c r="B99" i="62" s="1"/>
  <c r="B100" i="62" s="1"/>
  <c r="B101" i="62" s="1"/>
  <c r="B102" i="62" s="1"/>
  <c r="B103" i="62" s="1"/>
  <c r="B104" i="62" s="1"/>
  <c r="B105" i="62" s="1"/>
  <c r="B106" i="62" s="1"/>
  <c r="B107" i="62" s="1"/>
  <c r="B108" i="62" s="1"/>
  <c r="B109" i="62" s="1"/>
  <c r="B110" i="62" s="1"/>
  <c r="B111" i="62" s="1"/>
  <c r="B112" i="62" s="1"/>
  <c r="B113" i="62" s="1"/>
  <c r="B114" i="62" s="1"/>
  <c r="B115" i="62" s="1"/>
  <c r="B116" i="62" s="1"/>
  <c r="B117" i="62" s="1"/>
  <c r="B118" i="62" s="1"/>
  <c r="B119" i="62" s="1"/>
  <c r="B120" i="62" s="1"/>
  <c r="B121" i="62" s="1"/>
  <c r="B122" i="62" s="1"/>
  <c r="B123" i="62" s="1"/>
  <c r="B124" i="62" s="1"/>
  <c r="B125" i="62" s="1"/>
  <c r="B126" i="62" s="1"/>
  <c r="B127" i="62" s="1"/>
  <c r="B128" i="62" s="1"/>
  <c r="B129" i="62" s="1"/>
  <c r="B130" i="62" s="1"/>
  <c r="B131" i="62" s="1"/>
  <c r="B132" i="62" s="1"/>
  <c r="B133" i="62" s="1"/>
  <c r="B134" i="62" s="1"/>
  <c r="B135" i="62" s="1"/>
  <c r="B136" i="62" s="1"/>
  <c r="B137" i="62" s="1"/>
  <c r="B138" i="62" s="1"/>
  <c r="B139" i="62" s="1"/>
  <c r="B140" i="62" s="1"/>
  <c r="B141" i="62" s="1"/>
  <c r="B142" i="62" s="1"/>
  <c r="B143" i="62" s="1"/>
  <c r="B144" i="62" s="1"/>
  <c r="B145" i="62" s="1"/>
  <c r="B146" i="62" s="1"/>
  <c r="B147" i="62" s="1"/>
  <c r="B148" i="62" s="1"/>
  <c r="B149" i="62" s="1"/>
  <c r="B150" i="62" s="1"/>
  <c r="B151" i="62" s="1"/>
  <c r="B152" i="62" s="1"/>
  <c r="B153" i="62" s="1"/>
  <c r="B154" i="62" s="1"/>
  <c r="B155" i="62" s="1"/>
  <c r="B156" i="62" s="1"/>
  <c r="B157" i="62" s="1"/>
  <c r="B158" i="62" s="1"/>
  <c r="B159" i="62" s="1"/>
  <c r="B160" i="62" s="1"/>
  <c r="B161" i="62" s="1"/>
  <c r="B162" i="62" s="1"/>
  <c r="B163" i="62" s="1"/>
  <c r="B164" i="62" s="1"/>
  <c r="B165" i="62" s="1"/>
  <c r="B166" i="62" s="1"/>
  <c r="B167" i="62" s="1"/>
  <c r="B168" i="62" s="1"/>
  <c r="B169" i="62" s="1"/>
  <c r="B170" i="62" s="1"/>
  <c r="B171" i="62" s="1"/>
  <c r="B172" i="62" s="1"/>
  <c r="B173" i="62" s="1"/>
  <c r="B174" i="62" s="1"/>
  <c r="B175" i="62" s="1"/>
  <c r="B176" i="62" s="1"/>
  <c r="B177" i="62" s="1"/>
  <c r="B178" i="62" s="1"/>
  <c r="B179" i="62" s="1"/>
  <c r="B180" i="62" s="1"/>
  <c r="B181" i="62" s="1"/>
  <c r="B182" i="62" s="1"/>
  <c r="B183" i="62" s="1"/>
  <c r="B184" i="62" s="1"/>
  <c r="D12" i="62"/>
  <c r="D7" i="62"/>
  <c r="AM33" i="15"/>
  <c r="D30" i="61"/>
  <c r="D36" i="61" s="1"/>
  <c r="D37" i="61" s="1"/>
  <c r="C30" i="61"/>
  <c r="C36" i="61" s="1"/>
  <c r="C37" i="61" s="1"/>
  <c r="B30" i="61"/>
  <c r="B36" i="61" s="1"/>
  <c r="B37" i="61" s="1"/>
  <c r="D10" i="61"/>
  <c r="D11" i="61" s="1"/>
  <c r="C10" i="61"/>
  <c r="C11" i="61" s="1"/>
  <c r="B10" i="61"/>
  <c r="C1" i="61"/>
  <c r="B1" i="61"/>
  <c r="AN26" i="15" l="1"/>
  <c r="AN29" i="15" s="1"/>
  <c r="B11" i="61"/>
  <c r="C13" i="61" s="1"/>
  <c r="AM25" i="15" l="1"/>
  <c r="AM24" i="15"/>
  <c r="AM20" i="15"/>
  <c r="AM18" i="15"/>
  <c r="AM16" i="15"/>
  <c r="AM14" i="15"/>
  <c r="AM12" i="15"/>
  <c r="AM10" i="15"/>
  <c r="AM8" i="15"/>
  <c r="AM28" i="15" l="1"/>
  <c r="E179" i="59"/>
  <c r="P177" i="59"/>
  <c r="M177" i="59"/>
  <c r="O177" i="59" s="1"/>
  <c r="P176" i="59"/>
  <c r="M176" i="59"/>
  <c r="O176" i="59" s="1"/>
  <c r="P175" i="59"/>
  <c r="M175" i="59"/>
  <c r="N175" i="59" s="1"/>
  <c r="P174" i="59"/>
  <c r="M174" i="59"/>
  <c r="N174" i="59" s="1"/>
  <c r="P173" i="59"/>
  <c r="M173" i="59"/>
  <c r="O173" i="59" s="1"/>
  <c r="P172" i="59"/>
  <c r="M172" i="59"/>
  <c r="O172" i="59" s="1"/>
  <c r="P171" i="59"/>
  <c r="M171" i="59"/>
  <c r="O171" i="59" s="1"/>
  <c r="P170" i="59"/>
  <c r="M170" i="59"/>
  <c r="O170" i="59" s="1"/>
  <c r="P169" i="59"/>
  <c r="M169" i="59"/>
  <c r="P168" i="59"/>
  <c r="M168" i="59"/>
  <c r="O168" i="59" s="1"/>
  <c r="P167" i="59"/>
  <c r="M167" i="59"/>
  <c r="O167" i="59" s="1"/>
  <c r="P166" i="59"/>
  <c r="M166" i="59"/>
  <c r="N166" i="59" s="1"/>
  <c r="P165" i="59"/>
  <c r="M165" i="59"/>
  <c r="P164" i="59"/>
  <c r="M164" i="59"/>
  <c r="O164" i="59" s="1"/>
  <c r="P163" i="59"/>
  <c r="M163" i="59"/>
  <c r="O163" i="59" s="1"/>
  <c r="P162" i="59"/>
  <c r="M162" i="59"/>
  <c r="N162" i="59" s="1"/>
  <c r="P161" i="59"/>
  <c r="M161" i="59"/>
  <c r="P160" i="59"/>
  <c r="M160" i="59"/>
  <c r="O160" i="59" s="1"/>
  <c r="P159" i="59"/>
  <c r="M159" i="59"/>
  <c r="O159" i="59" s="1"/>
  <c r="P158" i="59"/>
  <c r="M158" i="59"/>
  <c r="O158" i="59" s="1"/>
  <c r="P157" i="59"/>
  <c r="M157" i="59"/>
  <c r="P156" i="59"/>
  <c r="M156" i="59"/>
  <c r="O156" i="59" s="1"/>
  <c r="P155" i="59"/>
  <c r="M155" i="59"/>
  <c r="O155" i="59" s="1"/>
  <c r="P154" i="59"/>
  <c r="M154" i="59"/>
  <c r="O154" i="59" s="1"/>
  <c r="P153" i="59"/>
  <c r="M153" i="59"/>
  <c r="P152" i="59"/>
  <c r="M152" i="59"/>
  <c r="O152" i="59" s="1"/>
  <c r="P151" i="59"/>
  <c r="M151" i="59"/>
  <c r="O151" i="59" s="1"/>
  <c r="P150" i="59"/>
  <c r="M150" i="59"/>
  <c r="O150" i="59" s="1"/>
  <c r="P149" i="59"/>
  <c r="M149" i="59"/>
  <c r="P148" i="59"/>
  <c r="M148" i="59"/>
  <c r="O148" i="59" s="1"/>
  <c r="P147" i="59"/>
  <c r="M147" i="59"/>
  <c r="N147" i="59" s="1"/>
  <c r="P146" i="59"/>
  <c r="M146" i="59"/>
  <c r="O146" i="59" s="1"/>
  <c r="P145" i="59"/>
  <c r="M145" i="59"/>
  <c r="P144" i="59"/>
  <c r="M144" i="59"/>
  <c r="O144" i="59" s="1"/>
  <c r="P143" i="59"/>
  <c r="M143" i="59"/>
  <c r="O143" i="59" s="1"/>
  <c r="P142" i="59"/>
  <c r="M142" i="59"/>
  <c r="P141" i="59"/>
  <c r="M141" i="59"/>
  <c r="P140" i="59"/>
  <c r="M140" i="59"/>
  <c r="O140" i="59" s="1"/>
  <c r="P139" i="59"/>
  <c r="M139" i="59"/>
  <c r="O139" i="59" s="1"/>
  <c r="P138" i="59"/>
  <c r="M138" i="59"/>
  <c r="O138" i="59" s="1"/>
  <c r="P137" i="59"/>
  <c r="M137" i="59"/>
  <c r="P136" i="59"/>
  <c r="M136" i="59"/>
  <c r="O136" i="59" s="1"/>
  <c r="P135" i="59"/>
  <c r="M135" i="59"/>
  <c r="N135" i="59" s="1"/>
  <c r="P134" i="59"/>
  <c r="M134" i="59"/>
  <c r="N134" i="59" s="1"/>
  <c r="P133" i="59"/>
  <c r="M133" i="59"/>
  <c r="P132" i="59"/>
  <c r="M132" i="59"/>
  <c r="O132" i="59" s="1"/>
  <c r="P131" i="59"/>
  <c r="M131" i="59"/>
  <c r="N131" i="59" s="1"/>
  <c r="P130" i="59"/>
  <c r="M130" i="59"/>
  <c r="O130" i="59" s="1"/>
  <c r="P129" i="59"/>
  <c r="M129" i="59"/>
  <c r="P128" i="59"/>
  <c r="M128" i="59"/>
  <c r="O128" i="59" s="1"/>
  <c r="P127" i="59"/>
  <c r="M127" i="59"/>
  <c r="N127" i="59" s="1"/>
  <c r="P126" i="59"/>
  <c r="M126" i="59"/>
  <c r="O126" i="59" s="1"/>
  <c r="P125" i="59"/>
  <c r="M125" i="59"/>
  <c r="P124" i="59"/>
  <c r="M124" i="59"/>
  <c r="O124" i="59" s="1"/>
  <c r="P123" i="59"/>
  <c r="M123" i="59"/>
  <c r="N123" i="59" s="1"/>
  <c r="P122" i="59"/>
  <c r="M122" i="59"/>
  <c r="O122" i="59" s="1"/>
  <c r="P121" i="59"/>
  <c r="M121" i="59"/>
  <c r="P120" i="59"/>
  <c r="M120" i="59"/>
  <c r="O120" i="59" s="1"/>
  <c r="P119" i="59"/>
  <c r="M119" i="59"/>
  <c r="N119" i="59" s="1"/>
  <c r="P118" i="59"/>
  <c r="M118" i="59"/>
  <c r="N118" i="59" s="1"/>
  <c r="P117" i="59"/>
  <c r="M117" i="59"/>
  <c r="P116" i="59"/>
  <c r="M116" i="59"/>
  <c r="O116" i="59" s="1"/>
  <c r="P115" i="59"/>
  <c r="M115" i="59"/>
  <c r="N115" i="59" s="1"/>
  <c r="P114" i="59"/>
  <c r="M114" i="59"/>
  <c r="N114" i="59" s="1"/>
  <c r="P113" i="59"/>
  <c r="M113" i="59"/>
  <c r="P112" i="59"/>
  <c r="M112" i="59"/>
  <c r="O112" i="59" s="1"/>
  <c r="P111" i="59"/>
  <c r="M111" i="59"/>
  <c r="N111" i="59" s="1"/>
  <c r="P110" i="59"/>
  <c r="M110" i="59"/>
  <c r="O110" i="59" s="1"/>
  <c r="P109" i="59"/>
  <c r="M109" i="59"/>
  <c r="P108" i="59"/>
  <c r="M108" i="59"/>
  <c r="O108" i="59" s="1"/>
  <c r="P107" i="59"/>
  <c r="M107" i="59"/>
  <c r="N107" i="59" s="1"/>
  <c r="P106" i="59"/>
  <c r="M106" i="59"/>
  <c r="O106" i="59" s="1"/>
  <c r="P105" i="59"/>
  <c r="M105" i="59"/>
  <c r="P104" i="59"/>
  <c r="M104" i="59"/>
  <c r="O104" i="59" s="1"/>
  <c r="P103" i="59"/>
  <c r="M103" i="59"/>
  <c r="N103" i="59" s="1"/>
  <c r="P102" i="59"/>
  <c r="M102" i="59"/>
  <c r="O102" i="59" s="1"/>
  <c r="P101" i="59"/>
  <c r="M101" i="59"/>
  <c r="P100" i="59"/>
  <c r="M100" i="59"/>
  <c r="O100" i="59" s="1"/>
  <c r="P99" i="59"/>
  <c r="M99" i="59"/>
  <c r="N99" i="59" s="1"/>
  <c r="P98" i="59"/>
  <c r="M98" i="59"/>
  <c r="N98" i="59" s="1"/>
  <c r="P97" i="59"/>
  <c r="M97" i="59"/>
  <c r="P96" i="59"/>
  <c r="M96" i="59"/>
  <c r="O96" i="59" s="1"/>
  <c r="P95" i="59"/>
  <c r="M95" i="59"/>
  <c r="N95" i="59" s="1"/>
  <c r="P94" i="59"/>
  <c r="M94" i="59"/>
  <c r="N94" i="59" s="1"/>
  <c r="P93" i="59"/>
  <c r="M93" i="59"/>
  <c r="P92" i="59"/>
  <c r="M92" i="59"/>
  <c r="O92" i="59" s="1"/>
  <c r="P91" i="59"/>
  <c r="M91" i="59"/>
  <c r="N91" i="59" s="1"/>
  <c r="P90" i="59"/>
  <c r="M90" i="59"/>
  <c r="O90" i="59" s="1"/>
  <c r="P89" i="59"/>
  <c r="M89" i="59"/>
  <c r="P88" i="59"/>
  <c r="M88" i="59"/>
  <c r="O88" i="59" s="1"/>
  <c r="P87" i="59"/>
  <c r="M87" i="59"/>
  <c r="N87" i="59" s="1"/>
  <c r="P86" i="59"/>
  <c r="M86" i="59"/>
  <c r="O86" i="59" s="1"/>
  <c r="P85" i="59"/>
  <c r="M85" i="59"/>
  <c r="P84" i="59"/>
  <c r="M84" i="59"/>
  <c r="O84" i="59" s="1"/>
  <c r="P83" i="59"/>
  <c r="M83" i="59"/>
  <c r="N83" i="59" s="1"/>
  <c r="P82" i="59"/>
  <c r="M82" i="59"/>
  <c r="N82" i="59" s="1"/>
  <c r="P81" i="59"/>
  <c r="M81" i="59"/>
  <c r="P80" i="59"/>
  <c r="M80" i="59"/>
  <c r="O80" i="59" s="1"/>
  <c r="P79" i="59"/>
  <c r="M79" i="59"/>
  <c r="O79" i="59" s="1"/>
  <c r="P78" i="59"/>
  <c r="M78" i="59"/>
  <c r="N78" i="59" s="1"/>
  <c r="P77" i="59"/>
  <c r="M77" i="59"/>
  <c r="P76" i="59"/>
  <c r="M76" i="59"/>
  <c r="O76" i="59" s="1"/>
  <c r="P75" i="59"/>
  <c r="M75" i="59"/>
  <c r="N75" i="59" s="1"/>
  <c r="P74" i="59"/>
  <c r="M74" i="59"/>
  <c r="P73" i="59"/>
  <c r="M73" i="59"/>
  <c r="P72" i="59"/>
  <c r="M72" i="59"/>
  <c r="O72" i="59" s="1"/>
  <c r="P71" i="59"/>
  <c r="M71" i="59"/>
  <c r="O71" i="59" s="1"/>
  <c r="P70" i="59"/>
  <c r="M70" i="59"/>
  <c r="O70" i="59" s="1"/>
  <c r="P69" i="59"/>
  <c r="M69" i="59"/>
  <c r="P68" i="59"/>
  <c r="M68" i="59"/>
  <c r="O68" i="59" s="1"/>
  <c r="P67" i="59"/>
  <c r="M67" i="59"/>
  <c r="N67" i="59" s="1"/>
  <c r="P66" i="59"/>
  <c r="M66" i="59"/>
  <c r="O66" i="59" s="1"/>
  <c r="P65" i="59"/>
  <c r="M65" i="59"/>
  <c r="P64" i="59"/>
  <c r="M64" i="59"/>
  <c r="O64" i="59" s="1"/>
  <c r="P63" i="59"/>
  <c r="M63" i="59"/>
  <c r="N63" i="59" s="1"/>
  <c r="P62" i="59"/>
  <c r="M62" i="59"/>
  <c r="N62" i="59" s="1"/>
  <c r="P61" i="59"/>
  <c r="M61" i="59"/>
  <c r="P60" i="59"/>
  <c r="M60" i="59"/>
  <c r="O60" i="59" s="1"/>
  <c r="P59" i="59"/>
  <c r="M59" i="59"/>
  <c r="O59" i="59" s="1"/>
  <c r="P58" i="59"/>
  <c r="M58" i="59"/>
  <c r="O58" i="59" s="1"/>
  <c r="P57" i="59"/>
  <c r="M57" i="59"/>
  <c r="P56" i="59"/>
  <c r="M56" i="59"/>
  <c r="O56" i="59" s="1"/>
  <c r="P55" i="59"/>
  <c r="M55" i="59"/>
  <c r="O55" i="59" s="1"/>
  <c r="P54" i="59"/>
  <c r="M54" i="59"/>
  <c r="O54" i="59" s="1"/>
  <c r="P53" i="59"/>
  <c r="M53" i="59"/>
  <c r="P52" i="59"/>
  <c r="M52" i="59"/>
  <c r="O52" i="59" s="1"/>
  <c r="P51" i="59"/>
  <c r="M51" i="59"/>
  <c r="O51" i="59" s="1"/>
  <c r="P50" i="59"/>
  <c r="M50" i="59"/>
  <c r="O50" i="59" s="1"/>
  <c r="P49" i="59"/>
  <c r="M49" i="59"/>
  <c r="P48" i="59"/>
  <c r="M48" i="59"/>
  <c r="O48" i="59" s="1"/>
  <c r="P47" i="59"/>
  <c r="M47" i="59"/>
  <c r="O47" i="59" s="1"/>
  <c r="P46" i="59"/>
  <c r="M46" i="59"/>
  <c r="N46" i="59" s="1"/>
  <c r="P45" i="59"/>
  <c r="M45" i="59"/>
  <c r="P44" i="59"/>
  <c r="M44" i="59"/>
  <c r="O44" i="59" s="1"/>
  <c r="P43" i="59"/>
  <c r="M43" i="59"/>
  <c r="O43" i="59" s="1"/>
  <c r="P42" i="59"/>
  <c r="M42" i="59"/>
  <c r="N42" i="59" s="1"/>
  <c r="P41" i="59"/>
  <c r="M41" i="59"/>
  <c r="P40" i="59"/>
  <c r="M40" i="59"/>
  <c r="O40" i="59" s="1"/>
  <c r="P39" i="59"/>
  <c r="M39" i="59"/>
  <c r="O39" i="59" s="1"/>
  <c r="P38" i="59"/>
  <c r="M38" i="59"/>
  <c r="O38" i="59" s="1"/>
  <c r="P37" i="59"/>
  <c r="M37" i="59"/>
  <c r="N37" i="59" s="1"/>
  <c r="P36" i="59"/>
  <c r="M36" i="59"/>
  <c r="O36" i="59" s="1"/>
  <c r="P35" i="59"/>
  <c r="M35" i="59"/>
  <c r="O35" i="59" s="1"/>
  <c r="P34" i="59"/>
  <c r="M34" i="59"/>
  <c r="N34" i="59" s="1"/>
  <c r="P33" i="59"/>
  <c r="M33" i="59"/>
  <c r="P32" i="59"/>
  <c r="M32" i="59"/>
  <c r="O32" i="59" s="1"/>
  <c r="P31" i="59"/>
  <c r="M31" i="59"/>
  <c r="O31" i="59" s="1"/>
  <c r="P30" i="59"/>
  <c r="M30" i="59"/>
  <c r="O30" i="59" s="1"/>
  <c r="P29" i="59"/>
  <c r="M29" i="59"/>
  <c r="N29" i="59" s="1"/>
  <c r="P28" i="59"/>
  <c r="M28" i="59"/>
  <c r="O28" i="59" s="1"/>
  <c r="P27" i="59"/>
  <c r="M27" i="59"/>
  <c r="N27" i="59" s="1"/>
  <c r="P26" i="59"/>
  <c r="M26" i="59"/>
  <c r="N26" i="59" s="1"/>
  <c r="P25" i="59"/>
  <c r="M25" i="59"/>
  <c r="P24" i="59"/>
  <c r="M24" i="59"/>
  <c r="O24" i="59" s="1"/>
  <c r="P23" i="59"/>
  <c r="M23" i="59"/>
  <c r="O23" i="59" s="1"/>
  <c r="P22" i="59"/>
  <c r="M22" i="59"/>
  <c r="O22" i="59" s="1"/>
  <c r="P21" i="59"/>
  <c r="M21" i="59"/>
  <c r="N21" i="59" s="1"/>
  <c r="P20" i="59"/>
  <c r="M20" i="59"/>
  <c r="N20" i="59" s="1"/>
  <c r="P19" i="59"/>
  <c r="M19" i="59"/>
  <c r="N19" i="59" s="1"/>
  <c r="B19" i="59"/>
  <c r="B20" i="59" s="1"/>
  <c r="B21" i="59" s="1"/>
  <c r="B22" i="59" s="1"/>
  <c r="B23" i="59" s="1"/>
  <c r="B24" i="59" s="1"/>
  <c r="B25" i="59" s="1"/>
  <c r="B26" i="59" s="1"/>
  <c r="B27" i="59" s="1"/>
  <c r="B28" i="59" s="1"/>
  <c r="B29" i="59" s="1"/>
  <c r="B30" i="59" s="1"/>
  <c r="B31" i="59" s="1"/>
  <c r="B32" i="59" s="1"/>
  <c r="AM39" i="15"/>
  <c r="AM38" i="15"/>
  <c r="P35" i="58"/>
  <c r="M35" i="58"/>
  <c r="O35" i="58" s="1"/>
  <c r="B35" i="58"/>
  <c r="AL25" i="15"/>
  <c r="AL24" i="15"/>
  <c r="AL20" i="15"/>
  <c r="AL18" i="15"/>
  <c r="AL16" i="15"/>
  <c r="AL14" i="15"/>
  <c r="AL12" i="15"/>
  <c r="AL10" i="15"/>
  <c r="AL8" i="15"/>
  <c r="AL31" i="15"/>
  <c r="C31" i="52" s="1"/>
  <c r="AM21" i="15" l="1"/>
  <c r="O42" i="59"/>
  <c r="O131" i="59"/>
  <c r="O27" i="59"/>
  <c r="G27" i="59" s="1"/>
  <c r="N130" i="59"/>
  <c r="N150" i="59"/>
  <c r="O147" i="59"/>
  <c r="G147" i="59" s="1"/>
  <c r="N167" i="59"/>
  <c r="G167" i="59" s="1"/>
  <c r="O114" i="59"/>
  <c r="O135" i="59"/>
  <c r="N151" i="59"/>
  <c r="G151" i="59" s="1"/>
  <c r="O118" i="59"/>
  <c r="N164" i="59"/>
  <c r="G164" i="59" s="1"/>
  <c r="N72" i="59"/>
  <c r="G72" i="59"/>
  <c r="O67" i="59"/>
  <c r="N28" i="59"/>
  <c r="G28" i="59" s="1"/>
  <c r="H28" i="59" s="1"/>
  <c r="N39" i="59"/>
  <c r="N66" i="59"/>
  <c r="G66" i="59" s="1"/>
  <c r="N68" i="59"/>
  <c r="O162" i="59"/>
  <c r="G162" i="59" s="1"/>
  <c r="N168" i="59"/>
  <c r="G168" i="59" s="1"/>
  <c r="N163" i="59"/>
  <c r="G163" i="59" s="1"/>
  <c r="O115" i="59"/>
  <c r="G115" i="59" s="1"/>
  <c r="AM19" i="15" s="1"/>
  <c r="N126" i="59"/>
  <c r="G126" i="59" s="1"/>
  <c r="N132" i="59"/>
  <c r="G132" i="59" s="1"/>
  <c r="N31" i="59"/>
  <c r="G67" i="59"/>
  <c r="N138" i="59"/>
  <c r="G138" i="59" s="1"/>
  <c r="N35" i="59"/>
  <c r="N122" i="59"/>
  <c r="G122" i="59" s="1"/>
  <c r="N172" i="59"/>
  <c r="G172" i="59" s="1"/>
  <c r="O20" i="59"/>
  <c r="G20" i="59" s="1"/>
  <c r="H20" i="59" s="1"/>
  <c r="O37" i="59"/>
  <c r="G37" i="59" s="1"/>
  <c r="H37" i="59" s="1"/>
  <c r="O82" i="59"/>
  <c r="N110" i="59"/>
  <c r="O119" i="59"/>
  <c r="G119" i="59" s="1"/>
  <c r="N146" i="59"/>
  <c r="G146" i="59" s="1"/>
  <c r="N148" i="59"/>
  <c r="G148" i="59" s="1"/>
  <c r="O29" i="59"/>
  <c r="G29" i="59" s="1"/>
  <c r="H29" i="59" s="1"/>
  <c r="O107" i="59"/>
  <c r="G107" i="59" s="1"/>
  <c r="N136" i="59"/>
  <c r="G136" i="59" s="1"/>
  <c r="N70" i="59"/>
  <c r="N23" i="59"/>
  <c r="O63" i="59"/>
  <c r="G63" i="59" s="1"/>
  <c r="G131" i="59"/>
  <c r="N170" i="59"/>
  <c r="G170" i="59" s="1"/>
  <c r="O127" i="59"/>
  <c r="G127" i="59" s="1"/>
  <c r="N36" i="59"/>
  <c r="G36" i="59" s="1"/>
  <c r="H36" i="59" s="1"/>
  <c r="O94" i="59"/>
  <c r="G94" i="59" s="1"/>
  <c r="O123" i="59"/>
  <c r="G123" i="59" s="1"/>
  <c r="N140" i="59"/>
  <c r="N155" i="59"/>
  <c r="G155" i="59" s="1"/>
  <c r="G135" i="59"/>
  <c r="O62" i="59"/>
  <c r="G62" i="59" s="1"/>
  <c r="O98" i="59"/>
  <c r="G98" i="59" s="1"/>
  <c r="N152" i="59"/>
  <c r="G152" i="59" s="1"/>
  <c r="N48" i="59"/>
  <c r="N47" i="59"/>
  <c r="G47" i="59" s="1"/>
  <c r="N44" i="59"/>
  <c r="G44" i="59" s="1"/>
  <c r="N55" i="59"/>
  <c r="G55" i="59" s="1"/>
  <c r="N60" i="59"/>
  <c r="G60" i="59" s="1"/>
  <c r="O75" i="59"/>
  <c r="G75" i="59" s="1"/>
  <c r="N80" i="59"/>
  <c r="N88" i="59"/>
  <c r="N96" i="59"/>
  <c r="G96" i="59" s="1"/>
  <c r="N104" i="59"/>
  <c r="G104" i="59" s="1"/>
  <c r="G110" i="59"/>
  <c r="N112" i="59"/>
  <c r="G112" i="59" s="1"/>
  <c r="G118" i="59"/>
  <c r="N120" i="59"/>
  <c r="G120" i="59" s="1"/>
  <c r="N128" i="59"/>
  <c r="G128" i="59" s="1"/>
  <c r="N143" i="59"/>
  <c r="G143" i="59" s="1"/>
  <c r="N158" i="59"/>
  <c r="G158" i="59" s="1"/>
  <c r="N160" i="59"/>
  <c r="G160" i="59" s="1"/>
  <c r="O175" i="59"/>
  <c r="G175" i="59" s="1"/>
  <c r="O78" i="59"/>
  <c r="G78" i="59" s="1"/>
  <c r="O83" i="59"/>
  <c r="G83" i="59" s="1"/>
  <c r="N86" i="59"/>
  <c r="G86" i="59" s="1"/>
  <c r="O91" i="59"/>
  <c r="G91" i="59" s="1"/>
  <c r="O99" i="59"/>
  <c r="G99" i="59" s="1"/>
  <c r="N102" i="59"/>
  <c r="G102" i="59" s="1"/>
  <c r="G48" i="59"/>
  <c r="N71" i="59"/>
  <c r="G71" i="59" s="1"/>
  <c r="N76" i="59"/>
  <c r="G76" i="59" s="1"/>
  <c r="O134" i="59"/>
  <c r="G134" i="59" s="1"/>
  <c r="N139" i="59"/>
  <c r="G139" i="59" s="1"/>
  <c r="N154" i="59"/>
  <c r="G154" i="59" s="1"/>
  <c r="N156" i="59"/>
  <c r="G156" i="59" s="1"/>
  <c r="O166" i="59"/>
  <c r="G166" i="59" s="1"/>
  <c r="N171" i="59"/>
  <c r="G171" i="59" s="1"/>
  <c r="N59" i="59"/>
  <c r="G59" i="59" s="1"/>
  <c r="N74" i="59"/>
  <c r="N79" i="59"/>
  <c r="G79" i="59" s="1"/>
  <c r="N84" i="59"/>
  <c r="G84" i="59" s="1"/>
  <c r="N92" i="59"/>
  <c r="G92" i="59" s="1"/>
  <c r="N100" i="59"/>
  <c r="G100" i="59" s="1"/>
  <c r="N108" i="59"/>
  <c r="G108" i="59" s="1"/>
  <c r="N116" i="59"/>
  <c r="G116" i="59" s="1"/>
  <c r="N124" i="59"/>
  <c r="G124" i="59" s="1"/>
  <c r="N142" i="59"/>
  <c r="N144" i="59"/>
  <c r="G144" i="59" s="1"/>
  <c r="N159" i="59"/>
  <c r="G159" i="59" s="1"/>
  <c r="N64" i="59"/>
  <c r="G64" i="59" s="1"/>
  <c r="O74" i="59"/>
  <c r="O87" i="59"/>
  <c r="G87" i="59" s="1"/>
  <c r="N90" i="59"/>
  <c r="G90" i="59" s="1"/>
  <c r="O95" i="59"/>
  <c r="G95" i="59" s="1"/>
  <c r="O103" i="59"/>
  <c r="G103" i="59" s="1"/>
  <c r="N106" i="59"/>
  <c r="G106" i="59" s="1"/>
  <c r="O111" i="59"/>
  <c r="G111" i="59" s="1"/>
  <c r="O142" i="59"/>
  <c r="G150" i="59"/>
  <c r="O174" i="59"/>
  <c r="G174" i="59" s="1"/>
  <c r="G140" i="59"/>
  <c r="O21" i="59"/>
  <c r="G21" i="59" s="1"/>
  <c r="H21" i="59" s="1"/>
  <c r="N43" i="59"/>
  <c r="G43" i="59" s="1"/>
  <c r="N58" i="59"/>
  <c r="G58" i="59" s="1"/>
  <c r="O19" i="59"/>
  <c r="G19" i="59" s="1"/>
  <c r="H19" i="59" s="1"/>
  <c r="O46" i="59"/>
  <c r="G46" i="59" s="1"/>
  <c r="N51" i="59"/>
  <c r="G51" i="59" s="1"/>
  <c r="G31" i="59"/>
  <c r="H31" i="59" s="1"/>
  <c r="N54" i="59"/>
  <c r="G54" i="59" s="1"/>
  <c r="N56" i="59"/>
  <c r="G56" i="59" s="1"/>
  <c r="G23" i="59"/>
  <c r="H23" i="59" s="1"/>
  <c r="G39" i="59"/>
  <c r="H39" i="59" s="1"/>
  <c r="G35" i="59"/>
  <c r="H35" i="59" s="1"/>
  <c r="N50" i="59"/>
  <c r="G50" i="59" s="1"/>
  <c r="N52" i="59"/>
  <c r="G52" i="59" s="1"/>
  <c r="B33" i="59"/>
  <c r="B36" i="59"/>
  <c r="O97" i="59"/>
  <c r="N97" i="59"/>
  <c r="G97" i="59" s="1"/>
  <c r="O129" i="59"/>
  <c r="N129" i="59"/>
  <c r="G129" i="59" s="1"/>
  <c r="O145" i="59"/>
  <c r="N145" i="59"/>
  <c r="O161" i="59"/>
  <c r="N161" i="59"/>
  <c r="O41" i="59"/>
  <c r="N41" i="59"/>
  <c r="O57" i="59"/>
  <c r="N57" i="59"/>
  <c r="G57" i="59" s="1"/>
  <c r="G68" i="59"/>
  <c r="O73" i="59"/>
  <c r="N73" i="59"/>
  <c r="O85" i="59"/>
  <c r="N85" i="59"/>
  <c r="O117" i="59"/>
  <c r="N117" i="59"/>
  <c r="G80" i="59"/>
  <c r="O105" i="59"/>
  <c r="N105" i="59"/>
  <c r="G130" i="59"/>
  <c r="O141" i="59"/>
  <c r="N141" i="59"/>
  <c r="O157" i="59"/>
  <c r="N157" i="59"/>
  <c r="O45" i="59"/>
  <c r="N45" i="59"/>
  <c r="O109" i="59"/>
  <c r="N109" i="59"/>
  <c r="O93" i="59"/>
  <c r="N93" i="59"/>
  <c r="O125" i="59"/>
  <c r="N125" i="59"/>
  <c r="O53" i="59"/>
  <c r="N53" i="59"/>
  <c r="O69" i="59"/>
  <c r="N69" i="59"/>
  <c r="O25" i="59"/>
  <c r="N25" i="59"/>
  <c r="G25" i="59"/>
  <c r="H25" i="59" s="1"/>
  <c r="O81" i="59"/>
  <c r="N81" i="59"/>
  <c r="G88" i="59"/>
  <c r="O113" i="59"/>
  <c r="N113" i="59"/>
  <c r="O137" i="59"/>
  <c r="N137" i="59"/>
  <c r="O153" i="59"/>
  <c r="N153" i="59"/>
  <c r="O169" i="59"/>
  <c r="N169" i="59"/>
  <c r="O49" i="59"/>
  <c r="N49" i="59"/>
  <c r="O65" i="59"/>
  <c r="N65" i="59"/>
  <c r="G70" i="59"/>
  <c r="O101" i="59"/>
  <c r="N101" i="59"/>
  <c r="O61" i="59"/>
  <c r="N61" i="59"/>
  <c r="O33" i="59"/>
  <c r="N33" i="59"/>
  <c r="O77" i="59"/>
  <c r="N77" i="59"/>
  <c r="G77" i="59" s="1"/>
  <c r="G82" i="59"/>
  <c r="O89" i="59"/>
  <c r="N89" i="59"/>
  <c r="G114" i="59"/>
  <c r="O121" i="59"/>
  <c r="N121" i="59"/>
  <c r="O133" i="59"/>
  <c r="N133" i="59"/>
  <c r="O149" i="59"/>
  <c r="N149" i="59"/>
  <c r="O165" i="59"/>
  <c r="N165" i="59"/>
  <c r="O26" i="59"/>
  <c r="G26" i="59" s="1"/>
  <c r="O34" i="59"/>
  <c r="G34" i="59" s="1"/>
  <c r="N173" i="59"/>
  <c r="G173" i="59" s="1"/>
  <c r="N177" i="59"/>
  <c r="G177" i="59" s="1"/>
  <c r="N24" i="59"/>
  <c r="G24" i="59" s="1"/>
  <c r="H24" i="59" s="1"/>
  <c r="N32" i="59"/>
  <c r="G32" i="59" s="1"/>
  <c r="H32" i="59" s="1"/>
  <c r="N40" i="59"/>
  <c r="G40" i="59" s="1"/>
  <c r="N176" i="59"/>
  <c r="G176" i="59" s="1"/>
  <c r="N22" i="59"/>
  <c r="G22" i="59" s="1"/>
  <c r="H22" i="59" s="1"/>
  <c r="N30" i="59"/>
  <c r="G30" i="59" s="1"/>
  <c r="H30" i="59" s="1"/>
  <c r="N38" i="59"/>
  <c r="G38" i="59" s="1"/>
  <c r="N35" i="58"/>
  <c r="G35" i="58" s="1"/>
  <c r="H35" i="58" s="1"/>
  <c r="AL38" i="15"/>
  <c r="E179" i="58"/>
  <c r="P177" i="58"/>
  <c r="M177" i="58"/>
  <c r="N177" i="58" s="1"/>
  <c r="P176" i="58"/>
  <c r="M176" i="58"/>
  <c r="N176" i="58" s="1"/>
  <c r="P175" i="58"/>
  <c r="N175" i="58"/>
  <c r="M175" i="58"/>
  <c r="P174" i="58"/>
  <c r="M174" i="58"/>
  <c r="N174" i="58" s="1"/>
  <c r="P173" i="58"/>
  <c r="N173" i="58"/>
  <c r="M173" i="58"/>
  <c r="P172" i="58"/>
  <c r="M172" i="58"/>
  <c r="N172" i="58" s="1"/>
  <c r="P171" i="58"/>
  <c r="M171" i="58"/>
  <c r="N171" i="58" s="1"/>
  <c r="P170" i="58"/>
  <c r="M170" i="58"/>
  <c r="N170" i="58" s="1"/>
  <c r="P169" i="58"/>
  <c r="M169" i="58"/>
  <c r="N169" i="58" s="1"/>
  <c r="P168" i="58"/>
  <c r="M168" i="58"/>
  <c r="N168" i="58" s="1"/>
  <c r="P167" i="58"/>
  <c r="N167" i="58"/>
  <c r="M167" i="58"/>
  <c r="P166" i="58"/>
  <c r="N166" i="58"/>
  <c r="M166" i="58"/>
  <c r="P165" i="58"/>
  <c r="N165" i="58"/>
  <c r="M165" i="58"/>
  <c r="P164" i="58"/>
  <c r="M164" i="58"/>
  <c r="N164" i="58" s="1"/>
  <c r="P163" i="58"/>
  <c r="M163" i="58"/>
  <c r="N163" i="58" s="1"/>
  <c r="P162" i="58"/>
  <c r="M162" i="58"/>
  <c r="N162" i="58" s="1"/>
  <c r="P161" i="58"/>
  <c r="M161" i="58"/>
  <c r="N161" i="58" s="1"/>
  <c r="P160" i="58"/>
  <c r="M160" i="58"/>
  <c r="N160" i="58" s="1"/>
  <c r="P159" i="58"/>
  <c r="N159" i="58"/>
  <c r="M159" i="58"/>
  <c r="P158" i="58"/>
  <c r="N158" i="58"/>
  <c r="M158" i="58"/>
  <c r="P157" i="58"/>
  <c r="N157" i="58"/>
  <c r="M157" i="58"/>
  <c r="P156" i="58"/>
  <c r="M156" i="58"/>
  <c r="N156" i="58" s="1"/>
  <c r="P155" i="58"/>
  <c r="M155" i="58"/>
  <c r="N155" i="58" s="1"/>
  <c r="P154" i="58"/>
  <c r="M154" i="58"/>
  <c r="N154" i="58" s="1"/>
  <c r="P153" i="58"/>
  <c r="M153" i="58"/>
  <c r="N153" i="58" s="1"/>
  <c r="P152" i="58"/>
  <c r="M152" i="58"/>
  <c r="N152" i="58" s="1"/>
  <c r="P151" i="58"/>
  <c r="N151" i="58"/>
  <c r="M151" i="58"/>
  <c r="P150" i="58"/>
  <c r="N150" i="58"/>
  <c r="M150" i="58"/>
  <c r="P149" i="58"/>
  <c r="N149" i="58"/>
  <c r="M149" i="58"/>
  <c r="P148" i="58"/>
  <c r="M148" i="58"/>
  <c r="N148" i="58" s="1"/>
  <c r="P147" i="58"/>
  <c r="M147" i="58"/>
  <c r="N147" i="58" s="1"/>
  <c r="P146" i="58"/>
  <c r="M146" i="58"/>
  <c r="N146" i="58" s="1"/>
  <c r="P145" i="58"/>
  <c r="M145" i="58"/>
  <c r="N145" i="58" s="1"/>
  <c r="P144" i="58"/>
  <c r="M144" i="58"/>
  <c r="N144" i="58" s="1"/>
  <c r="P143" i="58"/>
  <c r="M143" i="58"/>
  <c r="N143" i="58" s="1"/>
  <c r="P142" i="58"/>
  <c r="N142" i="58"/>
  <c r="M142" i="58"/>
  <c r="P141" i="58"/>
  <c r="N141" i="58"/>
  <c r="M141" i="58"/>
  <c r="P140" i="58"/>
  <c r="M140" i="58"/>
  <c r="N140" i="58" s="1"/>
  <c r="P139" i="58"/>
  <c r="M139" i="58"/>
  <c r="N139" i="58" s="1"/>
  <c r="P138" i="58"/>
  <c r="M138" i="58"/>
  <c r="N138" i="58" s="1"/>
  <c r="P137" i="58"/>
  <c r="M137" i="58"/>
  <c r="N137" i="58" s="1"/>
  <c r="P136" i="58"/>
  <c r="M136" i="58"/>
  <c r="N136" i="58" s="1"/>
  <c r="P135" i="58"/>
  <c r="N135" i="58"/>
  <c r="M135" i="58"/>
  <c r="P134" i="58"/>
  <c r="M134" i="58"/>
  <c r="O134" i="58" s="1"/>
  <c r="P133" i="58"/>
  <c r="M133" i="58"/>
  <c r="P132" i="58"/>
  <c r="M132" i="58"/>
  <c r="O132" i="58" s="1"/>
  <c r="P131" i="58"/>
  <c r="M131" i="58"/>
  <c r="O131" i="58" s="1"/>
  <c r="P130" i="58"/>
  <c r="M130" i="58"/>
  <c r="P129" i="58"/>
  <c r="M129" i="58"/>
  <c r="O129" i="58" s="1"/>
  <c r="P128" i="58"/>
  <c r="N128" i="58"/>
  <c r="M128" i="58"/>
  <c r="O128" i="58" s="1"/>
  <c r="P127" i="58"/>
  <c r="M127" i="58"/>
  <c r="P126" i="58"/>
  <c r="M126" i="58"/>
  <c r="O126" i="58" s="1"/>
  <c r="P125" i="58"/>
  <c r="N125" i="58"/>
  <c r="M125" i="58"/>
  <c r="O125" i="58" s="1"/>
  <c r="P124" i="58"/>
  <c r="M124" i="58"/>
  <c r="P123" i="58"/>
  <c r="M123" i="58"/>
  <c r="O123" i="58" s="1"/>
  <c r="P122" i="58"/>
  <c r="M122" i="58"/>
  <c r="O122" i="58" s="1"/>
  <c r="P121" i="58"/>
  <c r="M121" i="58"/>
  <c r="P120" i="58"/>
  <c r="M120" i="58"/>
  <c r="O120" i="58" s="1"/>
  <c r="P119" i="58"/>
  <c r="N119" i="58"/>
  <c r="M119" i="58"/>
  <c r="O119" i="58" s="1"/>
  <c r="P118" i="58"/>
  <c r="M118" i="58"/>
  <c r="P117" i="58"/>
  <c r="M117" i="58"/>
  <c r="O117" i="58" s="1"/>
  <c r="P116" i="58"/>
  <c r="M116" i="58"/>
  <c r="O116" i="58" s="1"/>
  <c r="P115" i="58"/>
  <c r="M115" i="58"/>
  <c r="P114" i="58"/>
  <c r="M114" i="58"/>
  <c r="O114" i="58" s="1"/>
  <c r="P113" i="58"/>
  <c r="N113" i="58"/>
  <c r="M113" i="58"/>
  <c r="O113" i="58" s="1"/>
  <c r="P112" i="58"/>
  <c r="M112" i="58"/>
  <c r="P111" i="58"/>
  <c r="M111" i="58"/>
  <c r="O111" i="58" s="1"/>
  <c r="P110" i="58"/>
  <c r="M110" i="58"/>
  <c r="O110" i="58" s="1"/>
  <c r="P109" i="58"/>
  <c r="M109" i="58"/>
  <c r="P108" i="58"/>
  <c r="M108" i="58"/>
  <c r="O108" i="58" s="1"/>
  <c r="P107" i="58"/>
  <c r="M107" i="58"/>
  <c r="O107" i="58" s="1"/>
  <c r="P106" i="58"/>
  <c r="N106" i="58"/>
  <c r="M106" i="58"/>
  <c r="O106" i="58" s="1"/>
  <c r="P105" i="58"/>
  <c r="N105" i="58"/>
  <c r="M105" i="58"/>
  <c r="P104" i="58"/>
  <c r="M104" i="58"/>
  <c r="P103" i="58"/>
  <c r="M103" i="58"/>
  <c r="O103" i="58" s="1"/>
  <c r="P102" i="58"/>
  <c r="M102" i="58"/>
  <c r="O102" i="58" s="1"/>
  <c r="P101" i="58"/>
  <c r="N101" i="58"/>
  <c r="G101" i="58" s="1"/>
  <c r="M101" i="58"/>
  <c r="O101" i="58" s="1"/>
  <c r="P100" i="58"/>
  <c r="N100" i="58"/>
  <c r="M100" i="58"/>
  <c r="O100" i="58" s="1"/>
  <c r="P99" i="58"/>
  <c r="M99" i="58"/>
  <c r="P98" i="58"/>
  <c r="M98" i="58"/>
  <c r="P97" i="58"/>
  <c r="M97" i="58"/>
  <c r="O97" i="58" s="1"/>
  <c r="P96" i="58"/>
  <c r="M96" i="58"/>
  <c r="O96" i="58" s="1"/>
  <c r="P95" i="58"/>
  <c r="M95" i="58"/>
  <c r="O95" i="58" s="1"/>
  <c r="P94" i="58"/>
  <c r="N94" i="58"/>
  <c r="M94" i="58"/>
  <c r="O94" i="58" s="1"/>
  <c r="P93" i="58"/>
  <c r="M93" i="58"/>
  <c r="P92" i="58"/>
  <c r="M92" i="58"/>
  <c r="N92" i="58" s="1"/>
  <c r="P91" i="58"/>
  <c r="M91" i="58"/>
  <c r="P90" i="58"/>
  <c r="M90" i="58"/>
  <c r="P89" i="58"/>
  <c r="M89" i="58"/>
  <c r="P88" i="58"/>
  <c r="M88" i="58"/>
  <c r="N88" i="58" s="1"/>
  <c r="P87" i="58"/>
  <c r="M87" i="58"/>
  <c r="P86" i="58"/>
  <c r="M86" i="58"/>
  <c r="P85" i="58"/>
  <c r="M85" i="58"/>
  <c r="P84" i="58"/>
  <c r="M84" i="58"/>
  <c r="N84" i="58" s="1"/>
  <c r="P83" i="58"/>
  <c r="M83" i="58"/>
  <c r="P82" i="58"/>
  <c r="M82" i="58"/>
  <c r="O82" i="58" s="1"/>
  <c r="P81" i="58"/>
  <c r="M81" i="58"/>
  <c r="P80" i="58"/>
  <c r="M80" i="58"/>
  <c r="O80" i="58" s="1"/>
  <c r="P79" i="58"/>
  <c r="M79" i="58"/>
  <c r="O79" i="58" s="1"/>
  <c r="P78" i="58"/>
  <c r="M78" i="58"/>
  <c r="O78" i="58" s="1"/>
  <c r="P77" i="58"/>
  <c r="O77" i="58"/>
  <c r="M77" i="58"/>
  <c r="N77" i="58" s="1"/>
  <c r="P76" i="58"/>
  <c r="M76" i="58"/>
  <c r="O76" i="58" s="1"/>
  <c r="P75" i="58"/>
  <c r="M75" i="58"/>
  <c r="P74" i="58"/>
  <c r="M74" i="58"/>
  <c r="O74" i="58" s="1"/>
  <c r="P73" i="58"/>
  <c r="M73" i="58"/>
  <c r="P72" i="58"/>
  <c r="M72" i="58"/>
  <c r="O72" i="58" s="1"/>
  <c r="P71" i="58"/>
  <c r="M71" i="58"/>
  <c r="N71" i="58" s="1"/>
  <c r="P70" i="58"/>
  <c r="O70" i="58"/>
  <c r="M70" i="58"/>
  <c r="N70" i="58" s="1"/>
  <c r="G70" i="58" s="1"/>
  <c r="P69" i="58"/>
  <c r="M69" i="58"/>
  <c r="P68" i="58"/>
  <c r="M68" i="58"/>
  <c r="O68" i="58" s="1"/>
  <c r="P67" i="58"/>
  <c r="O67" i="58"/>
  <c r="M67" i="58"/>
  <c r="N67" i="58" s="1"/>
  <c r="P66" i="58"/>
  <c r="M66" i="58"/>
  <c r="O66" i="58" s="1"/>
  <c r="P65" i="58"/>
  <c r="M65" i="58"/>
  <c r="N65" i="58" s="1"/>
  <c r="P64" i="58"/>
  <c r="O64" i="58"/>
  <c r="M64" i="58"/>
  <c r="N64" i="58" s="1"/>
  <c r="G64" i="58" s="1"/>
  <c r="P63" i="58"/>
  <c r="M63" i="58"/>
  <c r="P62" i="58"/>
  <c r="M62" i="58"/>
  <c r="O62" i="58" s="1"/>
  <c r="P61" i="58"/>
  <c r="O61" i="58"/>
  <c r="M61" i="58"/>
  <c r="N61" i="58" s="1"/>
  <c r="G61" i="58" s="1"/>
  <c r="P60" i="58"/>
  <c r="M60" i="58"/>
  <c r="O60" i="58" s="1"/>
  <c r="P59" i="58"/>
  <c r="M59" i="58"/>
  <c r="N59" i="58" s="1"/>
  <c r="P58" i="58"/>
  <c r="M58" i="58"/>
  <c r="O58" i="58" s="1"/>
  <c r="P57" i="58"/>
  <c r="M57" i="58"/>
  <c r="P56" i="58"/>
  <c r="M56" i="58"/>
  <c r="O56" i="58" s="1"/>
  <c r="P55" i="58"/>
  <c r="M55" i="58"/>
  <c r="O55" i="58" s="1"/>
  <c r="P54" i="58"/>
  <c r="M54" i="58"/>
  <c r="O54" i="58" s="1"/>
  <c r="P53" i="58"/>
  <c r="M53" i="58"/>
  <c r="N53" i="58" s="1"/>
  <c r="P52" i="58"/>
  <c r="M52" i="58"/>
  <c r="O52" i="58" s="1"/>
  <c r="P51" i="58"/>
  <c r="M51" i="58"/>
  <c r="P50" i="58"/>
  <c r="M50" i="58"/>
  <c r="O50" i="58" s="1"/>
  <c r="P49" i="58"/>
  <c r="M49" i="58"/>
  <c r="O49" i="58" s="1"/>
  <c r="P48" i="58"/>
  <c r="M48" i="58"/>
  <c r="O48" i="58" s="1"/>
  <c r="P47" i="58"/>
  <c r="M47" i="58"/>
  <c r="N47" i="58" s="1"/>
  <c r="P46" i="58"/>
  <c r="M46" i="58"/>
  <c r="O46" i="58" s="1"/>
  <c r="P45" i="58"/>
  <c r="M45" i="58"/>
  <c r="P44" i="58"/>
  <c r="M44" i="58"/>
  <c r="O44" i="58" s="1"/>
  <c r="P43" i="58"/>
  <c r="M43" i="58"/>
  <c r="O43" i="58" s="1"/>
  <c r="P42" i="58"/>
  <c r="M42" i="58"/>
  <c r="P41" i="58"/>
  <c r="M41" i="58"/>
  <c r="O41" i="58" s="1"/>
  <c r="P40" i="58"/>
  <c r="M40" i="58"/>
  <c r="O40" i="58" s="1"/>
  <c r="P39" i="58"/>
  <c r="M39" i="58"/>
  <c r="O39" i="58" s="1"/>
  <c r="P38" i="58"/>
  <c r="M38" i="58"/>
  <c r="N38" i="58" s="1"/>
  <c r="P37" i="58"/>
  <c r="M37" i="58"/>
  <c r="O37" i="58" s="1"/>
  <c r="P36" i="58"/>
  <c r="M36" i="58"/>
  <c r="N36" i="58" s="1"/>
  <c r="P34" i="58"/>
  <c r="M34" i="58"/>
  <c r="N34" i="58" s="1"/>
  <c r="P33" i="58"/>
  <c r="M33" i="58"/>
  <c r="O33" i="58" s="1"/>
  <c r="P32" i="58"/>
  <c r="M32" i="58"/>
  <c r="O32" i="58" s="1"/>
  <c r="P31" i="58"/>
  <c r="M31" i="58"/>
  <c r="N31" i="58" s="1"/>
  <c r="P30" i="58"/>
  <c r="M30" i="58"/>
  <c r="O30" i="58" s="1"/>
  <c r="P29" i="58"/>
  <c r="M29" i="58"/>
  <c r="P28" i="58"/>
  <c r="M28" i="58"/>
  <c r="P27" i="58"/>
  <c r="M27" i="58"/>
  <c r="N27" i="58" s="1"/>
  <c r="P26" i="58"/>
  <c r="M26" i="58"/>
  <c r="N26" i="58" s="1"/>
  <c r="P25" i="58"/>
  <c r="M25" i="58"/>
  <c r="O25" i="58" s="1"/>
  <c r="P24" i="58"/>
  <c r="M24" i="58"/>
  <c r="O24" i="58" s="1"/>
  <c r="P23" i="58"/>
  <c r="M23" i="58"/>
  <c r="P22" i="58"/>
  <c r="M22" i="58"/>
  <c r="N22" i="58" s="1"/>
  <c r="P21" i="58"/>
  <c r="M21" i="58"/>
  <c r="N21" i="58" s="1"/>
  <c r="P20" i="58"/>
  <c r="M20" i="58"/>
  <c r="N20" i="58" s="1"/>
  <c r="P19" i="58"/>
  <c r="M19" i="58"/>
  <c r="O19" i="58" s="1"/>
  <c r="B19" i="58"/>
  <c r="B20" i="58" s="1"/>
  <c r="B21" i="58" s="1"/>
  <c r="B22" i="58" s="1"/>
  <c r="B23" i="58" s="1"/>
  <c r="B24" i="58" s="1"/>
  <c r="B25" i="58" s="1"/>
  <c r="B26" i="58" s="1"/>
  <c r="B27" i="58" s="1"/>
  <c r="B28" i="58" s="1"/>
  <c r="B29" i="58" s="1"/>
  <c r="B30" i="58" s="1"/>
  <c r="B31" i="58" s="1"/>
  <c r="B32" i="58" s="1"/>
  <c r="AL39" i="15"/>
  <c r="C13" i="56"/>
  <c r="AM23" i="15" l="1"/>
  <c r="H38" i="59"/>
  <c r="AM11" i="15"/>
  <c r="H40" i="59"/>
  <c r="AM13" i="15"/>
  <c r="H34" i="59"/>
  <c r="AM15" i="15"/>
  <c r="H27" i="59"/>
  <c r="AM9" i="15"/>
  <c r="G153" i="59"/>
  <c r="G157" i="59"/>
  <c r="G133" i="59"/>
  <c r="G161" i="59"/>
  <c r="G137" i="59"/>
  <c r="G169" i="59"/>
  <c r="G145" i="59"/>
  <c r="G165" i="59"/>
  <c r="G121" i="59"/>
  <c r="G101" i="59"/>
  <c r="G85" i="59"/>
  <c r="G61" i="59"/>
  <c r="G113" i="59"/>
  <c r="G93" i="59"/>
  <c r="G69" i="59"/>
  <c r="G141" i="59"/>
  <c r="G33" i="59"/>
  <c r="G89" i="59"/>
  <c r="G105" i="59"/>
  <c r="G74" i="59"/>
  <c r="G65" i="59"/>
  <c r="G81" i="59"/>
  <c r="H41" i="59"/>
  <c r="G142" i="59"/>
  <c r="G125" i="59"/>
  <c r="G149" i="59"/>
  <c r="G109" i="59"/>
  <c r="G117" i="59"/>
  <c r="G45" i="59"/>
  <c r="G73" i="59"/>
  <c r="G53" i="59"/>
  <c r="G49" i="59"/>
  <c r="H26" i="59"/>
  <c r="B34" i="59"/>
  <c r="B37" i="59"/>
  <c r="O34" i="58"/>
  <c r="G34" i="58" s="1"/>
  <c r="G73" i="58"/>
  <c r="N103" i="58"/>
  <c r="G103" i="58" s="1"/>
  <c r="O65" i="58"/>
  <c r="G65" i="58" s="1"/>
  <c r="N73" i="58"/>
  <c r="N76" i="58"/>
  <c r="G76" i="58" s="1"/>
  <c r="N95" i="58"/>
  <c r="N116" i="58"/>
  <c r="G116" i="58" s="1"/>
  <c r="O73" i="58"/>
  <c r="O71" i="58"/>
  <c r="G71" i="58" s="1"/>
  <c r="N79" i="58"/>
  <c r="G79" i="58" s="1"/>
  <c r="N82" i="58"/>
  <c r="G82" i="58" s="1"/>
  <c r="N110" i="58"/>
  <c r="N134" i="58"/>
  <c r="G77" i="58"/>
  <c r="N107" i="58"/>
  <c r="G107" i="58" s="1"/>
  <c r="N131" i="58"/>
  <c r="G131" i="58" s="1"/>
  <c r="G67" i="58"/>
  <c r="O59" i="58"/>
  <c r="G59" i="58" s="1"/>
  <c r="G95" i="58"/>
  <c r="N97" i="58"/>
  <c r="G97" i="58" s="1"/>
  <c r="N122" i="58"/>
  <c r="O36" i="58"/>
  <c r="G36" i="58" s="1"/>
  <c r="H36" i="58" s="1"/>
  <c r="O27" i="58"/>
  <c r="G27" i="58"/>
  <c r="H27" i="58" s="1"/>
  <c r="O21" i="58"/>
  <c r="G21" i="58" s="1"/>
  <c r="H21" i="58" s="1"/>
  <c r="O31" i="58"/>
  <c r="G31" i="58" s="1"/>
  <c r="H31" i="58" s="1"/>
  <c r="N46" i="58"/>
  <c r="G46" i="58" s="1"/>
  <c r="N52" i="58"/>
  <c r="G52" i="58" s="1"/>
  <c r="N58" i="58"/>
  <c r="G58" i="58" s="1"/>
  <c r="N40" i="58"/>
  <c r="G40" i="58" s="1"/>
  <c r="H40" i="58" s="1"/>
  <c r="N43" i="58"/>
  <c r="G43" i="58" s="1"/>
  <c r="O47" i="58"/>
  <c r="G47" i="58" s="1"/>
  <c r="N49" i="58"/>
  <c r="G49" i="58" s="1"/>
  <c r="O53" i="58"/>
  <c r="G53" i="58" s="1"/>
  <c r="N55" i="58"/>
  <c r="G55" i="58" s="1"/>
  <c r="O20" i="58"/>
  <c r="G20" i="58" s="1"/>
  <c r="H20" i="58" s="1"/>
  <c r="N24" i="58"/>
  <c r="G24" i="58" s="1"/>
  <c r="H24" i="58" s="1"/>
  <c r="O26" i="58"/>
  <c r="G26" i="58" s="1"/>
  <c r="H26" i="58" s="1"/>
  <c r="N30" i="58"/>
  <c r="G30" i="58" s="1"/>
  <c r="H30" i="58" s="1"/>
  <c r="N39" i="58"/>
  <c r="G39" i="58" s="1"/>
  <c r="N33" i="58"/>
  <c r="G33" i="58" s="1"/>
  <c r="N32" i="58"/>
  <c r="G32" i="58" s="1"/>
  <c r="H32" i="58" s="1"/>
  <c r="B36" i="58"/>
  <c r="B33" i="58"/>
  <c r="O86" i="58"/>
  <c r="G86" i="58" s="1"/>
  <c r="O99" i="58"/>
  <c r="O22" i="58"/>
  <c r="G22" i="58" s="1"/>
  <c r="H22" i="58" s="1"/>
  <c r="N23" i="58"/>
  <c r="O28" i="58"/>
  <c r="N29" i="58"/>
  <c r="N44" i="58"/>
  <c r="G44" i="58" s="1"/>
  <c r="O45" i="58"/>
  <c r="N50" i="58"/>
  <c r="G50" i="58" s="1"/>
  <c r="O51" i="58"/>
  <c r="N56" i="58"/>
  <c r="G56" i="58" s="1"/>
  <c r="O57" i="58"/>
  <c r="N62" i="58"/>
  <c r="G62" i="58" s="1"/>
  <c r="O63" i="58"/>
  <c r="G66" i="58"/>
  <c r="N68" i="58"/>
  <c r="G68" i="58" s="1"/>
  <c r="O69" i="58"/>
  <c r="N74" i="58"/>
  <c r="G74" i="58" s="1"/>
  <c r="O75" i="58"/>
  <c r="N80" i="58"/>
  <c r="G80" i="58" s="1"/>
  <c r="O81" i="58"/>
  <c r="O90" i="58"/>
  <c r="N45" i="58"/>
  <c r="N51" i="58"/>
  <c r="G51" i="58" s="1"/>
  <c r="N57" i="58"/>
  <c r="N63" i="58"/>
  <c r="G63" i="58" s="1"/>
  <c r="N69" i="58"/>
  <c r="G69" i="58" s="1"/>
  <c r="O104" i="58"/>
  <c r="N104" i="58"/>
  <c r="O112" i="58"/>
  <c r="N112" i="58"/>
  <c r="G112" i="58" s="1"/>
  <c r="O121" i="58"/>
  <c r="N121" i="58"/>
  <c r="O130" i="58"/>
  <c r="N130" i="58"/>
  <c r="O23" i="58"/>
  <c r="O29" i="58"/>
  <c r="O83" i="58"/>
  <c r="O85" i="58"/>
  <c r="G87" i="58"/>
  <c r="O87" i="58"/>
  <c r="O89" i="58"/>
  <c r="O91" i="58"/>
  <c r="O93" i="58"/>
  <c r="O105" i="58"/>
  <c r="G105" i="58"/>
  <c r="O115" i="58"/>
  <c r="N115" i="58"/>
  <c r="G115" i="58" s="1"/>
  <c r="O124" i="58"/>
  <c r="N124" i="58"/>
  <c r="G124" i="58" s="1"/>
  <c r="O133" i="58"/>
  <c r="N133" i="58"/>
  <c r="G133" i="58" s="1"/>
  <c r="O88" i="58"/>
  <c r="G88" i="58" s="1"/>
  <c r="N28" i="58"/>
  <c r="N75" i="58"/>
  <c r="G75" i="58" s="1"/>
  <c r="N81" i="58"/>
  <c r="G81" i="58" s="1"/>
  <c r="N86" i="58"/>
  <c r="N90" i="58"/>
  <c r="G90" i="58" s="1"/>
  <c r="N99" i="58"/>
  <c r="N19" i="58"/>
  <c r="G19" i="58" s="1"/>
  <c r="N25" i="58"/>
  <c r="G25" i="58" s="1"/>
  <c r="H25" i="58" s="1"/>
  <c r="N37" i="58"/>
  <c r="G37" i="58" s="1"/>
  <c r="H37" i="58" s="1"/>
  <c r="O38" i="58"/>
  <c r="G38" i="58" s="1"/>
  <c r="H38" i="58" s="1"/>
  <c r="N41" i="58"/>
  <c r="G41" i="58" s="1"/>
  <c r="N42" i="58"/>
  <c r="N48" i="58"/>
  <c r="G48" i="58" s="1"/>
  <c r="N54" i="58"/>
  <c r="G54" i="58" s="1"/>
  <c r="N60" i="58"/>
  <c r="G60" i="58" s="1"/>
  <c r="N66" i="58"/>
  <c r="N72" i="58"/>
  <c r="G72" i="58" s="1"/>
  <c r="N78" i="58"/>
  <c r="G78" i="58" s="1"/>
  <c r="N83" i="58"/>
  <c r="N85" i="58"/>
  <c r="N87" i="58"/>
  <c r="N89" i="58"/>
  <c r="N91" i="58"/>
  <c r="G91" i="58" s="1"/>
  <c r="N93" i="58"/>
  <c r="O98" i="58"/>
  <c r="N98" i="58"/>
  <c r="G98" i="58" s="1"/>
  <c r="G84" i="58"/>
  <c r="O84" i="58"/>
  <c r="O92" i="58"/>
  <c r="G92" i="58" s="1"/>
  <c r="O42" i="58"/>
  <c r="O109" i="58"/>
  <c r="N109" i="58"/>
  <c r="O118" i="58"/>
  <c r="N118" i="58"/>
  <c r="G118" i="58" s="1"/>
  <c r="O127" i="58"/>
  <c r="N127" i="58"/>
  <c r="O135" i="58"/>
  <c r="G135" i="58" s="1"/>
  <c r="O137" i="58"/>
  <c r="G137" i="58" s="1"/>
  <c r="O139" i="58"/>
  <c r="G139" i="58" s="1"/>
  <c r="O141" i="58"/>
  <c r="G141" i="58" s="1"/>
  <c r="O143" i="58"/>
  <c r="G143" i="58" s="1"/>
  <c r="O145" i="58"/>
  <c r="G145" i="58" s="1"/>
  <c r="O147" i="58"/>
  <c r="G147" i="58" s="1"/>
  <c r="O149" i="58"/>
  <c r="G149" i="58" s="1"/>
  <c r="O151" i="58"/>
  <c r="G151" i="58" s="1"/>
  <c r="O153" i="58"/>
  <c r="G153" i="58" s="1"/>
  <c r="O155" i="58"/>
  <c r="G155" i="58" s="1"/>
  <c r="O157" i="58"/>
  <c r="G157" i="58" s="1"/>
  <c r="O159" i="58"/>
  <c r="G159" i="58" s="1"/>
  <c r="O161" i="58"/>
  <c r="G161" i="58" s="1"/>
  <c r="O163" i="58"/>
  <c r="G163" i="58" s="1"/>
  <c r="O165" i="58"/>
  <c r="G165" i="58" s="1"/>
  <c r="O167" i="58"/>
  <c r="G167" i="58" s="1"/>
  <c r="O169" i="58"/>
  <c r="G169" i="58" s="1"/>
  <c r="O171" i="58"/>
  <c r="G171" i="58" s="1"/>
  <c r="O173" i="58"/>
  <c r="G173" i="58" s="1"/>
  <c r="O175" i="58"/>
  <c r="G175" i="58" s="1"/>
  <c r="O177" i="58"/>
  <c r="G177" i="58" s="1"/>
  <c r="G94" i="58"/>
  <c r="N96" i="58"/>
  <c r="G96" i="58" s="1"/>
  <c r="G100" i="58"/>
  <c r="N102" i="58"/>
  <c r="G102" i="58" s="1"/>
  <c r="G106" i="58"/>
  <c r="N108" i="58"/>
  <c r="G108" i="58" s="1"/>
  <c r="G110" i="58"/>
  <c r="N111" i="58"/>
  <c r="G111" i="58" s="1"/>
  <c r="G113" i="58"/>
  <c r="N114" i="58"/>
  <c r="G114" i="58" s="1"/>
  <c r="N117" i="58"/>
  <c r="G117" i="58" s="1"/>
  <c r="G119" i="58"/>
  <c r="N120" i="58"/>
  <c r="G120" i="58" s="1"/>
  <c r="G122" i="58"/>
  <c r="N123" i="58"/>
  <c r="G123" i="58" s="1"/>
  <c r="G125" i="58"/>
  <c r="N126" i="58"/>
  <c r="G126" i="58" s="1"/>
  <c r="G128" i="58"/>
  <c r="N129" i="58"/>
  <c r="G129" i="58" s="1"/>
  <c r="N132" i="58"/>
  <c r="G132" i="58" s="1"/>
  <c r="G134" i="58"/>
  <c r="O136" i="58"/>
  <c r="G136" i="58" s="1"/>
  <c r="O138" i="58"/>
  <c r="G138" i="58" s="1"/>
  <c r="G140" i="58"/>
  <c r="O140" i="58"/>
  <c r="O142" i="58"/>
  <c r="G142" i="58" s="1"/>
  <c r="O144" i="58"/>
  <c r="G144" i="58" s="1"/>
  <c r="O146" i="58"/>
  <c r="G146" i="58" s="1"/>
  <c r="O148" i="58"/>
  <c r="G148" i="58" s="1"/>
  <c r="O150" i="58"/>
  <c r="G150" i="58" s="1"/>
  <c r="G152" i="58"/>
  <c r="O152" i="58"/>
  <c r="O154" i="58"/>
  <c r="G154" i="58" s="1"/>
  <c r="O156" i="58"/>
  <c r="G156" i="58" s="1"/>
  <c r="O158" i="58"/>
  <c r="G158" i="58" s="1"/>
  <c r="O160" i="58"/>
  <c r="G160" i="58" s="1"/>
  <c r="O162" i="58"/>
  <c r="G162" i="58" s="1"/>
  <c r="G164" i="58"/>
  <c r="O164" i="58"/>
  <c r="O166" i="58"/>
  <c r="G166" i="58" s="1"/>
  <c r="O168" i="58"/>
  <c r="G168" i="58" s="1"/>
  <c r="O170" i="58"/>
  <c r="G170" i="58" s="1"/>
  <c r="O172" i="58"/>
  <c r="G172" i="58" s="1"/>
  <c r="O174" i="58"/>
  <c r="G174" i="58" s="1"/>
  <c r="G176" i="58"/>
  <c r="O176" i="58"/>
  <c r="AK19" i="15"/>
  <c r="B39" i="57"/>
  <c r="AK8" i="15"/>
  <c r="D10" i="59" l="1"/>
  <c r="D5" i="59"/>
  <c r="D6" i="59"/>
  <c r="H33" i="59"/>
  <c r="AM17" i="15"/>
  <c r="D11" i="59"/>
  <c r="D8" i="59"/>
  <c r="D7" i="59"/>
  <c r="D9" i="59"/>
  <c r="G179" i="59"/>
  <c r="D12" i="59" s="1"/>
  <c r="B35" i="59"/>
  <c r="B38" i="59"/>
  <c r="B39" i="59" s="1"/>
  <c r="B40" i="59" s="1"/>
  <c r="B41" i="59" s="1"/>
  <c r="B42" i="59" s="1"/>
  <c r="B43" i="59" s="1"/>
  <c r="B44" i="59" s="1"/>
  <c r="B45" i="59" s="1"/>
  <c r="B46" i="59" s="1"/>
  <c r="B47" i="59" s="1"/>
  <c r="B48" i="59" s="1"/>
  <c r="B49" i="59" s="1"/>
  <c r="B50" i="59" s="1"/>
  <c r="B51" i="59" s="1"/>
  <c r="B52" i="59" s="1"/>
  <c r="B53" i="59" s="1"/>
  <c r="B54" i="59" s="1"/>
  <c r="B55" i="59" s="1"/>
  <c r="B56" i="59" s="1"/>
  <c r="B57" i="59" s="1"/>
  <c r="B58" i="59" s="1"/>
  <c r="B59" i="59" s="1"/>
  <c r="B60" i="59" s="1"/>
  <c r="B61" i="59" s="1"/>
  <c r="B62" i="59" s="1"/>
  <c r="B63" i="59" s="1"/>
  <c r="B64" i="59" s="1"/>
  <c r="B65" i="59" s="1"/>
  <c r="B66" i="59" s="1"/>
  <c r="B67" i="59" s="1"/>
  <c r="B68" i="59" s="1"/>
  <c r="B69" i="59" s="1"/>
  <c r="B70" i="59" s="1"/>
  <c r="B71" i="59" s="1"/>
  <c r="B72" i="59" s="1"/>
  <c r="B73" i="59" s="1"/>
  <c r="B74" i="59" s="1"/>
  <c r="B75" i="59" s="1"/>
  <c r="B76" i="59" s="1"/>
  <c r="B77" i="59" s="1"/>
  <c r="B78" i="59" s="1"/>
  <c r="B79" i="59" s="1"/>
  <c r="B80" i="59" s="1"/>
  <c r="B81" i="59" s="1"/>
  <c r="B82" i="59" s="1"/>
  <c r="B83" i="59" s="1"/>
  <c r="B84" i="59" s="1"/>
  <c r="B85" i="59" s="1"/>
  <c r="B86" i="59" s="1"/>
  <c r="B87" i="59" s="1"/>
  <c r="B88" i="59" s="1"/>
  <c r="B89" i="59" s="1"/>
  <c r="B90" i="59" s="1"/>
  <c r="B91" i="59" s="1"/>
  <c r="B92" i="59" s="1"/>
  <c r="B93" i="59" s="1"/>
  <c r="B94" i="59" s="1"/>
  <c r="B95" i="59" s="1"/>
  <c r="B96" i="59" s="1"/>
  <c r="B97" i="59" s="1"/>
  <c r="B98" i="59" s="1"/>
  <c r="B99" i="59" s="1"/>
  <c r="B100" i="59" s="1"/>
  <c r="B101" i="59" s="1"/>
  <c r="B102" i="59" s="1"/>
  <c r="B103" i="59" s="1"/>
  <c r="B104" i="59" s="1"/>
  <c r="B105" i="59" s="1"/>
  <c r="B106" i="59" s="1"/>
  <c r="B107" i="59" s="1"/>
  <c r="B108" i="59" s="1"/>
  <c r="B109" i="59" s="1"/>
  <c r="B110" i="59" s="1"/>
  <c r="B111" i="59" s="1"/>
  <c r="B112" i="59" s="1"/>
  <c r="B113" i="59" s="1"/>
  <c r="B114" i="59" s="1"/>
  <c r="B115" i="59" s="1"/>
  <c r="B116" i="59" s="1"/>
  <c r="B117" i="59" s="1"/>
  <c r="B118" i="59" s="1"/>
  <c r="B119" i="59" s="1"/>
  <c r="B120" i="59" s="1"/>
  <c r="B121" i="59" s="1"/>
  <c r="B122" i="59" s="1"/>
  <c r="B123" i="59" s="1"/>
  <c r="B124" i="59" s="1"/>
  <c r="B125" i="59" s="1"/>
  <c r="B126" i="59" s="1"/>
  <c r="B127" i="59" s="1"/>
  <c r="B128" i="59" s="1"/>
  <c r="B129" i="59" s="1"/>
  <c r="B130" i="59" s="1"/>
  <c r="B131" i="59" s="1"/>
  <c r="B132" i="59" s="1"/>
  <c r="B133" i="59" s="1"/>
  <c r="B134" i="59" s="1"/>
  <c r="B135" i="59" s="1"/>
  <c r="B136" i="59" s="1"/>
  <c r="B137" i="59" s="1"/>
  <c r="B138" i="59" s="1"/>
  <c r="B139" i="59" s="1"/>
  <c r="B140" i="59" s="1"/>
  <c r="B141" i="59" s="1"/>
  <c r="B142" i="59" s="1"/>
  <c r="B143" i="59" s="1"/>
  <c r="B144" i="59" s="1"/>
  <c r="B145" i="59" s="1"/>
  <c r="B146" i="59" s="1"/>
  <c r="B147" i="59" s="1"/>
  <c r="B148" i="59" s="1"/>
  <c r="B149" i="59" s="1"/>
  <c r="B150" i="59" s="1"/>
  <c r="B151" i="59" s="1"/>
  <c r="B152" i="59" s="1"/>
  <c r="B153" i="59" s="1"/>
  <c r="B154" i="59" s="1"/>
  <c r="B155" i="59" s="1"/>
  <c r="B156" i="59" s="1"/>
  <c r="B157" i="59" s="1"/>
  <c r="B158" i="59" s="1"/>
  <c r="B159" i="59" s="1"/>
  <c r="B160" i="59" s="1"/>
  <c r="B161" i="59" s="1"/>
  <c r="B162" i="59" s="1"/>
  <c r="B163" i="59" s="1"/>
  <c r="B164" i="59" s="1"/>
  <c r="B165" i="59" s="1"/>
  <c r="B166" i="59" s="1"/>
  <c r="B167" i="59" s="1"/>
  <c r="B168" i="59" s="1"/>
  <c r="B169" i="59" s="1"/>
  <c r="B170" i="59" s="1"/>
  <c r="B171" i="59" s="1"/>
  <c r="B172" i="59" s="1"/>
  <c r="B173" i="59" s="1"/>
  <c r="B174" i="59" s="1"/>
  <c r="B175" i="59" s="1"/>
  <c r="B176" i="59" s="1"/>
  <c r="B177" i="59" s="1"/>
  <c r="H34" i="58"/>
  <c r="AL15" i="15"/>
  <c r="G45" i="58"/>
  <c r="G28" i="58"/>
  <c r="H28" i="58" s="1"/>
  <c r="G83" i="58"/>
  <c r="G109" i="58"/>
  <c r="G93" i="58"/>
  <c r="G89" i="58"/>
  <c r="G99" i="58"/>
  <c r="G127" i="58"/>
  <c r="G85" i="58"/>
  <c r="G121" i="58"/>
  <c r="H33" i="58"/>
  <c r="AL17" i="15"/>
  <c r="H39" i="58"/>
  <c r="AL11" i="15"/>
  <c r="H41" i="58"/>
  <c r="AL13" i="15"/>
  <c r="G42" i="58"/>
  <c r="G57" i="58"/>
  <c r="G29" i="58"/>
  <c r="H29" i="58" s="1"/>
  <c r="G23" i="58"/>
  <c r="H23" i="58" s="1"/>
  <c r="G130" i="58"/>
  <c r="G104" i="58"/>
  <c r="B37" i="58"/>
  <c r="B34" i="58"/>
  <c r="B38" i="58" s="1"/>
  <c r="B39" i="58" s="1"/>
  <c r="B40" i="58" s="1"/>
  <c r="B41" i="58" s="1"/>
  <c r="B42" i="58" s="1"/>
  <c r="B43" i="58" s="1"/>
  <c r="B44" i="58" s="1"/>
  <c r="B45" i="58" s="1"/>
  <c r="B46" i="58" s="1"/>
  <c r="B47" i="58" s="1"/>
  <c r="B48" i="58" s="1"/>
  <c r="B49" i="58" s="1"/>
  <c r="B50" i="58" s="1"/>
  <c r="B51" i="58" s="1"/>
  <c r="B52" i="58" s="1"/>
  <c r="B53" i="58" s="1"/>
  <c r="B54" i="58" s="1"/>
  <c r="B55" i="58" s="1"/>
  <c r="B56" i="58" s="1"/>
  <c r="B57" i="58" s="1"/>
  <c r="B58" i="58" s="1"/>
  <c r="B59" i="58" s="1"/>
  <c r="B60" i="58" s="1"/>
  <c r="B61" i="58" s="1"/>
  <c r="B62" i="58" s="1"/>
  <c r="B63" i="58" s="1"/>
  <c r="B64" i="58" s="1"/>
  <c r="B65" i="58" s="1"/>
  <c r="B66" i="58" s="1"/>
  <c r="B67" i="58" s="1"/>
  <c r="B68" i="58" s="1"/>
  <c r="B69" i="58" s="1"/>
  <c r="B70" i="58" s="1"/>
  <c r="B71" i="58" s="1"/>
  <c r="B72" i="58" s="1"/>
  <c r="B73" i="58" s="1"/>
  <c r="B74" i="58" s="1"/>
  <c r="B75" i="58" s="1"/>
  <c r="B76" i="58" s="1"/>
  <c r="B77" i="58" s="1"/>
  <c r="B78" i="58" s="1"/>
  <c r="B79" i="58" s="1"/>
  <c r="B80" i="58" s="1"/>
  <c r="B81" i="58" s="1"/>
  <c r="B82" i="58" s="1"/>
  <c r="B83" i="58" s="1"/>
  <c r="B84" i="58" s="1"/>
  <c r="B85" i="58" s="1"/>
  <c r="B86" i="58" s="1"/>
  <c r="B87" i="58" s="1"/>
  <c r="B88" i="58" s="1"/>
  <c r="B89" i="58" s="1"/>
  <c r="B90" i="58" s="1"/>
  <c r="B91" i="58" s="1"/>
  <c r="B92" i="58" s="1"/>
  <c r="B93" i="58" s="1"/>
  <c r="B94" i="58" s="1"/>
  <c r="B95" i="58" s="1"/>
  <c r="B96" i="58" s="1"/>
  <c r="B97" i="58" s="1"/>
  <c r="B98" i="58" s="1"/>
  <c r="B99" i="58" s="1"/>
  <c r="B100" i="58" s="1"/>
  <c r="B101" i="58" s="1"/>
  <c r="B102" i="58" s="1"/>
  <c r="B103" i="58" s="1"/>
  <c r="B104" i="58" s="1"/>
  <c r="B105" i="58" s="1"/>
  <c r="B106" i="58" s="1"/>
  <c r="B107" i="58" s="1"/>
  <c r="B108" i="58" s="1"/>
  <c r="B109" i="58" s="1"/>
  <c r="B110" i="58" s="1"/>
  <c r="B111" i="58" s="1"/>
  <c r="B112" i="58" s="1"/>
  <c r="B113" i="58" s="1"/>
  <c r="B114" i="58" s="1"/>
  <c r="B115" i="58" s="1"/>
  <c r="B116" i="58" s="1"/>
  <c r="B117" i="58" s="1"/>
  <c r="B118" i="58" s="1"/>
  <c r="B119" i="58" s="1"/>
  <c r="B120" i="58" s="1"/>
  <c r="B121" i="58" s="1"/>
  <c r="B122" i="58" s="1"/>
  <c r="B123" i="58" s="1"/>
  <c r="B124" i="58" s="1"/>
  <c r="B125" i="58" s="1"/>
  <c r="B126" i="58" s="1"/>
  <c r="B127" i="58" s="1"/>
  <c r="B128" i="58" s="1"/>
  <c r="B129" i="58" s="1"/>
  <c r="B130" i="58" s="1"/>
  <c r="B131" i="58" s="1"/>
  <c r="B132" i="58" s="1"/>
  <c r="B133" i="58" s="1"/>
  <c r="B134" i="58" s="1"/>
  <c r="B135" i="58" s="1"/>
  <c r="B136" i="58" s="1"/>
  <c r="B137" i="58" s="1"/>
  <c r="B138" i="58" s="1"/>
  <c r="B139" i="58" s="1"/>
  <c r="B140" i="58" s="1"/>
  <c r="B141" i="58" s="1"/>
  <c r="B142" i="58" s="1"/>
  <c r="B143" i="58" s="1"/>
  <c r="B144" i="58" s="1"/>
  <c r="B145" i="58" s="1"/>
  <c r="B146" i="58" s="1"/>
  <c r="B147" i="58" s="1"/>
  <c r="B148" i="58" s="1"/>
  <c r="B149" i="58" s="1"/>
  <c r="B150" i="58" s="1"/>
  <c r="B151" i="58" s="1"/>
  <c r="B152" i="58" s="1"/>
  <c r="B153" i="58" s="1"/>
  <c r="B154" i="58" s="1"/>
  <c r="B155" i="58" s="1"/>
  <c r="B156" i="58" s="1"/>
  <c r="B157" i="58" s="1"/>
  <c r="B158" i="58" s="1"/>
  <c r="B159" i="58" s="1"/>
  <c r="B160" i="58" s="1"/>
  <c r="B161" i="58" s="1"/>
  <c r="B162" i="58" s="1"/>
  <c r="B163" i="58" s="1"/>
  <c r="B164" i="58" s="1"/>
  <c r="B165" i="58" s="1"/>
  <c r="B166" i="58" s="1"/>
  <c r="B167" i="58" s="1"/>
  <c r="B168" i="58" s="1"/>
  <c r="B169" i="58" s="1"/>
  <c r="B170" i="58" s="1"/>
  <c r="B171" i="58" s="1"/>
  <c r="B172" i="58" s="1"/>
  <c r="B173" i="58" s="1"/>
  <c r="B174" i="58" s="1"/>
  <c r="B175" i="58" s="1"/>
  <c r="B176" i="58" s="1"/>
  <c r="B177" i="58" s="1"/>
  <c r="D11" i="58"/>
  <c r="H19" i="58"/>
  <c r="AL57" i="15"/>
  <c r="AM57" i="15"/>
  <c r="AN57" i="15"/>
  <c r="AO57" i="15"/>
  <c r="AP57" i="15"/>
  <c r="AQ57" i="15"/>
  <c r="AR57" i="15"/>
  <c r="AR60" i="15" s="1"/>
  <c r="AU57" i="15"/>
  <c r="AV57" i="15"/>
  <c r="AW57" i="15"/>
  <c r="AX57" i="15"/>
  <c r="AK57" i="15"/>
  <c r="AK31" i="15"/>
  <c r="AK38" i="15"/>
  <c r="AK24" i="15"/>
  <c r="AK20" i="15"/>
  <c r="AK18" i="15"/>
  <c r="AK16" i="15"/>
  <c r="AK14" i="15"/>
  <c r="AK12" i="15"/>
  <c r="AK10" i="15"/>
  <c r="E178" i="57"/>
  <c r="P176" i="57"/>
  <c r="M176" i="57"/>
  <c r="P175" i="57"/>
  <c r="M175" i="57"/>
  <c r="P174" i="57"/>
  <c r="M174" i="57"/>
  <c r="O174" i="57" s="1"/>
  <c r="P173" i="57"/>
  <c r="M173" i="57"/>
  <c r="N173" i="57" s="1"/>
  <c r="P172" i="57"/>
  <c r="M172" i="57"/>
  <c r="O172" i="57" s="1"/>
  <c r="P171" i="57"/>
  <c r="N171" i="57"/>
  <c r="M171" i="57"/>
  <c r="O171" i="57" s="1"/>
  <c r="P170" i="57"/>
  <c r="M170" i="57"/>
  <c r="P169" i="57"/>
  <c r="M169" i="57"/>
  <c r="O169" i="57" s="1"/>
  <c r="P168" i="57"/>
  <c r="M168" i="57"/>
  <c r="O168" i="57" s="1"/>
  <c r="P167" i="57"/>
  <c r="M167" i="57"/>
  <c r="N167" i="57" s="1"/>
  <c r="P166" i="57"/>
  <c r="M166" i="57"/>
  <c r="O166" i="57" s="1"/>
  <c r="P165" i="57"/>
  <c r="M165" i="57"/>
  <c r="N165" i="57" s="1"/>
  <c r="P164" i="57"/>
  <c r="M164" i="57"/>
  <c r="N164" i="57" s="1"/>
  <c r="P163" i="57"/>
  <c r="M163" i="57"/>
  <c r="O163" i="57" s="1"/>
  <c r="P162" i="57"/>
  <c r="M162" i="57"/>
  <c r="O162" i="57" s="1"/>
  <c r="P161" i="57"/>
  <c r="M161" i="57"/>
  <c r="P160" i="57"/>
  <c r="O160" i="57"/>
  <c r="M160" i="57"/>
  <c r="P159" i="57"/>
  <c r="M159" i="57"/>
  <c r="O159" i="57" s="1"/>
  <c r="P158" i="57"/>
  <c r="M158" i="57"/>
  <c r="N158" i="57" s="1"/>
  <c r="P157" i="57"/>
  <c r="M157" i="57"/>
  <c r="O157" i="57" s="1"/>
  <c r="P156" i="57"/>
  <c r="N156" i="57"/>
  <c r="M156" i="57"/>
  <c r="O156" i="57" s="1"/>
  <c r="P155" i="57"/>
  <c r="M155" i="57"/>
  <c r="N155" i="57" s="1"/>
  <c r="P154" i="57"/>
  <c r="M154" i="57"/>
  <c r="O154" i="57" s="1"/>
  <c r="P153" i="57"/>
  <c r="O153" i="57"/>
  <c r="M153" i="57"/>
  <c r="N153" i="57" s="1"/>
  <c r="P152" i="57"/>
  <c r="M152" i="57"/>
  <c r="P151" i="57"/>
  <c r="M151" i="57"/>
  <c r="O151" i="57" s="1"/>
  <c r="P150" i="57"/>
  <c r="M150" i="57"/>
  <c r="N150" i="57" s="1"/>
  <c r="P149" i="57"/>
  <c r="M149" i="57"/>
  <c r="N149" i="57" s="1"/>
  <c r="P148" i="57"/>
  <c r="M148" i="57"/>
  <c r="O148" i="57" s="1"/>
  <c r="P147" i="57"/>
  <c r="M147" i="57"/>
  <c r="O147" i="57" s="1"/>
  <c r="P146" i="57"/>
  <c r="M146" i="57"/>
  <c r="N146" i="57" s="1"/>
  <c r="P145" i="57"/>
  <c r="M145" i="57"/>
  <c r="O145" i="57" s="1"/>
  <c r="P144" i="57"/>
  <c r="O144" i="57"/>
  <c r="N144" i="57"/>
  <c r="M144" i="57"/>
  <c r="P143" i="57"/>
  <c r="M143" i="57"/>
  <c r="P142" i="57"/>
  <c r="M142" i="57"/>
  <c r="O142" i="57" s="1"/>
  <c r="P141" i="57"/>
  <c r="M141" i="57"/>
  <c r="O141" i="57" s="1"/>
  <c r="P140" i="57"/>
  <c r="M140" i="57"/>
  <c r="N140" i="57" s="1"/>
  <c r="P139" i="57"/>
  <c r="M139" i="57"/>
  <c r="O139" i="57" s="1"/>
  <c r="P138" i="57"/>
  <c r="M138" i="57"/>
  <c r="N138" i="57" s="1"/>
  <c r="P137" i="57"/>
  <c r="M137" i="57"/>
  <c r="N137" i="57" s="1"/>
  <c r="P136" i="57"/>
  <c r="O136" i="57"/>
  <c r="M136" i="57"/>
  <c r="P135" i="57"/>
  <c r="M135" i="57"/>
  <c r="O135" i="57" s="1"/>
  <c r="P134" i="57"/>
  <c r="M134" i="57"/>
  <c r="N134" i="57" s="1"/>
  <c r="P133" i="57"/>
  <c r="M133" i="57"/>
  <c r="O133" i="57" s="1"/>
  <c r="P132" i="57"/>
  <c r="M132" i="57"/>
  <c r="P131" i="57"/>
  <c r="M131" i="57"/>
  <c r="N131" i="57" s="1"/>
  <c r="P130" i="57"/>
  <c r="M130" i="57"/>
  <c r="O130" i="57" s="1"/>
  <c r="P129" i="57"/>
  <c r="M129" i="57"/>
  <c r="N129" i="57" s="1"/>
  <c r="P128" i="57"/>
  <c r="M128" i="57"/>
  <c r="P127" i="57"/>
  <c r="M127" i="57"/>
  <c r="O127" i="57" s="1"/>
  <c r="P126" i="57"/>
  <c r="M126" i="57"/>
  <c r="P125" i="57"/>
  <c r="M125" i="57"/>
  <c r="N125" i="57" s="1"/>
  <c r="P124" i="57"/>
  <c r="M124" i="57"/>
  <c r="N124" i="57" s="1"/>
  <c r="P123" i="57"/>
  <c r="M123" i="57"/>
  <c r="N123" i="57" s="1"/>
  <c r="P122" i="57"/>
  <c r="M122" i="57"/>
  <c r="O122" i="57" s="1"/>
  <c r="P121" i="57"/>
  <c r="N121" i="57"/>
  <c r="M121" i="57"/>
  <c r="O121" i="57" s="1"/>
  <c r="P120" i="57"/>
  <c r="M120" i="57"/>
  <c r="P119" i="57"/>
  <c r="M119" i="57"/>
  <c r="O119" i="57" s="1"/>
  <c r="P118" i="57"/>
  <c r="M118" i="57"/>
  <c r="O118" i="57" s="1"/>
  <c r="P117" i="57"/>
  <c r="M117" i="57"/>
  <c r="N117" i="57" s="1"/>
  <c r="P116" i="57"/>
  <c r="M116" i="57"/>
  <c r="P115" i="57"/>
  <c r="M115" i="57"/>
  <c r="O115" i="57" s="1"/>
  <c r="P114" i="57"/>
  <c r="M114" i="57"/>
  <c r="P113" i="57"/>
  <c r="O113" i="57"/>
  <c r="M113" i="57"/>
  <c r="P112" i="57"/>
  <c r="M112" i="57"/>
  <c r="O112" i="57" s="1"/>
  <c r="P111" i="57"/>
  <c r="N111" i="57"/>
  <c r="M111" i="57"/>
  <c r="O111" i="57" s="1"/>
  <c r="P110" i="57"/>
  <c r="M110" i="57"/>
  <c r="N110" i="57" s="1"/>
  <c r="P109" i="57"/>
  <c r="M109" i="57"/>
  <c r="O109" i="57" s="1"/>
  <c r="P108" i="57"/>
  <c r="M108" i="57"/>
  <c r="P107" i="57"/>
  <c r="M107" i="57"/>
  <c r="N107" i="57" s="1"/>
  <c r="P106" i="57"/>
  <c r="M106" i="57"/>
  <c r="N106" i="57" s="1"/>
  <c r="P105" i="57"/>
  <c r="M105" i="57"/>
  <c r="O105" i="57" s="1"/>
  <c r="P104" i="57"/>
  <c r="M104" i="57"/>
  <c r="N104" i="57" s="1"/>
  <c r="P103" i="57"/>
  <c r="M103" i="57"/>
  <c r="P102" i="57"/>
  <c r="M102" i="57"/>
  <c r="P101" i="57"/>
  <c r="N101" i="57"/>
  <c r="M101" i="57"/>
  <c r="O101" i="57" s="1"/>
  <c r="P100" i="57"/>
  <c r="M100" i="57"/>
  <c r="O100" i="57" s="1"/>
  <c r="P99" i="57"/>
  <c r="M99" i="57"/>
  <c r="O99" i="57" s="1"/>
  <c r="P98" i="57"/>
  <c r="M98" i="57"/>
  <c r="O98" i="57" s="1"/>
  <c r="P97" i="57"/>
  <c r="M97" i="57"/>
  <c r="N97" i="57" s="1"/>
  <c r="P96" i="57"/>
  <c r="M96" i="57"/>
  <c r="P95" i="57"/>
  <c r="O95" i="57"/>
  <c r="M95" i="57"/>
  <c r="N95" i="57" s="1"/>
  <c r="P94" i="57"/>
  <c r="M94" i="57"/>
  <c r="O94" i="57" s="1"/>
  <c r="P93" i="57"/>
  <c r="M93" i="57"/>
  <c r="P92" i="57"/>
  <c r="M92" i="57"/>
  <c r="O92" i="57" s="1"/>
  <c r="P91" i="57"/>
  <c r="M91" i="57"/>
  <c r="O91" i="57" s="1"/>
  <c r="P90" i="57"/>
  <c r="M90" i="57"/>
  <c r="N90" i="57" s="1"/>
  <c r="P89" i="57"/>
  <c r="M89" i="57"/>
  <c r="P88" i="57"/>
  <c r="M88" i="57"/>
  <c r="O88" i="57" s="1"/>
  <c r="P87" i="57"/>
  <c r="M87" i="57"/>
  <c r="O87" i="57" s="1"/>
  <c r="P86" i="57"/>
  <c r="M86" i="57"/>
  <c r="O86" i="57" s="1"/>
  <c r="P85" i="57"/>
  <c r="N85" i="57"/>
  <c r="M85" i="57"/>
  <c r="O85" i="57" s="1"/>
  <c r="P84" i="57"/>
  <c r="M84" i="57"/>
  <c r="N84" i="57" s="1"/>
  <c r="P83" i="57"/>
  <c r="M83" i="57"/>
  <c r="P82" i="57"/>
  <c r="M82" i="57"/>
  <c r="O82" i="57" s="1"/>
  <c r="P81" i="57"/>
  <c r="M81" i="57"/>
  <c r="O81" i="57" s="1"/>
  <c r="P80" i="57"/>
  <c r="M80" i="57"/>
  <c r="O80" i="57" s="1"/>
  <c r="P79" i="57"/>
  <c r="M79" i="57"/>
  <c r="O79" i="57" s="1"/>
  <c r="P78" i="57"/>
  <c r="M78" i="57"/>
  <c r="N78" i="57" s="1"/>
  <c r="P77" i="57"/>
  <c r="M77" i="57"/>
  <c r="P76" i="57"/>
  <c r="M76" i="57"/>
  <c r="O76" i="57" s="1"/>
  <c r="P75" i="57"/>
  <c r="M75" i="57"/>
  <c r="O75" i="57" s="1"/>
  <c r="P74" i="57"/>
  <c r="M74" i="57"/>
  <c r="O74" i="57" s="1"/>
  <c r="P73" i="57"/>
  <c r="M73" i="57"/>
  <c r="O73" i="57" s="1"/>
  <c r="P72" i="57"/>
  <c r="M72" i="57"/>
  <c r="N72" i="57" s="1"/>
  <c r="P71" i="57"/>
  <c r="M71" i="57"/>
  <c r="P70" i="57"/>
  <c r="M70" i="57"/>
  <c r="O70" i="57" s="1"/>
  <c r="P69" i="57"/>
  <c r="M69" i="57"/>
  <c r="O69" i="57" s="1"/>
  <c r="P68" i="57"/>
  <c r="M68" i="57"/>
  <c r="O68" i="57" s="1"/>
  <c r="P67" i="57"/>
  <c r="M67" i="57"/>
  <c r="O67" i="57" s="1"/>
  <c r="P66" i="57"/>
  <c r="M66" i="57"/>
  <c r="P65" i="57"/>
  <c r="M65" i="57"/>
  <c r="P64" i="57"/>
  <c r="M64" i="57"/>
  <c r="O64" i="57" s="1"/>
  <c r="P63" i="57"/>
  <c r="M63" i="57"/>
  <c r="O63" i="57" s="1"/>
  <c r="P62" i="57"/>
  <c r="M62" i="57"/>
  <c r="O62" i="57" s="1"/>
  <c r="P61" i="57"/>
  <c r="M61" i="57"/>
  <c r="O61" i="57" s="1"/>
  <c r="P60" i="57"/>
  <c r="M60" i="57"/>
  <c r="N60" i="57" s="1"/>
  <c r="P59" i="57"/>
  <c r="M59" i="57"/>
  <c r="P58" i="57"/>
  <c r="M58" i="57"/>
  <c r="O58" i="57" s="1"/>
  <c r="P57" i="57"/>
  <c r="M57" i="57"/>
  <c r="O57" i="57" s="1"/>
  <c r="P56" i="57"/>
  <c r="M56" i="57"/>
  <c r="O56" i="57" s="1"/>
  <c r="P55" i="57"/>
  <c r="M55" i="57"/>
  <c r="O55" i="57" s="1"/>
  <c r="P54" i="57"/>
  <c r="M54" i="57"/>
  <c r="O54" i="57" s="1"/>
  <c r="P53" i="57"/>
  <c r="M53" i="57"/>
  <c r="O53" i="57" s="1"/>
  <c r="P52" i="57"/>
  <c r="M52" i="57"/>
  <c r="O52" i="57" s="1"/>
  <c r="P51" i="57"/>
  <c r="M51" i="57"/>
  <c r="O51" i="57" s="1"/>
  <c r="P50" i="57"/>
  <c r="M50" i="57"/>
  <c r="O50" i="57" s="1"/>
  <c r="P49" i="57"/>
  <c r="M49" i="57"/>
  <c r="O49" i="57" s="1"/>
  <c r="P48" i="57"/>
  <c r="M48" i="57"/>
  <c r="O48" i="57" s="1"/>
  <c r="P47" i="57"/>
  <c r="M47" i="57"/>
  <c r="O47" i="57" s="1"/>
  <c r="P46" i="57"/>
  <c r="M46" i="57"/>
  <c r="O46" i="57" s="1"/>
  <c r="P45" i="57"/>
  <c r="M45" i="57"/>
  <c r="N45" i="57" s="1"/>
  <c r="P44" i="57"/>
  <c r="M44" i="57"/>
  <c r="O44" i="57" s="1"/>
  <c r="P43" i="57"/>
  <c r="M43" i="57"/>
  <c r="O43" i="57" s="1"/>
  <c r="P42" i="57"/>
  <c r="M42" i="57"/>
  <c r="N42" i="57" s="1"/>
  <c r="P41" i="57"/>
  <c r="M41" i="57"/>
  <c r="O41" i="57" s="1"/>
  <c r="P40" i="57"/>
  <c r="M40" i="57"/>
  <c r="N40" i="57" s="1"/>
  <c r="P39" i="57"/>
  <c r="M39" i="57"/>
  <c r="O39" i="57" s="1"/>
  <c r="P38" i="57"/>
  <c r="M38" i="57"/>
  <c r="O38" i="57" s="1"/>
  <c r="P37" i="57"/>
  <c r="M37" i="57"/>
  <c r="N37" i="57" s="1"/>
  <c r="P36" i="57"/>
  <c r="M36" i="57"/>
  <c r="N36" i="57" s="1"/>
  <c r="P35" i="57"/>
  <c r="M35" i="57"/>
  <c r="N35" i="57" s="1"/>
  <c r="P34" i="57"/>
  <c r="M34" i="57"/>
  <c r="P33" i="57"/>
  <c r="M33" i="57"/>
  <c r="N33" i="57" s="1"/>
  <c r="P32" i="57"/>
  <c r="M32" i="57"/>
  <c r="N32" i="57" s="1"/>
  <c r="P31" i="57"/>
  <c r="M31" i="57"/>
  <c r="P30" i="57"/>
  <c r="M30" i="57"/>
  <c r="O30" i="57" s="1"/>
  <c r="P29" i="57"/>
  <c r="M29" i="57"/>
  <c r="N29" i="57" s="1"/>
  <c r="P28" i="57"/>
  <c r="M28" i="57"/>
  <c r="P27" i="57"/>
  <c r="M27" i="57"/>
  <c r="N27" i="57" s="1"/>
  <c r="P26" i="57"/>
  <c r="M26" i="57"/>
  <c r="O26" i="57" s="1"/>
  <c r="P25" i="57"/>
  <c r="M25" i="57"/>
  <c r="N25" i="57" s="1"/>
  <c r="P24" i="57"/>
  <c r="M24" i="57"/>
  <c r="O24" i="57" s="1"/>
  <c r="P23" i="57"/>
  <c r="M23" i="57"/>
  <c r="N23" i="57" s="1"/>
  <c r="P22" i="57"/>
  <c r="M22" i="57"/>
  <c r="P21" i="57"/>
  <c r="M21" i="57"/>
  <c r="P20" i="57"/>
  <c r="M20" i="57"/>
  <c r="P19" i="57"/>
  <c r="M19" i="57"/>
  <c r="O19" i="57" s="1"/>
  <c r="B19" i="57"/>
  <c r="B20" i="57" s="1"/>
  <c r="B21" i="57" s="1"/>
  <c r="B22" i="57" s="1"/>
  <c r="B23" i="57" s="1"/>
  <c r="B24" i="57" s="1"/>
  <c r="B25" i="57" s="1"/>
  <c r="B26" i="57" s="1"/>
  <c r="B27" i="57" s="1"/>
  <c r="B28" i="57" s="1"/>
  <c r="B29" i="57" s="1"/>
  <c r="B30" i="57" s="1"/>
  <c r="B31" i="57" s="1"/>
  <c r="B32" i="57" s="1"/>
  <c r="AK5" i="15"/>
  <c r="AK39" i="15"/>
  <c r="AJ31" i="15"/>
  <c r="D30" i="47" s="1"/>
  <c r="AM26" i="15" l="1"/>
  <c r="AM29" i="15" s="1"/>
  <c r="AK33" i="15"/>
  <c r="B31" i="52"/>
  <c r="AL9" i="15"/>
  <c r="D8" i="58"/>
  <c r="AL19" i="15"/>
  <c r="D9" i="58"/>
  <c r="D10" i="58"/>
  <c r="D7" i="58"/>
  <c r="AL21" i="15"/>
  <c r="D5" i="58"/>
  <c r="D6" i="58"/>
  <c r="G179" i="58"/>
  <c r="D12" i="58" s="1"/>
  <c r="AK28" i="15"/>
  <c r="N119" i="57"/>
  <c r="N61" i="57"/>
  <c r="N75" i="57"/>
  <c r="G75" i="57" s="1"/>
  <c r="N91" i="57"/>
  <c r="N105" i="57"/>
  <c r="G113" i="57"/>
  <c r="O117" i="57"/>
  <c r="O124" i="57"/>
  <c r="O129" i="57"/>
  <c r="N141" i="57"/>
  <c r="O150" i="57"/>
  <c r="N159" i="57"/>
  <c r="G159" i="57" s="1"/>
  <c r="N168" i="57"/>
  <c r="N80" i="57"/>
  <c r="O107" i="57"/>
  <c r="G101" i="57"/>
  <c r="N113" i="57"/>
  <c r="N127" i="57"/>
  <c r="G127" i="57" s="1"/>
  <c r="N74" i="57"/>
  <c r="N87" i="57"/>
  <c r="O104" i="57"/>
  <c r="N130" i="57"/>
  <c r="O138" i="57"/>
  <c r="O165" i="57"/>
  <c r="G165" i="57" s="1"/>
  <c r="O36" i="57"/>
  <c r="G36" i="57" s="1"/>
  <c r="H36" i="57" s="1"/>
  <c r="O29" i="57"/>
  <c r="N54" i="57"/>
  <c r="O42" i="57"/>
  <c r="N48" i="57"/>
  <c r="O45" i="57"/>
  <c r="G45" i="57" s="1"/>
  <c r="N68" i="57"/>
  <c r="G68" i="57" s="1"/>
  <c r="G87" i="57"/>
  <c r="N112" i="57"/>
  <c r="N115" i="57"/>
  <c r="G115" i="57" s="1"/>
  <c r="G119" i="57"/>
  <c r="N147" i="57"/>
  <c r="G147" i="57" s="1"/>
  <c r="N162" i="57"/>
  <c r="G106" i="57"/>
  <c r="O106" i="57"/>
  <c r="G125" i="57"/>
  <c r="G112" i="57"/>
  <c r="N79" i="57"/>
  <c r="G95" i="57"/>
  <c r="N51" i="57"/>
  <c r="G51" i="57" s="1"/>
  <c r="N81" i="57"/>
  <c r="G81" i="57" s="1"/>
  <c r="N92" i="57"/>
  <c r="G92" i="57" s="1"/>
  <c r="N94" i="57"/>
  <c r="G94" i="57" s="1"/>
  <c r="N118" i="57"/>
  <c r="O125" i="57"/>
  <c r="N135" i="57"/>
  <c r="G135" i="57" s="1"/>
  <c r="N174" i="57"/>
  <c r="G107" i="57"/>
  <c r="N86" i="57"/>
  <c r="G86" i="57" s="1"/>
  <c r="N98" i="57"/>
  <c r="G98" i="57" s="1"/>
  <c r="N100" i="57"/>
  <c r="G100" i="57" s="1"/>
  <c r="O131" i="57"/>
  <c r="G131" i="57" s="1"/>
  <c r="N133" i="57"/>
  <c r="G133" i="57" s="1"/>
  <c r="N19" i="57"/>
  <c r="G19" i="57" s="1"/>
  <c r="O25" i="57"/>
  <c r="G25" i="57" s="1"/>
  <c r="H25" i="57" s="1"/>
  <c r="N30" i="57"/>
  <c r="G30" i="57" s="1"/>
  <c r="H30" i="57" s="1"/>
  <c r="N43" i="57"/>
  <c r="G43" i="57" s="1"/>
  <c r="N46" i="57"/>
  <c r="G46" i="57" s="1"/>
  <c r="N49" i="57"/>
  <c r="G49" i="57" s="1"/>
  <c r="N52" i="57"/>
  <c r="G52" i="57" s="1"/>
  <c r="N55" i="57"/>
  <c r="G55" i="57" s="1"/>
  <c r="N62" i="57"/>
  <c r="G62" i="57" s="1"/>
  <c r="O23" i="57"/>
  <c r="G23" i="57" s="1"/>
  <c r="H23" i="57" s="1"/>
  <c r="N31" i="57"/>
  <c r="O35" i="57"/>
  <c r="G35" i="57" s="1"/>
  <c r="H35" i="57" s="1"/>
  <c r="N38" i="57"/>
  <c r="G38" i="57" s="1"/>
  <c r="N41" i="57"/>
  <c r="G41" i="57" s="1"/>
  <c r="H41" i="57" s="1"/>
  <c r="N44" i="57"/>
  <c r="G44" i="57" s="1"/>
  <c r="N47" i="57"/>
  <c r="G47" i="57" s="1"/>
  <c r="N50" i="57"/>
  <c r="G50" i="57" s="1"/>
  <c r="N53" i="57"/>
  <c r="G53" i="57" s="1"/>
  <c r="N56" i="57"/>
  <c r="G56" i="57" s="1"/>
  <c r="O31" i="57"/>
  <c r="N24" i="57"/>
  <c r="G24" i="57" s="1"/>
  <c r="H24" i="57" s="1"/>
  <c r="O37" i="57"/>
  <c r="G37" i="57" s="1"/>
  <c r="O40" i="57"/>
  <c r="G40" i="57" s="1"/>
  <c r="H40" i="57" s="1"/>
  <c r="G29" i="57"/>
  <c r="H29" i="57" s="1"/>
  <c r="N67" i="57"/>
  <c r="G67" i="57" s="1"/>
  <c r="N73" i="57"/>
  <c r="G73" i="57" s="1"/>
  <c r="B33" i="57"/>
  <c r="B35" i="57"/>
  <c r="O21" i="57"/>
  <c r="O71" i="57"/>
  <c r="N71" i="57"/>
  <c r="O83" i="57"/>
  <c r="N83" i="57"/>
  <c r="O103" i="57"/>
  <c r="N103" i="57"/>
  <c r="N21" i="57"/>
  <c r="N26" i="57"/>
  <c r="G26" i="57" s="1"/>
  <c r="H26" i="57" s="1"/>
  <c r="O32" i="57"/>
  <c r="G32" i="57" s="1"/>
  <c r="H32" i="57" s="1"/>
  <c r="O66" i="57"/>
  <c r="N20" i="57"/>
  <c r="N66" i="57"/>
  <c r="O72" i="57"/>
  <c r="G72" i="57" s="1"/>
  <c r="O84" i="57"/>
  <c r="G84" i="57" s="1"/>
  <c r="G104" i="57"/>
  <c r="O120" i="57"/>
  <c r="N120" i="57"/>
  <c r="G120" i="57" s="1"/>
  <c r="O170" i="57"/>
  <c r="N170" i="57"/>
  <c r="O65" i="57"/>
  <c r="N65" i="57"/>
  <c r="O78" i="57"/>
  <c r="G78" i="57" s="1"/>
  <c r="O90" i="57"/>
  <c r="G90" i="57" s="1"/>
  <c r="O110" i="57"/>
  <c r="G110" i="57" s="1"/>
  <c r="O132" i="57"/>
  <c r="N132" i="57"/>
  <c r="G132" i="57" s="1"/>
  <c r="O134" i="57"/>
  <c r="G134" i="57" s="1"/>
  <c r="O143" i="57"/>
  <c r="N143" i="57"/>
  <c r="G143" i="57" s="1"/>
  <c r="O60" i="57"/>
  <c r="G60" i="57" s="1"/>
  <c r="O20" i="57"/>
  <c r="O34" i="57"/>
  <c r="N34" i="57"/>
  <c r="O77" i="57"/>
  <c r="N77" i="57"/>
  <c r="G77" i="57" s="1"/>
  <c r="O89" i="57"/>
  <c r="N89" i="57"/>
  <c r="O114" i="57"/>
  <c r="N114" i="57"/>
  <c r="G114" i="57" s="1"/>
  <c r="N128" i="57"/>
  <c r="O128" i="57"/>
  <c r="G128" i="57" s="1"/>
  <c r="O161" i="57"/>
  <c r="N161" i="57"/>
  <c r="O22" i="57"/>
  <c r="N22" i="57"/>
  <c r="G22" i="57" s="1"/>
  <c r="H22" i="57" s="1"/>
  <c r="O27" i="57"/>
  <c r="G27" i="57" s="1"/>
  <c r="H27" i="57" s="1"/>
  <c r="O28" i="57"/>
  <c r="N28" i="57"/>
  <c r="O33" i="57"/>
  <c r="G33" i="57" s="1"/>
  <c r="G42" i="57"/>
  <c r="G48" i="57"/>
  <c r="G54" i="57"/>
  <c r="O59" i="57"/>
  <c r="N59" i="57"/>
  <c r="N93" i="57"/>
  <c r="G93" i="57" s="1"/>
  <c r="O93" i="57"/>
  <c r="O97" i="57"/>
  <c r="G97" i="57" s="1"/>
  <c r="N116" i="57"/>
  <c r="O116" i="57"/>
  <c r="O123" i="57"/>
  <c r="G123" i="57" s="1"/>
  <c r="O126" i="57"/>
  <c r="N126" i="57"/>
  <c r="G126" i="57" s="1"/>
  <c r="O152" i="57"/>
  <c r="N152" i="57"/>
  <c r="O176" i="57"/>
  <c r="N39" i="57"/>
  <c r="G39" i="57" s="1"/>
  <c r="N58" i="57"/>
  <c r="G58" i="57" s="1"/>
  <c r="N64" i="57"/>
  <c r="G64" i="57" s="1"/>
  <c r="N70" i="57"/>
  <c r="G70" i="57" s="1"/>
  <c r="G74" i="57"/>
  <c r="N76" i="57"/>
  <c r="G76" i="57" s="1"/>
  <c r="G80" i="57"/>
  <c r="N82" i="57"/>
  <c r="G82" i="57" s="1"/>
  <c r="N88" i="57"/>
  <c r="G88" i="57" s="1"/>
  <c r="O96" i="57"/>
  <c r="N96" i="57"/>
  <c r="G96" i="57" s="1"/>
  <c r="N99" i="57"/>
  <c r="G99" i="57" s="1"/>
  <c r="G105" i="57"/>
  <c r="N109" i="57"/>
  <c r="G109" i="57" s="1"/>
  <c r="G118" i="57"/>
  <c r="G121" i="57"/>
  <c r="N122" i="57"/>
  <c r="G122" i="57" s="1"/>
  <c r="G140" i="57"/>
  <c r="O140" i="57"/>
  <c r="O149" i="57"/>
  <c r="G149" i="57" s="1"/>
  <c r="O158" i="57"/>
  <c r="G158" i="57" s="1"/>
  <c r="O167" i="57"/>
  <c r="G167" i="57" s="1"/>
  <c r="N176" i="57"/>
  <c r="G176" i="57" s="1"/>
  <c r="N57" i="57"/>
  <c r="G57" i="57" s="1"/>
  <c r="G61" i="57"/>
  <c r="N63" i="57"/>
  <c r="G63" i="57" s="1"/>
  <c r="N69" i="57"/>
  <c r="G69" i="57" s="1"/>
  <c r="G79" i="57"/>
  <c r="G85" i="57"/>
  <c r="G91" i="57"/>
  <c r="O102" i="57"/>
  <c r="N102" i="57"/>
  <c r="G111" i="57"/>
  <c r="G124" i="57"/>
  <c r="G130" i="57"/>
  <c r="O108" i="57"/>
  <c r="N108" i="57"/>
  <c r="G117" i="57"/>
  <c r="G129" i="57"/>
  <c r="O137" i="57"/>
  <c r="G137" i="57" s="1"/>
  <c r="O146" i="57"/>
  <c r="G146" i="57" s="1"/>
  <c r="O155" i="57"/>
  <c r="G155" i="57" s="1"/>
  <c r="O164" i="57"/>
  <c r="G164" i="57" s="1"/>
  <c r="O173" i="57"/>
  <c r="G173" i="57" s="1"/>
  <c r="N136" i="57"/>
  <c r="G136" i="57" s="1"/>
  <c r="N139" i="57"/>
  <c r="G139" i="57" s="1"/>
  <c r="N142" i="57"/>
  <c r="G142" i="57" s="1"/>
  <c r="N145" i="57"/>
  <c r="G145" i="57" s="1"/>
  <c r="N148" i="57"/>
  <c r="G148" i="57" s="1"/>
  <c r="N151" i="57"/>
  <c r="G151" i="57" s="1"/>
  <c r="N154" i="57"/>
  <c r="G154" i="57" s="1"/>
  <c r="N157" i="57"/>
  <c r="G157" i="57" s="1"/>
  <c r="N160" i="57"/>
  <c r="G160" i="57" s="1"/>
  <c r="N163" i="57"/>
  <c r="G163" i="57" s="1"/>
  <c r="N166" i="57"/>
  <c r="G166" i="57" s="1"/>
  <c r="N169" i="57"/>
  <c r="G169" i="57" s="1"/>
  <c r="N172" i="57"/>
  <c r="G172" i="57" s="1"/>
  <c r="N175" i="57"/>
  <c r="G138" i="57"/>
  <c r="G141" i="57"/>
  <c r="G144" i="57"/>
  <c r="G150" i="57"/>
  <c r="G153" i="57"/>
  <c r="G156" i="57"/>
  <c r="G162" i="57"/>
  <c r="G168" i="57"/>
  <c r="G171" i="57"/>
  <c r="G174" i="57"/>
  <c r="O175" i="57"/>
  <c r="B11" i="56"/>
  <c r="C10" i="56"/>
  <c r="B10" i="56"/>
  <c r="C36" i="56"/>
  <c r="C37" i="56" s="1"/>
  <c r="D30" i="56"/>
  <c r="D36" i="56" s="1"/>
  <c r="D37" i="56" s="1"/>
  <c r="C30" i="56"/>
  <c r="B30" i="56"/>
  <c r="B36" i="56" s="1"/>
  <c r="D10" i="56"/>
  <c r="D11" i="56" s="1"/>
  <c r="C1" i="56"/>
  <c r="B1" i="56"/>
  <c r="AM34" i="15" l="1"/>
  <c r="AM60" i="15" s="1"/>
  <c r="G89" i="57"/>
  <c r="G170" i="57"/>
  <c r="G21" i="57"/>
  <c r="H21" i="57" s="1"/>
  <c r="G31" i="57"/>
  <c r="H31" i="57" s="1"/>
  <c r="G175" i="57"/>
  <c r="G83" i="57"/>
  <c r="H33" i="57"/>
  <c r="AK17" i="15"/>
  <c r="H38" i="57"/>
  <c r="AK13" i="15"/>
  <c r="H37" i="57"/>
  <c r="AK11" i="15"/>
  <c r="G65" i="57"/>
  <c r="G108" i="57"/>
  <c r="G152" i="57"/>
  <c r="G59" i="57"/>
  <c r="G161" i="57"/>
  <c r="G20" i="57"/>
  <c r="H20" i="57" s="1"/>
  <c r="G103" i="57"/>
  <c r="G102" i="57"/>
  <c r="G28" i="57"/>
  <c r="H28" i="57" s="1"/>
  <c r="G66" i="57"/>
  <c r="AK21" i="15" s="1"/>
  <c r="H19" i="57"/>
  <c r="D11" i="57"/>
  <c r="G116" i="57"/>
  <c r="G71" i="57"/>
  <c r="G34" i="57"/>
  <c r="H34" i="57" s="1"/>
  <c r="B34" i="57"/>
  <c r="B37" i="57" s="1"/>
  <c r="B38" i="57" s="1"/>
  <c r="B40" i="57" s="1"/>
  <c r="B41" i="57" s="1"/>
  <c r="B42" i="57" s="1"/>
  <c r="B43" i="57" s="1"/>
  <c r="B44" i="57" s="1"/>
  <c r="B45" i="57" s="1"/>
  <c r="B46" i="57" s="1"/>
  <c r="B47" i="57" s="1"/>
  <c r="B48" i="57" s="1"/>
  <c r="B49" i="57" s="1"/>
  <c r="B50" i="57" s="1"/>
  <c r="B51" i="57" s="1"/>
  <c r="B52" i="57" s="1"/>
  <c r="B53" i="57" s="1"/>
  <c r="B54" i="57" s="1"/>
  <c r="B55" i="57" s="1"/>
  <c r="B56" i="57" s="1"/>
  <c r="B57" i="57" s="1"/>
  <c r="B58" i="57" s="1"/>
  <c r="B59" i="57" s="1"/>
  <c r="B60" i="57" s="1"/>
  <c r="B61" i="57" s="1"/>
  <c r="B62" i="57" s="1"/>
  <c r="B63" i="57" s="1"/>
  <c r="B64" i="57" s="1"/>
  <c r="B65" i="57" s="1"/>
  <c r="B66" i="57" s="1"/>
  <c r="B67" i="57" s="1"/>
  <c r="B68" i="57" s="1"/>
  <c r="B69" i="57" s="1"/>
  <c r="B70" i="57" s="1"/>
  <c r="B71" i="57" s="1"/>
  <c r="B72" i="57" s="1"/>
  <c r="B73" i="57" s="1"/>
  <c r="B74" i="57" s="1"/>
  <c r="B75" i="57" s="1"/>
  <c r="B76" i="57" s="1"/>
  <c r="B77" i="57" s="1"/>
  <c r="B78" i="57" s="1"/>
  <c r="B79" i="57" s="1"/>
  <c r="B80" i="57" s="1"/>
  <c r="B81" i="57" s="1"/>
  <c r="B82" i="57" s="1"/>
  <c r="B83" i="57" s="1"/>
  <c r="B84" i="57" s="1"/>
  <c r="B85" i="57" s="1"/>
  <c r="B86" i="57" s="1"/>
  <c r="B87" i="57" s="1"/>
  <c r="B88" i="57" s="1"/>
  <c r="B89" i="57" s="1"/>
  <c r="B90" i="57" s="1"/>
  <c r="B91" i="57" s="1"/>
  <c r="B92" i="57" s="1"/>
  <c r="B93" i="57" s="1"/>
  <c r="B94" i="57" s="1"/>
  <c r="B95" i="57" s="1"/>
  <c r="B96" i="57" s="1"/>
  <c r="B97" i="57" s="1"/>
  <c r="B98" i="57" s="1"/>
  <c r="B99" i="57" s="1"/>
  <c r="B100" i="57" s="1"/>
  <c r="B101" i="57" s="1"/>
  <c r="B102" i="57" s="1"/>
  <c r="B103" i="57" s="1"/>
  <c r="B104" i="57" s="1"/>
  <c r="B105" i="57" s="1"/>
  <c r="B106" i="57" s="1"/>
  <c r="B107" i="57" s="1"/>
  <c r="B108" i="57" s="1"/>
  <c r="B109" i="57" s="1"/>
  <c r="B110" i="57" s="1"/>
  <c r="B111" i="57" s="1"/>
  <c r="B112" i="57" s="1"/>
  <c r="B113" i="57" s="1"/>
  <c r="B114" i="57" s="1"/>
  <c r="B115" i="57" s="1"/>
  <c r="B116" i="57" s="1"/>
  <c r="B117" i="57" s="1"/>
  <c r="B118" i="57" s="1"/>
  <c r="B119" i="57" s="1"/>
  <c r="B120" i="57" s="1"/>
  <c r="B121" i="57" s="1"/>
  <c r="B122" i="57" s="1"/>
  <c r="B123" i="57" s="1"/>
  <c r="B124" i="57" s="1"/>
  <c r="B125" i="57" s="1"/>
  <c r="B126" i="57" s="1"/>
  <c r="B127" i="57" s="1"/>
  <c r="B128" i="57" s="1"/>
  <c r="B129" i="57" s="1"/>
  <c r="B130" i="57" s="1"/>
  <c r="B131" i="57" s="1"/>
  <c r="B132" i="57" s="1"/>
  <c r="B133" i="57" s="1"/>
  <c r="B134" i="57" s="1"/>
  <c r="B135" i="57" s="1"/>
  <c r="B136" i="57" s="1"/>
  <c r="B137" i="57" s="1"/>
  <c r="B138" i="57" s="1"/>
  <c r="B139" i="57" s="1"/>
  <c r="B140" i="57" s="1"/>
  <c r="B141" i="57" s="1"/>
  <c r="B142" i="57" s="1"/>
  <c r="B143" i="57" s="1"/>
  <c r="B144" i="57" s="1"/>
  <c r="B145" i="57" s="1"/>
  <c r="B146" i="57" s="1"/>
  <c r="B147" i="57" s="1"/>
  <c r="B148" i="57" s="1"/>
  <c r="B149" i="57" s="1"/>
  <c r="B150" i="57" s="1"/>
  <c r="B151" i="57" s="1"/>
  <c r="B152" i="57" s="1"/>
  <c r="B153" i="57" s="1"/>
  <c r="B154" i="57" s="1"/>
  <c r="B155" i="57" s="1"/>
  <c r="B156" i="57" s="1"/>
  <c r="B157" i="57" s="1"/>
  <c r="B158" i="57" s="1"/>
  <c r="B159" i="57" s="1"/>
  <c r="B160" i="57" s="1"/>
  <c r="B161" i="57" s="1"/>
  <c r="B162" i="57" s="1"/>
  <c r="B163" i="57" s="1"/>
  <c r="B164" i="57" s="1"/>
  <c r="B165" i="57" s="1"/>
  <c r="B166" i="57" s="1"/>
  <c r="B167" i="57" s="1"/>
  <c r="B168" i="57" s="1"/>
  <c r="B169" i="57" s="1"/>
  <c r="B170" i="57" s="1"/>
  <c r="B171" i="57" s="1"/>
  <c r="B172" i="57" s="1"/>
  <c r="B173" i="57" s="1"/>
  <c r="B174" i="57" s="1"/>
  <c r="B175" i="57" s="1"/>
  <c r="B176" i="57" s="1"/>
  <c r="B36" i="57"/>
  <c r="C11" i="56"/>
  <c r="B37" i="56"/>
  <c r="AJ45" i="15"/>
  <c r="AJ44" i="15"/>
  <c r="AK25" i="15" l="1"/>
  <c r="AK15" i="15"/>
  <c r="AK9" i="15"/>
  <c r="D8" i="57"/>
  <c r="D10" i="57"/>
  <c r="D6" i="57"/>
  <c r="D9" i="57"/>
  <c r="D7" i="57"/>
  <c r="D5" i="57"/>
  <c r="G178" i="57"/>
  <c r="D12" i="57" s="1"/>
  <c r="D10" i="52"/>
  <c r="AJ38" i="15"/>
  <c r="AJ52" i="15"/>
  <c r="AJ55" i="15"/>
  <c r="AJ25" i="15"/>
  <c r="AJ24" i="15"/>
  <c r="AJ20" i="15"/>
  <c r="AJ19" i="15"/>
  <c r="AJ18" i="15"/>
  <c r="AJ16" i="15"/>
  <c r="AJ14" i="15"/>
  <c r="AJ12" i="15"/>
  <c r="AJ10" i="15"/>
  <c r="AJ8" i="15"/>
  <c r="AJ5" i="15"/>
  <c r="E251" i="55"/>
  <c r="AJ21" i="15" s="1"/>
  <c r="P249" i="55"/>
  <c r="M249" i="55"/>
  <c r="P248" i="55"/>
  <c r="M248" i="55"/>
  <c r="P247" i="55"/>
  <c r="M247" i="55"/>
  <c r="P246" i="55"/>
  <c r="M246" i="55"/>
  <c r="P245" i="55"/>
  <c r="M245" i="55"/>
  <c r="P244" i="55"/>
  <c r="M244" i="55"/>
  <c r="P243" i="55"/>
  <c r="M243" i="55"/>
  <c r="P242" i="55"/>
  <c r="M242" i="55"/>
  <c r="P241" i="55"/>
  <c r="M241" i="55"/>
  <c r="P240" i="55"/>
  <c r="M240" i="55"/>
  <c r="P239" i="55"/>
  <c r="M239" i="55"/>
  <c r="P238" i="55"/>
  <c r="M238" i="55"/>
  <c r="P237" i="55"/>
  <c r="M237" i="55"/>
  <c r="P236" i="55"/>
  <c r="M236" i="55"/>
  <c r="P235" i="55"/>
  <c r="M235" i="55"/>
  <c r="P234" i="55"/>
  <c r="M234" i="55"/>
  <c r="P233" i="55"/>
  <c r="M233" i="55"/>
  <c r="P232" i="55"/>
  <c r="M232" i="55"/>
  <c r="P231" i="55"/>
  <c r="M231" i="55"/>
  <c r="P230" i="55"/>
  <c r="M230" i="55"/>
  <c r="P229" i="55"/>
  <c r="M229" i="55"/>
  <c r="P228" i="55"/>
  <c r="M228" i="55"/>
  <c r="P227" i="55"/>
  <c r="M227" i="55"/>
  <c r="P226" i="55"/>
  <c r="M226" i="55"/>
  <c r="P225" i="55"/>
  <c r="M225" i="55"/>
  <c r="P224" i="55"/>
  <c r="M224" i="55"/>
  <c r="P223" i="55"/>
  <c r="M223" i="55"/>
  <c r="P222" i="55"/>
  <c r="M222" i="55"/>
  <c r="P221" i="55"/>
  <c r="M221" i="55"/>
  <c r="P220" i="55"/>
  <c r="M220" i="55"/>
  <c r="P219" i="55"/>
  <c r="M219" i="55"/>
  <c r="P218" i="55"/>
  <c r="M218" i="55"/>
  <c r="P217" i="55"/>
  <c r="M217" i="55"/>
  <c r="P216" i="55"/>
  <c r="M216" i="55"/>
  <c r="P215" i="55"/>
  <c r="M215" i="55"/>
  <c r="P214" i="55"/>
  <c r="M214" i="55"/>
  <c r="P213" i="55"/>
  <c r="M213" i="55"/>
  <c r="P212" i="55"/>
  <c r="M212" i="55"/>
  <c r="P211" i="55"/>
  <c r="M211" i="55"/>
  <c r="P210" i="55"/>
  <c r="M210" i="55"/>
  <c r="P209" i="55"/>
  <c r="M209" i="55"/>
  <c r="P208" i="55"/>
  <c r="M208" i="55"/>
  <c r="P207" i="55"/>
  <c r="M207" i="55"/>
  <c r="P206" i="55"/>
  <c r="M206" i="55"/>
  <c r="P205" i="55"/>
  <c r="M205" i="55"/>
  <c r="P204" i="55"/>
  <c r="M204" i="55"/>
  <c r="P203" i="55"/>
  <c r="M203" i="55"/>
  <c r="P202" i="55"/>
  <c r="M202" i="55"/>
  <c r="P201" i="55"/>
  <c r="M201" i="55"/>
  <c r="P200" i="55"/>
  <c r="M200" i="55"/>
  <c r="P199" i="55"/>
  <c r="M199" i="55"/>
  <c r="P198" i="55"/>
  <c r="M198" i="55"/>
  <c r="P197" i="55"/>
  <c r="M197" i="55"/>
  <c r="P196" i="55"/>
  <c r="M196" i="55"/>
  <c r="P195" i="55"/>
  <c r="M195" i="55"/>
  <c r="P194" i="55"/>
  <c r="M194" i="55"/>
  <c r="P193" i="55"/>
  <c r="M193" i="55"/>
  <c r="P192" i="55"/>
  <c r="M192" i="55"/>
  <c r="P191" i="55"/>
  <c r="M191" i="55"/>
  <c r="P190" i="55"/>
  <c r="M190" i="55"/>
  <c r="P189" i="55"/>
  <c r="M189" i="55"/>
  <c r="P188" i="55"/>
  <c r="M188" i="55"/>
  <c r="P187" i="55"/>
  <c r="M187" i="55"/>
  <c r="P186" i="55"/>
  <c r="M186" i="55"/>
  <c r="P185" i="55"/>
  <c r="M185" i="55"/>
  <c r="P184" i="55"/>
  <c r="M184" i="55"/>
  <c r="P183" i="55"/>
  <c r="M183" i="55"/>
  <c r="P182" i="55"/>
  <c r="M182" i="55"/>
  <c r="P181" i="55"/>
  <c r="M181" i="55"/>
  <c r="P180" i="55"/>
  <c r="M180" i="55"/>
  <c r="P179" i="55"/>
  <c r="M179" i="55"/>
  <c r="P178" i="55"/>
  <c r="M178" i="55"/>
  <c r="P177" i="55"/>
  <c r="M177" i="55"/>
  <c r="P176" i="55"/>
  <c r="M176" i="55"/>
  <c r="P175" i="55"/>
  <c r="M175" i="55"/>
  <c r="N175" i="55" s="1"/>
  <c r="P174" i="55"/>
  <c r="M174" i="55"/>
  <c r="O174" i="55" s="1"/>
  <c r="P173" i="55"/>
  <c r="O173" i="55"/>
  <c r="M173" i="55"/>
  <c r="N173" i="55" s="1"/>
  <c r="P172" i="55"/>
  <c r="M172" i="55"/>
  <c r="O172" i="55" s="1"/>
  <c r="P171" i="55"/>
  <c r="M171" i="55"/>
  <c r="P170" i="55"/>
  <c r="M170" i="55"/>
  <c r="N170" i="55" s="1"/>
  <c r="P169" i="55"/>
  <c r="M169" i="55"/>
  <c r="O169" i="55" s="1"/>
  <c r="P168" i="55"/>
  <c r="M168" i="55"/>
  <c r="O168" i="55" s="1"/>
  <c r="P167" i="55"/>
  <c r="M167" i="55"/>
  <c r="N167" i="55" s="1"/>
  <c r="P166" i="55"/>
  <c r="M166" i="55"/>
  <c r="O166" i="55" s="1"/>
  <c r="P165" i="55"/>
  <c r="M165" i="55"/>
  <c r="P164" i="55"/>
  <c r="M164" i="55"/>
  <c r="N164" i="55" s="1"/>
  <c r="P163" i="55"/>
  <c r="M163" i="55"/>
  <c r="N163" i="55" s="1"/>
  <c r="P162" i="55"/>
  <c r="M162" i="55"/>
  <c r="N162" i="55" s="1"/>
  <c r="P161" i="55"/>
  <c r="M161" i="55"/>
  <c r="N161" i="55" s="1"/>
  <c r="P160" i="55"/>
  <c r="M160" i="55"/>
  <c r="N160" i="55" s="1"/>
  <c r="P159" i="55"/>
  <c r="M159" i="55"/>
  <c r="N159" i="55" s="1"/>
  <c r="P158" i="55"/>
  <c r="M158" i="55"/>
  <c r="N158" i="55" s="1"/>
  <c r="P157" i="55"/>
  <c r="M157" i="55"/>
  <c r="N157" i="55" s="1"/>
  <c r="P156" i="55"/>
  <c r="M156" i="55"/>
  <c r="N156" i="55" s="1"/>
  <c r="P155" i="55"/>
  <c r="M155" i="55"/>
  <c r="N155" i="55" s="1"/>
  <c r="P154" i="55"/>
  <c r="M154" i="55"/>
  <c r="N154" i="55" s="1"/>
  <c r="P153" i="55"/>
  <c r="M153" i="55"/>
  <c r="N153" i="55" s="1"/>
  <c r="P152" i="55"/>
  <c r="M152" i="55"/>
  <c r="N152" i="55" s="1"/>
  <c r="P151" i="55"/>
  <c r="M151" i="55"/>
  <c r="N151" i="55" s="1"/>
  <c r="P150" i="55"/>
  <c r="M150" i="55"/>
  <c r="N150" i="55" s="1"/>
  <c r="P149" i="55"/>
  <c r="M149" i="55"/>
  <c r="N149" i="55" s="1"/>
  <c r="P148" i="55"/>
  <c r="M148" i="55"/>
  <c r="N148" i="55" s="1"/>
  <c r="P147" i="55"/>
  <c r="M147" i="55"/>
  <c r="N147" i="55" s="1"/>
  <c r="P146" i="55"/>
  <c r="M146" i="55"/>
  <c r="N146" i="55" s="1"/>
  <c r="P145" i="55"/>
  <c r="M145" i="55"/>
  <c r="N145" i="55" s="1"/>
  <c r="P144" i="55"/>
  <c r="M144" i="55"/>
  <c r="N144" i="55" s="1"/>
  <c r="P143" i="55"/>
  <c r="M143" i="55"/>
  <c r="N143" i="55" s="1"/>
  <c r="P142" i="55"/>
  <c r="M142" i="55"/>
  <c r="N142" i="55" s="1"/>
  <c r="P141" i="55"/>
  <c r="M141" i="55"/>
  <c r="N141" i="55" s="1"/>
  <c r="P140" i="55"/>
  <c r="M140" i="55"/>
  <c r="N140" i="55" s="1"/>
  <c r="P139" i="55"/>
  <c r="M139" i="55"/>
  <c r="P138" i="55"/>
  <c r="M138" i="55"/>
  <c r="O138" i="55" s="1"/>
  <c r="P137" i="55"/>
  <c r="M137" i="55"/>
  <c r="O137" i="55" s="1"/>
  <c r="P136" i="55"/>
  <c r="M136" i="55"/>
  <c r="O136" i="55" s="1"/>
  <c r="P135" i="55"/>
  <c r="M135" i="55"/>
  <c r="N135" i="55" s="1"/>
  <c r="P134" i="55"/>
  <c r="M134" i="55"/>
  <c r="N134" i="55" s="1"/>
  <c r="P133" i="55"/>
  <c r="M133" i="55"/>
  <c r="P132" i="55"/>
  <c r="M132" i="55"/>
  <c r="O132" i="55" s="1"/>
  <c r="P131" i="55"/>
  <c r="M131" i="55"/>
  <c r="O131" i="55" s="1"/>
  <c r="P130" i="55"/>
  <c r="M130" i="55"/>
  <c r="O130" i="55" s="1"/>
  <c r="P129" i="55"/>
  <c r="M129" i="55"/>
  <c r="N129" i="55" s="1"/>
  <c r="P128" i="55"/>
  <c r="M128" i="55"/>
  <c r="O128" i="55" s="1"/>
  <c r="P127" i="55"/>
  <c r="M127" i="55"/>
  <c r="P126" i="55"/>
  <c r="M126" i="55"/>
  <c r="O126" i="55" s="1"/>
  <c r="P125" i="55"/>
  <c r="M125" i="55"/>
  <c r="O125" i="55" s="1"/>
  <c r="P124" i="55"/>
  <c r="M124" i="55"/>
  <c r="O124" i="55" s="1"/>
  <c r="P123" i="55"/>
  <c r="M123" i="55"/>
  <c r="N123" i="55" s="1"/>
  <c r="P122" i="55"/>
  <c r="M122" i="55"/>
  <c r="N122" i="55" s="1"/>
  <c r="P121" i="55"/>
  <c r="M121" i="55"/>
  <c r="P120" i="55"/>
  <c r="M120" i="55"/>
  <c r="O120" i="55" s="1"/>
  <c r="P119" i="55"/>
  <c r="M119" i="55"/>
  <c r="O119" i="55" s="1"/>
  <c r="P118" i="55"/>
  <c r="M118" i="55"/>
  <c r="O118" i="55" s="1"/>
  <c r="P117" i="55"/>
  <c r="M117" i="55"/>
  <c r="N117" i="55" s="1"/>
  <c r="P116" i="55"/>
  <c r="M116" i="55"/>
  <c r="O116" i="55" s="1"/>
  <c r="P115" i="55"/>
  <c r="M115" i="55"/>
  <c r="P114" i="55"/>
  <c r="M114" i="55"/>
  <c r="P113" i="55"/>
  <c r="M113" i="55"/>
  <c r="O113" i="55" s="1"/>
  <c r="P112" i="55"/>
  <c r="M112" i="55"/>
  <c r="O112" i="55" s="1"/>
  <c r="P111" i="55"/>
  <c r="M111" i="55"/>
  <c r="N111" i="55" s="1"/>
  <c r="P110" i="55"/>
  <c r="M110" i="55"/>
  <c r="O110" i="55" s="1"/>
  <c r="P109" i="55"/>
  <c r="M109" i="55"/>
  <c r="P108" i="55"/>
  <c r="M108" i="55"/>
  <c r="P107" i="55"/>
  <c r="M107" i="55"/>
  <c r="P106" i="55"/>
  <c r="M106" i="55"/>
  <c r="O106" i="55" s="1"/>
  <c r="P105" i="55"/>
  <c r="M105" i="55"/>
  <c r="P104" i="55"/>
  <c r="M104" i="55"/>
  <c r="P103" i="55"/>
  <c r="M103" i="55"/>
  <c r="O103" i="55" s="1"/>
  <c r="P102" i="55"/>
  <c r="M102" i="55"/>
  <c r="O102" i="55" s="1"/>
  <c r="P101" i="55"/>
  <c r="M101" i="55"/>
  <c r="N101" i="55" s="1"/>
  <c r="P100" i="55"/>
  <c r="M100" i="55"/>
  <c r="O100" i="55" s="1"/>
  <c r="P99" i="55"/>
  <c r="M99" i="55"/>
  <c r="N99" i="55" s="1"/>
  <c r="P98" i="55"/>
  <c r="M98" i="55"/>
  <c r="O98" i="55" s="1"/>
  <c r="P97" i="55"/>
  <c r="M97" i="55"/>
  <c r="N97" i="55" s="1"/>
  <c r="P96" i="55"/>
  <c r="M96" i="55"/>
  <c r="O96" i="55" s="1"/>
  <c r="P95" i="55"/>
  <c r="M95" i="55"/>
  <c r="N95" i="55" s="1"/>
  <c r="P94" i="55"/>
  <c r="M94" i="55"/>
  <c r="O94" i="55" s="1"/>
  <c r="P93" i="55"/>
  <c r="M93" i="55"/>
  <c r="N93" i="55" s="1"/>
  <c r="P92" i="55"/>
  <c r="M92" i="55"/>
  <c r="O92" i="55" s="1"/>
  <c r="P91" i="55"/>
  <c r="M91" i="55"/>
  <c r="O91" i="55" s="1"/>
  <c r="P90" i="55"/>
  <c r="M90" i="55"/>
  <c r="N90" i="55" s="1"/>
  <c r="P89" i="55"/>
  <c r="M89" i="55"/>
  <c r="O89" i="55" s="1"/>
  <c r="P88" i="55"/>
  <c r="M88" i="55"/>
  <c r="O88" i="55" s="1"/>
  <c r="P87" i="55"/>
  <c r="M87" i="55"/>
  <c r="N87" i="55" s="1"/>
  <c r="P86" i="55"/>
  <c r="M86" i="55"/>
  <c r="O86" i="55" s="1"/>
  <c r="P85" i="55"/>
  <c r="M85" i="55"/>
  <c r="O85" i="55" s="1"/>
  <c r="P84" i="55"/>
  <c r="M84" i="55"/>
  <c r="P83" i="55"/>
  <c r="M83" i="55"/>
  <c r="O83" i="55" s="1"/>
  <c r="P82" i="55"/>
  <c r="M82" i="55"/>
  <c r="O82" i="55" s="1"/>
  <c r="P81" i="55"/>
  <c r="M81" i="55"/>
  <c r="P80" i="55"/>
  <c r="M80" i="55"/>
  <c r="P79" i="55"/>
  <c r="M79" i="55"/>
  <c r="O79" i="55" s="1"/>
  <c r="P78" i="55"/>
  <c r="M78" i="55"/>
  <c r="N78" i="55" s="1"/>
  <c r="P77" i="55"/>
  <c r="M77" i="55"/>
  <c r="O77" i="55" s="1"/>
  <c r="P76" i="55"/>
  <c r="M76" i="55"/>
  <c r="O76" i="55" s="1"/>
  <c r="P75" i="55"/>
  <c r="M75" i="55"/>
  <c r="P74" i="55"/>
  <c r="M74" i="55"/>
  <c r="P73" i="55"/>
  <c r="M73" i="55"/>
  <c r="N73" i="55" s="1"/>
  <c r="P72" i="55"/>
  <c r="M72" i="55"/>
  <c r="N72" i="55" s="1"/>
  <c r="P71" i="55"/>
  <c r="M71" i="55"/>
  <c r="O71" i="55" s="1"/>
  <c r="P70" i="55"/>
  <c r="M70" i="55"/>
  <c r="O70" i="55" s="1"/>
  <c r="P69" i="55"/>
  <c r="M69" i="55"/>
  <c r="P68" i="55"/>
  <c r="M68" i="55"/>
  <c r="P67" i="55"/>
  <c r="M67" i="55"/>
  <c r="O67" i="55" s="1"/>
  <c r="P66" i="55"/>
  <c r="M66" i="55"/>
  <c r="N66" i="55" s="1"/>
  <c r="P65" i="55"/>
  <c r="M65" i="55"/>
  <c r="O65" i="55" s="1"/>
  <c r="P64" i="55"/>
  <c r="M64" i="55"/>
  <c r="O64" i="55" s="1"/>
  <c r="P63" i="55"/>
  <c r="M63" i="55"/>
  <c r="P62" i="55"/>
  <c r="M62" i="55"/>
  <c r="P61" i="55"/>
  <c r="M61" i="55"/>
  <c r="O61" i="55" s="1"/>
  <c r="P60" i="55"/>
  <c r="M60" i="55"/>
  <c r="N60" i="55" s="1"/>
  <c r="P59" i="55"/>
  <c r="M59" i="55"/>
  <c r="O59" i="55" s="1"/>
  <c r="P58" i="55"/>
  <c r="M58" i="55"/>
  <c r="O58" i="55" s="1"/>
  <c r="P57" i="55"/>
  <c r="M57" i="55"/>
  <c r="P56" i="55"/>
  <c r="M56" i="55"/>
  <c r="P55" i="55"/>
  <c r="M55" i="55"/>
  <c r="O55" i="55" s="1"/>
  <c r="P54" i="55"/>
  <c r="M54" i="55"/>
  <c r="N54" i="55" s="1"/>
  <c r="P53" i="55"/>
  <c r="M53" i="55"/>
  <c r="O53" i="55" s="1"/>
  <c r="P52" i="55"/>
  <c r="M52" i="55"/>
  <c r="O52" i="55" s="1"/>
  <c r="P51" i="55"/>
  <c r="M51" i="55"/>
  <c r="P50" i="55"/>
  <c r="M50" i="55"/>
  <c r="P49" i="55"/>
  <c r="M49" i="55"/>
  <c r="O49" i="55" s="1"/>
  <c r="P48" i="55"/>
  <c r="M48" i="55"/>
  <c r="N48" i="55" s="1"/>
  <c r="P47" i="55"/>
  <c r="M47" i="55"/>
  <c r="O47" i="55" s="1"/>
  <c r="P46" i="55"/>
  <c r="M46" i="55"/>
  <c r="O46" i="55" s="1"/>
  <c r="P45" i="55"/>
  <c r="M45" i="55"/>
  <c r="P44" i="55"/>
  <c r="M44" i="55"/>
  <c r="N44" i="55" s="1"/>
  <c r="P43" i="55"/>
  <c r="M43" i="55"/>
  <c r="N43" i="55" s="1"/>
  <c r="P42" i="55"/>
  <c r="M42" i="55"/>
  <c r="N42" i="55" s="1"/>
  <c r="P41" i="55"/>
  <c r="M41" i="55"/>
  <c r="O41" i="55" s="1"/>
  <c r="P40" i="55"/>
  <c r="M40" i="55"/>
  <c r="O40" i="55" s="1"/>
  <c r="P39" i="55"/>
  <c r="M39" i="55"/>
  <c r="P38" i="55"/>
  <c r="M38" i="55"/>
  <c r="O38" i="55" s="1"/>
  <c r="P37" i="55"/>
  <c r="M37" i="55"/>
  <c r="O37" i="55" s="1"/>
  <c r="P36" i="55"/>
  <c r="M36" i="55"/>
  <c r="N36" i="55" s="1"/>
  <c r="P35" i="55"/>
  <c r="M35" i="55"/>
  <c r="O35" i="55" s="1"/>
  <c r="P34" i="55"/>
  <c r="M34" i="55"/>
  <c r="P33" i="55"/>
  <c r="M33" i="55"/>
  <c r="N33" i="55" s="1"/>
  <c r="P32" i="55"/>
  <c r="M32" i="55"/>
  <c r="P31" i="55"/>
  <c r="M31" i="55"/>
  <c r="N31" i="55" s="1"/>
  <c r="P30" i="55"/>
  <c r="M30" i="55"/>
  <c r="N30" i="55" s="1"/>
  <c r="P29" i="55"/>
  <c r="M29" i="55"/>
  <c r="O29" i="55" s="1"/>
  <c r="P28" i="55"/>
  <c r="M28" i="55"/>
  <c r="P27" i="55"/>
  <c r="M27" i="55"/>
  <c r="P26" i="55"/>
  <c r="M26" i="55"/>
  <c r="O26" i="55" s="1"/>
  <c r="P25" i="55"/>
  <c r="M25" i="55"/>
  <c r="O25" i="55" s="1"/>
  <c r="P24" i="55"/>
  <c r="M24" i="55"/>
  <c r="N24" i="55" s="1"/>
  <c r="P23" i="55"/>
  <c r="M23" i="55"/>
  <c r="O23" i="55" s="1"/>
  <c r="P22" i="55"/>
  <c r="M22" i="55"/>
  <c r="O22" i="55" s="1"/>
  <c r="P21" i="55"/>
  <c r="M21" i="55"/>
  <c r="P20" i="55"/>
  <c r="M20" i="55"/>
  <c r="O20" i="55" s="1"/>
  <c r="P19" i="55"/>
  <c r="M19" i="55"/>
  <c r="N19" i="55" s="1"/>
  <c r="B19" i="55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AJ39" i="15"/>
  <c r="AK26" i="15" l="1"/>
  <c r="O160" i="55"/>
  <c r="O152" i="55"/>
  <c r="G152" i="55" s="1"/>
  <c r="N169" i="55"/>
  <c r="G169" i="55" s="1"/>
  <c r="O175" i="55"/>
  <c r="G175" i="55" s="1"/>
  <c r="O147" i="55"/>
  <c r="O142" i="55"/>
  <c r="G142" i="55" s="1"/>
  <c r="O42" i="55"/>
  <c r="N112" i="55"/>
  <c r="G112" i="55" s="1"/>
  <c r="H112" i="55" s="1"/>
  <c r="O129" i="55"/>
  <c r="O134" i="55"/>
  <c r="G134" i="55" s="1"/>
  <c r="O145" i="55"/>
  <c r="G145" i="55" s="1"/>
  <c r="O150" i="55"/>
  <c r="G150" i="55" s="1"/>
  <c r="O155" i="55"/>
  <c r="O163" i="55"/>
  <c r="G163" i="55" s="1"/>
  <c r="O31" i="55"/>
  <c r="O101" i="55"/>
  <c r="G101" i="55" s="1"/>
  <c r="H101" i="55" s="1"/>
  <c r="N132" i="55"/>
  <c r="G132" i="55" s="1"/>
  <c r="O19" i="55"/>
  <c r="G19" i="55" s="1"/>
  <c r="N94" i="55"/>
  <c r="O167" i="55"/>
  <c r="O36" i="55"/>
  <c r="G36" i="55" s="1"/>
  <c r="N49" i="55"/>
  <c r="G49" i="55" s="1"/>
  <c r="H49" i="55" s="1"/>
  <c r="O54" i="55"/>
  <c r="G54" i="55" s="1"/>
  <c r="H54" i="55" s="1"/>
  <c r="N100" i="55"/>
  <c r="G100" i="55" s="1"/>
  <c r="H100" i="55" s="1"/>
  <c r="N128" i="55"/>
  <c r="G128" i="55" s="1"/>
  <c r="O149" i="55"/>
  <c r="G149" i="55" s="1"/>
  <c r="O162" i="55"/>
  <c r="N25" i="55"/>
  <c r="G25" i="55" s="1"/>
  <c r="H25" i="55" s="1"/>
  <c r="O30" i="55"/>
  <c r="G30" i="55" s="1"/>
  <c r="H30" i="55" s="1"/>
  <c r="N38" i="55"/>
  <c r="G38" i="55" s="1"/>
  <c r="O73" i="55"/>
  <c r="G73" i="55" s="1"/>
  <c r="H73" i="55" s="1"/>
  <c r="O146" i="55"/>
  <c r="G146" i="55" s="1"/>
  <c r="O159" i="55"/>
  <c r="G159" i="55" s="1"/>
  <c r="N172" i="55"/>
  <c r="G172" i="55" s="1"/>
  <c r="N102" i="55"/>
  <c r="G102" i="55" s="1"/>
  <c r="H102" i="55" s="1"/>
  <c r="N106" i="55"/>
  <c r="G106" i="55" s="1"/>
  <c r="H106" i="55" s="1"/>
  <c r="O135" i="55"/>
  <c r="G135" i="55" s="1"/>
  <c r="O161" i="55"/>
  <c r="G161" i="55" s="1"/>
  <c r="O164" i="55"/>
  <c r="G164" i="55" s="1"/>
  <c r="N37" i="55"/>
  <c r="G37" i="55" s="1"/>
  <c r="O43" i="55"/>
  <c r="G43" i="55" s="1"/>
  <c r="H43" i="55" s="1"/>
  <c r="O48" i="55"/>
  <c r="G48" i="55" s="1"/>
  <c r="H48" i="55" s="1"/>
  <c r="N55" i="55"/>
  <c r="G55" i="55" s="1"/>
  <c r="H55" i="55" s="1"/>
  <c r="O60" i="55"/>
  <c r="G60" i="55" s="1"/>
  <c r="H60" i="55" s="1"/>
  <c r="N67" i="55"/>
  <c r="G67" i="55" s="1"/>
  <c r="H67" i="55" s="1"/>
  <c r="O72" i="55"/>
  <c r="N79" i="55"/>
  <c r="G79" i="55" s="1"/>
  <c r="H79" i="55" s="1"/>
  <c r="O95" i="55"/>
  <c r="G95" i="55" s="1"/>
  <c r="H95" i="55" s="1"/>
  <c r="O97" i="55"/>
  <c r="G97" i="55" s="1"/>
  <c r="H97" i="55" s="1"/>
  <c r="O99" i="55"/>
  <c r="G99" i="55" s="1"/>
  <c r="H99" i="55" s="1"/>
  <c r="N116" i="55"/>
  <c r="G116" i="55" s="1"/>
  <c r="N120" i="55"/>
  <c r="G120" i="55" s="1"/>
  <c r="O122" i="55"/>
  <c r="G122" i="55" s="1"/>
  <c r="G129" i="55"/>
  <c r="O140" i="55"/>
  <c r="G140" i="55" s="1"/>
  <c r="G147" i="55"/>
  <c r="O148" i="55"/>
  <c r="G148" i="55" s="1"/>
  <c r="O153" i="55"/>
  <c r="G153" i="55" s="1"/>
  <c r="O158" i="55"/>
  <c r="G158" i="55" s="1"/>
  <c r="G160" i="55"/>
  <c r="N61" i="55"/>
  <c r="G61" i="55" s="1"/>
  <c r="H61" i="55" s="1"/>
  <c r="O66" i="55"/>
  <c r="G66" i="55" s="1"/>
  <c r="H66" i="55" s="1"/>
  <c r="O78" i="55"/>
  <c r="G78" i="55" s="1"/>
  <c r="H78" i="55" s="1"/>
  <c r="G94" i="55"/>
  <c r="H94" i="55" s="1"/>
  <c r="N98" i="55"/>
  <c r="G98" i="55" s="1"/>
  <c r="H98" i="55" s="1"/>
  <c r="N103" i="55"/>
  <c r="G103" i="55" s="1"/>
  <c r="H103" i="55" s="1"/>
  <c r="O123" i="55"/>
  <c r="G123" i="55" s="1"/>
  <c r="O144" i="55"/>
  <c r="G144" i="55" s="1"/>
  <c r="O157" i="55"/>
  <c r="G157" i="55" s="1"/>
  <c r="N88" i="55"/>
  <c r="G88" i="55" s="1"/>
  <c r="H88" i="55" s="1"/>
  <c r="O117" i="55"/>
  <c r="G117" i="55" s="1"/>
  <c r="N126" i="55"/>
  <c r="G126" i="55" s="1"/>
  <c r="O141" i="55"/>
  <c r="G141" i="55" s="1"/>
  <c r="O154" i="55"/>
  <c r="G154" i="55" s="1"/>
  <c r="N166" i="55"/>
  <c r="G166" i="55" s="1"/>
  <c r="O143" i="55"/>
  <c r="G143" i="55" s="1"/>
  <c r="O151" i="55"/>
  <c r="G151" i="55" s="1"/>
  <c r="O156" i="55"/>
  <c r="G156" i="55" s="1"/>
  <c r="O170" i="55"/>
  <c r="G170" i="55" s="1"/>
  <c r="G42" i="55"/>
  <c r="H42" i="55" s="1"/>
  <c r="O87" i="55"/>
  <c r="G87" i="55" s="1"/>
  <c r="H87" i="55" s="1"/>
  <c r="N91" i="55"/>
  <c r="G91" i="55" s="1"/>
  <c r="H91" i="55" s="1"/>
  <c r="N138" i="55"/>
  <c r="G138" i="55" s="1"/>
  <c r="G155" i="55"/>
  <c r="G162" i="55"/>
  <c r="G167" i="55"/>
  <c r="G173" i="55"/>
  <c r="B33" i="55"/>
  <c r="B35" i="55"/>
  <c r="N105" i="55"/>
  <c r="O105" i="55"/>
  <c r="O107" i="55"/>
  <c r="N107" i="55"/>
  <c r="G107" i="55" s="1"/>
  <c r="H107" i="55" s="1"/>
  <c r="O45" i="55"/>
  <c r="N45" i="55"/>
  <c r="G45" i="55" s="1"/>
  <c r="H45" i="55" s="1"/>
  <c r="O50" i="55"/>
  <c r="O139" i="55"/>
  <c r="N139" i="55"/>
  <c r="O28" i="55"/>
  <c r="N28" i="55"/>
  <c r="G28" i="55" s="1"/>
  <c r="H28" i="55" s="1"/>
  <c r="N32" i="55"/>
  <c r="O39" i="55"/>
  <c r="N50" i="55"/>
  <c r="O108" i="55"/>
  <c r="N108" i="55"/>
  <c r="G108" i="55" s="1"/>
  <c r="H108" i="55" s="1"/>
  <c r="O133" i="55"/>
  <c r="N133" i="55"/>
  <c r="N20" i="55"/>
  <c r="G20" i="55" s="1"/>
  <c r="N22" i="55"/>
  <c r="G22" i="55" s="1"/>
  <c r="H22" i="55" s="1"/>
  <c r="O27" i="55"/>
  <c r="O32" i="55"/>
  <c r="O21" i="55"/>
  <c r="N23" i="55"/>
  <c r="G23" i="55" s="1"/>
  <c r="H23" i="55" s="1"/>
  <c r="O24" i="55"/>
  <c r="G24" i="55" s="1"/>
  <c r="H24" i="55" s="1"/>
  <c r="N26" i="55"/>
  <c r="G26" i="55" s="1"/>
  <c r="H26" i="55" s="1"/>
  <c r="N27" i="55"/>
  <c r="G31" i="55"/>
  <c r="H31" i="55" s="1"/>
  <c r="N39" i="55"/>
  <c r="O44" i="55"/>
  <c r="G44" i="55" s="1"/>
  <c r="H44" i="55" s="1"/>
  <c r="O127" i="55"/>
  <c r="N127" i="55"/>
  <c r="N21" i="55"/>
  <c r="O34" i="55"/>
  <c r="N34" i="55"/>
  <c r="G72" i="55"/>
  <c r="H72" i="55" s="1"/>
  <c r="O104" i="55"/>
  <c r="N104" i="55"/>
  <c r="G104" i="55" s="1"/>
  <c r="H104" i="55" s="1"/>
  <c r="O109" i="55"/>
  <c r="N109" i="55"/>
  <c r="G109" i="55" s="1"/>
  <c r="H109" i="55" s="1"/>
  <c r="O121" i="55"/>
  <c r="N121" i="55"/>
  <c r="O33" i="55"/>
  <c r="G33" i="55" s="1"/>
  <c r="O51" i="55"/>
  <c r="N51" i="55"/>
  <c r="G51" i="55" s="1"/>
  <c r="H51" i="55" s="1"/>
  <c r="O56" i="55"/>
  <c r="N56" i="55"/>
  <c r="G56" i="55" s="1"/>
  <c r="H56" i="55" s="1"/>
  <c r="O62" i="55"/>
  <c r="N62" i="55"/>
  <c r="G62" i="55" s="1"/>
  <c r="H62" i="55" s="1"/>
  <c r="O68" i="55"/>
  <c r="N68" i="55"/>
  <c r="G68" i="55" s="1"/>
  <c r="H68" i="55" s="1"/>
  <c r="O74" i="55"/>
  <c r="N74" i="55"/>
  <c r="O80" i="55"/>
  <c r="N80" i="55"/>
  <c r="G80" i="55" s="1"/>
  <c r="H80" i="55" s="1"/>
  <c r="O115" i="55"/>
  <c r="N115" i="55"/>
  <c r="N57" i="55"/>
  <c r="G57" i="55" s="1"/>
  <c r="H57" i="55" s="1"/>
  <c r="N63" i="55"/>
  <c r="N69" i="55"/>
  <c r="N75" i="55"/>
  <c r="N81" i="55"/>
  <c r="N110" i="55"/>
  <c r="G110" i="55" s="1"/>
  <c r="H110" i="55" s="1"/>
  <c r="O111" i="55"/>
  <c r="G111" i="55" s="1"/>
  <c r="H111" i="55" s="1"/>
  <c r="N113" i="55"/>
  <c r="G113" i="55" s="1"/>
  <c r="H113" i="55" s="1"/>
  <c r="N114" i="55"/>
  <c r="O165" i="55"/>
  <c r="N165" i="55"/>
  <c r="G165" i="55" s="1"/>
  <c r="O171" i="55"/>
  <c r="N171" i="55"/>
  <c r="G171" i="55" s="1"/>
  <c r="N40" i="55"/>
  <c r="G40" i="55" s="1"/>
  <c r="H40" i="55" s="1"/>
  <c r="N46" i="55"/>
  <c r="G46" i="55" s="1"/>
  <c r="H46" i="55" s="1"/>
  <c r="N52" i="55"/>
  <c r="G52" i="55" s="1"/>
  <c r="H52" i="55" s="1"/>
  <c r="O57" i="55"/>
  <c r="N58" i="55"/>
  <c r="G58" i="55" s="1"/>
  <c r="H58" i="55" s="1"/>
  <c r="O63" i="55"/>
  <c r="N64" i="55"/>
  <c r="G64" i="55" s="1"/>
  <c r="H64" i="55" s="1"/>
  <c r="O69" i="55"/>
  <c r="N70" i="55"/>
  <c r="G70" i="55" s="1"/>
  <c r="H70" i="55" s="1"/>
  <c r="O75" i="55"/>
  <c r="N76" i="55"/>
  <c r="G76" i="55" s="1"/>
  <c r="H76" i="55" s="1"/>
  <c r="O81" i="55"/>
  <c r="G81" i="55" s="1"/>
  <c r="H81" i="55" s="1"/>
  <c r="N82" i="55"/>
  <c r="G82" i="55" s="1"/>
  <c r="H82" i="55" s="1"/>
  <c r="N83" i="55"/>
  <c r="G83" i="55" s="1"/>
  <c r="H83" i="55" s="1"/>
  <c r="N84" i="55"/>
  <c r="N85" i="55"/>
  <c r="G85" i="55" s="1"/>
  <c r="H85" i="55" s="1"/>
  <c r="O114" i="55"/>
  <c r="N119" i="55"/>
  <c r="G119" i="55" s="1"/>
  <c r="N125" i="55"/>
  <c r="G125" i="55" s="1"/>
  <c r="N131" i="55"/>
  <c r="G131" i="55" s="1"/>
  <c r="N137" i="55"/>
  <c r="G137" i="55" s="1"/>
  <c r="N29" i="55"/>
  <c r="G29" i="55" s="1"/>
  <c r="H29" i="55" s="1"/>
  <c r="N35" i="55"/>
  <c r="G35" i="55" s="1"/>
  <c r="H35" i="55" s="1"/>
  <c r="N41" i="55"/>
  <c r="G41" i="55" s="1"/>
  <c r="H41" i="55" s="1"/>
  <c r="N47" i="55"/>
  <c r="G47" i="55" s="1"/>
  <c r="H47" i="55" s="1"/>
  <c r="N53" i="55"/>
  <c r="G53" i="55" s="1"/>
  <c r="H53" i="55" s="1"/>
  <c r="N59" i="55"/>
  <c r="G59" i="55" s="1"/>
  <c r="H59" i="55" s="1"/>
  <c r="N65" i="55"/>
  <c r="G65" i="55" s="1"/>
  <c r="H65" i="55" s="1"/>
  <c r="N71" i="55"/>
  <c r="G71" i="55" s="1"/>
  <c r="H71" i="55" s="1"/>
  <c r="N77" i="55"/>
  <c r="G77" i="55" s="1"/>
  <c r="H77" i="55" s="1"/>
  <c r="O84" i="55"/>
  <c r="N86" i="55"/>
  <c r="G86" i="55" s="1"/>
  <c r="H86" i="55" s="1"/>
  <c r="N89" i="55"/>
  <c r="G89" i="55" s="1"/>
  <c r="H89" i="55" s="1"/>
  <c r="N118" i="55"/>
  <c r="G118" i="55" s="1"/>
  <c r="N124" i="55"/>
  <c r="G124" i="55" s="1"/>
  <c r="N130" i="55"/>
  <c r="G130" i="55" s="1"/>
  <c r="N136" i="55"/>
  <c r="G136" i="55" s="1"/>
  <c r="N176" i="55"/>
  <c r="O176" i="55"/>
  <c r="O90" i="55"/>
  <c r="G90" i="55" s="1"/>
  <c r="H90" i="55" s="1"/>
  <c r="N92" i="55"/>
  <c r="G92" i="55" s="1"/>
  <c r="H92" i="55" s="1"/>
  <c r="O93" i="55"/>
  <c r="G93" i="55" s="1"/>
  <c r="H93" i="55" s="1"/>
  <c r="N96" i="55"/>
  <c r="G96" i="55" s="1"/>
  <c r="H96" i="55" s="1"/>
  <c r="O178" i="55"/>
  <c r="N178" i="55"/>
  <c r="G178" i="55" s="1"/>
  <c r="O180" i="55"/>
  <c r="N180" i="55"/>
  <c r="O182" i="55"/>
  <c r="N182" i="55"/>
  <c r="O184" i="55"/>
  <c r="N184" i="55"/>
  <c r="G184" i="55" s="1"/>
  <c r="O186" i="55"/>
  <c r="N186" i="55"/>
  <c r="O188" i="55"/>
  <c r="N188" i="55"/>
  <c r="O190" i="55"/>
  <c r="N190" i="55"/>
  <c r="G190" i="55" s="1"/>
  <c r="O192" i="55"/>
  <c r="N192" i="55"/>
  <c r="O194" i="55"/>
  <c r="N194" i="55"/>
  <c r="O196" i="55"/>
  <c r="N196" i="55"/>
  <c r="G196" i="55" s="1"/>
  <c r="O198" i="55"/>
  <c r="N198" i="55"/>
  <c r="O200" i="55"/>
  <c r="N200" i="55"/>
  <c r="O202" i="55"/>
  <c r="N202" i="55"/>
  <c r="G202" i="55" s="1"/>
  <c r="O204" i="55"/>
  <c r="N204" i="55"/>
  <c r="O206" i="55"/>
  <c r="N206" i="55"/>
  <c r="O208" i="55"/>
  <c r="N208" i="55"/>
  <c r="G208" i="55" s="1"/>
  <c r="O210" i="55"/>
  <c r="N210" i="55"/>
  <c r="O212" i="55"/>
  <c r="N212" i="55"/>
  <c r="O214" i="55"/>
  <c r="N214" i="55"/>
  <c r="G214" i="55" s="1"/>
  <c r="O216" i="55"/>
  <c r="N216" i="55"/>
  <c r="O218" i="55"/>
  <c r="N218" i="55"/>
  <c r="O220" i="55"/>
  <c r="N220" i="55"/>
  <c r="G220" i="55" s="1"/>
  <c r="O222" i="55"/>
  <c r="N222" i="55"/>
  <c r="O224" i="55"/>
  <c r="N224" i="55"/>
  <c r="O226" i="55"/>
  <c r="N226" i="55"/>
  <c r="G226" i="55" s="1"/>
  <c r="O228" i="55"/>
  <c r="N228" i="55"/>
  <c r="O230" i="55"/>
  <c r="N230" i="55"/>
  <c r="O232" i="55"/>
  <c r="N232" i="55"/>
  <c r="G232" i="55" s="1"/>
  <c r="O234" i="55"/>
  <c r="N234" i="55"/>
  <c r="O236" i="55"/>
  <c r="N236" i="55"/>
  <c r="O238" i="55"/>
  <c r="N238" i="55"/>
  <c r="G238" i="55" s="1"/>
  <c r="O240" i="55"/>
  <c r="N240" i="55"/>
  <c r="O242" i="55"/>
  <c r="N242" i="55"/>
  <c r="O245" i="55"/>
  <c r="N245" i="55"/>
  <c r="G245" i="55" s="1"/>
  <c r="O248" i="55"/>
  <c r="N248" i="55"/>
  <c r="G248" i="55" s="1"/>
  <c r="G174" i="55"/>
  <c r="O243" i="55"/>
  <c r="N243" i="55"/>
  <c r="G243" i="55" s="1"/>
  <c r="O246" i="55"/>
  <c r="N246" i="55"/>
  <c r="G246" i="55" s="1"/>
  <c r="O249" i="55"/>
  <c r="N249" i="55"/>
  <c r="G249" i="55" s="1"/>
  <c r="N168" i="55"/>
  <c r="G168" i="55" s="1"/>
  <c r="N174" i="55"/>
  <c r="O177" i="55"/>
  <c r="N177" i="55"/>
  <c r="G177" i="55" s="1"/>
  <c r="O179" i="55"/>
  <c r="N179" i="55"/>
  <c r="G179" i="55" s="1"/>
  <c r="O181" i="55"/>
  <c r="N181" i="55"/>
  <c r="O183" i="55"/>
  <c r="N183" i="55"/>
  <c r="G183" i="55" s="1"/>
  <c r="O185" i="55"/>
  <c r="N185" i="55"/>
  <c r="G185" i="55" s="1"/>
  <c r="O187" i="55"/>
  <c r="N187" i="55"/>
  <c r="O189" i="55"/>
  <c r="N189" i="55"/>
  <c r="G189" i="55" s="1"/>
  <c r="O191" i="55"/>
  <c r="N191" i="55"/>
  <c r="G191" i="55" s="1"/>
  <c r="O193" i="55"/>
  <c r="N193" i="55"/>
  <c r="O195" i="55"/>
  <c r="N195" i="55"/>
  <c r="G195" i="55" s="1"/>
  <c r="O197" i="55"/>
  <c r="N197" i="55"/>
  <c r="G197" i="55" s="1"/>
  <c r="O199" i="55"/>
  <c r="N199" i="55"/>
  <c r="O201" i="55"/>
  <c r="N201" i="55"/>
  <c r="G201" i="55" s="1"/>
  <c r="O203" i="55"/>
  <c r="N203" i="55"/>
  <c r="G203" i="55" s="1"/>
  <c r="O205" i="55"/>
  <c r="N205" i="55"/>
  <c r="O207" i="55"/>
  <c r="N207" i="55"/>
  <c r="G207" i="55" s="1"/>
  <c r="O209" i="55"/>
  <c r="N209" i="55"/>
  <c r="G209" i="55" s="1"/>
  <c r="O211" i="55"/>
  <c r="N211" i="55"/>
  <c r="O213" i="55"/>
  <c r="N213" i="55"/>
  <c r="G213" i="55" s="1"/>
  <c r="O215" i="55"/>
  <c r="N215" i="55"/>
  <c r="G215" i="55" s="1"/>
  <c r="O217" i="55"/>
  <c r="N217" i="55"/>
  <c r="O219" i="55"/>
  <c r="N219" i="55"/>
  <c r="G219" i="55" s="1"/>
  <c r="O221" i="55"/>
  <c r="N221" i="55"/>
  <c r="G221" i="55" s="1"/>
  <c r="O223" i="55"/>
  <c r="N223" i="55"/>
  <c r="O225" i="55"/>
  <c r="N225" i="55"/>
  <c r="G225" i="55" s="1"/>
  <c r="O227" i="55"/>
  <c r="N227" i="55"/>
  <c r="G227" i="55" s="1"/>
  <c r="O229" i="55"/>
  <c r="N229" i="55"/>
  <c r="O231" i="55"/>
  <c r="N231" i="55"/>
  <c r="G231" i="55" s="1"/>
  <c r="O233" i="55"/>
  <c r="N233" i="55"/>
  <c r="G233" i="55" s="1"/>
  <c r="O235" i="55"/>
  <c r="N235" i="55"/>
  <c r="O237" i="55"/>
  <c r="N237" i="55"/>
  <c r="G237" i="55" s="1"/>
  <c r="O239" i="55"/>
  <c r="N239" i="55"/>
  <c r="G239" i="55" s="1"/>
  <c r="O241" i="55"/>
  <c r="N241" i="55"/>
  <c r="O244" i="55"/>
  <c r="N244" i="55"/>
  <c r="O247" i="55"/>
  <c r="N247" i="55"/>
  <c r="G247" i="55" s="1"/>
  <c r="AI12" i="15"/>
  <c r="AI10" i="15"/>
  <c r="AK29" i="15" l="1"/>
  <c r="AK34" i="15"/>
  <c r="AK60" i="15" s="1"/>
  <c r="H33" i="55"/>
  <c r="AJ17" i="15"/>
  <c r="H37" i="55"/>
  <c r="AJ11" i="15"/>
  <c r="H38" i="55"/>
  <c r="AJ13" i="15"/>
  <c r="G27" i="55"/>
  <c r="H27" i="55" s="1"/>
  <c r="G21" i="55"/>
  <c r="H21" i="55" s="1"/>
  <c r="H19" i="55"/>
  <c r="AJ9" i="15"/>
  <c r="H36" i="55"/>
  <c r="AJ15" i="15"/>
  <c r="G50" i="55"/>
  <c r="H50" i="55" s="1"/>
  <c r="G105" i="55"/>
  <c r="H105" i="55" s="1"/>
  <c r="G139" i="55"/>
  <c r="G242" i="55"/>
  <c r="G236" i="55"/>
  <c r="G230" i="55"/>
  <c r="G224" i="55"/>
  <c r="G218" i="55"/>
  <c r="G212" i="55"/>
  <c r="G206" i="55"/>
  <c r="G200" i="55"/>
  <c r="G194" i="55"/>
  <c r="G188" i="55"/>
  <c r="G182" i="55"/>
  <c r="G115" i="55"/>
  <c r="G74" i="55"/>
  <c r="H74" i="55" s="1"/>
  <c r="G127" i="55"/>
  <c r="G244" i="55"/>
  <c r="G114" i="55"/>
  <c r="H114" i="55" s="1"/>
  <c r="G63" i="55"/>
  <c r="H63" i="55" s="1"/>
  <c r="G34" i="55"/>
  <c r="H34" i="55" s="1"/>
  <c r="G39" i="55"/>
  <c r="H39" i="55" s="1"/>
  <c r="G133" i="55"/>
  <c r="G69" i="55"/>
  <c r="H69" i="55" s="1"/>
  <c r="G121" i="55"/>
  <c r="G176" i="55"/>
  <c r="G84" i="55"/>
  <c r="H84" i="55" s="1"/>
  <c r="G75" i="55"/>
  <c r="H75" i="55" s="1"/>
  <c r="G32" i="55"/>
  <c r="H32" i="55" s="1"/>
  <c r="G241" i="55"/>
  <c r="G235" i="55"/>
  <c r="G229" i="55"/>
  <c r="G223" i="55"/>
  <c r="G217" i="55"/>
  <c r="G211" i="55"/>
  <c r="G205" i="55"/>
  <c r="G199" i="55"/>
  <c r="G193" i="55"/>
  <c r="G187" i="55"/>
  <c r="G181" i="55"/>
  <c r="H20" i="55"/>
  <c r="G240" i="55"/>
  <c r="G234" i="55"/>
  <c r="G228" i="55"/>
  <c r="G222" i="55"/>
  <c r="G216" i="55"/>
  <c r="G210" i="55"/>
  <c r="G204" i="55"/>
  <c r="G198" i="55"/>
  <c r="G192" i="55"/>
  <c r="G186" i="55"/>
  <c r="G180" i="55"/>
  <c r="B34" i="55"/>
  <c r="B37" i="55" s="1"/>
  <c r="B38" i="55" s="1"/>
  <c r="B39" i="55" s="1"/>
  <c r="B40" i="55" s="1"/>
  <c r="B41" i="55" s="1"/>
  <c r="B42" i="55" s="1"/>
  <c r="B43" i="55" s="1"/>
  <c r="B44" i="55" s="1"/>
  <c r="B45" i="55" s="1"/>
  <c r="B46" i="55" s="1"/>
  <c r="B47" i="55" s="1"/>
  <c r="B48" i="55" s="1"/>
  <c r="B49" i="55" s="1"/>
  <c r="B50" i="55" s="1"/>
  <c r="B51" i="55" s="1"/>
  <c r="B52" i="55" s="1"/>
  <c r="B53" i="55" s="1"/>
  <c r="B54" i="55" s="1"/>
  <c r="B55" i="55" s="1"/>
  <c r="B56" i="55" s="1"/>
  <c r="B57" i="55" s="1"/>
  <c r="B58" i="55" s="1"/>
  <c r="B59" i="55" s="1"/>
  <c r="B60" i="55" s="1"/>
  <c r="B61" i="55" s="1"/>
  <c r="B62" i="55" s="1"/>
  <c r="B63" i="55" s="1"/>
  <c r="B64" i="55" s="1"/>
  <c r="B65" i="55" s="1"/>
  <c r="B66" i="55" s="1"/>
  <c r="B67" i="55" s="1"/>
  <c r="B68" i="55" s="1"/>
  <c r="B69" i="55" s="1"/>
  <c r="B70" i="55" s="1"/>
  <c r="B71" i="55" s="1"/>
  <c r="B72" i="55" s="1"/>
  <c r="B73" i="55" s="1"/>
  <c r="B74" i="55" s="1"/>
  <c r="B75" i="55" s="1"/>
  <c r="B76" i="55" s="1"/>
  <c r="B77" i="55" s="1"/>
  <c r="B78" i="55" s="1"/>
  <c r="B79" i="55" s="1"/>
  <c r="B80" i="55" s="1"/>
  <c r="B81" i="55" s="1"/>
  <c r="B82" i="55" s="1"/>
  <c r="B83" i="55" s="1"/>
  <c r="B84" i="55" s="1"/>
  <c r="B85" i="55" s="1"/>
  <c r="B86" i="55" s="1"/>
  <c r="B87" i="55" s="1"/>
  <c r="B88" i="55" s="1"/>
  <c r="B89" i="55" s="1"/>
  <c r="B90" i="55" s="1"/>
  <c r="B91" i="55" s="1"/>
  <c r="B92" i="55" s="1"/>
  <c r="B93" i="55" s="1"/>
  <c r="B94" i="55" s="1"/>
  <c r="B95" i="55" s="1"/>
  <c r="B96" i="55" s="1"/>
  <c r="B97" i="55" s="1"/>
  <c r="B98" i="55" s="1"/>
  <c r="B99" i="55" s="1"/>
  <c r="B100" i="55" s="1"/>
  <c r="B101" i="55" s="1"/>
  <c r="B102" i="55" s="1"/>
  <c r="B103" i="55" s="1"/>
  <c r="B104" i="55" s="1"/>
  <c r="B105" i="55" s="1"/>
  <c r="B106" i="55" s="1"/>
  <c r="B107" i="55" s="1"/>
  <c r="B108" i="55" s="1"/>
  <c r="B109" i="55" s="1"/>
  <c r="B110" i="55" s="1"/>
  <c r="B111" i="55" s="1"/>
  <c r="B112" i="55" s="1"/>
  <c r="B113" i="55" s="1"/>
  <c r="B114" i="55" s="1"/>
  <c r="B115" i="55" s="1"/>
  <c r="B116" i="55" s="1"/>
  <c r="B117" i="55" s="1"/>
  <c r="B118" i="55" s="1"/>
  <c r="B119" i="55" s="1"/>
  <c r="B120" i="55" s="1"/>
  <c r="B121" i="55" s="1"/>
  <c r="B122" i="55" s="1"/>
  <c r="B123" i="55" s="1"/>
  <c r="B124" i="55" s="1"/>
  <c r="B125" i="55" s="1"/>
  <c r="B126" i="55" s="1"/>
  <c r="B127" i="55" s="1"/>
  <c r="B128" i="55" s="1"/>
  <c r="B129" i="55" s="1"/>
  <c r="B130" i="55" s="1"/>
  <c r="B131" i="55" s="1"/>
  <c r="B132" i="55" s="1"/>
  <c r="B133" i="55" s="1"/>
  <c r="B134" i="55" s="1"/>
  <c r="B135" i="55" s="1"/>
  <c r="B136" i="55" s="1"/>
  <c r="B137" i="55" s="1"/>
  <c r="B138" i="55" s="1"/>
  <c r="B139" i="55" s="1"/>
  <c r="B140" i="55" s="1"/>
  <c r="B141" i="55" s="1"/>
  <c r="B142" i="55" s="1"/>
  <c r="B143" i="55" s="1"/>
  <c r="B144" i="55" s="1"/>
  <c r="B145" i="55" s="1"/>
  <c r="B146" i="55" s="1"/>
  <c r="B147" i="55" s="1"/>
  <c r="B148" i="55" s="1"/>
  <c r="B149" i="55" s="1"/>
  <c r="B150" i="55" s="1"/>
  <c r="B151" i="55" s="1"/>
  <c r="B152" i="55" s="1"/>
  <c r="B153" i="55" s="1"/>
  <c r="B154" i="55" s="1"/>
  <c r="B155" i="55" s="1"/>
  <c r="B156" i="55" s="1"/>
  <c r="B157" i="55" s="1"/>
  <c r="B158" i="55" s="1"/>
  <c r="B159" i="55" s="1"/>
  <c r="B160" i="55" s="1"/>
  <c r="B161" i="55" s="1"/>
  <c r="B162" i="55" s="1"/>
  <c r="B163" i="55" s="1"/>
  <c r="B164" i="55" s="1"/>
  <c r="B165" i="55" s="1"/>
  <c r="B166" i="55" s="1"/>
  <c r="B167" i="55" s="1"/>
  <c r="B168" i="55" s="1"/>
  <c r="B169" i="55" s="1"/>
  <c r="B170" i="55" s="1"/>
  <c r="B171" i="55" s="1"/>
  <c r="B172" i="55" s="1"/>
  <c r="B173" i="55" s="1"/>
  <c r="B174" i="55" s="1"/>
  <c r="B175" i="55" s="1"/>
  <c r="B176" i="55" s="1"/>
  <c r="B177" i="55" s="1"/>
  <c r="B178" i="55" s="1"/>
  <c r="B179" i="55" s="1"/>
  <c r="B180" i="55" s="1"/>
  <c r="B181" i="55" s="1"/>
  <c r="B182" i="55" s="1"/>
  <c r="B183" i="55" s="1"/>
  <c r="B184" i="55" s="1"/>
  <c r="B185" i="55" s="1"/>
  <c r="B186" i="55" s="1"/>
  <c r="B187" i="55" s="1"/>
  <c r="B188" i="55" s="1"/>
  <c r="B189" i="55" s="1"/>
  <c r="B190" i="55" s="1"/>
  <c r="B191" i="55" s="1"/>
  <c r="B192" i="55" s="1"/>
  <c r="B193" i="55" s="1"/>
  <c r="B194" i="55" s="1"/>
  <c r="B195" i="55" s="1"/>
  <c r="B196" i="55" s="1"/>
  <c r="B197" i="55" s="1"/>
  <c r="B198" i="55" s="1"/>
  <c r="B199" i="55" s="1"/>
  <c r="B200" i="55" s="1"/>
  <c r="B201" i="55" s="1"/>
  <c r="B202" i="55" s="1"/>
  <c r="B203" i="55" s="1"/>
  <c r="B204" i="55" s="1"/>
  <c r="B205" i="55" s="1"/>
  <c r="B206" i="55" s="1"/>
  <c r="B207" i="55" s="1"/>
  <c r="B208" i="55" s="1"/>
  <c r="B209" i="55" s="1"/>
  <c r="B210" i="55" s="1"/>
  <c r="B211" i="55" s="1"/>
  <c r="B212" i="55" s="1"/>
  <c r="B213" i="55" s="1"/>
  <c r="B214" i="55" s="1"/>
  <c r="B215" i="55" s="1"/>
  <c r="B216" i="55" s="1"/>
  <c r="B217" i="55" s="1"/>
  <c r="B218" i="55" s="1"/>
  <c r="B219" i="55" s="1"/>
  <c r="B220" i="55" s="1"/>
  <c r="B221" i="55" s="1"/>
  <c r="B222" i="55" s="1"/>
  <c r="B223" i="55" s="1"/>
  <c r="B224" i="55" s="1"/>
  <c r="B225" i="55" s="1"/>
  <c r="B226" i="55" s="1"/>
  <c r="B227" i="55" s="1"/>
  <c r="B228" i="55" s="1"/>
  <c r="B229" i="55" s="1"/>
  <c r="B230" i="55" s="1"/>
  <c r="B231" i="55" s="1"/>
  <c r="B232" i="55" s="1"/>
  <c r="B233" i="55" s="1"/>
  <c r="B234" i="55" s="1"/>
  <c r="B235" i="55" s="1"/>
  <c r="B236" i="55" s="1"/>
  <c r="B237" i="55" s="1"/>
  <c r="B238" i="55" s="1"/>
  <c r="B239" i="55" s="1"/>
  <c r="B240" i="55" s="1"/>
  <c r="B241" i="55" s="1"/>
  <c r="B242" i="55" s="1"/>
  <c r="B243" i="55" s="1"/>
  <c r="B244" i="55" s="1"/>
  <c r="B245" i="55" s="1"/>
  <c r="B246" i="55" s="1"/>
  <c r="B247" i="55" s="1"/>
  <c r="B248" i="55" s="1"/>
  <c r="B249" i="55" s="1"/>
  <c r="B36" i="55"/>
  <c r="AI54" i="15"/>
  <c r="AI38" i="15"/>
  <c r="AI52" i="15"/>
  <c r="AI31" i="15"/>
  <c r="C30" i="47" s="1"/>
  <c r="AI45" i="15"/>
  <c r="AI44" i="15"/>
  <c r="D7" i="55" l="1"/>
  <c r="G251" i="55"/>
  <c r="D12" i="55" s="1"/>
  <c r="D11" i="55"/>
  <c r="D5" i="55"/>
  <c r="D9" i="55"/>
  <c r="D10" i="55"/>
  <c r="D6" i="55"/>
  <c r="D8" i="55"/>
  <c r="AI24" i="15"/>
  <c r="AI20" i="15"/>
  <c r="AI19" i="15"/>
  <c r="AI18" i="15"/>
  <c r="AI16" i="15"/>
  <c r="AI14" i="15"/>
  <c r="AI8" i="15"/>
  <c r="AI5" i="15"/>
  <c r="G64" i="53"/>
  <c r="H64" i="53" s="1"/>
  <c r="P249" i="54"/>
  <c r="M249" i="54"/>
  <c r="O249" i="54" s="1"/>
  <c r="P248" i="54"/>
  <c r="M248" i="54"/>
  <c r="O248" i="54" s="1"/>
  <c r="P247" i="54"/>
  <c r="M247" i="54"/>
  <c r="O247" i="54" s="1"/>
  <c r="P246" i="54"/>
  <c r="M246" i="54"/>
  <c r="P245" i="54"/>
  <c r="M245" i="54"/>
  <c r="O245" i="54" s="1"/>
  <c r="P244" i="54"/>
  <c r="M244" i="54"/>
  <c r="O244" i="54" s="1"/>
  <c r="P243" i="54"/>
  <c r="M243" i="54"/>
  <c r="O243" i="54" s="1"/>
  <c r="P242" i="54"/>
  <c r="M242" i="54"/>
  <c r="N242" i="54" s="1"/>
  <c r="P241" i="54"/>
  <c r="M241" i="54"/>
  <c r="O241" i="54" s="1"/>
  <c r="P240" i="54"/>
  <c r="N240" i="54"/>
  <c r="M240" i="54"/>
  <c r="O240" i="54" s="1"/>
  <c r="P239" i="54"/>
  <c r="M239" i="54"/>
  <c r="O239" i="54" s="1"/>
  <c r="P238" i="54"/>
  <c r="M238" i="54"/>
  <c r="N238" i="54" s="1"/>
  <c r="P237" i="54"/>
  <c r="M237" i="54"/>
  <c r="O237" i="54" s="1"/>
  <c r="P236" i="54"/>
  <c r="M236" i="54"/>
  <c r="O236" i="54" s="1"/>
  <c r="P235" i="54"/>
  <c r="M235" i="54"/>
  <c r="O235" i="54" s="1"/>
  <c r="P234" i="54"/>
  <c r="M234" i="54"/>
  <c r="P233" i="54"/>
  <c r="M233" i="54"/>
  <c r="O233" i="54" s="1"/>
  <c r="P232" i="54"/>
  <c r="M232" i="54"/>
  <c r="O232" i="54" s="1"/>
  <c r="P231" i="54"/>
  <c r="M231" i="54"/>
  <c r="O231" i="54" s="1"/>
  <c r="P230" i="54"/>
  <c r="M230" i="54"/>
  <c r="N230" i="54" s="1"/>
  <c r="P229" i="54"/>
  <c r="M229" i="54"/>
  <c r="O229" i="54" s="1"/>
  <c r="P228" i="54"/>
  <c r="M228" i="54"/>
  <c r="O228" i="54" s="1"/>
  <c r="P227" i="54"/>
  <c r="M227" i="54"/>
  <c r="O227" i="54" s="1"/>
  <c r="P226" i="54"/>
  <c r="M226" i="54"/>
  <c r="P225" i="54"/>
  <c r="M225" i="54"/>
  <c r="O225" i="54" s="1"/>
  <c r="P224" i="54"/>
  <c r="M224" i="54"/>
  <c r="O224" i="54" s="1"/>
  <c r="P223" i="54"/>
  <c r="M223" i="54"/>
  <c r="O223" i="54" s="1"/>
  <c r="P222" i="54"/>
  <c r="M222" i="54"/>
  <c r="P221" i="54"/>
  <c r="M221" i="54"/>
  <c r="O221" i="54" s="1"/>
  <c r="P220" i="54"/>
  <c r="M220" i="54"/>
  <c r="O220" i="54" s="1"/>
  <c r="P219" i="54"/>
  <c r="M219" i="54"/>
  <c r="O219" i="54" s="1"/>
  <c r="P218" i="54"/>
  <c r="M218" i="54"/>
  <c r="P217" i="54"/>
  <c r="M217" i="54"/>
  <c r="O217" i="54" s="1"/>
  <c r="P216" i="54"/>
  <c r="M216" i="54"/>
  <c r="O216" i="54" s="1"/>
  <c r="P215" i="54"/>
  <c r="M215" i="54"/>
  <c r="O215" i="54" s="1"/>
  <c r="P214" i="54"/>
  <c r="N214" i="54"/>
  <c r="M214" i="54"/>
  <c r="P213" i="54"/>
  <c r="M213" i="54"/>
  <c r="O213" i="54" s="1"/>
  <c r="P212" i="54"/>
  <c r="M212" i="54"/>
  <c r="O212" i="54" s="1"/>
  <c r="P211" i="54"/>
  <c r="M211" i="54"/>
  <c r="O211" i="54" s="1"/>
  <c r="P210" i="54"/>
  <c r="M210" i="54"/>
  <c r="N210" i="54" s="1"/>
  <c r="P209" i="54"/>
  <c r="M209" i="54"/>
  <c r="O209" i="54" s="1"/>
  <c r="P208" i="54"/>
  <c r="M208" i="54"/>
  <c r="O208" i="54" s="1"/>
  <c r="P207" i="54"/>
  <c r="M207" i="54"/>
  <c r="N207" i="54" s="1"/>
  <c r="P206" i="54"/>
  <c r="M206" i="54"/>
  <c r="N206" i="54" s="1"/>
  <c r="P205" i="54"/>
  <c r="N205" i="54"/>
  <c r="G205" i="54" s="1"/>
  <c r="M205" i="54"/>
  <c r="O205" i="54" s="1"/>
  <c r="P204" i="54"/>
  <c r="M204" i="54"/>
  <c r="O204" i="54" s="1"/>
  <c r="P203" i="54"/>
  <c r="M203" i="54"/>
  <c r="O203" i="54" s="1"/>
  <c r="P202" i="54"/>
  <c r="M202" i="54"/>
  <c r="N202" i="54" s="1"/>
  <c r="P201" i="54"/>
  <c r="M201" i="54"/>
  <c r="O201" i="54" s="1"/>
  <c r="P200" i="54"/>
  <c r="M200" i="54"/>
  <c r="O200" i="54" s="1"/>
  <c r="P199" i="54"/>
  <c r="M199" i="54"/>
  <c r="O199" i="54" s="1"/>
  <c r="P198" i="54"/>
  <c r="M198" i="54"/>
  <c r="N198" i="54" s="1"/>
  <c r="P197" i="54"/>
  <c r="M197" i="54"/>
  <c r="O197" i="54" s="1"/>
  <c r="P196" i="54"/>
  <c r="M196" i="54"/>
  <c r="O196" i="54" s="1"/>
  <c r="P195" i="54"/>
  <c r="M195" i="54"/>
  <c r="N195" i="54" s="1"/>
  <c r="P194" i="54"/>
  <c r="M194" i="54"/>
  <c r="O194" i="54" s="1"/>
  <c r="P193" i="54"/>
  <c r="M193" i="54"/>
  <c r="O193" i="54" s="1"/>
  <c r="P192" i="54"/>
  <c r="M192" i="54"/>
  <c r="O192" i="54" s="1"/>
  <c r="P191" i="54"/>
  <c r="M191" i="54"/>
  <c r="O191" i="54" s="1"/>
  <c r="P190" i="54"/>
  <c r="M190" i="54"/>
  <c r="O190" i="54" s="1"/>
  <c r="P189" i="54"/>
  <c r="M189" i="54"/>
  <c r="O189" i="54" s="1"/>
  <c r="P188" i="54"/>
  <c r="M188" i="54"/>
  <c r="O188" i="54" s="1"/>
  <c r="P187" i="54"/>
  <c r="M187" i="54"/>
  <c r="O187" i="54" s="1"/>
  <c r="P186" i="54"/>
  <c r="M186" i="54"/>
  <c r="O186" i="54" s="1"/>
  <c r="P185" i="54"/>
  <c r="M185" i="54"/>
  <c r="O185" i="54" s="1"/>
  <c r="P184" i="54"/>
  <c r="M184" i="54"/>
  <c r="O184" i="54" s="1"/>
  <c r="P183" i="54"/>
  <c r="M183" i="54"/>
  <c r="O183" i="54" s="1"/>
  <c r="P182" i="54"/>
  <c r="M182" i="54"/>
  <c r="O182" i="54" s="1"/>
  <c r="P181" i="54"/>
  <c r="M181" i="54"/>
  <c r="O181" i="54" s="1"/>
  <c r="P180" i="54"/>
  <c r="M180" i="54"/>
  <c r="O180" i="54" s="1"/>
  <c r="P179" i="54"/>
  <c r="M179" i="54"/>
  <c r="N179" i="54" s="1"/>
  <c r="P178" i="54"/>
  <c r="M178" i="54"/>
  <c r="O178" i="54" s="1"/>
  <c r="P177" i="54"/>
  <c r="M177" i="54"/>
  <c r="O177" i="54" s="1"/>
  <c r="P176" i="54"/>
  <c r="M176" i="54"/>
  <c r="O176" i="54" s="1"/>
  <c r="P175" i="54"/>
  <c r="M175" i="54"/>
  <c r="O175" i="54" s="1"/>
  <c r="P174" i="54"/>
  <c r="M174" i="54"/>
  <c r="O174" i="54" s="1"/>
  <c r="P173" i="54"/>
  <c r="M173" i="54"/>
  <c r="O173" i="54" s="1"/>
  <c r="P172" i="54"/>
  <c r="M172" i="54"/>
  <c r="N172" i="54" s="1"/>
  <c r="P171" i="54"/>
  <c r="M171" i="54"/>
  <c r="O171" i="54" s="1"/>
  <c r="P170" i="54"/>
  <c r="M170" i="54"/>
  <c r="O170" i="54" s="1"/>
  <c r="P169" i="54"/>
  <c r="M169" i="54"/>
  <c r="O169" i="54" s="1"/>
  <c r="P168" i="54"/>
  <c r="M168" i="54"/>
  <c r="N168" i="54" s="1"/>
  <c r="P167" i="54"/>
  <c r="M167" i="54"/>
  <c r="O167" i="54" s="1"/>
  <c r="P166" i="54"/>
  <c r="M166" i="54"/>
  <c r="O166" i="54" s="1"/>
  <c r="P165" i="54"/>
  <c r="M165" i="54"/>
  <c r="O165" i="54" s="1"/>
  <c r="P164" i="54"/>
  <c r="M164" i="54"/>
  <c r="O164" i="54" s="1"/>
  <c r="P163" i="54"/>
  <c r="O163" i="54"/>
  <c r="M163" i="54"/>
  <c r="N163" i="54" s="1"/>
  <c r="P162" i="54"/>
  <c r="M162" i="54"/>
  <c r="O162" i="54" s="1"/>
  <c r="P161" i="54"/>
  <c r="M161" i="54"/>
  <c r="O161" i="54" s="1"/>
  <c r="P160" i="54"/>
  <c r="M160" i="54"/>
  <c r="O160" i="54" s="1"/>
  <c r="P159" i="54"/>
  <c r="M159" i="54"/>
  <c r="N159" i="54" s="1"/>
  <c r="P158" i="54"/>
  <c r="M158" i="54"/>
  <c r="O158" i="54" s="1"/>
  <c r="P157" i="54"/>
  <c r="M157" i="54"/>
  <c r="O157" i="54" s="1"/>
  <c r="P156" i="54"/>
  <c r="M156" i="54"/>
  <c r="O156" i="54" s="1"/>
  <c r="P155" i="54"/>
  <c r="M155" i="54"/>
  <c r="O155" i="54" s="1"/>
  <c r="P154" i="54"/>
  <c r="M154" i="54"/>
  <c r="O154" i="54" s="1"/>
  <c r="P153" i="54"/>
  <c r="M153" i="54"/>
  <c r="O153" i="54" s="1"/>
  <c r="P152" i="54"/>
  <c r="M152" i="54"/>
  <c r="O152" i="54" s="1"/>
  <c r="P151" i="54"/>
  <c r="O151" i="54"/>
  <c r="N151" i="54"/>
  <c r="M151" i="54"/>
  <c r="P150" i="54"/>
  <c r="M150" i="54"/>
  <c r="O150" i="54" s="1"/>
  <c r="P149" i="54"/>
  <c r="M149" i="54"/>
  <c r="O149" i="54" s="1"/>
  <c r="P148" i="54"/>
  <c r="M148" i="54"/>
  <c r="O148" i="54" s="1"/>
  <c r="P147" i="54"/>
  <c r="M147" i="54"/>
  <c r="O147" i="54" s="1"/>
  <c r="P146" i="54"/>
  <c r="M146" i="54"/>
  <c r="O146" i="54" s="1"/>
  <c r="P145" i="54"/>
  <c r="M145" i="54"/>
  <c r="O145" i="54" s="1"/>
  <c r="P144" i="54"/>
  <c r="M144" i="54"/>
  <c r="O144" i="54" s="1"/>
  <c r="P143" i="54"/>
  <c r="M143" i="54"/>
  <c r="O143" i="54" s="1"/>
  <c r="P142" i="54"/>
  <c r="M142" i="54"/>
  <c r="O142" i="54" s="1"/>
  <c r="P141" i="54"/>
  <c r="M141" i="54"/>
  <c r="O141" i="54" s="1"/>
  <c r="P140" i="54"/>
  <c r="M140" i="54"/>
  <c r="O140" i="54" s="1"/>
  <c r="P139" i="54"/>
  <c r="M139" i="54"/>
  <c r="O139" i="54" s="1"/>
  <c r="P138" i="54"/>
  <c r="M138" i="54"/>
  <c r="O138" i="54" s="1"/>
  <c r="P137" i="54"/>
  <c r="M137" i="54"/>
  <c r="O137" i="54" s="1"/>
  <c r="P136" i="54"/>
  <c r="M136" i="54"/>
  <c r="O136" i="54" s="1"/>
  <c r="P135" i="54"/>
  <c r="M135" i="54"/>
  <c r="N135" i="54" s="1"/>
  <c r="P134" i="54"/>
  <c r="M134" i="54"/>
  <c r="O134" i="54" s="1"/>
  <c r="P133" i="54"/>
  <c r="M133" i="54"/>
  <c r="N133" i="54" s="1"/>
  <c r="P132" i="54"/>
  <c r="M132" i="54"/>
  <c r="O132" i="54" s="1"/>
  <c r="P131" i="54"/>
  <c r="M131" i="54"/>
  <c r="O131" i="54" s="1"/>
  <c r="P130" i="54"/>
  <c r="M130" i="54"/>
  <c r="O130" i="54" s="1"/>
  <c r="P129" i="54"/>
  <c r="M129" i="54"/>
  <c r="O129" i="54" s="1"/>
  <c r="P128" i="54"/>
  <c r="M128" i="54"/>
  <c r="O128" i="54" s="1"/>
  <c r="P127" i="54"/>
  <c r="M127" i="54"/>
  <c r="O127" i="54" s="1"/>
  <c r="P126" i="54"/>
  <c r="M126" i="54"/>
  <c r="O126" i="54" s="1"/>
  <c r="P125" i="54"/>
  <c r="M125" i="54"/>
  <c r="O125" i="54" s="1"/>
  <c r="P124" i="54"/>
  <c r="M124" i="54"/>
  <c r="O124" i="54" s="1"/>
  <c r="P123" i="54"/>
  <c r="M123" i="54"/>
  <c r="O123" i="54" s="1"/>
  <c r="P122" i="54"/>
  <c r="M122" i="54"/>
  <c r="O122" i="54" s="1"/>
  <c r="P121" i="54"/>
  <c r="M121" i="54"/>
  <c r="N121" i="54" s="1"/>
  <c r="P120" i="54"/>
  <c r="M120" i="54"/>
  <c r="O120" i="54" s="1"/>
  <c r="P119" i="54"/>
  <c r="M119" i="54"/>
  <c r="O119" i="54" s="1"/>
  <c r="P118" i="54"/>
  <c r="M118" i="54"/>
  <c r="O118" i="54" s="1"/>
  <c r="P117" i="54"/>
  <c r="M117" i="54"/>
  <c r="P116" i="54"/>
  <c r="M116" i="54"/>
  <c r="O116" i="54" s="1"/>
  <c r="P115" i="54"/>
  <c r="M115" i="54"/>
  <c r="O115" i="54" s="1"/>
  <c r="P114" i="54"/>
  <c r="M114" i="54"/>
  <c r="P113" i="54"/>
  <c r="M113" i="54"/>
  <c r="N113" i="54" s="1"/>
  <c r="P112" i="54"/>
  <c r="M112" i="54"/>
  <c r="P111" i="54"/>
  <c r="M111" i="54"/>
  <c r="O111" i="54" s="1"/>
  <c r="P110" i="54"/>
  <c r="M110" i="54"/>
  <c r="N110" i="54" s="1"/>
  <c r="P109" i="54"/>
  <c r="O109" i="54"/>
  <c r="M109" i="54"/>
  <c r="N109" i="54" s="1"/>
  <c r="P108" i="54"/>
  <c r="M108" i="54"/>
  <c r="O108" i="54" s="1"/>
  <c r="P107" i="54"/>
  <c r="M107" i="54"/>
  <c r="O107" i="54" s="1"/>
  <c r="P106" i="54"/>
  <c r="M106" i="54"/>
  <c r="N106" i="54" s="1"/>
  <c r="P105" i="54"/>
  <c r="M105" i="54"/>
  <c r="P104" i="54"/>
  <c r="M104" i="54"/>
  <c r="O104" i="54" s="1"/>
  <c r="P103" i="54"/>
  <c r="M103" i="54"/>
  <c r="N103" i="54" s="1"/>
  <c r="P102" i="54"/>
  <c r="M102" i="54"/>
  <c r="P101" i="54"/>
  <c r="M101" i="54"/>
  <c r="N101" i="54" s="1"/>
  <c r="P100" i="54"/>
  <c r="O100" i="54"/>
  <c r="M100" i="54"/>
  <c r="N100" i="54" s="1"/>
  <c r="P99" i="54"/>
  <c r="M99" i="54"/>
  <c r="O99" i="54" s="1"/>
  <c r="P98" i="54"/>
  <c r="N98" i="54"/>
  <c r="M98" i="54"/>
  <c r="P97" i="54"/>
  <c r="M97" i="54"/>
  <c r="N97" i="54" s="1"/>
  <c r="P96" i="54"/>
  <c r="O96" i="54"/>
  <c r="N96" i="54"/>
  <c r="M96" i="54"/>
  <c r="P95" i="54"/>
  <c r="M95" i="54"/>
  <c r="O95" i="54" s="1"/>
  <c r="P94" i="54"/>
  <c r="M94" i="54"/>
  <c r="O94" i="54" s="1"/>
  <c r="P93" i="54"/>
  <c r="M93" i="54"/>
  <c r="N93" i="54" s="1"/>
  <c r="P92" i="54"/>
  <c r="M92" i="54"/>
  <c r="O92" i="54" s="1"/>
  <c r="P91" i="54"/>
  <c r="M91" i="54"/>
  <c r="N91" i="54" s="1"/>
  <c r="P90" i="54"/>
  <c r="M90" i="54"/>
  <c r="O90" i="54" s="1"/>
  <c r="P89" i="54"/>
  <c r="M89" i="54"/>
  <c r="O89" i="54" s="1"/>
  <c r="P88" i="54"/>
  <c r="M88" i="54"/>
  <c r="O88" i="54" s="1"/>
  <c r="P87" i="54"/>
  <c r="M87" i="54"/>
  <c r="O87" i="54" s="1"/>
  <c r="P86" i="54"/>
  <c r="M86" i="54"/>
  <c r="O86" i="54" s="1"/>
  <c r="P85" i="54"/>
  <c r="M85" i="54"/>
  <c r="P84" i="54"/>
  <c r="O84" i="54"/>
  <c r="M84" i="54"/>
  <c r="N84" i="54" s="1"/>
  <c r="P83" i="54"/>
  <c r="M83" i="54"/>
  <c r="P82" i="54"/>
  <c r="M82" i="54"/>
  <c r="O82" i="54" s="1"/>
  <c r="P81" i="54"/>
  <c r="M81" i="54"/>
  <c r="N81" i="54" s="1"/>
  <c r="P80" i="54"/>
  <c r="M80" i="54"/>
  <c r="P79" i="54"/>
  <c r="M79" i="54"/>
  <c r="O79" i="54" s="1"/>
  <c r="P78" i="54"/>
  <c r="M78" i="54"/>
  <c r="O78" i="54" s="1"/>
  <c r="P77" i="54"/>
  <c r="M77" i="54"/>
  <c r="N77" i="54" s="1"/>
  <c r="P76" i="54"/>
  <c r="M76" i="54"/>
  <c r="O76" i="54" s="1"/>
  <c r="P75" i="54"/>
  <c r="M75" i="54"/>
  <c r="N75" i="54" s="1"/>
  <c r="P74" i="54"/>
  <c r="M74" i="54"/>
  <c r="O74" i="54" s="1"/>
  <c r="P73" i="54"/>
  <c r="M73" i="54"/>
  <c r="N73" i="54" s="1"/>
  <c r="P72" i="54"/>
  <c r="M72" i="54"/>
  <c r="P71" i="54"/>
  <c r="M71" i="54"/>
  <c r="O71" i="54" s="1"/>
  <c r="P70" i="54"/>
  <c r="M70" i="54"/>
  <c r="N70" i="54" s="1"/>
  <c r="P69" i="54"/>
  <c r="M69" i="54"/>
  <c r="N69" i="54" s="1"/>
  <c r="P68" i="54"/>
  <c r="M68" i="54"/>
  <c r="O68" i="54" s="1"/>
  <c r="P67" i="54"/>
  <c r="M67" i="54"/>
  <c r="O67" i="54" s="1"/>
  <c r="P66" i="54"/>
  <c r="M66" i="54"/>
  <c r="P65" i="54"/>
  <c r="M65" i="54"/>
  <c r="O65" i="54" s="1"/>
  <c r="P64" i="54"/>
  <c r="M64" i="54"/>
  <c r="P63" i="54"/>
  <c r="M63" i="54"/>
  <c r="O63" i="54" s="1"/>
  <c r="P62" i="54"/>
  <c r="M62" i="54"/>
  <c r="O62" i="54" s="1"/>
  <c r="P61" i="54"/>
  <c r="M61" i="54"/>
  <c r="O61" i="54" s="1"/>
  <c r="P60" i="54"/>
  <c r="M60" i="54"/>
  <c r="O60" i="54" s="1"/>
  <c r="P59" i="54"/>
  <c r="M59" i="54"/>
  <c r="O59" i="54" s="1"/>
  <c r="P58" i="54"/>
  <c r="M58" i="54"/>
  <c r="P57" i="54"/>
  <c r="M57" i="54"/>
  <c r="N57" i="54" s="1"/>
  <c r="P56" i="54"/>
  <c r="M56" i="54"/>
  <c r="P55" i="54"/>
  <c r="M55" i="54"/>
  <c r="O55" i="54" s="1"/>
  <c r="P54" i="54"/>
  <c r="M54" i="54"/>
  <c r="O54" i="54" s="1"/>
  <c r="P53" i="54"/>
  <c r="M53" i="54"/>
  <c r="O53" i="54" s="1"/>
  <c r="P52" i="54"/>
  <c r="M52" i="54"/>
  <c r="O52" i="54" s="1"/>
  <c r="P51" i="54"/>
  <c r="M51" i="54"/>
  <c r="O51" i="54" s="1"/>
  <c r="P50" i="54"/>
  <c r="M50" i="54"/>
  <c r="O50" i="54" s="1"/>
  <c r="P49" i="54"/>
  <c r="M49" i="54"/>
  <c r="O49" i="54" s="1"/>
  <c r="P48" i="54"/>
  <c r="M48" i="54"/>
  <c r="P47" i="54"/>
  <c r="M47" i="54"/>
  <c r="O47" i="54" s="1"/>
  <c r="P46" i="54"/>
  <c r="M46" i="54"/>
  <c r="O46" i="54" s="1"/>
  <c r="P45" i="54"/>
  <c r="M45" i="54"/>
  <c r="O45" i="54" s="1"/>
  <c r="P44" i="54"/>
  <c r="M44" i="54"/>
  <c r="O44" i="54" s="1"/>
  <c r="P43" i="54"/>
  <c r="M43" i="54"/>
  <c r="N43" i="54" s="1"/>
  <c r="P42" i="54"/>
  <c r="M42" i="54"/>
  <c r="P41" i="54"/>
  <c r="M41" i="54"/>
  <c r="O41" i="54" s="1"/>
  <c r="P40" i="54"/>
  <c r="M40" i="54"/>
  <c r="P39" i="54"/>
  <c r="M39" i="54"/>
  <c r="O39" i="54" s="1"/>
  <c r="P38" i="54"/>
  <c r="M38" i="54"/>
  <c r="O38" i="54" s="1"/>
  <c r="P37" i="54"/>
  <c r="M37" i="54"/>
  <c r="N37" i="54" s="1"/>
  <c r="P36" i="54"/>
  <c r="M36" i="54"/>
  <c r="N36" i="54" s="1"/>
  <c r="P35" i="54"/>
  <c r="M35" i="54"/>
  <c r="N35" i="54" s="1"/>
  <c r="P34" i="54"/>
  <c r="M34" i="54"/>
  <c r="O34" i="54" s="1"/>
  <c r="P33" i="54"/>
  <c r="M33" i="54"/>
  <c r="N33" i="54" s="1"/>
  <c r="E251" i="54"/>
  <c r="P32" i="54"/>
  <c r="M32" i="54"/>
  <c r="N32" i="54" s="1"/>
  <c r="P31" i="54"/>
  <c r="M31" i="54"/>
  <c r="P30" i="54"/>
  <c r="M30" i="54"/>
  <c r="O30" i="54" s="1"/>
  <c r="P29" i="54"/>
  <c r="M29" i="54"/>
  <c r="N29" i="54" s="1"/>
  <c r="P28" i="54"/>
  <c r="M28" i="54"/>
  <c r="O28" i="54" s="1"/>
  <c r="P27" i="54"/>
  <c r="M27" i="54"/>
  <c r="O27" i="54" s="1"/>
  <c r="P26" i="54"/>
  <c r="M26" i="54"/>
  <c r="N26" i="54" s="1"/>
  <c r="P25" i="54"/>
  <c r="M25" i="54"/>
  <c r="O25" i="54" s="1"/>
  <c r="P24" i="54"/>
  <c r="M24" i="54"/>
  <c r="N24" i="54" s="1"/>
  <c r="P23" i="54"/>
  <c r="M23" i="54"/>
  <c r="P22" i="54"/>
  <c r="M22" i="54"/>
  <c r="O22" i="54" s="1"/>
  <c r="P21" i="54"/>
  <c r="M21" i="54"/>
  <c r="N21" i="54" s="1"/>
  <c r="P20" i="54"/>
  <c r="M20" i="54"/>
  <c r="O20" i="54" s="1"/>
  <c r="B20" i="54"/>
  <c r="B21" i="54" s="1"/>
  <c r="B22" i="54" s="1"/>
  <c r="B23" i="54" s="1"/>
  <c r="B24" i="54" s="1"/>
  <c r="B25" i="54" s="1"/>
  <c r="B26" i="54" s="1"/>
  <c r="B27" i="54" s="1"/>
  <c r="B28" i="54" s="1"/>
  <c r="B29" i="54" s="1"/>
  <c r="B30" i="54" s="1"/>
  <c r="B31" i="54" s="1"/>
  <c r="B32" i="54" s="1"/>
  <c r="P19" i="54"/>
  <c r="M19" i="54"/>
  <c r="N19" i="54" s="1"/>
  <c r="B19" i="54"/>
  <c r="AI39" i="15"/>
  <c r="AI55" i="15"/>
  <c r="AI57" i="15" s="1"/>
  <c r="E33" i="53"/>
  <c r="AH64" i="15"/>
  <c r="AG64" i="15"/>
  <c r="AJ28" i="15"/>
  <c r="N27" i="54" l="1"/>
  <c r="O36" i="54"/>
  <c r="N79" i="54"/>
  <c r="G84" i="54"/>
  <c r="H84" i="54" s="1"/>
  <c r="N76" i="54"/>
  <c r="O97" i="54"/>
  <c r="G97" i="54" s="1"/>
  <c r="H97" i="54" s="1"/>
  <c r="G96" i="54"/>
  <c r="H96" i="54" s="1"/>
  <c r="O75" i="54"/>
  <c r="G75" i="54" s="1"/>
  <c r="H75" i="54" s="1"/>
  <c r="N86" i="54"/>
  <c r="O24" i="54"/>
  <c r="G163" i="54"/>
  <c r="G24" i="54"/>
  <c r="H24" i="54" s="1"/>
  <c r="O73" i="54"/>
  <c r="G73" i="54" s="1"/>
  <c r="H73" i="54" s="1"/>
  <c r="G76" i="54"/>
  <c r="H76" i="54" s="1"/>
  <c r="O81" i="54"/>
  <c r="G81" i="54" s="1"/>
  <c r="H81" i="54" s="1"/>
  <c r="N89" i="54"/>
  <c r="G89" i="54" s="1"/>
  <c r="H89" i="54" s="1"/>
  <c r="O91" i="54"/>
  <c r="O103" i="54"/>
  <c r="N125" i="54"/>
  <c r="N49" i="54"/>
  <c r="G49" i="54" s="1"/>
  <c r="H49" i="54" s="1"/>
  <c r="G100" i="54"/>
  <c r="H100" i="54" s="1"/>
  <c r="N108" i="54"/>
  <c r="G108" i="54" s="1"/>
  <c r="H108" i="54" s="1"/>
  <c r="N60" i="54"/>
  <c r="N82" i="54"/>
  <c r="O207" i="54"/>
  <c r="N94" i="54"/>
  <c r="G94" i="54" s="1"/>
  <c r="H94" i="54" s="1"/>
  <c r="N87" i="54"/>
  <c r="G87" i="54" s="1"/>
  <c r="H87" i="54" s="1"/>
  <c r="N92" i="54"/>
  <c r="G92" i="54" s="1"/>
  <c r="H92" i="54" s="1"/>
  <c r="N126" i="54"/>
  <c r="G126" i="54" s="1"/>
  <c r="O57" i="54"/>
  <c r="N90" i="54"/>
  <c r="N99" i="54"/>
  <c r="G99" i="54" s="1"/>
  <c r="H99" i="54" s="1"/>
  <c r="N104" i="54"/>
  <c r="G104" i="54" s="1"/>
  <c r="H104" i="54" s="1"/>
  <c r="N95" i="54"/>
  <c r="G95" i="54" s="1"/>
  <c r="H95" i="54" s="1"/>
  <c r="N107" i="54"/>
  <c r="G107" i="54" s="1"/>
  <c r="H107" i="54" s="1"/>
  <c r="N181" i="54"/>
  <c r="G181" i="54" s="1"/>
  <c r="N20" i="54"/>
  <c r="O19" i="54"/>
  <c r="O33" i="54"/>
  <c r="N52" i="54"/>
  <c r="N44" i="54"/>
  <c r="N65" i="54"/>
  <c r="N68" i="54"/>
  <c r="G68" i="54" s="1"/>
  <c r="H68" i="54" s="1"/>
  <c r="AI28" i="15"/>
  <c r="O37" i="54"/>
  <c r="G37" i="54" s="1"/>
  <c r="N41" i="54"/>
  <c r="G41" i="54" s="1"/>
  <c r="H41" i="54" s="1"/>
  <c r="N38" i="54"/>
  <c r="G38" i="54" s="1"/>
  <c r="N223" i="54"/>
  <c r="G223" i="54" s="1"/>
  <c r="N229" i="54"/>
  <c r="G229" i="54" s="1"/>
  <c r="N232" i="54"/>
  <c r="G232" i="54" s="1"/>
  <c r="N243" i="54"/>
  <c r="G243" i="54" s="1"/>
  <c r="N208" i="54"/>
  <c r="G208" i="54" s="1"/>
  <c r="N236" i="54"/>
  <c r="N221" i="54"/>
  <c r="G221" i="54" s="1"/>
  <c r="N239" i="54"/>
  <c r="G239" i="54" s="1"/>
  <c r="N241" i="54"/>
  <c r="G241" i="54" s="1"/>
  <c r="N216" i="54"/>
  <c r="N219" i="54"/>
  <c r="G219" i="54" s="1"/>
  <c r="N228" i="54"/>
  <c r="G228" i="54" s="1"/>
  <c r="N225" i="54"/>
  <c r="N237" i="54"/>
  <c r="G207" i="54"/>
  <c r="N201" i="54"/>
  <c r="N141" i="54"/>
  <c r="G141" i="54" s="1"/>
  <c r="N180" i="54"/>
  <c r="G180" i="54" s="1"/>
  <c r="G125" i="54"/>
  <c r="N139" i="54"/>
  <c r="G139" i="54" s="1"/>
  <c r="O121" i="54"/>
  <c r="N124" i="54"/>
  <c r="G124" i="54" s="1"/>
  <c r="O133" i="54"/>
  <c r="G133" i="54" s="1"/>
  <c r="N145" i="54"/>
  <c r="G145" i="54" s="1"/>
  <c r="N166" i="54"/>
  <c r="G166" i="54" s="1"/>
  <c r="O172" i="54"/>
  <c r="G172" i="54" s="1"/>
  <c r="O179" i="54"/>
  <c r="G179" i="54" s="1"/>
  <c r="N199" i="54"/>
  <c r="G199" i="54" s="1"/>
  <c r="N131" i="54"/>
  <c r="G131" i="54" s="1"/>
  <c r="N155" i="54"/>
  <c r="N164" i="54"/>
  <c r="G164" i="54" s="1"/>
  <c r="N169" i="54"/>
  <c r="G169" i="54" s="1"/>
  <c r="N137" i="54"/>
  <c r="G137" i="54" s="1"/>
  <c r="N189" i="54"/>
  <c r="G189" i="54" s="1"/>
  <c r="N203" i="54"/>
  <c r="G203" i="54" s="1"/>
  <c r="N157" i="54"/>
  <c r="G157" i="54" s="1"/>
  <c r="N119" i="54"/>
  <c r="G119" i="54" s="1"/>
  <c r="G187" i="54"/>
  <c r="N193" i="54"/>
  <c r="G193" i="54" s="1"/>
  <c r="N153" i="54"/>
  <c r="N156" i="54"/>
  <c r="O159" i="54"/>
  <c r="G159" i="54" s="1"/>
  <c r="G168" i="54"/>
  <c r="N187" i="54"/>
  <c r="N188" i="54"/>
  <c r="G188" i="54" s="1"/>
  <c r="N123" i="54"/>
  <c r="O135" i="54"/>
  <c r="N165" i="54"/>
  <c r="G165" i="54" s="1"/>
  <c r="O168" i="54"/>
  <c r="N184" i="54"/>
  <c r="G184" i="54" s="1"/>
  <c r="N204" i="54"/>
  <c r="G204" i="54" s="1"/>
  <c r="N244" i="54"/>
  <c r="G244" i="54" s="1"/>
  <c r="N247" i="54"/>
  <c r="G247" i="54" s="1"/>
  <c r="O195" i="54"/>
  <c r="N200" i="54"/>
  <c r="G200" i="54" s="1"/>
  <c r="N215" i="54"/>
  <c r="G215" i="54" s="1"/>
  <c r="N217" i="54"/>
  <c r="G217" i="54" s="1"/>
  <c r="N224" i="54"/>
  <c r="N235" i="54"/>
  <c r="G235" i="54" s="1"/>
  <c r="N194" i="54"/>
  <c r="G194" i="54" s="1"/>
  <c r="N196" i="54"/>
  <c r="G196" i="54" s="1"/>
  <c r="N211" i="54"/>
  <c r="G211" i="54" s="1"/>
  <c r="N213" i="54"/>
  <c r="G213" i="54" s="1"/>
  <c r="G237" i="54"/>
  <c r="G201" i="54"/>
  <c r="N209" i="54"/>
  <c r="G209" i="54" s="1"/>
  <c r="N220" i="54"/>
  <c r="G220" i="54" s="1"/>
  <c r="G225" i="54"/>
  <c r="N227" i="54"/>
  <c r="G227" i="54" s="1"/>
  <c r="N231" i="54"/>
  <c r="G231" i="54" s="1"/>
  <c r="N233" i="54"/>
  <c r="G233" i="54" s="1"/>
  <c r="G240" i="54"/>
  <c r="N245" i="54"/>
  <c r="G245" i="54" s="1"/>
  <c r="G195" i="54"/>
  <c r="G236" i="54"/>
  <c r="N197" i="54"/>
  <c r="G197" i="54" s="1"/>
  <c r="N212" i="54"/>
  <c r="G212" i="54" s="1"/>
  <c r="N115" i="54"/>
  <c r="G115" i="54" s="1"/>
  <c r="N117" i="54"/>
  <c r="N129" i="54"/>
  <c r="G129" i="54" s="1"/>
  <c r="N143" i="54"/>
  <c r="G143" i="54" s="1"/>
  <c r="N148" i="54"/>
  <c r="G148" i="54" s="1"/>
  <c r="N150" i="54"/>
  <c r="G150" i="54" s="1"/>
  <c r="N162" i="54"/>
  <c r="G162" i="54" s="1"/>
  <c r="N175" i="54"/>
  <c r="G175" i="54" s="1"/>
  <c r="N177" i="54"/>
  <c r="G177" i="54" s="1"/>
  <c r="N191" i="54"/>
  <c r="G191" i="54" s="1"/>
  <c r="O117" i="54"/>
  <c r="G153" i="54"/>
  <c r="N127" i="54"/>
  <c r="G127" i="54" s="1"/>
  <c r="N132" i="54"/>
  <c r="N134" i="54"/>
  <c r="G134" i="54" s="1"/>
  <c r="N158" i="54"/>
  <c r="G158" i="54" s="1"/>
  <c r="N160" i="54"/>
  <c r="G160" i="54" s="1"/>
  <c r="N167" i="54"/>
  <c r="G167" i="54" s="1"/>
  <c r="N171" i="54"/>
  <c r="G171" i="54" s="1"/>
  <c r="N173" i="54"/>
  <c r="G123" i="54"/>
  <c r="N116" i="54"/>
  <c r="G116" i="54" s="1"/>
  <c r="N118" i="54"/>
  <c r="G118" i="54" s="1"/>
  <c r="N147" i="54"/>
  <c r="G147" i="54" s="1"/>
  <c r="N149" i="54"/>
  <c r="G149" i="54" s="1"/>
  <c r="G151" i="54"/>
  <c r="G156" i="54"/>
  <c r="G173" i="54"/>
  <c r="N178" i="54"/>
  <c r="N185" i="54"/>
  <c r="G185" i="54" s="1"/>
  <c r="N192" i="54"/>
  <c r="G192" i="54" s="1"/>
  <c r="G155" i="54"/>
  <c r="N140" i="54"/>
  <c r="G140" i="54" s="1"/>
  <c r="N142" i="54"/>
  <c r="G142" i="54" s="1"/>
  <c r="N161" i="54"/>
  <c r="G161" i="54" s="1"/>
  <c r="N176" i="54"/>
  <c r="G176" i="54" s="1"/>
  <c r="G178" i="54"/>
  <c r="N183" i="54"/>
  <c r="G183" i="54" s="1"/>
  <c r="N190" i="54"/>
  <c r="G190" i="54" s="1"/>
  <c r="G135" i="54"/>
  <c r="N170" i="54"/>
  <c r="G170" i="54" s="1"/>
  <c r="N112" i="54"/>
  <c r="O112" i="54"/>
  <c r="O32" i="54"/>
  <c r="G32" i="54" s="1"/>
  <c r="H32" i="54" s="1"/>
  <c r="O70" i="54"/>
  <c r="G70" i="54" s="1"/>
  <c r="H70" i="54" s="1"/>
  <c r="G19" i="54"/>
  <c r="G20" i="54"/>
  <c r="H20" i="54" s="1"/>
  <c r="N28" i="54"/>
  <c r="G28" i="54" s="1"/>
  <c r="H28" i="54" s="1"/>
  <c r="N45" i="54"/>
  <c r="G45" i="54" s="1"/>
  <c r="H45" i="54" s="1"/>
  <c r="N51" i="54"/>
  <c r="N53" i="54"/>
  <c r="G53" i="54" s="1"/>
  <c r="H53" i="54" s="1"/>
  <c r="N59" i="54"/>
  <c r="G59" i="54" s="1"/>
  <c r="H59" i="54" s="1"/>
  <c r="N61" i="54"/>
  <c r="G61" i="54" s="1"/>
  <c r="H61" i="54" s="1"/>
  <c r="N67" i="54"/>
  <c r="G67" i="54" s="1"/>
  <c r="H67" i="54" s="1"/>
  <c r="O69" i="54"/>
  <c r="G69" i="54" s="1"/>
  <c r="H69" i="54" s="1"/>
  <c r="O21" i="54"/>
  <c r="G21" i="54" s="1"/>
  <c r="H21" i="54" s="1"/>
  <c r="G27" i="54"/>
  <c r="H27" i="54" s="1"/>
  <c r="G29" i="54"/>
  <c r="H29" i="54" s="1"/>
  <c r="G33" i="54"/>
  <c r="G65" i="54"/>
  <c r="H65" i="54" s="1"/>
  <c r="G36" i="54"/>
  <c r="H36" i="54" s="1"/>
  <c r="O29" i="54"/>
  <c r="G44" i="54"/>
  <c r="H44" i="54" s="1"/>
  <c r="G52" i="54"/>
  <c r="H52" i="54" s="1"/>
  <c r="G60" i="54"/>
  <c r="H60" i="54" s="1"/>
  <c r="B33" i="54"/>
  <c r="B35" i="54"/>
  <c r="N80" i="54"/>
  <c r="N31" i="54"/>
  <c r="O31" i="54"/>
  <c r="N64" i="54"/>
  <c r="O64" i="54"/>
  <c r="N72" i="54"/>
  <c r="O72" i="54"/>
  <c r="N48" i="54"/>
  <c r="O48" i="54"/>
  <c r="G79" i="54"/>
  <c r="H79" i="54" s="1"/>
  <c r="N85" i="54"/>
  <c r="O85" i="54"/>
  <c r="N66" i="54"/>
  <c r="N58" i="54"/>
  <c r="N50" i="54"/>
  <c r="G50" i="54" s="1"/>
  <c r="H50" i="54" s="1"/>
  <c r="O58" i="54"/>
  <c r="N83" i="54"/>
  <c r="O83" i="54"/>
  <c r="N105" i="54"/>
  <c r="O105" i="54"/>
  <c r="N74" i="54"/>
  <c r="G74" i="54" s="1"/>
  <c r="H74" i="54" s="1"/>
  <c r="N25" i="54"/>
  <c r="G25" i="54" s="1"/>
  <c r="H25" i="54" s="1"/>
  <c r="O66" i="54"/>
  <c r="N23" i="54"/>
  <c r="O23" i="54"/>
  <c r="O56" i="54"/>
  <c r="N56" i="54"/>
  <c r="N42" i="54"/>
  <c r="N40" i="54"/>
  <c r="O40" i="54"/>
  <c r="O42" i="54"/>
  <c r="G51" i="54"/>
  <c r="H51" i="54" s="1"/>
  <c r="G57" i="54"/>
  <c r="H57" i="54" s="1"/>
  <c r="G121" i="54"/>
  <c r="O80" i="54"/>
  <c r="N34" i="54"/>
  <c r="G34" i="54" s="1"/>
  <c r="G86" i="54"/>
  <c r="H86" i="54" s="1"/>
  <c r="O102" i="54"/>
  <c r="O234" i="54"/>
  <c r="O26" i="54"/>
  <c r="G26" i="54" s="1"/>
  <c r="H26" i="54" s="1"/>
  <c r="O35" i="54"/>
  <c r="G35" i="54" s="1"/>
  <c r="H35" i="54" s="1"/>
  <c r="O43" i="54"/>
  <c r="G43" i="54" s="1"/>
  <c r="H43" i="54" s="1"/>
  <c r="O98" i="54"/>
  <c r="G98" i="54" s="1"/>
  <c r="H98" i="54" s="1"/>
  <c r="N102" i="54"/>
  <c r="G102" i="54" s="1"/>
  <c r="H102" i="54" s="1"/>
  <c r="O113" i="54"/>
  <c r="G113" i="54" s="1"/>
  <c r="H113" i="54" s="1"/>
  <c r="N182" i="54"/>
  <c r="G182" i="54" s="1"/>
  <c r="N234" i="54"/>
  <c r="O238" i="54"/>
  <c r="G238" i="54" s="1"/>
  <c r="N22" i="54"/>
  <c r="G22" i="54" s="1"/>
  <c r="N30" i="54"/>
  <c r="G30" i="54" s="1"/>
  <c r="H30" i="54" s="1"/>
  <c r="N39" i="54"/>
  <c r="G39" i="54" s="1"/>
  <c r="H39" i="54" s="1"/>
  <c r="N47" i="54"/>
  <c r="G47" i="54" s="1"/>
  <c r="H47" i="54" s="1"/>
  <c r="N55" i="54"/>
  <c r="G55" i="54" s="1"/>
  <c r="H55" i="54" s="1"/>
  <c r="N63" i="54"/>
  <c r="G63" i="54" s="1"/>
  <c r="H63" i="54" s="1"/>
  <c r="N71" i="54"/>
  <c r="G71" i="54" s="1"/>
  <c r="H71" i="54" s="1"/>
  <c r="N78" i="54"/>
  <c r="G78" i="54" s="1"/>
  <c r="H78" i="54" s="1"/>
  <c r="G82" i="54"/>
  <c r="H82" i="54" s="1"/>
  <c r="N88" i="54"/>
  <c r="G88" i="54" s="1"/>
  <c r="H88" i="54" s="1"/>
  <c r="G91" i="54"/>
  <c r="H91" i="54" s="1"/>
  <c r="O93" i="54"/>
  <c r="G93" i="54" s="1"/>
  <c r="H93" i="54" s="1"/>
  <c r="O101" i="54"/>
  <c r="G101" i="54" s="1"/>
  <c r="H101" i="54" s="1"/>
  <c r="G103" i="54"/>
  <c r="H103" i="54" s="1"/>
  <c r="N111" i="54"/>
  <c r="G111" i="54" s="1"/>
  <c r="H111" i="54" s="1"/>
  <c r="N120" i="54"/>
  <c r="G120" i="54" s="1"/>
  <c r="N128" i="54"/>
  <c r="G128" i="54" s="1"/>
  <c r="N136" i="54"/>
  <c r="G136" i="54" s="1"/>
  <c r="N144" i="54"/>
  <c r="G144" i="54" s="1"/>
  <c r="N152" i="54"/>
  <c r="G152" i="54" s="1"/>
  <c r="N174" i="54"/>
  <c r="G174" i="54" s="1"/>
  <c r="O246" i="54"/>
  <c r="N46" i="54"/>
  <c r="G46" i="54" s="1"/>
  <c r="H46" i="54" s="1"/>
  <c r="N54" i="54"/>
  <c r="G54" i="54" s="1"/>
  <c r="H54" i="54" s="1"/>
  <c r="N62" i="54"/>
  <c r="G62" i="54" s="1"/>
  <c r="H62" i="54" s="1"/>
  <c r="O114" i="54"/>
  <c r="N186" i="54"/>
  <c r="G186" i="54" s="1"/>
  <c r="N246" i="54"/>
  <c r="O77" i="54"/>
  <c r="G77" i="54" s="1"/>
  <c r="H77" i="54" s="1"/>
  <c r="O110" i="54"/>
  <c r="G110" i="54" s="1"/>
  <c r="H110" i="54" s="1"/>
  <c r="N114" i="54"/>
  <c r="N122" i="54"/>
  <c r="G122" i="54" s="1"/>
  <c r="N130" i="54"/>
  <c r="G130" i="54" s="1"/>
  <c r="G132" i="54"/>
  <c r="N138" i="54"/>
  <c r="G138" i="54" s="1"/>
  <c r="N146" i="54"/>
  <c r="G146" i="54" s="1"/>
  <c r="N154" i="54"/>
  <c r="G154" i="54" s="1"/>
  <c r="O198" i="54"/>
  <c r="G198" i="54" s="1"/>
  <c r="O202" i="54"/>
  <c r="G202" i="54" s="1"/>
  <c r="O206" i="54"/>
  <c r="G206" i="54" s="1"/>
  <c r="O210" i="54"/>
  <c r="G210" i="54" s="1"/>
  <c r="O214" i="54"/>
  <c r="G214" i="54" s="1"/>
  <c r="O218" i="54"/>
  <c r="O222" i="54"/>
  <c r="O226" i="54"/>
  <c r="O242" i="54"/>
  <c r="G242" i="54" s="1"/>
  <c r="G90" i="54"/>
  <c r="H90" i="54" s="1"/>
  <c r="O106" i="54"/>
  <c r="G106" i="54" s="1"/>
  <c r="H106" i="54" s="1"/>
  <c r="G109" i="54"/>
  <c r="H109" i="54" s="1"/>
  <c r="G216" i="54"/>
  <c r="N218" i="54"/>
  <c r="N222" i="54"/>
  <c r="G224" i="54"/>
  <c r="N226" i="54"/>
  <c r="O230" i="54"/>
  <c r="G230" i="54" s="1"/>
  <c r="N249" i="54"/>
  <c r="G249" i="54" s="1"/>
  <c r="N248" i="54"/>
  <c r="G248" i="54" s="1"/>
  <c r="AG20" i="15"/>
  <c r="AH20" i="15"/>
  <c r="AH31" i="15"/>
  <c r="B30" i="47" s="1"/>
  <c r="AH52" i="15"/>
  <c r="AH55" i="15"/>
  <c r="AH45" i="15"/>
  <c r="AH44" i="15"/>
  <c r="G83" i="54" l="1"/>
  <c r="H83" i="54" s="1"/>
  <c r="G80" i="54"/>
  <c r="H80" i="54" s="1"/>
  <c r="G85" i="54"/>
  <c r="H85" i="54" s="1"/>
  <c r="G112" i="54"/>
  <c r="H112" i="54" s="1"/>
  <c r="G226" i="54"/>
  <c r="H38" i="54"/>
  <c r="AI13" i="15"/>
  <c r="G114" i="54"/>
  <c r="H114" i="54" s="1"/>
  <c r="G222" i="54"/>
  <c r="G105" i="54"/>
  <c r="H105" i="54" s="1"/>
  <c r="H37" i="54"/>
  <c r="AI11" i="15"/>
  <c r="G23" i="54"/>
  <c r="H23" i="54" s="1"/>
  <c r="H19" i="54"/>
  <c r="AI9" i="15"/>
  <c r="H34" i="54"/>
  <c r="AI15" i="15"/>
  <c r="H33" i="54"/>
  <c r="AI17" i="15"/>
  <c r="G56" i="54"/>
  <c r="H56" i="54" s="1"/>
  <c r="G117" i="54"/>
  <c r="G234" i="54"/>
  <c r="G218" i="54"/>
  <c r="AI21" i="15" s="1"/>
  <c r="G246" i="54"/>
  <c r="G58" i="54"/>
  <c r="H58" i="54" s="1"/>
  <c r="G42" i="54"/>
  <c r="H42" i="54" s="1"/>
  <c r="G66" i="54"/>
  <c r="H66" i="54" s="1"/>
  <c r="H22" i="54"/>
  <c r="G64" i="54"/>
  <c r="H64" i="54" s="1"/>
  <c r="G40" i="54"/>
  <c r="H40" i="54" s="1"/>
  <c r="G31" i="54"/>
  <c r="H31" i="54" s="1"/>
  <c r="G48" i="54"/>
  <c r="H48" i="54" s="1"/>
  <c r="G72" i="54"/>
  <c r="H72" i="54" s="1"/>
  <c r="B36" i="54"/>
  <c r="B34" i="54"/>
  <c r="B37" i="54" s="1"/>
  <c r="B38" i="54" s="1"/>
  <c r="B39" i="54" s="1"/>
  <c r="B40" i="54" s="1"/>
  <c r="B41" i="54" s="1"/>
  <c r="B42" i="54" s="1"/>
  <c r="B43" i="54" s="1"/>
  <c r="B44" i="54" s="1"/>
  <c r="B45" i="54" s="1"/>
  <c r="B46" i="54" s="1"/>
  <c r="B47" i="54" s="1"/>
  <c r="B48" i="54" s="1"/>
  <c r="B49" i="54" s="1"/>
  <c r="B50" i="54" s="1"/>
  <c r="B51" i="54" s="1"/>
  <c r="B52" i="54" s="1"/>
  <c r="B53" i="54" s="1"/>
  <c r="B54" i="54" s="1"/>
  <c r="B55" i="54" s="1"/>
  <c r="B56" i="54" s="1"/>
  <c r="B57" i="54" s="1"/>
  <c r="B58" i="54" s="1"/>
  <c r="B59" i="54" s="1"/>
  <c r="B60" i="54" s="1"/>
  <c r="B61" i="54" s="1"/>
  <c r="B62" i="54" s="1"/>
  <c r="B63" i="54" s="1"/>
  <c r="B64" i="54" s="1"/>
  <c r="B65" i="54" s="1"/>
  <c r="B66" i="54" s="1"/>
  <c r="B67" i="54" s="1"/>
  <c r="B68" i="54" s="1"/>
  <c r="B69" i="54" s="1"/>
  <c r="B70" i="54" s="1"/>
  <c r="B71" i="54" s="1"/>
  <c r="B72" i="54" s="1"/>
  <c r="B73" i="54" s="1"/>
  <c r="B74" i="54" s="1"/>
  <c r="B75" i="54" s="1"/>
  <c r="B76" i="54" s="1"/>
  <c r="B77" i="54" s="1"/>
  <c r="B78" i="54" s="1"/>
  <c r="B79" i="54" s="1"/>
  <c r="B80" i="54" s="1"/>
  <c r="B81" i="54" s="1"/>
  <c r="B82" i="54" s="1"/>
  <c r="B83" i="54" s="1"/>
  <c r="B84" i="54" s="1"/>
  <c r="B85" i="54" s="1"/>
  <c r="B86" i="54" s="1"/>
  <c r="B87" i="54" s="1"/>
  <c r="B88" i="54" s="1"/>
  <c r="B89" i="54" s="1"/>
  <c r="B90" i="54" s="1"/>
  <c r="B91" i="54" s="1"/>
  <c r="B92" i="54" s="1"/>
  <c r="B93" i="54" s="1"/>
  <c r="B94" i="54" s="1"/>
  <c r="B95" i="54" s="1"/>
  <c r="B96" i="54" s="1"/>
  <c r="B97" i="54" s="1"/>
  <c r="B98" i="54" s="1"/>
  <c r="B99" i="54" s="1"/>
  <c r="B100" i="54" s="1"/>
  <c r="B101" i="54" s="1"/>
  <c r="B102" i="54" s="1"/>
  <c r="B103" i="54" s="1"/>
  <c r="B104" i="54" s="1"/>
  <c r="B105" i="54" s="1"/>
  <c r="B106" i="54" s="1"/>
  <c r="B107" i="54" s="1"/>
  <c r="B108" i="54" s="1"/>
  <c r="B109" i="54" s="1"/>
  <c r="B110" i="54" s="1"/>
  <c r="B111" i="54" s="1"/>
  <c r="B112" i="54" s="1"/>
  <c r="B113" i="54" s="1"/>
  <c r="B114" i="54" s="1"/>
  <c r="B115" i="54" s="1"/>
  <c r="B116" i="54" s="1"/>
  <c r="B117" i="54" s="1"/>
  <c r="B118" i="54" s="1"/>
  <c r="B119" i="54" s="1"/>
  <c r="B120" i="54" s="1"/>
  <c r="B121" i="54" s="1"/>
  <c r="B122" i="54" s="1"/>
  <c r="B123" i="54" s="1"/>
  <c r="B124" i="54" s="1"/>
  <c r="B125" i="54" s="1"/>
  <c r="B126" i="54" s="1"/>
  <c r="B127" i="54" s="1"/>
  <c r="B128" i="54" s="1"/>
  <c r="B129" i="54" s="1"/>
  <c r="B130" i="54" s="1"/>
  <c r="B131" i="54" s="1"/>
  <c r="B132" i="54" s="1"/>
  <c r="B133" i="54" s="1"/>
  <c r="B134" i="54" s="1"/>
  <c r="B135" i="54" s="1"/>
  <c r="B136" i="54" s="1"/>
  <c r="B137" i="54" s="1"/>
  <c r="B138" i="54" s="1"/>
  <c r="B139" i="54" s="1"/>
  <c r="B140" i="54" s="1"/>
  <c r="B141" i="54" s="1"/>
  <c r="B142" i="54" s="1"/>
  <c r="B143" i="54" s="1"/>
  <c r="B144" i="54" s="1"/>
  <c r="B145" i="54" s="1"/>
  <c r="B146" i="54" s="1"/>
  <c r="B147" i="54" s="1"/>
  <c r="B148" i="54" s="1"/>
  <c r="B149" i="54" s="1"/>
  <c r="B150" i="54" s="1"/>
  <c r="B151" i="54" s="1"/>
  <c r="B152" i="54" s="1"/>
  <c r="B153" i="54" s="1"/>
  <c r="B154" i="54" s="1"/>
  <c r="B155" i="54" s="1"/>
  <c r="B156" i="54" s="1"/>
  <c r="B157" i="54" s="1"/>
  <c r="B158" i="54" s="1"/>
  <c r="B159" i="54" s="1"/>
  <c r="B160" i="54" s="1"/>
  <c r="B161" i="54" s="1"/>
  <c r="B162" i="54" s="1"/>
  <c r="B163" i="54" s="1"/>
  <c r="B164" i="54" s="1"/>
  <c r="B165" i="54" s="1"/>
  <c r="B166" i="54" s="1"/>
  <c r="B167" i="54" s="1"/>
  <c r="B168" i="54" s="1"/>
  <c r="B169" i="54" s="1"/>
  <c r="B170" i="54" s="1"/>
  <c r="B171" i="54" s="1"/>
  <c r="B172" i="54" s="1"/>
  <c r="B173" i="54" s="1"/>
  <c r="B174" i="54" s="1"/>
  <c r="B175" i="54" s="1"/>
  <c r="B176" i="54" s="1"/>
  <c r="B177" i="54" s="1"/>
  <c r="B178" i="54" s="1"/>
  <c r="B179" i="54" s="1"/>
  <c r="B180" i="54" s="1"/>
  <c r="B181" i="54" s="1"/>
  <c r="B182" i="54" s="1"/>
  <c r="B183" i="54" s="1"/>
  <c r="B184" i="54" s="1"/>
  <c r="B185" i="54" s="1"/>
  <c r="B186" i="54" s="1"/>
  <c r="B187" i="54" s="1"/>
  <c r="B188" i="54" s="1"/>
  <c r="B189" i="54" s="1"/>
  <c r="B190" i="54" s="1"/>
  <c r="B191" i="54" s="1"/>
  <c r="B192" i="54" s="1"/>
  <c r="B193" i="54" s="1"/>
  <c r="B194" i="54" s="1"/>
  <c r="B195" i="54" s="1"/>
  <c r="B196" i="54" s="1"/>
  <c r="B197" i="54" s="1"/>
  <c r="B198" i="54" s="1"/>
  <c r="B199" i="54" s="1"/>
  <c r="B200" i="54" s="1"/>
  <c r="B201" i="54" s="1"/>
  <c r="B202" i="54" s="1"/>
  <c r="B203" i="54" s="1"/>
  <c r="B204" i="54" s="1"/>
  <c r="B205" i="54" s="1"/>
  <c r="B206" i="54" s="1"/>
  <c r="B207" i="54" s="1"/>
  <c r="B208" i="54" s="1"/>
  <c r="B209" i="54" s="1"/>
  <c r="B210" i="54" s="1"/>
  <c r="B211" i="54" s="1"/>
  <c r="B212" i="54" s="1"/>
  <c r="B213" i="54" s="1"/>
  <c r="B214" i="54" s="1"/>
  <c r="B215" i="54" s="1"/>
  <c r="B216" i="54" s="1"/>
  <c r="B217" i="54" s="1"/>
  <c r="B218" i="54" s="1"/>
  <c r="B219" i="54" s="1"/>
  <c r="B220" i="54" s="1"/>
  <c r="B221" i="54" s="1"/>
  <c r="B222" i="54" s="1"/>
  <c r="B223" i="54" s="1"/>
  <c r="B224" i="54" s="1"/>
  <c r="B225" i="54" s="1"/>
  <c r="B226" i="54" s="1"/>
  <c r="B227" i="54" s="1"/>
  <c r="B228" i="54" s="1"/>
  <c r="B229" i="54" s="1"/>
  <c r="B230" i="54" s="1"/>
  <c r="B231" i="54" s="1"/>
  <c r="B232" i="54" s="1"/>
  <c r="B233" i="54" s="1"/>
  <c r="B234" i="54" s="1"/>
  <c r="B235" i="54" s="1"/>
  <c r="B236" i="54" s="1"/>
  <c r="B237" i="54" s="1"/>
  <c r="B238" i="54" s="1"/>
  <c r="B239" i="54" s="1"/>
  <c r="B240" i="54" s="1"/>
  <c r="B241" i="54" s="1"/>
  <c r="B242" i="54" s="1"/>
  <c r="B243" i="54" s="1"/>
  <c r="B244" i="54" s="1"/>
  <c r="B245" i="54" s="1"/>
  <c r="B246" i="54" s="1"/>
  <c r="B247" i="54" s="1"/>
  <c r="B248" i="54" s="1"/>
  <c r="B249" i="54" s="1"/>
  <c r="AH38" i="15"/>
  <c r="AH24" i="15"/>
  <c r="AH19" i="15"/>
  <c r="AH18" i="15"/>
  <c r="AH16" i="15"/>
  <c r="AH14" i="15"/>
  <c r="AH13" i="15"/>
  <c r="AH12" i="15"/>
  <c r="AH11" i="15"/>
  <c r="AH10" i="15"/>
  <c r="AH8" i="15"/>
  <c r="P249" i="53"/>
  <c r="M249" i="53"/>
  <c r="P248" i="53"/>
  <c r="M248" i="53"/>
  <c r="O248" i="53" s="1"/>
  <c r="P247" i="53"/>
  <c r="M247" i="53"/>
  <c r="N247" i="53" s="1"/>
  <c r="P246" i="53"/>
  <c r="M246" i="53"/>
  <c r="P245" i="53"/>
  <c r="M245" i="53"/>
  <c r="O245" i="53" s="1"/>
  <c r="P244" i="53"/>
  <c r="M244" i="53"/>
  <c r="O244" i="53" s="1"/>
  <c r="P243" i="53"/>
  <c r="M243" i="53"/>
  <c r="P242" i="53"/>
  <c r="M242" i="53"/>
  <c r="O242" i="53" s="1"/>
  <c r="P241" i="53"/>
  <c r="M241" i="53"/>
  <c r="P240" i="53"/>
  <c r="M240" i="53"/>
  <c r="P239" i="53"/>
  <c r="M239" i="53"/>
  <c r="O239" i="53" s="1"/>
  <c r="P238" i="53"/>
  <c r="M238" i="53"/>
  <c r="N238" i="53" s="1"/>
  <c r="P237" i="53"/>
  <c r="M237" i="53"/>
  <c r="P236" i="53"/>
  <c r="M236" i="53"/>
  <c r="O236" i="53" s="1"/>
  <c r="P235" i="53"/>
  <c r="M235" i="53"/>
  <c r="N235" i="53" s="1"/>
  <c r="P234" i="53"/>
  <c r="M234" i="53"/>
  <c r="P233" i="53"/>
  <c r="M233" i="53"/>
  <c r="O233" i="53" s="1"/>
  <c r="P232" i="53"/>
  <c r="M232" i="53"/>
  <c r="O232" i="53" s="1"/>
  <c r="P231" i="53"/>
  <c r="M231" i="53"/>
  <c r="P230" i="53"/>
  <c r="M230" i="53"/>
  <c r="O230" i="53" s="1"/>
  <c r="P229" i="53"/>
  <c r="M229" i="53"/>
  <c r="N229" i="53" s="1"/>
  <c r="P228" i="53"/>
  <c r="M228" i="53"/>
  <c r="P227" i="53"/>
  <c r="M227" i="53"/>
  <c r="O227" i="53" s="1"/>
  <c r="P226" i="53"/>
  <c r="M226" i="53"/>
  <c r="O226" i="53" s="1"/>
  <c r="P225" i="53"/>
  <c r="M225" i="53"/>
  <c r="P224" i="53"/>
  <c r="M224" i="53"/>
  <c r="O224" i="53" s="1"/>
  <c r="P223" i="53"/>
  <c r="M223" i="53"/>
  <c r="N223" i="53" s="1"/>
  <c r="P222" i="53"/>
  <c r="M222" i="53"/>
  <c r="P221" i="53"/>
  <c r="M221" i="53"/>
  <c r="O221" i="53" s="1"/>
  <c r="P220" i="53"/>
  <c r="M220" i="53"/>
  <c r="O220" i="53" s="1"/>
  <c r="P219" i="53"/>
  <c r="M219" i="53"/>
  <c r="P218" i="53"/>
  <c r="M218" i="53"/>
  <c r="O218" i="53" s="1"/>
  <c r="P217" i="53"/>
  <c r="M217" i="53"/>
  <c r="N217" i="53" s="1"/>
  <c r="P216" i="53"/>
  <c r="M216" i="53"/>
  <c r="P215" i="53"/>
  <c r="M215" i="53"/>
  <c r="P214" i="53"/>
  <c r="M214" i="53"/>
  <c r="N214" i="53" s="1"/>
  <c r="P213" i="53"/>
  <c r="M213" i="53"/>
  <c r="P212" i="53"/>
  <c r="M212" i="53"/>
  <c r="O212" i="53" s="1"/>
  <c r="P211" i="53"/>
  <c r="M211" i="53"/>
  <c r="O211" i="53" s="1"/>
  <c r="P210" i="53"/>
  <c r="M210" i="53"/>
  <c r="P209" i="53"/>
  <c r="M209" i="53"/>
  <c r="O209" i="53" s="1"/>
  <c r="P208" i="53"/>
  <c r="M208" i="53"/>
  <c r="P207" i="53"/>
  <c r="M207" i="53"/>
  <c r="P206" i="53"/>
  <c r="M206" i="53"/>
  <c r="O206" i="53" s="1"/>
  <c r="P205" i="53"/>
  <c r="M205" i="53"/>
  <c r="N205" i="53" s="1"/>
  <c r="P204" i="53"/>
  <c r="M204" i="53"/>
  <c r="O204" i="53" s="1"/>
  <c r="P203" i="53"/>
  <c r="M203" i="53"/>
  <c r="O203" i="53" s="1"/>
  <c r="P202" i="53"/>
  <c r="M202" i="53"/>
  <c r="O202" i="53" s="1"/>
  <c r="P201" i="53"/>
  <c r="M201" i="53"/>
  <c r="P200" i="53"/>
  <c r="M200" i="53"/>
  <c r="O200" i="53" s="1"/>
  <c r="P199" i="53"/>
  <c r="M199" i="53"/>
  <c r="N199" i="53" s="1"/>
  <c r="P198" i="53"/>
  <c r="M198" i="53"/>
  <c r="P197" i="53"/>
  <c r="M197" i="53"/>
  <c r="P196" i="53"/>
  <c r="M196" i="53"/>
  <c r="N196" i="53" s="1"/>
  <c r="P195" i="53"/>
  <c r="M195" i="53"/>
  <c r="P194" i="53"/>
  <c r="M194" i="53"/>
  <c r="O194" i="53" s="1"/>
  <c r="P193" i="53"/>
  <c r="M193" i="53"/>
  <c r="O193" i="53" s="1"/>
  <c r="P192" i="53"/>
  <c r="M192" i="53"/>
  <c r="P191" i="53"/>
  <c r="M191" i="53"/>
  <c r="O191" i="53" s="1"/>
  <c r="P190" i="53"/>
  <c r="M190" i="53"/>
  <c r="N190" i="53" s="1"/>
  <c r="P189" i="53"/>
  <c r="M189" i="53"/>
  <c r="P188" i="53"/>
  <c r="M188" i="53"/>
  <c r="P187" i="53"/>
  <c r="M187" i="53"/>
  <c r="N187" i="53" s="1"/>
  <c r="P186" i="53"/>
  <c r="M186" i="53"/>
  <c r="P185" i="53"/>
  <c r="M185" i="53"/>
  <c r="O185" i="53" s="1"/>
  <c r="P184" i="53"/>
  <c r="M184" i="53"/>
  <c r="O184" i="53" s="1"/>
  <c r="P183" i="53"/>
  <c r="M183" i="53"/>
  <c r="P182" i="53"/>
  <c r="M182" i="53"/>
  <c r="O182" i="53" s="1"/>
  <c r="P181" i="53"/>
  <c r="M181" i="53"/>
  <c r="P180" i="53"/>
  <c r="M180" i="53"/>
  <c r="P179" i="53"/>
  <c r="M179" i="53"/>
  <c r="O179" i="53" s="1"/>
  <c r="P178" i="53"/>
  <c r="M178" i="53"/>
  <c r="N178" i="53" s="1"/>
  <c r="P177" i="53"/>
  <c r="M177" i="53"/>
  <c r="P176" i="53"/>
  <c r="M176" i="53"/>
  <c r="O176" i="53" s="1"/>
  <c r="P175" i="53"/>
  <c r="M175" i="53"/>
  <c r="P174" i="53"/>
  <c r="M174" i="53"/>
  <c r="O174" i="53" s="1"/>
  <c r="P173" i="53"/>
  <c r="M173" i="53"/>
  <c r="P172" i="53"/>
  <c r="M172" i="53"/>
  <c r="O172" i="53" s="1"/>
  <c r="P171" i="53"/>
  <c r="M171" i="53"/>
  <c r="O171" i="53" s="1"/>
  <c r="P170" i="53"/>
  <c r="M170" i="53"/>
  <c r="O170" i="53" s="1"/>
  <c r="P169" i="53"/>
  <c r="M169" i="53"/>
  <c r="P168" i="53"/>
  <c r="M168" i="53"/>
  <c r="O168" i="53" s="1"/>
  <c r="P167" i="53"/>
  <c r="M167" i="53"/>
  <c r="N167" i="53" s="1"/>
  <c r="P166" i="53"/>
  <c r="M166" i="53"/>
  <c r="O166" i="53" s="1"/>
  <c r="P165" i="53"/>
  <c r="M165" i="53"/>
  <c r="O165" i="53" s="1"/>
  <c r="P164" i="53"/>
  <c r="M164" i="53"/>
  <c r="N164" i="53" s="1"/>
  <c r="P163" i="53"/>
  <c r="M163" i="53"/>
  <c r="P162" i="53"/>
  <c r="M162" i="53"/>
  <c r="N162" i="53" s="1"/>
  <c r="P161" i="53"/>
  <c r="M161" i="53"/>
  <c r="N161" i="53" s="1"/>
  <c r="P160" i="53"/>
  <c r="M160" i="53"/>
  <c r="N160" i="53" s="1"/>
  <c r="P159" i="53"/>
  <c r="M159" i="53"/>
  <c r="P158" i="53"/>
  <c r="M158" i="53"/>
  <c r="N158" i="53" s="1"/>
  <c r="P157" i="53"/>
  <c r="M157" i="53"/>
  <c r="P156" i="53"/>
  <c r="M156" i="53"/>
  <c r="N156" i="53" s="1"/>
  <c r="P155" i="53"/>
  <c r="M155" i="53"/>
  <c r="N155" i="53" s="1"/>
  <c r="P154" i="53"/>
  <c r="M154" i="53"/>
  <c r="N154" i="53" s="1"/>
  <c r="P153" i="53"/>
  <c r="M153" i="53"/>
  <c r="P152" i="53"/>
  <c r="M152" i="53"/>
  <c r="N152" i="53" s="1"/>
  <c r="P151" i="53"/>
  <c r="M151" i="53"/>
  <c r="P150" i="53"/>
  <c r="M150" i="53"/>
  <c r="N150" i="53" s="1"/>
  <c r="P149" i="53"/>
  <c r="M149" i="53"/>
  <c r="N149" i="53" s="1"/>
  <c r="P148" i="53"/>
  <c r="M148" i="53"/>
  <c r="N148" i="53" s="1"/>
  <c r="P147" i="53"/>
  <c r="M147" i="53"/>
  <c r="P146" i="53"/>
  <c r="M146" i="53"/>
  <c r="N146" i="53" s="1"/>
  <c r="P145" i="53"/>
  <c r="M145" i="53"/>
  <c r="P144" i="53"/>
  <c r="M144" i="53"/>
  <c r="N144" i="53" s="1"/>
  <c r="P143" i="53"/>
  <c r="M143" i="53"/>
  <c r="P142" i="53"/>
  <c r="M142" i="53"/>
  <c r="N142" i="53" s="1"/>
  <c r="P141" i="53"/>
  <c r="M141" i="53"/>
  <c r="O141" i="53" s="1"/>
  <c r="P140" i="53"/>
  <c r="M140" i="53"/>
  <c r="N140" i="53" s="1"/>
  <c r="P139" i="53"/>
  <c r="M139" i="53"/>
  <c r="P138" i="53"/>
  <c r="M138" i="53"/>
  <c r="N138" i="53" s="1"/>
  <c r="P137" i="53"/>
  <c r="M137" i="53"/>
  <c r="P136" i="53"/>
  <c r="M136" i="53"/>
  <c r="N136" i="53" s="1"/>
  <c r="P135" i="53"/>
  <c r="M135" i="53"/>
  <c r="O135" i="53" s="1"/>
  <c r="P134" i="53"/>
  <c r="M134" i="53"/>
  <c r="N134" i="53" s="1"/>
  <c r="P133" i="53"/>
  <c r="M133" i="53"/>
  <c r="P132" i="53"/>
  <c r="M132" i="53"/>
  <c r="N132" i="53" s="1"/>
  <c r="P131" i="53"/>
  <c r="M131" i="53"/>
  <c r="P130" i="53"/>
  <c r="M130" i="53"/>
  <c r="N130" i="53" s="1"/>
  <c r="P129" i="53"/>
  <c r="M129" i="53"/>
  <c r="O129" i="53" s="1"/>
  <c r="P128" i="53"/>
  <c r="M128" i="53"/>
  <c r="N128" i="53" s="1"/>
  <c r="P127" i="53"/>
  <c r="M127" i="53"/>
  <c r="P126" i="53"/>
  <c r="M126" i="53"/>
  <c r="N126" i="53" s="1"/>
  <c r="P125" i="53"/>
  <c r="M125" i="53"/>
  <c r="P124" i="53"/>
  <c r="M124" i="53"/>
  <c r="N124" i="53" s="1"/>
  <c r="P123" i="53"/>
  <c r="M123" i="53"/>
  <c r="O123" i="53" s="1"/>
  <c r="P122" i="53"/>
  <c r="M122" i="53"/>
  <c r="N122" i="53" s="1"/>
  <c r="P121" i="53"/>
  <c r="M121" i="53"/>
  <c r="P120" i="53"/>
  <c r="M120" i="53"/>
  <c r="N120" i="53" s="1"/>
  <c r="P119" i="53"/>
  <c r="M119" i="53"/>
  <c r="P118" i="53"/>
  <c r="M118" i="53"/>
  <c r="N118" i="53" s="1"/>
  <c r="P117" i="53"/>
  <c r="M117" i="53"/>
  <c r="P116" i="53"/>
  <c r="M116" i="53"/>
  <c r="N116" i="53" s="1"/>
  <c r="P115" i="53"/>
  <c r="M115" i="53"/>
  <c r="N115" i="53" s="1"/>
  <c r="P114" i="53"/>
  <c r="M114" i="53"/>
  <c r="P113" i="53"/>
  <c r="M113" i="53"/>
  <c r="P112" i="53"/>
  <c r="M112" i="53"/>
  <c r="N112" i="53" s="1"/>
  <c r="P111" i="53"/>
  <c r="M111" i="53"/>
  <c r="P110" i="53"/>
  <c r="M110" i="53"/>
  <c r="P109" i="53"/>
  <c r="M109" i="53"/>
  <c r="O109" i="53" s="1"/>
  <c r="P108" i="53"/>
  <c r="M108" i="53"/>
  <c r="O108" i="53" s="1"/>
  <c r="P107" i="53"/>
  <c r="M107" i="53"/>
  <c r="N107" i="53" s="1"/>
  <c r="P106" i="53"/>
  <c r="M106" i="53"/>
  <c r="O106" i="53" s="1"/>
  <c r="P105" i="53"/>
  <c r="M105" i="53"/>
  <c r="N105" i="53" s="1"/>
  <c r="P104" i="53"/>
  <c r="M104" i="53"/>
  <c r="N104" i="53" s="1"/>
  <c r="P103" i="53"/>
  <c r="M103" i="53"/>
  <c r="O103" i="53" s="1"/>
  <c r="P102" i="53"/>
  <c r="M102" i="53"/>
  <c r="O102" i="53" s="1"/>
  <c r="P101" i="53"/>
  <c r="M101" i="53"/>
  <c r="N101" i="53" s="1"/>
  <c r="P100" i="53"/>
  <c r="M100" i="53"/>
  <c r="O100" i="53" s="1"/>
  <c r="P99" i="53"/>
  <c r="M99" i="53"/>
  <c r="O99" i="53" s="1"/>
  <c r="P98" i="53"/>
  <c r="M98" i="53"/>
  <c r="N98" i="53" s="1"/>
  <c r="P97" i="53"/>
  <c r="M97" i="53"/>
  <c r="O97" i="53" s="1"/>
  <c r="P96" i="53"/>
  <c r="M96" i="53"/>
  <c r="N96" i="53" s="1"/>
  <c r="P95" i="53"/>
  <c r="M95" i="53"/>
  <c r="P94" i="53"/>
  <c r="M94" i="53"/>
  <c r="O94" i="53" s="1"/>
  <c r="P93" i="53"/>
  <c r="M93" i="53"/>
  <c r="O93" i="53" s="1"/>
  <c r="P92" i="53"/>
  <c r="M92" i="53"/>
  <c r="O92" i="53" s="1"/>
  <c r="P91" i="53"/>
  <c r="M91" i="53"/>
  <c r="P90" i="53"/>
  <c r="M90" i="53"/>
  <c r="N90" i="53" s="1"/>
  <c r="P89" i="53"/>
  <c r="M89" i="53"/>
  <c r="O89" i="53" s="1"/>
  <c r="P88" i="53"/>
  <c r="M88" i="53"/>
  <c r="P87" i="53"/>
  <c r="M87" i="53"/>
  <c r="O87" i="53" s="1"/>
  <c r="P86" i="53"/>
  <c r="M86" i="53"/>
  <c r="N86" i="53" s="1"/>
  <c r="P85" i="53"/>
  <c r="M85" i="53"/>
  <c r="O85" i="53" s="1"/>
  <c r="P84" i="53"/>
  <c r="M84" i="53"/>
  <c r="O84" i="53" s="1"/>
  <c r="P83" i="53"/>
  <c r="M83" i="53"/>
  <c r="N83" i="53" s="1"/>
  <c r="P82" i="53"/>
  <c r="M82" i="53"/>
  <c r="O82" i="53" s="1"/>
  <c r="P81" i="53"/>
  <c r="M81" i="53"/>
  <c r="O81" i="53" s="1"/>
  <c r="P80" i="53"/>
  <c r="M80" i="53"/>
  <c r="N80" i="53" s="1"/>
  <c r="P79" i="53"/>
  <c r="M79" i="53"/>
  <c r="O79" i="53" s="1"/>
  <c r="P78" i="53"/>
  <c r="M78" i="53"/>
  <c r="N78" i="53" s="1"/>
  <c r="P77" i="53"/>
  <c r="M77" i="53"/>
  <c r="P76" i="53"/>
  <c r="M76" i="53"/>
  <c r="N76" i="53" s="1"/>
  <c r="P75" i="53"/>
  <c r="M75" i="53"/>
  <c r="O75" i="53" s="1"/>
  <c r="P74" i="53"/>
  <c r="M74" i="53"/>
  <c r="P73" i="53"/>
  <c r="M73" i="53"/>
  <c r="P72" i="53"/>
  <c r="M72" i="53"/>
  <c r="O72" i="53" s="1"/>
  <c r="P71" i="53"/>
  <c r="M71" i="53"/>
  <c r="N71" i="53" s="1"/>
  <c r="P70" i="53"/>
  <c r="M70" i="53"/>
  <c r="O70" i="53" s="1"/>
  <c r="P69" i="53"/>
  <c r="M69" i="53"/>
  <c r="O69" i="53" s="1"/>
  <c r="P68" i="53"/>
  <c r="M68" i="53"/>
  <c r="N68" i="53" s="1"/>
  <c r="P67" i="53"/>
  <c r="M67" i="53"/>
  <c r="O67" i="53" s="1"/>
  <c r="P66" i="53"/>
  <c r="M66" i="53"/>
  <c r="O66" i="53" s="1"/>
  <c r="P65" i="53"/>
  <c r="M65" i="53"/>
  <c r="O65" i="53" s="1"/>
  <c r="P64" i="53"/>
  <c r="M64" i="53"/>
  <c r="O64" i="53" s="1"/>
  <c r="P63" i="53"/>
  <c r="M63" i="53"/>
  <c r="N63" i="53" s="1"/>
  <c r="P62" i="53"/>
  <c r="O62" i="53"/>
  <c r="M62" i="53"/>
  <c r="N62" i="53" s="1"/>
  <c r="P61" i="53"/>
  <c r="M61" i="53"/>
  <c r="O61" i="53" s="1"/>
  <c r="P60" i="53"/>
  <c r="M60" i="53"/>
  <c r="O60" i="53" s="1"/>
  <c r="P59" i="53"/>
  <c r="M59" i="53"/>
  <c r="O59" i="53" s="1"/>
  <c r="P58" i="53"/>
  <c r="M58" i="53"/>
  <c r="O58" i="53" s="1"/>
  <c r="P57" i="53"/>
  <c r="M57" i="53"/>
  <c r="O57" i="53" s="1"/>
  <c r="P56" i="53"/>
  <c r="M56" i="53"/>
  <c r="N56" i="53" s="1"/>
  <c r="P55" i="53"/>
  <c r="M55" i="53"/>
  <c r="O55" i="53" s="1"/>
  <c r="P54" i="53"/>
  <c r="M54" i="53"/>
  <c r="P53" i="53"/>
  <c r="M53" i="53"/>
  <c r="P52" i="53"/>
  <c r="M52" i="53"/>
  <c r="P51" i="53"/>
  <c r="M51" i="53"/>
  <c r="O51" i="53" s="1"/>
  <c r="P50" i="53"/>
  <c r="M50" i="53"/>
  <c r="P49" i="53"/>
  <c r="M49" i="53"/>
  <c r="P48" i="53"/>
  <c r="M48" i="53"/>
  <c r="N48" i="53" s="1"/>
  <c r="P47" i="53"/>
  <c r="M47" i="53"/>
  <c r="O47" i="53" s="1"/>
  <c r="P46" i="53"/>
  <c r="M46" i="53"/>
  <c r="N46" i="53" s="1"/>
  <c r="P45" i="53"/>
  <c r="M45" i="53"/>
  <c r="O45" i="53" s="1"/>
  <c r="P44" i="53"/>
  <c r="M44" i="53"/>
  <c r="O44" i="53" s="1"/>
  <c r="P43" i="53"/>
  <c r="M43" i="53"/>
  <c r="P42" i="53"/>
  <c r="M42" i="53"/>
  <c r="N42" i="53" s="1"/>
  <c r="P41" i="53"/>
  <c r="M41" i="53"/>
  <c r="O41" i="53" s="1"/>
  <c r="P40" i="53"/>
  <c r="M40" i="53"/>
  <c r="N40" i="53" s="1"/>
  <c r="P39" i="53"/>
  <c r="M39" i="53"/>
  <c r="O39" i="53" s="1"/>
  <c r="P38" i="53"/>
  <c r="M38" i="53"/>
  <c r="O38" i="53" s="1"/>
  <c r="P37" i="53"/>
  <c r="M37" i="53"/>
  <c r="P36" i="53"/>
  <c r="M36" i="53"/>
  <c r="P35" i="53"/>
  <c r="M35" i="53"/>
  <c r="N35" i="53" s="1"/>
  <c r="P34" i="53"/>
  <c r="M34" i="53"/>
  <c r="N34" i="53" s="1"/>
  <c r="P33" i="53"/>
  <c r="E251" i="53"/>
  <c r="O11" i="53" s="1"/>
  <c r="P32" i="53"/>
  <c r="M32" i="53"/>
  <c r="P31" i="53"/>
  <c r="M31" i="53"/>
  <c r="O31" i="53" s="1"/>
  <c r="P30" i="53"/>
  <c r="M30" i="53"/>
  <c r="N30" i="53" s="1"/>
  <c r="P29" i="53"/>
  <c r="M29" i="53"/>
  <c r="O29" i="53" s="1"/>
  <c r="P28" i="53"/>
  <c r="M28" i="53"/>
  <c r="O28" i="53" s="1"/>
  <c r="P27" i="53"/>
  <c r="M27" i="53"/>
  <c r="P26" i="53"/>
  <c r="M26" i="53"/>
  <c r="P25" i="53"/>
  <c r="M25" i="53"/>
  <c r="N25" i="53" s="1"/>
  <c r="P24" i="53"/>
  <c r="M24" i="53"/>
  <c r="N24" i="53" s="1"/>
  <c r="P23" i="53"/>
  <c r="M23" i="53"/>
  <c r="O23" i="53" s="1"/>
  <c r="P22" i="53"/>
  <c r="M22" i="53"/>
  <c r="O22" i="53" s="1"/>
  <c r="P21" i="53"/>
  <c r="M21" i="53"/>
  <c r="P20" i="53"/>
  <c r="M20" i="53"/>
  <c r="N20" i="53" s="1"/>
  <c r="P19" i="53"/>
  <c r="M19" i="53"/>
  <c r="O19" i="53" s="1"/>
  <c r="B19" i="53"/>
  <c r="B20" i="53" s="1"/>
  <c r="B21" i="53" s="1"/>
  <c r="B22" i="53" s="1"/>
  <c r="B23" i="53" s="1"/>
  <c r="B24" i="53" s="1"/>
  <c r="B25" i="53" s="1"/>
  <c r="B26" i="53" s="1"/>
  <c r="B27" i="53" s="1"/>
  <c r="B28" i="53" s="1"/>
  <c r="B29" i="53" s="1"/>
  <c r="B30" i="53" s="1"/>
  <c r="B31" i="53" s="1"/>
  <c r="B32" i="53" s="1"/>
  <c r="N12" i="53"/>
  <c r="N11" i="53"/>
  <c r="N10" i="53"/>
  <c r="N9" i="53"/>
  <c r="E251" i="51"/>
  <c r="AG8" i="15"/>
  <c r="AI25" i="15" l="1"/>
  <c r="D9" i="54"/>
  <c r="D7" i="54"/>
  <c r="D6" i="54"/>
  <c r="G251" i="54"/>
  <c r="D12" i="54" s="1"/>
  <c r="D5" i="54"/>
  <c r="D11" i="54"/>
  <c r="D8" i="54"/>
  <c r="D10" i="54"/>
  <c r="N13" i="53"/>
  <c r="N19" i="53"/>
  <c r="O116" i="53"/>
  <c r="N220" i="53"/>
  <c r="G220" i="53" s="1"/>
  <c r="O112" i="53"/>
  <c r="G112" i="53" s="1"/>
  <c r="H112" i="53" s="1"/>
  <c r="O96" i="53"/>
  <c r="G96" i="53" s="1"/>
  <c r="H96" i="53" s="1"/>
  <c r="O83" i="53"/>
  <c r="G83" i="53" s="1"/>
  <c r="H83" i="53" s="1"/>
  <c r="O78" i="53"/>
  <c r="G78" i="53" s="1"/>
  <c r="H78" i="53" s="1"/>
  <c r="O76" i="53"/>
  <c r="N84" i="53"/>
  <c r="G84" i="53" s="1"/>
  <c r="H84" i="53" s="1"/>
  <c r="O34" i="53"/>
  <c r="G34" i="53" s="1"/>
  <c r="H34" i="53" s="1"/>
  <c r="O25" i="53"/>
  <c r="N23" i="53"/>
  <c r="G23" i="53" s="1"/>
  <c r="H23" i="53" s="1"/>
  <c r="O68" i="53"/>
  <c r="G68" i="53" s="1"/>
  <c r="H68" i="53" s="1"/>
  <c r="G62" i="53"/>
  <c r="H62" i="53" s="1"/>
  <c r="N51" i="53"/>
  <c r="G51" i="53" s="1"/>
  <c r="H51" i="53" s="1"/>
  <c r="O9" i="53"/>
  <c r="O12" i="53"/>
  <c r="O10" i="53"/>
  <c r="N202" i="53"/>
  <c r="N184" i="53"/>
  <c r="G184" i="53" s="1"/>
  <c r="N168" i="53"/>
  <c r="G168" i="53" s="1"/>
  <c r="N176" i="53"/>
  <c r="G176" i="53" s="1"/>
  <c r="N211" i="53"/>
  <c r="G211" i="53" s="1"/>
  <c r="N193" i="53"/>
  <c r="G193" i="53" s="1"/>
  <c r="G116" i="53"/>
  <c r="O24" i="53"/>
  <c r="G24" i="53" s="1"/>
  <c r="H24" i="53" s="1"/>
  <c r="N57" i="53"/>
  <c r="G57" i="53" s="1"/>
  <c r="H57" i="53" s="1"/>
  <c r="N67" i="53"/>
  <c r="G67" i="53" s="1"/>
  <c r="H67" i="53" s="1"/>
  <c r="N70" i="53"/>
  <c r="G70" i="53" s="1"/>
  <c r="H70" i="53" s="1"/>
  <c r="O90" i="53"/>
  <c r="G90" i="53" s="1"/>
  <c r="H90" i="53" s="1"/>
  <c r="N102" i="53"/>
  <c r="G102" i="53" s="1"/>
  <c r="H102" i="53" s="1"/>
  <c r="O111" i="53"/>
  <c r="O148" i="53"/>
  <c r="G148" i="53" s="1"/>
  <c r="O152" i="53"/>
  <c r="G152" i="53" s="1"/>
  <c r="N69" i="53"/>
  <c r="G69" i="53" s="1"/>
  <c r="H69" i="53" s="1"/>
  <c r="N79" i="53"/>
  <c r="G79" i="53" s="1"/>
  <c r="H79" i="53" s="1"/>
  <c r="O122" i="53"/>
  <c r="G122" i="53" s="1"/>
  <c r="O128" i="53"/>
  <c r="G128" i="53" s="1"/>
  <c r="O140" i="53"/>
  <c r="G140" i="53" s="1"/>
  <c r="O164" i="53"/>
  <c r="G164" i="53" s="1"/>
  <c r="N29" i="53"/>
  <c r="G29" i="53" s="1"/>
  <c r="H29" i="53" s="1"/>
  <c r="N31" i="53"/>
  <c r="G31" i="53" s="1"/>
  <c r="H31" i="53" s="1"/>
  <c r="O35" i="53"/>
  <c r="G35" i="53" s="1"/>
  <c r="O40" i="53"/>
  <c r="G40" i="53" s="1"/>
  <c r="H40" i="53" s="1"/>
  <c r="O46" i="53"/>
  <c r="G46" i="53" s="1"/>
  <c r="H46" i="53" s="1"/>
  <c r="O63" i="53"/>
  <c r="G63" i="53" s="1"/>
  <c r="H63" i="53" s="1"/>
  <c r="N81" i="53"/>
  <c r="G81" i="53" s="1"/>
  <c r="H81" i="53" s="1"/>
  <c r="N85" i="53"/>
  <c r="G85" i="53" s="1"/>
  <c r="H85" i="53" s="1"/>
  <c r="N87" i="53"/>
  <c r="G87" i="53" s="1"/>
  <c r="H87" i="53" s="1"/>
  <c r="N89" i="53"/>
  <c r="G89" i="53" s="1"/>
  <c r="H89" i="53" s="1"/>
  <c r="N93" i="53"/>
  <c r="G93" i="53" s="1"/>
  <c r="H93" i="53" s="1"/>
  <c r="N97" i="53"/>
  <c r="G97" i="53" s="1"/>
  <c r="H97" i="53" s="1"/>
  <c r="N99" i="53"/>
  <c r="G99" i="53" s="1"/>
  <c r="H99" i="53" s="1"/>
  <c r="O105" i="53"/>
  <c r="G105" i="53" s="1"/>
  <c r="H105" i="53" s="1"/>
  <c r="O118" i="53"/>
  <c r="G118" i="53" s="1"/>
  <c r="O120" i="53"/>
  <c r="G120" i="53" s="1"/>
  <c r="O124" i="53"/>
  <c r="G124" i="53" s="1"/>
  <c r="O126" i="53"/>
  <c r="G126" i="53" s="1"/>
  <c r="O130" i="53"/>
  <c r="G130" i="53" s="1"/>
  <c r="O132" i="53"/>
  <c r="G132" i="53" s="1"/>
  <c r="O136" i="53"/>
  <c r="G136" i="53" s="1"/>
  <c r="O138" i="53"/>
  <c r="G138" i="53" s="1"/>
  <c r="O142" i="53"/>
  <c r="G142" i="53" s="1"/>
  <c r="O144" i="53"/>
  <c r="G144" i="53" s="1"/>
  <c r="O160" i="53"/>
  <c r="G160" i="53" s="1"/>
  <c r="O162" i="53"/>
  <c r="G162" i="53" s="1"/>
  <c r="N174" i="53"/>
  <c r="G174" i="53" s="1"/>
  <c r="N226" i="53"/>
  <c r="G226" i="53" s="1"/>
  <c r="O30" i="53"/>
  <c r="G30" i="53" s="1"/>
  <c r="H30" i="53" s="1"/>
  <c r="N39" i="53"/>
  <c r="G39" i="53" s="1"/>
  <c r="H39" i="53" s="1"/>
  <c r="N41" i="53"/>
  <c r="G41" i="53" s="1"/>
  <c r="H41" i="53" s="1"/>
  <c r="N45" i="53"/>
  <c r="N47" i="53"/>
  <c r="G47" i="53" s="1"/>
  <c r="H47" i="53" s="1"/>
  <c r="N61" i="53"/>
  <c r="N75" i="53"/>
  <c r="G75" i="53" s="1"/>
  <c r="H75" i="53" s="1"/>
  <c r="O80" i="53"/>
  <c r="G80" i="53" s="1"/>
  <c r="H80" i="53" s="1"/>
  <c r="N111" i="53"/>
  <c r="O115" i="53"/>
  <c r="G115" i="53" s="1"/>
  <c r="O154" i="53"/>
  <c r="G154" i="53" s="1"/>
  <c r="O156" i="53"/>
  <c r="G156" i="53" s="1"/>
  <c r="N170" i="53"/>
  <c r="G170" i="53" s="1"/>
  <c r="N82" i="53"/>
  <c r="G82" i="53" s="1"/>
  <c r="H82" i="53" s="1"/>
  <c r="N100" i="53"/>
  <c r="G100" i="53" s="1"/>
  <c r="H100" i="53" s="1"/>
  <c r="O150" i="53"/>
  <c r="G150" i="53" s="1"/>
  <c r="O134" i="53"/>
  <c r="G134" i="53" s="1"/>
  <c r="O146" i="53"/>
  <c r="G146" i="53" s="1"/>
  <c r="G19" i="53"/>
  <c r="G45" i="53"/>
  <c r="H45" i="53" s="1"/>
  <c r="G61" i="53"/>
  <c r="H61" i="53" s="1"/>
  <c r="G76" i="53"/>
  <c r="H76" i="53" s="1"/>
  <c r="B35" i="53"/>
  <c r="B33" i="53"/>
  <c r="O27" i="53"/>
  <c r="N27" i="53"/>
  <c r="O32" i="53"/>
  <c r="O43" i="53"/>
  <c r="N43" i="53"/>
  <c r="N114" i="53"/>
  <c r="O114" i="53"/>
  <c r="N151" i="53"/>
  <c r="O151" i="53"/>
  <c r="O26" i="53"/>
  <c r="N53" i="53"/>
  <c r="O53" i="53"/>
  <c r="O20" i="53"/>
  <c r="G20" i="53" s="1"/>
  <c r="N26" i="53"/>
  <c r="O42" i="53"/>
  <c r="G42" i="53" s="1"/>
  <c r="H42" i="53" s="1"/>
  <c r="N50" i="53"/>
  <c r="O50" i="53"/>
  <c r="O95" i="53"/>
  <c r="N95" i="53"/>
  <c r="O48" i="53"/>
  <c r="G48" i="53" s="1"/>
  <c r="H48" i="53" s="1"/>
  <c r="O228" i="53"/>
  <c r="N228" i="53"/>
  <c r="O49" i="53"/>
  <c r="N49" i="53"/>
  <c r="N195" i="53"/>
  <c r="O195" i="53"/>
  <c r="O21" i="53"/>
  <c r="N21" i="53"/>
  <c r="N153" i="53"/>
  <c r="O153" i="53"/>
  <c r="N32" i="53"/>
  <c r="O37" i="53"/>
  <c r="N37" i="53"/>
  <c r="O36" i="53"/>
  <c r="N74" i="53"/>
  <c r="O74" i="53"/>
  <c r="G25" i="53"/>
  <c r="H25" i="53" s="1"/>
  <c r="M33" i="53"/>
  <c r="O33" i="53" s="1"/>
  <c r="N36" i="53"/>
  <c r="O52" i="53"/>
  <c r="N52" i="53"/>
  <c r="N54" i="53"/>
  <c r="O54" i="53"/>
  <c r="N88" i="53"/>
  <c r="O88" i="53"/>
  <c r="N197" i="53"/>
  <c r="O197" i="53"/>
  <c r="N222" i="53"/>
  <c r="O222" i="53"/>
  <c r="N72" i="53"/>
  <c r="G72" i="53" s="1"/>
  <c r="H72" i="53" s="1"/>
  <c r="N94" i="53"/>
  <c r="G94" i="53" s="1"/>
  <c r="H94" i="53" s="1"/>
  <c r="N108" i="53"/>
  <c r="G108" i="53" s="1"/>
  <c r="H108" i="53" s="1"/>
  <c r="N109" i="53"/>
  <c r="G109" i="53" s="1"/>
  <c r="H109" i="53" s="1"/>
  <c r="N113" i="53"/>
  <c r="O113" i="53"/>
  <c r="N133" i="53"/>
  <c r="O133" i="53"/>
  <c r="N147" i="53"/>
  <c r="N163" i="53"/>
  <c r="O163" i="53"/>
  <c r="N177" i="53"/>
  <c r="O246" i="53"/>
  <c r="N246" i="53"/>
  <c r="N22" i="53"/>
  <c r="G22" i="53" s="1"/>
  <c r="H22" i="53" s="1"/>
  <c r="N28" i="53"/>
  <c r="G28" i="53" s="1"/>
  <c r="H28" i="53" s="1"/>
  <c r="N38" i="53"/>
  <c r="G38" i="53" s="1"/>
  <c r="H38" i="53" s="1"/>
  <c r="N44" i="53"/>
  <c r="G44" i="53" s="1"/>
  <c r="H44" i="53" s="1"/>
  <c r="N55" i="53"/>
  <c r="G55" i="53" s="1"/>
  <c r="H55" i="53" s="1"/>
  <c r="O56" i="53"/>
  <c r="G56" i="53" s="1"/>
  <c r="H56" i="53" s="1"/>
  <c r="N58" i="53"/>
  <c r="G58" i="53" s="1"/>
  <c r="H58" i="53" s="1"/>
  <c r="N59" i="53"/>
  <c r="G59" i="53" s="1"/>
  <c r="H59" i="53" s="1"/>
  <c r="N60" i="53"/>
  <c r="G60" i="53" s="1"/>
  <c r="H60" i="53" s="1"/>
  <c r="N64" i="53"/>
  <c r="N65" i="53"/>
  <c r="G65" i="53" s="1"/>
  <c r="H65" i="53" s="1"/>
  <c r="N66" i="53"/>
  <c r="G66" i="53" s="1"/>
  <c r="H66" i="53" s="1"/>
  <c r="O86" i="53"/>
  <c r="G86" i="53" s="1"/>
  <c r="H86" i="53" s="1"/>
  <c r="N92" i="53"/>
  <c r="G92" i="53" s="1"/>
  <c r="H92" i="53" s="1"/>
  <c r="O107" i="53"/>
  <c r="G107" i="53" s="1"/>
  <c r="H107" i="53" s="1"/>
  <c r="N123" i="53"/>
  <c r="G123" i="53" s="1"/>
  <c r="N129" i="53"/>
  <c r="G129" i="53" s="1"/>
  <c r="N135" i="53"/>
  <c r="G135" i="53" s="1"/>
  <c r="N141" i="53"/>
  <c r="G141" i="53" s="1"/>
  <c r="O147" i="53"/>
  <c r="O177" i="53"/>
  <c r="O190" i="53"/>
  <c r="G190" i="53" s="1"/>
  <c r="N192" i="53"/>
  <c r="O192" i="53"/>
  <c r="O217" i="53"/>
  <c r="G217" i="53" s="1"/>
  <c r="N219" i="53"/>
  <c r="O219" i="53"/>
  <c r="N77" i="53"/>
  <c r="O91" i="53"/>
  <c r="N157" i="53"/>
  <c r="O157" i="53"/>
  <c r="N159" i="53"/>
  <c r="N186" i="53"/>
  <c r="N188" i="53"/>
  <c r="N213" i="53"/>
  <c r="N215" i="53"/>
  <c r="O240" i="53"/>
  <c r="N240" i="53"/>
  <c r="O73" i="53"/>
  <c r="N73" i="53"/>
  <c r="N117" i="53"/>
  <c r="O167" i="53"/>
  <c r="G167" i="53" s="1"/>
  <c r="O173" i="53"/>
  <c r="O181" i="53"/>
  <c r="N183" i="53"/>
  <c r="O183" i="53"/>
  <c r="O208" i="53"/>
  <c r="N210" i="53"/>
  <c r="O210" i="53"/>
  <c r="O71" i="53"/>
  <c r="G71" i="53" s="1"/>
  <c r="H71" i="53" s="1"/>
  <c r="O117" i="53"/>
  <c r="N121" i="53"/>
  <c r="O121" i="53"/>
  <c r="N127" i="53"/>
  <c r="O127" i="53"/>
  <c r="N139" i="53"/>
  <c r="O139" i="53"/>
  <c r="N145" i="53"/>
  <c r="O145" i="53"/>
  <c r="O158" i="53"/>
  <c r="G158" i="53" s="1"/>
  <c r="N165" i="53"/>
  <c r="G165" i="53" s="1"/>
  <c r="N171" i="53"/>
  <c r="G171" i="53" s="1"/>
  <c r="N173" i="53"/>
  <c r="N179" i="53"/>
  <c r="G179" i="53" s="1"/>
  <c r="N181" i="53"/>
  <c r="N204" i="53"/>
  <c r="G204" i="53" s="1"/>
  <c r="N206" i="53"/>
  <c r="G206" i="53" s="1"/>
  <c r="N208" i="53"/>
  <c r="N244" i="53"/>
  <c r="G244" i="53" s="1"/>
  <c r="O77" i="53"/>
  <c r="N91" i="53"/>
  <c r="O98" i="53"/>
  <c r="G98" i="53" s="1"/>
  <c r="H98" i="53" s="1"/>
  <c r="O101" i="53"/>
  <c r="G101" i="53" s="1"/>
  <c r="H101" i="53" s="1"/>
  <c r="N103" i="53"/>
  <c r="G103" i="53" s="1"/>
  <c r="H103" i="53" s="1"/>
  <c r="O104" i="53"/>
  <c r="G104" i="53" s="1"/>
  <c r="H104" i="53" s="1"/>
  <c r="N106" i="53"/>
  <c r="G106" i="53" s="1"/>
  <c r="H106" i="53" s="1"/>
  <c r="N110" i="53"/>
  <c r="O110" i="53"/>
  <c r="N119" i="53"/>
  <c r="O119" i="53"/>
  <c r="N125" i="53"/>
  <c r="O125" i="53"/>
  <c r="N131" i="53"/>
  <c r="O131" i="53"/>
  <c r="N137" i="53"/>
  <c r="O137" i="53"/>
  <c r="N143" i="53"/>
  <c r="O143" i="53"/>
  <c r="O159" i="53"/>
  <c r="O186" i="53"/>
  <c r="O188" i="53"/>
  <c r="O199" i="53"/>
  <c r="G199" i="53" s="1"/>
  <c r="N201" i="53"/>
  <c r="O201" i="53"/>
  <c r="O213" i="53"/>
  <c r="G213" i="53" s="1"/>
  <c r="O215" i="53"/>
  <c r="N232" i="53"/>
  <c r="G232" i="53" s="1"/>
  <c r="O234" i="53"/>
  <c r="N234" i="53"/>
  <c r="O238" i="53"/>
  <c r="G238" i="53" s="1"/>
  <c r="N185" i="53"/>
  <c r="G185" i="53" s="1"/>
  <c r="N194" i="53"/>
  <c r="G194" i="53" s="1"/>
  <c r="N203" i="53"/>
  <c r="G203" i="53" s="1"/>
  <c r="N212" i="53"/>
  <c r="G212" i="53" s="1"/>
  <c r="N221" i="53"/>
  <c r="G221" i="53" s="1"/>
  <c r="N169" i="53"/>
  <c r="N175" i="53"/>
  <c r="N180" i="53"/>
  <c r="N189" i="53"/>
  <c r="N198" i="53"/>
  <c r="N207" i="53"/>
  <c r="N216" i="53"/>
  <c r="O225" i="53"/>
  <c r="N225" i="53"/>
  <c r="O231" i="53"/>
  <c r="N231" i="53"/>
  <c r="G231" i="53" s="1"/>
  <c r="O237" i="53"/>
  <c r="N237" i="53"/>
  <c r="N241" i="53"/>
  <c r="O243" i="53"/>
  <c r="N243" i="53"/>
  <c r="O249" i="53"/>
  <c r="N249" i="53"/>
  <c r="O149" i="53"/>
  <c r="G149" i="53" s="1"/>
  <c r="O155" i="53"/>
  <c r="G155" i="53" s="1"/>
  <c r="O161" i="53"/>
  <c r="G161" i="53" s="1"/>
  <c r="N166" i="53"/>
  <c r="G166" i="53" s="1"/>
  <c r="O169" i="53"/>
  <c r="N172" i="53"/>
  <c r="G172" i="53" s="1"/>
  <c r="O175" i="53"/>
  <c r="G175" i="53" s="1"/>
  <c r="O178" i="53"/>
  <c r="G178" i="53" s="1"/>
  <c r="O180" i="53"/>
  <c r="N182" i="53"/>
  <c r="G182" i="53" s="1"/>
  <c r="O187" i="53"/>
  <c r="G187" i="53" s="1"/>
  <c r="O189" i="53"/>
  <c r="N191" i="53"/>
  <c r="G191" i="53" s="1"/>
  <c r="O196" i="53"/>
  <c r="G196" i="53" s="1"/>
  <c r="O198" i="53"/>
  <c r="N200" i="53"/>
  <c r="G200" i="53" s="1"/>
  <c r="G202" i="53"/>
  <c r="O205" i="53"/>
  <c r="G205" i="53" s="1"/>
  <c r="O207" i="53"/>
  <c r="N209" i="53"/>
  <c r="G209" i="53" s="1"/>
  <c r="O214" i="53"/>
  <c r="G214" i="53" s="1"/>
  <c r="O216" i="53"/>
  <c r="N218" i="53"/>
  <c r="G218" i="53" s="1"/>
  <c r="O223" i="53"/>
  <c r="G223" i="53" s="1"/>
  <c r="O229" i="53"/>
  <c r="G229" i="53" s="1"/>
  <c r="O235" i="53"/>
  <c r="G235" i="53" s="1"/>
  <c r="O241" i="53"/>
  <c r="O247" i="53"/>
  <c r="G247" i="53" s="1"/>
  <c r="N224" i="53"/>
  <c r="G224" i="53" s="1"/>
  <c r="N227" i="53"/>
  <c r="G227" i="53" s="1"/>
  <c r="N230" i="53"/>
  <c r="G230" i="53" s="1"/>
  <c r="N233" i="53"/>
  <c r="G233" i="53" s="1"/>
  <c r="N236" i="53"/>
  <c r="G236" i="53" s="1"/>
  <c r="N239" i="53"/>
  <c r="G239" i="53" s="1"/>
  <c r="N242" i="53"/>
  <c r="G242" i="53" s="1"/>
  <c r="N245" i="53"/>
  <c r="G245" i="53" s="1"/>
  <c r="N248" i="53"/>
  <c r="G248" i="53" s="1"/>
  <c r="AG5" i="15"/>
  <c r="G125" i="53" l="1"/>
  <c r="G74" i="53"/>
  <c r="H74" i="53" s="1"/>
  <c r="G53" i="53"/>
  <c r="H53" i="53" s="1"/>
  <c r="G249" i="53"/>
  <c r="G234" i="53"/>
  <c r="G169" i="53"/>
  <c r="G43" i="53"/>
  <c r="H43" i="53" s="1"/>
  <c r="G52" i="53"/>
  <c r="H52" i="53" s="1"/>
  <c r="G177" i="53"/>
  <c r="G110" i="53"/>
  <c r="H110" i="53" s="1"/>
  <c r="G210" i="53"/>
  <c r="G225" i="53"/>
  <c r="G246" i="53"/>
  <c r="G36" i="53"/>
  <c r="H36" i="53" s="1"/>
  <c r="G49" i="53"/>
  <c r="H49" i="53" s="1"/>
  <c r="G240" i="53"/>
  <c r="G113" i="53"/>
  <c r="H113" i="53" s="1"/>
  <c r="G73" i="53"/>
  <c r="H73" i="53" s="1"/>
  <c r="G111" i="53"/>
  <c r="H111" i="53" s="1"/>
  <c r="G91" i="53"/>
  <c r="H91" i="53" s="1"/>
  <c r="G32" i="53"/>
  <c r="H32" i="53" s="1"/>
  <c r="N33" i="53"/>
  <c r="G33" i="53" s="1"/>
  <c r="G26" i="53"/>
  <c r="H26" i="53" s="1"/>
  <c r="H19" i="53"/>
  <c r="G27" i="53"/>
  <c r="H27" i="53" s="1"/>
  <c r="H35" i="53"/>
  <c r="AH15" i="15"/>
  <c r="G37" i="53"/>
  <c r="O13" i="53"/>
  <c r="G241" i="53"/>
  <c r="G222" i="53"/>
  <c r="G228" i="53"/>
  <c r="G207" i="53"/>
  <c r="G216" i="53"/>
  <c r="G186" i="53"/>
  <c r="G180" i="53"/>
  <c r="G159" i="53"/>
  <c r="AH21" i="15"/>
  <c r="G137" i="53"/>
  <c r="G153" i="53"/>
  <c r="G151" i="53"/>
  <c r="G198" i="53"/>
  <c r="G208" i="53"/>
  <c r="G181" i="53"/>
  <c r="G188" i="53"/>
  <c r="G163" i="53"/>
  <c r="G197" i="53"/>
  <c r="G131" i="53"/>
  <c r="G119" i="53"/>
  <c r="G117" i="53"/>
  <c r="G127" i="53"/>
  <c r="G237" i="53"/>
  <c r="G195" i="53"/>
  <c r="G173" i="53"/>
  <c r="G183" i="53"/>
  <c r="G88" i="53"/>
  <c r="H88" i="53" s="1"/>
  <c r="G243" i="53"/>
  <c r="G189" i="53"/>
  <c r="G201" i="53"/>
  <c r="G215" i="53"/>
  <c r="G157" i="53"/>
  <c r="G219" i="53"/>
  <c r="G54" i="53"/>
  <c r="H54" i="53" s="1"/>
  <c r="G95" i="53"/>
  <c r="H95" i="53" s="1"/>
  <c r="G143" i="53"/>
  <c r="G50" i="53"/>
  <c r="H50" i="53" s="1"/>
  <c r="G192" i="53"/>
  <c r="G114" i="53"/>
  <c r="H114" i="53" s="1"/>
  <c r="G77" i="53"/>
  <c r="H77" i="53" s="1"/>
  <c r="G147" i="53"/>
  <c r="G21" i="53"/>
  <c r="H21" i="53" s="1"/>
  <c r="H20" i="53"/>
  <c r="B36" i="53"/>
  <c r="B34" i="53"/>
  <c r="B37" i="53" s="1"/>
  <c r="B38" i="53" s="1"/>
  <c r="B39" i="53" s="1"/>
  <c r="B40" i="53" s="1"/>
  <c r="B41" i="53" s="1"/>
  <c r="B42" i="53" s="1"/>
  <c r="B43" i="53" s="1"/>
  <c r="B44" i="53" s="1"/>
  <c r="B45" i="53" s="1"/>
  <c r="B46" i="53" s="1"/>
  <c r="B47" i="53" s="1"/>
  <c r="B48" i="53" s="1"/>
  <c r="B49" i="53" s="1"/>
  <c r="B50" i="53" s="1"/>
  <c r="B51" i="53" s="1"/>
  <c r="B52" i="53" s="1"/>
  <c r="B53" i="53" s="1"/>
  <c r="B54" i="53" s="1"/>
  <c r="B55" i="53" s="1"/>
  <c r="B56" i="53" s="1"/>
  <c r="B57" i="53" s="1"/>
  <c r="B58" i="53" s="1"/>
  <c r="B59" i="53" s="1"/>
  <c r="B60" i="53" s="1"/>
  <c r="B61" i="53" s="1"/>
  <c r="B62" i="53" s="1"/>
  <c r="B63" i="53" s="1"/>
  <c r="B64" i="53" s="1"/>
  <c r="B65" i="53" s="1"/>
  <c r="B66" i="53" s="1"/>
  <c r="B67" i="53" s="1"/>
  <c r="B68" i="53" s="1"/>
  <c r="B69" i="53" s="1"/>
  <c r="B70" i="53" s="1"/>
  <c r="B71" i="53" s="1"/>
  <c r="B72" i="53" s="1"/>
  <c r="B73" i="53" s="1"/>
  <c r="B74" i="53" s="1"/>
  <c r="B75" i="53" s="1"/>
  <c r="B76" i="53" s="1"/>
  <c r="B77" i="53" s="1"/>
  <c r="B78" i="53" s="1"/>
  <c r="B79" i="53" s="1"/>
  <c r="B80" i="53" s="1"/>
  <c r="B81" i="53" s="1"/>
  <c r="B82" i="53" s="1"/>
  <c r="B83" i="53" s="1"/>
  <c r="B84" i="53" s="1"/>
  <c r="B85" i="53" s="1"/>
  <c r="B86" i="53" s="1"/>
  <c r="B87" i="53" s="1"/>
  <c r="B88" i="53" s="1"/>
  <c r="B89" i="53" s="1"/>
  <c r="B90" i="53" s="1"/>
  <c r="B91" i="53" s="1"/>
  <c r="B92" i="53" s="1"/>
  <c r="B93" i="53" s="1"/>
  <c r="B94" i="53" s="1"/>
  <c r="B95" i="53" s="1"/>
  <c r="B96" i="53" s="1"/>
  <c r="B97" i="53" s="1"/>
  <c r="B98" i="53" s="1"/>
  <c r="B99" i="53" s="1"/>
  <c r="B100" i="53" s="1"/>
  <c r="B101" i="53" s="1"/>
  <c r="B102" i="53" s="1"/>
  <c r="B103" i="53" s="1"/>
  <c r="B104" i="53" s="1"/>
  <c r="B105" i="53" s="1"/>
  <c r="B106" i="53" s="1"/>
  <c r="B107" i="53" s="1"/>
  <c r="B108" i="53" s="1"/>
  <c r="B109" i="53" s="1"/>
  <c r="B110" i="53" s="1"/>
  <c r="B111" i="53" s="1"/>
  <c r="B112" i="53" s="1"/>
  <c r="B113" i="53" s="1"/>
  <c r="B114" i="53" s="1"/>
  <c r="B115" i="53" s="1"/>
  <c r="B116" i="53" s="1"/>
  <c r="B117" i="53" s="1"/>
  <c r="B118" i="53" s="1"/>
  <c r="B119" i="53" s="1"/>
  <c r="B120" i="53" s="1"/>
  <c r="B121" i="53" s="1"/>
  <c r="B122" i="53" s="1"/>
  <c r="B123" i="53" s="1"/>
  <c r="B124" i="53" s="1"/>
  <c r="B125" i="53" s="1"/>
  <c r="B126" i="53" s="1"/>
  <c r="B127" i="53" s="1"/>
  <c r="B128" i="53" s="1"/>
  <c r="B129" i="53" s="1"/>
  <c r="B130" i="53" s="1"/>
  <c r="B131" i="53" s="1"/>
  <c r="B132" i="53" s="1"/>
  <c r="B133" i="53" s="1"/>
  <c r="B134" i="53" s="1"/>
  <c r="B135" i="53" s="1"/>
  <c r="B136" i="53" s="1"/>
  <c r="B137" i="53" s="1"/>
  <c r="B138" i="53" s="1"/>
  <c r="B139" i="53" s="1"/>
  <c r="B140" i="53" s="1"/>
  <c r="B141" i="53" s="1"/>
  <c r="B142" i="53" s="1"/>
  <c r="B143" i="53" s="1"/>
  <c r="B144" i="53" s="1"/>
  <c r="B145" i="53" s="1"/>
  <c r="B146" i="53" s="1"/>
  <c r="B147" i="53" s="1"/>
  <c r="B148" i="53" s="1"/>
  <c r="B149" i="53" s="1"/>
  <c r="B150" i="53" s="1"/>
  <c r="B151" i="53" s="1"/>
  <c r="B152" i="53" s="1"/>
  <c r="B153" i="53" s="1"/>
  <c r="B154" i="53" s="1"/>
  <c r="B155" i="53" s="1"/>
  <c r="B156" i="53" s="1"/>
  <c r="B157" i="53" s="1"/>
  <c r="B158" i="53" s="1"/>
  <c r="B159" i="53" s="1"/>
  <c r="B160" i="53" s="1"/>
  <c r="B161" i="53" s="1"/>
  <c r="B162" i="53" s="1"/>
  <c r="B163" i="53" s="1"/>
  <c r="B164" i="53" s="1"/>
  <c r="B165" i="53" s="1"/>
  <c r="B166" i="53" s="1"/>
  <c r="B167" i="53" s="1"/>
  <c r="B168" i="53" s="1"/>
  <c r="B169" i="53" s="1"/>
  <c r="B170" i="53" s="1"/>
  <c r="B171" i="53" s="1"/>
  <c r="B172" i="53" s="1"/>
  <c r="B173" i="53" s="1"/>
  <c r="B174" i="53" s="1"/>
  <c r="B175" i="53" s="1"/>
  <c r="B176" i="53" s="1"/>
  <c r="B177" i="53" s="1"/>
  <c r="B178" i="53" s="1"/>
  <c r="B179" i="53" s="1"/>
  <c r="B180" i="53" s="1"/>
  <c r="B181" i="53" s="1"/>
  <c r="B182" i="53" s="1"/>
  <c r="B183" i="53" s="1"/>
  <c r="B184" i="53" s="1"/>
  <c r="B185" i="53" s="1"/>
  <c r="B186" i="53" s="1"/>
  <c r="B187" i="53" s="1"/>
  <c r="B188" i="53" s="1"/>
  <c r="B189" i="53" s="1"/>
  <c r="B190" i="53" s="1"/>
  <c r="B191" i="53" s="1"/>
  <c r="B192" i="53" s="1"/>
  <c r="B193" i="53" s="1"/>
  <c r="B194" i="53" s="1"/>
  <c r="B195" i="53" s="1"/>
  <c r="B196" i="53" s="1"/>
  <c r="B197" i="53" s="1"/>
  <c r="B198" i="53" s="1"/>
  <c r="B199" i="53" s="1"/>
  <c r="B200" i="53" s="1"/>
  <c r="B201" i="53" s="1"/>
  <c r="B202" i="53" s="1"/>
  <c r="B203" i="53" s="1"/>
  <c r="B204" i="53" s="1"/>
  <c r="B205" i="53" s="1"/>
  <c r="B206" i="53" s="1"/>
  <c r="B207" i="53" s="1"/>
  <c r="B208" i="53" s="1"/>
  <c r="B209" i="53" s="1"/>
  <c r="B210" i="53" s="1"/>
  <c r="B211" i="53" s="1"/>
  <c r="B212" i="53" s="1"/>
  <c r="B213" i="53" s="1"/>
  <c r="B214" i="53" s="1"/>
  <c r="B215" i="53" s="1"/>
  <c r="B216" i="53" s="1"/>
  <c r="B217" i="53" s="1"/>
  <c r="B218" i="53" s="1"/>
  <c r="B219" i="53" s="1"/>
  <c r="B220" i="53" s="1"/>
  <c r="B221" i="53" s="1"/>
  <c r="B222" i="53" s="1"/>
  <c r="B223" i="53" s="1"/>
  <c r="B224" i="53" s="1"/>
  <c r="B225" i="53" s="1"/>
  <c r="B226" i="53" s="1"/>
  <c r="B227" i="53" s="1"/>
  <c r="B228" i="53" s="1"/>
  <c r="B229" i="53" s="1"/>
  <c r="B230" i="53" s="1"/>
  <c r="B231" i="53" s="1"/>
  <c r="B232" i="53" s="1"/>
  <c r="B233" i="53" s="1"/>
  <c r="B234" i="53" s="1"/>
  <c r="B235" i="53" s="1"/>
  <c r="B236" i="53" s="1"/>
  <c r="B237" i="53" s="1"/>
  <c r="B238" i="53" s="1"/>
  <c r="B239" i="53" s="1"/>
  <c r="B240" i="53" s="1"/>
  <c r="B241" i="53" s="1"/>
  <c r="B242" i="53" s="1"/>
  <c r="B243" i="53" s="1"/>
  <c r="B244" i="53" s="1"/>
  <c r="B245" i="53" s="1"/>
  <c r="B246" i="53" s="1"/>
  <c r="B247" i="53" s="1"/>
  <c r="B248" i="53" s="1"/>
  <c r="B249" i="53" s="1"/>
  <c r="G121" i="53"/>
  <c r="G139" i="53"/>
  <c r="G133" i="53"/>
  <c r="G145" i="53"/>
  <c r="AH39" i="15"/>
  <c r="AH9" i="15" l="1"/>
  <c r="H33" i="53"/>
  <c r="AH17" i="15"/>
  <c r="H37" i="53"/>
  <c r="AH25" i="15"/>
  <c r="D6" i="53"/>
  <c r="G251" i="53"/>
  <c r="D12" i="53" s="1"/>
  <c r="D7" i="53"/>
  <c r="D5" i="53"/>
  <c r="D8" i="53"/>
  <c r="D9" i="53"/>
  <c r="D11" i="53"/>
  <c r="D10" i="53"/>
  <c r="AG18" i="15"/>
  <c r="AG19" i="15"/>
  <c r="AH26" i="15" l="1"/>
  <c r="F33" i="51"/>
  <c r="E33" i="51"/>
  <c r="H19" i="51"/>
  <c r="H21" i="51"/>
  <c r="H22" i="51"/>
  <c r="AG24" i="15"/>
  <c r="AG16" i="15"/>
  <c r="AG14" i="15"/>
  <c r="AG13" i="15"/>
  <c r="AG12" i="15"/>
  <c r="AG11" i="15"/>
  <c r="AG10" i="15"/>
  <c r="AG31" i="15"/>
  <c r="AG45" i="15"/>
  <c r="AG44" i="15"/>
  <c r="AG54" i="15"/>
  <c r="C10" i="52"/>
  <c r="AG33" i="15" l="1"/>
  <c r="D30" i="44"/>
  <c r="AH29" i="15"/>
  <c r="AG28" i="15"/>
  <c r="D30" i="52"/>
  <c r="D36" i="52" s="1"/>
  <c r="D37" i="52" s="1"/>
  <c r="C30" i="52"/>
  <c r="C36" i="52" s="1"/>
  <c r="C37" i="52" s="1"/>
  <c r="B30" i="52"/>
  <c r="B36" i="52" s="1"/>
  <c r="B37" i="52" s="1"/>
  <c r="D11" i="52"/>
  <c r="B10" i="52"/>
  <c r="C1" i="52"/>
  <c r="B1" i="52"/>
  <c r="C11" i="52" l="1"/>
  <c r="B11" i="52"/>
  <c r="B5" i="47"/>
  <c r="B4" i="47"/>
  <c r="C13" i="52" l="1"/>
  <c r="P242" i="51"/>
  <c r="M242" i="51"/>
  <c r="N242" i="51" s="1"/>
  <c r="P241" i="51"/>
  <c r="M241" i="51"/>
  <c r="N241" i="51" s="1"/>
  <c r="P240" i="51"/>
  <c r="M240" i="51"/>
  <c r="O240" i="51" s="1"/>
  <c r="P239" i="51"/>
  <c r="M239" i="51"/>
  <c r="O239" i="51" s="1"/>
  <c r="P238" i="51"/>
  <c r="M238" i="51"/>
  <c r="O238" i="51" s="1"/>
  <c r="P237" i="51"/>
  <c r="M237" i="51"/>
  <c r="N237" i="51" s="1"/>
  <c r="P236" i="51"/>
  <c r="M236" i="51"/>
  <c r="O236" i="51" s="1"/>
  <c r="P235" i="51"/>
  <c r="M235" i="51"/>
  <c r="O235" i="51" s="1"/>
  <c r="P234" i="51"/>
  <c r="M234" i="51"/>
  <c r="O234" i="51" s="1"/>
  <c r="P233" i="51"/>
  <c r="M233" i="51"/>
  <c r="N233" i="51" s="1"/>
  <c r="P232" i="51"/>
  <c r="M232" i="51"/>
  <c r="N232" i="51" s="1"/>
  <c r="P231" i="51"/>
  <c r="M231" i="51"/>
  <c r="O231" i="51" s="1"/>
  <c r="P244" i="51"/>
  <c r="M244" i="51"/>
  <c r="O244" i="51" s="1"/>
  <c r="P243" i="51"/>
  <c r="M243" i="51"/>
  <c r="O243" i="51" s="1"/>
  <c r="P230" i="51"/>
  <c r="M230" i="51"/>
  <c r="P229" i="51"/>
  <c r="M229" i="51"/>
  <c r="O229" i="51" s="1"/>
  <c r="P228" i="51"/>
  <c r="M228" i="51"/>
  <c r="O228" i="51" s="1"/>
  <c r="P227" i="51"/>
  <c r="M227" i="51"/>
  <c r="O227" i="51" s="1"/>
  <c r="P226" i="51"/>
  <c r="M226" i="51"/>
  <c r="P225" i="51"/>
  <c r="M225" i="51"/>
  <c r="N225" i="51" s="1"/>
  <c r="P224" i="51"/>
  <c r="M224" i="51"/>
  <c r="O224" i="51" s="1"/>
  <c r="P223" i="51"/>
  <c r="M223" i="51"/>
  <c r="O223" i="51" s="1"/>
  <c r="P222" i="51"/>
  <c r="M222" i="51"/>
  <c r="M213" i="51"/>
  <c r="N213" i="51" s="1"/>
  <c r="P213" i="51"/>
  <c r="M214" i="51"/>
  <c r="O214" i="51" s="1"/>
  <c r="P214" i="51"/>
  <c r="M215" i="51"/>
  <c r="O215" i="51" s="1"/>
  <c r="N215" i="51"/>
  <c r="P215" i="51"/>
  <c r="M216" i="51"/>
  <c r="N216" i="51" s="1"/>
  <c r="P216" i="51"/>
  <c r="M217" i="51"/>
  <c r="N217" i="51" s="1"/>
  <c r="P217" i="51"/>
  <c r="M218" i="51"/>
  <c r="O218" i="51" s="1"/>
  <c r="P218" i="51"/>
  <c r="M219" i="51"/>
  <c r="O219" i="51" s="1"/>
  <c r="P219" i="51"/>
  <c r="P246" i="51"/>
  <c r="M246" i="51"/>
  <c r="O246" i="51" s="1"/>
  <c r="P245" i="51"/>
  <c r="M245" i="51"/>
  <c r="O245" i="51" s="1"/>
  <c r="P221" i="51"/>
  <c r="M221" i="51"/>
  <c r="O221" i="51" s="1"/>
  <c r="P220" i="51"/>
  <c r="M220" i="51"/>
  <c r="O220" i="51" s="1"/>
  <c r="P212" i="51"/>
  <c r="M212" i="51"/>
  <c r="O212" i="51" s="1"/>
  <c r="P211" i="51"/>
  <c r="M211" i="51"/>
  <c r="N211" i="51" s="1"/>
  <c r="P210" i="51"/>
  <c r="M210" i="51"/>
  <c r="O210" i="51" s="1"/>
  <c r="P209" i="51"/>
  <c r="M209" i="51"/>
  <c r="N209" i="51" s="1"/>
  <c r="P208" i="51"/>
  <c r="M208" i="51"/>
  <c r="O208" i="51" s="1"/>
  <c r="AG39" i="15"/>
  <c r="P113" i="51"/>
  <c r="P249" i="51"/>
  <c r="M249" i="51"/>
  <c r="N249" i="51" s="1"/>
  <c r="P248" i="51"/>
  <c r="M248" i="51"/>
  <c r="P247" i="51"/>
  <c r="M247" i="51"/>
  <c r="N247" i="51" s="1"/>
  <c r="P207" i="51"/>
  <c r="M207" i="51"/>
  <c r="P206" i="51"/>
  <c r="M206" i="51"/>
  <c r="N206" i="51" s="1"/>
  <c r="P205" i="51"/>
  <c r="M205" i="51"/>
  <c r="P204" i="51"/>
  <c r="M204" i="51"/>
  <c r="N204" i="51" s="1"/>
  <c r="P203" i="51"/>
  <c r="M203" i="51"/>
  <c r="P202" i="51"/>
  <c r="M202" i="51"/>
  <c r="N202" i="51" s="1"/>
  <c r="P201" i="51"/>
  <c r="M201" i="51"/>
  <c r="P200" i="51"/>
  <c r="M200" i="51"/>
  <c r="N200" i="51" s="1"/>
  <c r="P199" i="51"/>
  <c r="M199" i="51"/>
  <c r="N199" i="51" s="1"/>
  <c r="P198" i="51"/>
  <c r="M198" i="51"/>
  <c r="N198" i="51" s="1"/>
  <c r="P197" i="51"/>
  <c r="M197" i="51"/>
  <c r="P196" i="51"/>
  <c r="M196" i="51"/>
  <c r="N196" i="51" s="1"/>
  <c r="P195" i="51"/>
  <c r="M195" i="51"/>
  <c r="N195" i="51" s="1"/>
  <c r="P194" i="51"/>
  <c r="M194" i="51"/>
  <c r="N194" i="51" s="1"/>
  <c r="P193" i="51"/>
  <c r="M193" i="51"/>
  <c r="P192" i="51"/>
  <c r="M192" i="51"/>
  <c r="N192" i="51" s="1"/>
  <c r="P191" i="51"/>
  <c r="M191" i="51"/>
  <c r="P190" i="51"/>
  <c r="M190" i="51"/>
  <c r="N190" i="51" s="1"/>
  <c r="P189" i="51"/>
  <c r="M189" i="51"/>
  <c r="P188" i="51"/>
  <c r="M188" i="51"/>
  <c r="N188" i="51" s="1"/>
  <c r="P187" i="51"/>
  <c r="M187" i="51"/>
  <c r="N187" i="51" s="1"/>
  <c r="P186" i="51"/>
  <c r="M186" i="51"/>
  <c r="N186" i="51" s="1"/>
  <c r="P185" i="51"/>
  <c r="M185" i="51"/>
  <c r="P184" i="51"/>
  <c r="M184" i="51"/>
  <c r="N184" i="51" s="1"/>
  <c r="P183" i="51"/>
  <c r="M183" i="51"/>
  <c r="N183" i="51" s="1"/>
  <c r="P182" i="51"/>
  <c r="M182" i="51"/>
  <c r="N182" i="51" s="1"/>
  <c r="P181" i="51"/>
  <c r="M181" i="51"/>
  <c r="P180" i="51"/>
  <c r="M180" i="51"/>
  <c r="N180" i="51" s="1"/>
  <c r="P179" i="51"/>
  <c r="M179" i="51"/>
  <c r="N179" i="51" s="1"/>
  <c r="P178" i="51"/>
  <c r="M178" i="51"/>
  <c r="N178" i="51" s="1"/>
  <c r="P177" i="51"/>
  <c r="M177" i="51"/>
  <c r="P176" i="51"/>
  <c r="M176" i="51"/>
  <c r="N176" i="51" s="1"/>
  <c r="P175" i="51"/>
  <c r="M175" i="51"/>
  <c r="P174" i="51"/>
  <c r="M174" i="51"/>
  <c r="N174" i="51" s="1"/>
  <c r="P173" i="51"/>
  <c r="M173" i="51"/>
  <c r="P172" i="51"/>
  <c r="M172" i="51"/>
  <c r="O172" i="51" s="1"/>
  <c r="P171" i="51"/>
  <c r="M171" i="51"/>
  <c r="P170" i="51"/>
  <c r="M170" i="51"/>
  <c r="N170" i="51" s="1"/>
  <c r="P169" i="51"/>
  <c r="M169" i="51"/>
  <c r="P168" i="51"/>
  <c r="M168" i="51"/>
  <c r="N168" i="51" s="1"/>
  <c r="P167" i="51"/>
  <c r="M167" i="51"/>
  <c r="N167" i="51" s="1"/>
  <c r="P166" i="51"/>
  <c r="M166" i="51"/>
  <c r="N166" i="51" s="1"/>
  <c r="P165" i="51"/>
  <c r="M165" i="51"/>
  <c r="P164" i="51"/>
  <c r="M164" i="51"/>
  <c r="N164" i="51" s="1"/>
  <c r="P163" i="51"/>
  <c r="M163" i="51"/>
  <c r="N163" i="51" s="1"/>
  <c r="P162" i="51"/>
  <c r="M162" i="51"/>
  <c r="N162" i="51" s="1"/>
  <c r="P161" i="51"/>
  <c r="M161" i="51"/>
  <c r="P160" i="51"/>
  <c r="M160" i="51"/>
  <c r="N160" i="51" s="1"/>
  <c r="P159" i="51"/>
  <c r="M159" i="51"/>
  <c r="N159" i="51" s="1"/>
  <c r="P158" i="51"/>
  <c r="M158" i="51"/>
  <c r="N158" i="51" s="1"/>
  <c r="P157" i="51"/>
  <c r="M157" i="51"/>
  <c r="P156" i="51"/>
  <c r="M156" i="51"/>
  <c r="N156" i="51" s="1"/>
  <c r="P155" i="51"/>
  <c r="M155" i="51"/>
  <c r="P154" i="51"/>
  <c r="M154" i="51"/>
  <c r="N154" i="51" s="1"/>
  <c r="P153" i="51"/>
  <c r="M153" i="51"/>
  <c r="P152" i="51"/>
  <c r="M152" i="51"/>
  <c r="N152" i="51" s="1"/>
  <c r="P151" i="51"/>
  <c r="M151" i="51"/>
  <c r="N151" i="51" s="1"/>
  <c r="P150" i="51"/>
  <c r="M150" i="51"/>
  <c r="N150" i="51" s="1"/>
  <c r="P149" i="51"/>
  <c r="M149" i="51"/>
  <c r="P148" i="51"/>
  <c r="M148" i="51"/>
  <c r="N148" i="51" s="1"/>
  <c r="P147" i="51"/>
  <c r="M147" i="51"/>
  <c r="N147" i="51" s="1"/>
  <c r="P146" i="51"/>
  <c r="M146" i="51"/>
  <c r="N146" i="51" s="1"/>
  <c r="P145" i="51"/>
  <c r="M145" i="51"/>
  <c r="P144" i="51"/>
  <c r="M144" i="51"/>
  <c r="N144" i="51" s="1"/>
  <c r="P143" i="51"/>
  <c r="M143" i="51"/>
  <c r="N143" i="51" s="1"/>
  <c r="P142" i="51"/>
  <c r="M142" i="51"/>
  <c r="N142" i="51" s="1"/>
  <c r="P141" i="51"/>
  <c r="M141" i="51"/>
  <c r="P140" i="51"/>
  <c r="M140" i="51"/>
  <c r="P139" i="51"/>
  <c r="M139" i="51"/>
  <c r="O139" i="51" s="1"/>
  <c r="P138" i="51"/>
  <c r="M138" i="51"/>
  <c r="N138" i="51" s="1"/>
  <c r="P137" i="51"/>
  <c r="M137" i="51"/>
  <c r="P136" i="51"/>
  <c r="M136" i="51"/>
  <c r="O136" i="51" s="1"/>
  <c r="P135" i="51"/>
  <c r="M135" i="51"/>
  <c r="O135" i="51" s="1"/>
  <c r="P134" i="51"/>
  <c r="M134" i="51"/>
  <c r="N134" i="51" s="1"/>
  <c r="P133" i="51"/>
  <c r="M133" i="51"/>
  <c r="P132" i="51"/>
  <c r="M132" i="51"/>
  <c r="O132" i="51" s="1"/>
  <c r="P131" i="51"/>
  <c r="M131" i="51"/>
  <c r="O131" i="51" s="1"/>
  <c r="P130" i="51"/>
  <c r="M130" i="51"/>
  <c r="N130" i="51" s="1"/>
  <c r="P129" i="51"/>
  <c r="M129" i="51"/>
  <c r="P128" i="51"/>
  <c r="M128" i="51"/>
  <c r="O128" i="51" s="1"/>
  <c r="P127" i="51"/>
  <c r="M127" i="51"/>
  <c r="O127" i="51" s="1"/>
  <c r="P126" i="51"/>
  <c r="M126" i="51"/>
  <c r="N126" i="51" s="1"/>
  <c r="P125" i="51"/>
  <c r="M125" i="51"/>
  <c r="P124" i="51"/>
  <c r="M124" i="51"/>
  <c r="O124" i="51" s="1"/>
  <c r="P123" i="51"/>
  <c r="M123" i="51"/>
  <c r="O123" i="51" s="1"/>
  <c r="P122" i="51"/>
  <c r="M122" i="51"/>
  <c r="N122" i="51" s="1"/>
  <c r="P121" i="51"/>
  <c r="M121" i="51"/>
  <c r="P120" i="51"/>
  <c r="M120" i="51"/>
  <c r="O120" i="51" s="1"/>
  <c r="P119" i="51"/>
  <c r="M119" i="51"/>
  <c r="O119" i="51" s="1"/>
  <c r="P118" i="51"/>
  <c r="M118" i="51"/>
  <c r="N118" i="51" s="1"/>
  <c r="P117" i="51"/>
  <c r="M117" i="51"/>
  <c r="P116" i="51"/>
  <c r="M116" i="51"/>
  <c r="O116" i="51" s="1"/>
  <c r="P115" i="51"/>
  <c r="M115" i="51"/>
  <c r="O115" i="51" s="1"/>
  <c r="P114" i="51"/>
  <c r="M114" i="51"/>
  <c r="N114" i="51" s="1"/>
  <c r="P112" i="51"/>
  <c r="M112" i="51"/>
  <c r="O112" i="51" s="1"/>
  <c r="P111" i="51"/>
  <c r="M111" i="51"/>
  <c r="O111" i="51" s="1"/>
  <c r="P110" i="51"/>
  <c r="M110" i="51"/>
  <c r="P109" i="51"/>
  <c r="M109" i="51"/>
  <c r="P108" i="51"/>
  <c r="M108" i="51"/>
  <c r="N108" i="51" s="1"/>
  <c r="P107" i="51"/>
  <c r="M107" i="51"/>
  <c r="O107" i="51" s="1"/>
  <c r="P106" i="51"/>
  <c r="M106" i="51"/>
  <c r="P105" i="51"/>
  <c r="M105" i="51"/>
  <c r="N105" i="51" s="1"/>
  <c r="P104" i="51"/>
  <c r="M104" i="51"/>
  <c r="N104" i="51" s="1"/>
  <c r="P103" i="51"/>
  <c r="M103" i="51"/>
  <c r="O103" i="51" s="1"/>
  <c r="P102" i="51"/>
  <c r="M102" i="51"/>
  <c r="N102" i="51" s="1"/>
  <c r="P101" i="51"/>
  <c r="M101" i="51"/>
  <c r="P100" i="51"/>
  <c r="M100" i="51"/>
  <c r="N100" i="51" s="1"/>
  <c r="P99" i="51"/>
  <c r="M99" i="51"/>
  <c r="O99" i="51" s="1"/>
  <c r="P98" i="51"/>
  <c r="M98" i="51"/>
  <c r="P97" i="51"/>
  <c r="M97" i="51"/>
  <c r="O97" i="51" s="1"/>
  <c r="P96" i="51"/>
  <c r="M96" i="51"/>
  <c r="N96" i="51" s="1"/>
  <c r="P95" i="51"/>
  <c r="M95" i="51"/>
  <c r="O95" i="51" s="1"/>
  <c r="P94" i="51"/>
  <c r="M94" i="51"/>
  <c r="P93" i="51"/>
  <c r="M93" i="51"/>
  <c r="P92" i="51"/>
  <c r="M92" i="51"/>
  <c r="N92" i="51" s="1"/>
  <c r="P91" i="51"/>
  <c r="M91" i="51"/>
  <c r="O91" i="51" s="1"/>
  <c r="P90" i="51"/>
  <c r="M90" i="51"/>
  <c r="P89" i="51"/>
  <c r="M89" i="51"/>
  <c r="N89" i="51" s="1"/>
  <c r="P88" i="51"/>
  <c r="M88" i="51"/>
  <c r="O88" i="51" s="1"/>
  <c r="P87" i="51"/>
  <c r="M87" i="51"/>
  <c r="P86" i="51"/>
  <c r="M86" i="51"/>
  <c r="P85" i="51"/>
  <c r="M85" i="51"/>
  <c r="P84" i="51"/>
  <c r="M84" i="51"/>
  <c r="N84" i="51" s="1"/>
  <c r="P83" i="51"/>
  <c r="M83" i="51"/>
  <c r="O83" i="51" s="1"/>
  <c r="P82" i="51"/>
  <c r="M82" i="51"/>
  <c r="P81" i="51"/>
  <c r="M81" i="51"/>
  <c r="N81" i="51" s="1"/>
  <c r="P80" i="51"/>
  <c r="M80" i="51"/>
  <c r="O80" i="51" s="1"/>
  <c r="P79" i="51"/>
  <c r="M79" i="51"/>
  <c r="P78" i="51"/>
  <c r="M78" i="51"/>
  <c r="P77" i="51"/>
  <c r="M77" i="51"/>
  <c r="P76" i="51"/>
  <c r="M76" i="51"/>
  <c r="N76" i="51" s="1"/>
  <c r="P75" i="51"/>
  <c r="M75" i="51"/>
  <c r="O75" i="51" s="1"/>
  <c r="P74" i="51"/>
  <c r="M74" i="51"/>
  <c r="P73" i="51"/>
  <c r="M73" i="51"/>
  <c r="N73" i="51" s="1"/>
  <c r="P72" i="51"/>
  <c r="M72" i="51"/>
  <c r="N72" i="51" s="1"/>
  <c r="P71" i="51"/>
  <c r="M71" i="51"/>
  <c r="P70" i="51"/>
  <c r="M70" i="51"/>
  <c r="P69" i="51"/>
  <c r="M69" i="51"/>
  <c r="P68" i="51"/>
  <c r="M68" i="51"/>
  <c r="N68" i="51" s="1"/>
  <c r="P67" i="51"/>
  <c r="M67" i="51"/>
  <c r="O67" i="51" s="1"/>
  <c r="P66" i="51"/>
  <c r="M66" i="51"/>
  <c r="P65" i="51"/>
  <c r="M65" i="51"/>
  <c r="N65" i="51" s="1"/>
  <c r="P64" i="51"/>
  <c r="M64" i="51"/>
  <c r="N64" i="51" s="1"/>
  <c r="P63" i="51"/>
  <c r="M63" i="51"/>
  <c r="N63" i="51" s="1"/>
  <c r="P62" i="51"/>
  <c r="M62" i="51"/>
  <c r="N62" i="51" s="1"/>
  <c r="P61" i="51"/>
  <c r="M61" i="51"/>
  <c r="P60" i="51"/>
  <c r="M60" i="51"/>
  <c r="N60" i="51" s="1"/>
  <c r="P59" i="51"/>
  <c r="M59" i="51"/>
  <c r="O59" i="51" s="1"/>
  <c r="P58" i="51"/>
  <c r="M58" i="51"/>
  <c r="P57" i="51"/>
  <c r="M57" i="51"/>
  <c r="N57" i="51" s="1"/>
  <c r="P56" i="51"/>
  <c r="M56" i="51"/>
  <c r="O56" i="51" s="1"/>
  <c r="P55" i="51"/>
  <c r="M55" i="51"/>
  <c r="P54" i="51"/>
  <c r="M54" i="51"/>
  <c r="P53" i="51"/>
  <c r="M53" i="51"/>
  <c r="O53" i="51" s="1"/>
  <c r="P52" i="51"/>
  <c r="M52" i="51"/>
  <c r="O52" i="51" s="1"/>
  <c r="P51" i="51"/>
  <c r="M51" i="51"/>
  <c r="O51" i="51" s="1"/>
  <c r="P50" i="51"/>
  <c r="M50" i="51"/>
  <c r="P49" i="51"/>
  <c r="M49" i="51"/>
  <c r="P48" i="51"/>
  <c r="M48" i="51"/>
  <c r="P47" i="51"/>
  <c r="M47" i="51"/>
  <c r="N47" i="51" s="1"/>
  <c r="P46" i="51"/>
  <c r="M46" i="51"/>
  <c r="O46" i="51" s="1"/>
  <c r="P45" i="51"/>
  <c r="M45" i="51"/>
  <c r="O45" i="51" s="1"/>
  <c r="P44" i="51"/>
  <c r="M44" i="51"/>
  <c r="O44" i="51" s="1"/>
  <c r="P43" i="51"/>
  <c r="M43" i="51"/>
  <c r="O43" i="51" s="1"/>
  <c r="P42" i="51"/>
  <c r="M42" i="51"/>
  <c r="P41" i="51"/>
  <c r="M41" i="51"/>
  <c r="P40" i="51"/>
  <c r="M40" i="51"/>
  <c r="P39" i="51"/>
  <c r="M39" i="51"/>
  <c r="N39" i="51" s="1"/>
  <c r="P38" i="51"/>
  <c r="M38" i="51"/>
  <c r="O38" i="51" s="1"/>
  <c r="P37" i="51"/>
  <c r="M37" i="51"/>
  <c r="O37" i="51" s="1"/>
  <c r="P36" i="51"/>
  <c r="M36" i="51"/>
  <c r="O36" i="51" s="1"/>
  <c r="P35" i="51"/>
  <c r="M35" i="51"/>
  <c r="O35" i="51" s="1"/>
  <c r="P34" i="51"/>
  <c r="M34" i="51"/>
  <c r="P33" i="51"/>
  <c r="M33" i="51"/>
  <c r="O12" i="51"/>
  <c r="P32" i="51"/>
  <c r="M32" i="51"/>
  <c r="P31" i="51"/>
  <c r="M31" i="51"/>
  <c r="P30" i="51"/>
  <c r="M30" i="51"/>
  <c r="P29" i="51"/>
  <c r="M29" i="51"/>
  <c r="N29" i="51" s="1"/>
  <c r="P28" i="51"/>
  <c r="M28" i="51"/>
  <c r="O28" i="51" s="1"/>
  <c r="P27" i="51"/>
  <c r="M27" i="51"/>
  <c r="O27" i="51" s="1"/>
  <c r="P26" i="51"/>
  <c r="M26" i="51"/>
  <c r="O26" i="51" s="1"/>
  <c r="P25" i="51"/>
  <c r="M25" i="51"/>
  <c r="N25" i="51" s="1"/>
  <c r="P24" i="51"/>
  <c r="M24" i="51"/>
  <c r="P23" i="51"/>
  <c r="M23" i="51"/>
  <c r="P22" i="51"/>
  <c r="M22" i="51"/>
  <c r="P21" i="51"/>
  <c r="M21" i="51"/>
  <c r="O21" i="51" s="1"/>
  <c r="P20" i="51"/>
  <c r="M20" i="51"/>
  <c r="O20" i="51" s="1"/>
  <c r="P19" i="51"/>
  <c r="M19" i="51"/>
  <c r="O19" i="51" s="1"/>
  <c r="B19" i="51"/>
  <c r="B20" i="51" s="1"/>
  <c r="B21" i="51" s="1"/>
  <c r="B22" i="51" s="1"/>
  <c r="B23" i="51" s="1"/>
  <c r="B24" i="51" s="1"/>
  <c r="B25" i="51" s="1"/>
  <c r="B26" i="51" s="1"/>
  <c r="B27" i="51" s="1"/>
  <c r="B28" i="51" s="1"/>
  <c r="B29" i="51" s="1"/>
  <c r="B30" i="51" s="1"/>
  <c r="B31" i="51" s="1"/>
  <c r="B32" i="51" s="1"/>
  <c r="N12" i="51"/>
  <c r="N11" i="51"/>
  <c r="N10" i="51"/>
  <c r="N9" i="51"/>
  <c r="O242" i="51" l="1"/>
  <c r="G242" i="51" s="1"/>
  <c r="N240" i="51"/>
  <c r="G240" i="51" s="1"/>
  <c r="G238" i="51"/>
  <c r="N238" i="51"/>
  <c r="N236" i="51"/>
  <c r="G236" i="51" s="1"/>
  <c r="N234" i="51"/>
  <c r="G234" i="51" s="1"/>
  <c r="O232" i="51"/>
  <c r="G232" i="51" s="1"/>
  <c r="O233" i="51"/>
  <c r="G233" i="51" s="1"/>
  <c r="O237" i="51"/>
  <c r="G237" i="51" s="1"/>
  <c r="O241" i="51"/>
  <c r="G241" i="51" s="1"/>
  <c r="N231" i="51"/>
  <c r="G231" i="51" s="1"/>
  <c r="N235" i="51"/>
  <c r="G235" i="51" s="1"/>
  <c r="N239" i="51"/>
  <c r="G239" i="51" s="1"/>
  <c r="N228" i="51"/>
  <c r="G228" i="51" s="1"/>
  <c r="O225" i="51"/>
  <c r="N243" i="51"/>
  <c r="G243" i="51" s="1"/>
  <c r="N229" i="51"/>
  <c r="G229" i="51" s="1"/>
  <c r="N227" i="51"/>
  <c r="G227" i="51" s="1"/>
  <c r="G225" i="51"/>
  <c r="N224" i="51"/>
  <c r="G224" i="51" s="1"/>
  <c r="N223" i="51"/>
  <c r="G223" i="51" s="1"/>
  <c r="N222" i="51"/>
  <c r="N230" i="51"/>
  <c r="G230" i="51" s="1"/>
  <c r="O222" i="51"/>
  <c r="O226" i="51"/>
  <c r="O230" i="51"/>
  <c r="N226" i="51"/>
  <c r="N244" i="51"/>
  <c r="G244" i="51" s="1"/>
  <c r="N13" i="51"/>
  <c r="N219" i="51"/>
  <c r="G219" i="51" s="1"/>
  <c r="N218" i="51"/>
  <c r="G218" i="51" s="1"/>
  <c r="O217" i="51"/>
  <c r="G217" i="51" s="1"/>
  <c r="O216" i="51"/>
  <c r="G216" i="51" s="1"/>
  <c r="N214" i="51"/>
  <c r="G214" i="51" s="1"/>
  <c r="O211" i="51"/>
  <c r="G211" i="51" s="1"/>
  <c r="G215" i="51"/>
  <c r="O213" i="51"/>
  <c r="G213" i="51" s="1"/>
  <c r="N245" i="51"/>
  <c r="G245" i="51" s="1"/>
  <c r="N220" i="51"/>
  <c r="G220" i="51" s="1"/>
  <c r="O209" i="51"/>
  <c r="G209" i="51" s="1"/>
  <c r="N210" i="51"/>
  <c r="G210" i="51" s="1"/>
  <c r="N221" i="51"/>
  <c r="G221" i="51" s="1"/>
  <c r="N208" i="51"/>
  <c r="G208" i="51" s="1"/>
  <c r="N212" i="51"/>
  <c r="G212" i="51" s="1"/>
  <c r="N246" i="51"/>
  <c r="G246" i="51" s="1"/>
  <c r="O184" i="51"/>
  <c r="G184" i="51" s="1"/>
  <c r="O204" i="51"/>
  <c r="G204" i="51" s="1"/>
  <c r="N38" i="51"/>
  <c r="G38" i="51" s="1"/>
  <c r="H38" i="51" s="1"/>
  <c r="N172" i="51"/>
  <c r="G172" i="51" s="1"/>
  <c r="N56" i="51"/>
  <c r="G56" i="51" s="1"/>
  <c r="H56" i="51" s="1"/>
  <c r="N46" i="51"/>
  <c r="G46" i="51" s="1"/>
  <c r="H46" i="51" s="1"/>
  <c r="O73" i="51"/>
  <c r="G73" i="51" s="1"/>
  <c r="H73" i="51" s="1"/>
  <c r="O89" i="51"/>
  <c r="G89" i="51" s="1"/>
  <c r="H89" i="51" s="1"/>
  <c r="O247" i="51"/>
  <c r="G247" i="51" s="1"/>
  <c r="O196" i="51"/>
  <c r="G196" i="51" s="1"/>
  <c r="O64" i="51"/>
  <c r="G64" i="51" s="1"/>
  <c r="H64" i="51" s="1"/>
  <c r="O57" i="51"/>
  <c r="G57" i="51" s="1"/>
  <c r="H57" i="51" s="1"/>
  <c r="O68" i="51"/>
  <c r="G68" i="51" s="1"/>
  <c r="H68" i="51" s="1"/>
  <c r="O104" i="51"/>
  <c r="G104" i="51" s="1"/>
  <c r="H104" i="51" s="1"/>
  <c r="O174" i="51"/>
  <c r="G174" i="51" s="1"/>
  <c r="O249" i="51"/>
  <c r="G249" i="51" s="1"/>
  <c r="N51" i="51"/>
  <c r="G51" i="51" s="1"/>
  <c r="H51" i="51" s="1"/>
  <c r="O72" i="51"/>
  <c r="G72" i="51" s="1"/>
  <c r="H72" i="51" s="1"/>
  <c r="N112" i="51"/>
  <c r="G112" i="51" s="1"/>
  <c r="H112" i="51" s="1"/>
  <c r="N128" i="51"/>
  <c r="G128" i="51" s="1"/>
  <c r="O25" i="51"/>
  <c r="G25" i="51" s="1"/>
  <c r="H25" i="51" s="1"/>
  <c r="N43" i="51"/>
  <c r="G43" i="51" s="1"/>
  <c r="H43" i="51" s="1"/>
  <c r="N80" i="51"/>
  <c r="G80" i="51" s="1"/>
  <c r="H80" i="51" s="1"/>
  <c r="N35" i="51"/>
  <c r="G35" i="51" s="1"/>
  <c r="H35" i="51" s="1"/>
  <c r="O96" i="51"/>
  <c r="G96" i="51" s="1"/>
  <c r="H96" i="51" s="1"/>
  <c r="O180" i="51"/>
  <c r="G180" i="51" s="1"/>
  <c r="O206" i="51"/>
  <c r="G206" i="51" s="1"/>
  <c r="O160" i="51"/>
  <c r="G160" i="51" s="1"/>
  <c r="O152" i="51"/>
  <c r="G152" i="51" s="1"/>
  <c r="O138" i="51"/>
  <c r="G138" i="51" s="1"/>
  <c r="O130" i="51"/>
  <c r="G130" i="51" s="1"/>
  <c r="O122" i="51"/>
  <c r="G122" i="51" s="1"/>
  <c r="O126" i="51"/>
  <c r="G126" i="51" s="1"/>
  <c r="N120" i="51"/>
  <c r="G120" i="51" s="1"/>
  <c r="N136" i="51"/>
  <c r="G136" i="51" s="1"/>
  <c r="O156" i="51"/>
  <c r="G156" i="51" s="1"/>
  <c r="O166" i="51"/>
  <c r="G166" i="51" s="1"/>
  <c r="O190" i="51"/>
  <c r="G190" i="51" s="1"/>
  <c r="O150" i="51"/>
  <c r="G150" i="51" s="1"/>
  <c r="O170" i="51"/>
  <c r="G170" i="51" s="1"/>
  <c r="O118" i="51"/>
  <c r="G118" i="51" s="1"/>
  <c r="O134" i="51"/>
  <c r="G134" i="51" s="1"/>
  <c r="O154" i="51"/>
  <c r="G154" i="51" s="1"/>
  <c r="O114" i="51"/>
  <c r="G114" i="51" s="1"/>
  <c r="H114" i="51" s="1"/>
  <c r="M113" i="51"/>
  <c r="O113" i="51" s="1"/>
  <c r="O10" i="51"/>
  <c r="N59" i="51"/>
  <c r="G59" i="51" s="1"/>
  <c r="H59" i="51" s="1"/>
  <c r="N67" i="51"/>
  <c r="G67" i="51" s="1"/>
  <c r="H67" i="51" s="1"/>
  <c r="N75" i="51"/>
  <c r="G75" i="51" s="1"/>
  <c r="H75" i="51" s="1"/>
  <c r="N95" i="51"/>
  <c r="G95" i="51" s="1"/>
  <c r="H95" i="51" s="1"/>
  <c r="N97" i="51"/>
  <c r="G97" i="51" s="1"/>
  <c r="H97" i="51" s="1"/>
  <c r="O142" i="51"/>
  <c r="G142" i="51" s="1"/>
  <c r="O162" i="51"/>
  <c r="G162" i="51" s="1"/>
  <c r="O176" i="51"/>
  <c r="G176" i="51" s="1"/>
  <c r="O202" i="51"/>
  <c r="G202" i="51" s="1"/>
  <c r="N34" i="51"/>
  <c r="N36" i="51"/>
  <c r="G36" i="51" s="1"/>
  <c r="H36" i="51" s="1"/>
  <c r="N42" i="51"/>
  <c r="N44" i="51"/>
  <c r="G44" i="51" s="1"/>
  <c r="H44" i="51" s="1"/>
  <c r="N50" i="51"/>
  <c r="N52" i="51"/>
  <c r="G52" i="51" s="1"/>
  <c r="H52" i="51" s="1"/>
  <c r="N55" i="51"/>
  <c r="O81" i="51"/>
  <c r="G81" i="51" s="1"/>
  <c r="H81" i="51" s="1"/>
  <c r="O84" i="51"/>
  <c r="G84" i="51" s="1"/>
  <c r="H84" i="51" s="1"/>
  <c r="O92" i="51"/>
  <c r="O105" i="51"/>
  <c r="G105" i="51" s="1"/>
  <c r="H105" i="51" s="1"/>
  <c r="N111" i="51"/>
  <c r="G111" i="51" s="1"/>
  <c r="H111" i="51" s="1"/>
  <c r="N116" i="51"/>
  <c r="G116" i="51" s="1"/>
  <c r="N124" i="51"/>
  <c r="G124" i="51" s="1"/>
  <c r="N132" i="51"/>
  <c r="G132" i="51" s="1"/>
  <c r="O168" i="51"/>
  <c r="G168" i="51" s="1"/>
  <c r="O182" i="51"/>
  <c r="G182" i="51" s="1"/>
  <c r="O194" i="51"/>
  <c r="G194" i="51" s="1"/>
  <c r="N21" i="51"/>
  <c r="G21" i="51" s="1"/>
  <c r="N24" i="51"/>
  <c r="N26" i="51"/>
  <c r="G26" i="51" s="1"/>
  <c r="H26" i="51" s="1"/>
  <c r="N32" i="51"/>
  <c r="O34" i="51"/>
  <c r="O39" i="51"/>
  <c r="G39" i="51" s="1"/>
  <c r="H39" i="51" s="1"/>
  <c r="O42" i="51"/>
  <c r="O47" i="51"/>
  <c r="G47" i="51" s="1"/>
  <c r="H47" i="51" s="1"/>
  <c r="O50" i="51"/>
  <c r="O55" i="51"/>
  <c r="O65" i="51"/>
  <c r="G65" i="51" s="1"/>
  <c r="H65" i="51" s="1"/>
  <c r="N88" i="51"/>
  <c r="G88" i="51" s="1"/>
  <c r="H88" i="51" s="1"/>
  <c r="O100" i="51"/>
  <c r="G100" i="51" s="1"/>
  <c r="H100" i="51" s="1"/>
  <c r="O108" i="51"/>
  <c r="G108" i="51" s="1"/>
  <c r="H108" i="51" s="1"/>
  <c r="N119" i="51"/>
  <c r="G119" i="51" s="1"/>
  <c r="N127" i="51"/>
  <c r="N135" i="51"/>
  <c r="G135" i="51" s="1"/>
  <c r="N140" i="51"/>
  <c r="O148" i="51"/>
  <c r="G148" i="51" s="1"/>
  <c r="O188" i="51"/>
  <c r="G188" i="51" s="1"/>
  <c r="O200" i="51"/>
  <c r="G200" i="51" s="1"/>
  <c r="N28" i="51"/>
  <c r="G28" i="51" s="1"/>
  <c r="H28" i="51" s="1"/>
  <c r="O24" i="51"/>
  <c r="O29" i="51"/>
  <c r="G29" i="51" s="1"/>
  <c r="H29" i="51" s="1"/>
  <c r="O32" i="51"/>
  <c r="O60" i="51"/>
  <c r="G60" i="51" s="1"/>
  <c r="H60" i="51" s="1"/>
  <c r="O76" i="51"/>
  <c r="G76" i="51" s="1"/>
  <c r="H76" i="51" s="1"/>
  <c r="O140" i="51"/>
  <c r="N91" i="51"/>
  <c r="G91" i="51" s="1"/>
  <c r="H91" i="51" s="1"/>
  <c r="O146" i="51"/>
  <c r="G146" i="51" s="1"/>
  <c r="O158" i="51"/>
  <c r="G158" i="51" s="1"/>
  <c r="O186" i="51"/>
  <c r="G186" i="51" s="1"/>
  <c r="O192" i="51"/>
  <c r="G192" i="51" s="1"/>
  <c r="O198" i="51"/>
  <c r="G198" i="51" s="1"/>
  <c r="O178" i="51"/>
  <c r="G178" i="51" s="1"/>
  <c r="N20" i="51"/>
  <c r="G20" i="51" s="1"/>
  <c r="H20" i="51" s="1"/>
  <c r="N83" i="51"/>
  <c r="G83" i="51" s="1"/>
  <c r="H83" i="51" s="1"/>
  <c r="G92" i="51"/>
  <c r="H92" i="51" s="1"/>
  <c r="N99" i="51"/>
  <c r="G99" i="51" s="1"/>
  <c r="H99" i="51" s="1"/>
  <c r="N107" i="51"/>
  <c r="G107" i="51" s="1"/>
  <c r="H107" i="51" s="1"/>
  <c r="N115" i="51"/>
  <c r="G115" i="51" s="1"/>
  <c r="N123" i="51"/>
  <c r="G123" i="51" s="1"/>
  <c r="N131" i="51"/>
  <c r="G131" i="51" s="1"/>
  <c r="O144" i="51"/>
  <c r="G144" i="51" s="1"/>
  <c r="O164" i="51"/>
  <c r="G164" i="51" s="1"/>
  <c r="B35" i="51"/>
  <c r="B33" i="51"/>
  <c r="O78" i="51"/>
  <c r="O106" i="51"/>
  <c r="N106" i="51"/>
  <c r="O141" i="51"/>
  <c r="N141" i="51"/>
  <c r="O157" i="51"/>
  <c r="N157" i="51"/>
  <c r="O177" i="51"/>
  <c r="N177" i="51"/>
  <c r="O193" i="51"/>
  <c r="N193" i="51"/>
  <c r="N23" i="51"/>
  <c r="N31" i="51"/>
  <c r="N33" i="51"/>
  <c r="N41" i="51"/>
  <c r="N49" i="51"/>
  <c r="O66" i="51"/>
  <c r="N66" i="51"/>
  <c r="O69" i="51"/>
  <c r="N69" i="51"/>
  <c r="N71" i="51"/>
  <c r="N78" i="51"/>
  <c r="O85" i="51"/>
  <c r="N85" i="51"/>
  <c r="N87" i="51"/>
  <c r="O94" i="51"/>
  <c r="N139" i="51"/>
  <c r="G139" i="51" s="1"/>
  <c r="O155" i="51"/>
  <c r="O171" i="51"/>
  <c r="O173" i="51"/>
  <c r="N173" i="51"/>
  <c r="O175" i="51"/>
  <c r="O191" i="51"/>
  <c r="O248" i="51"/>
  <c r="N248" i="51"/>
  <c r="N22" i="51"/>
  <c r="O23" i="51"/>
  <c r="N30" i="51"/>
  <c r="O31" i="51"/>
  <c r="O33" i="51"/>
  <c r="N40" i="51"/>
  <c r="O41" i="51"/>
  <c r="N48" i="51"/>
  <c r="O49" i="51"/>
  <c r="O54" i="51"/>
  <c r="O71" i="51"/>
  <c r="O82" i="51"/>
  <c r="N82" i="51"/>
  <c r="O87" i="51"/>
  <c r="N94" i="51"/>
  <c r="O110" i="51"/>
  <c r="O153" i="51"/>
  <c r="N153" i="51"/>
  <c r="N155" i="51"/>
  <c r="O169" i="51"/>
  <c r="N169" i="51"/>
  <c r="N171" i="51"/>
  <c r="N175" i="51"/>
  <c r="O189" i="51"/>
  <c r="N189" i="51"/>
  <c r="N191" i="51"/>
  <c r="O207" i="51"/>
  <c r="O11" i="51"/>
  <c r="O22" i="51"/>
  <c r="O30" i="51"/>
  <c r="O40" i="51"/>
  <c r="O48" i="51"/>
  <c r="N54" i="51"/>
  <c r="O101" i="51"/>
  <c r="N101" i="51"/>
  <c r="N103" i="51"/>
  <c r="G103" i="51" s="1"/>
  <c r="H103" i="51" s="1"/>
  <c r="N110" i="51"/>
  <c r="O151" i="51"/>
  <c r="G151" i="51" s="1"/>
  <c r="O167" i="51"/>
  <c r="G167" i="51" s="1"/>
  <c r="O187" i="51"/>
  <c r="G187" i="51" s="1"/>
  <c r="O205" i="51"/>
  <c r="N205" i="51"/>
  <c r="N207" i="51"/>
  <c r="O203" i="51"/>
  <c r="O61" i="51"/>
  <c r="N61" i="51"/>
  <c r="O70" i="51"/>
  <c r="O86" i="51"/>
  <c r="O98" i="51"/>
  <c r="N98" i="51"/>
  <c r="O149" i="51"/>
  <c r="N149" i="51"/>
  <c r="O165" i="51"/>
  <c r="N165" i="51"/>
  <c r="O185" i="51"/>
  <c r="N185" i="51"/>
  <c r="O9" i="51"/>
  <c r="N19" i="51"/>
  <c r="G19" i="51" s="1"/>
  <c r="N27" i="51"/>
  <c r="G27" i="51" s="1"/>
  <c r="H27" i="51" s="1"/>
  <c r="N37" i="51"/>
  <c r="G37" i="51" s="1"/>
  <c r="N45" i="51"/>
  <c r="G45" i="51" s="1"/>
  <c r="H45" i="51" s="1"/>
  <c r="N53" i="51"/>
  <c r="G53" i="51" s="1"/>
  <c r="H53" i="51" s="1"/>
  <c r="O58" i="51"/>
  <c r="N58" i="51"/>
  <c r="O63" i="51"/>
  <c r="G63" i="51" s="1"/>
  <c r="H63" i="51" s="1"/>
  <c r="N70" i="51"/>
  <c r="O77" i="51"/>
  <c r="N77" i="51"/>
  <c r="N79" i="51"/>
  <c r="N86" i="51"/>
  <c r="O147" i="51"/>
  <c r="G147" i="51" s="1"/>
  <c r="O163" i="51"/>
  <c r="G163" i="51" s="1"/>
  <c r="O183" i="51"/>
  <c r="G183" i="51" s="1"/>
  <c r="O201" i="51"/>
  <c r="N201" i="51"/>
  <c r="N203" i="51"/>
  <c r="O74" i="51"/>
  <c r="N74" i="51"/>
  <c r="O79" i="51"/>
  <c r="O93" i="51"/>
  <c r="N93" i="51"/>
  <c r="O102" i="51"/>
  <c r="G102" i="51" s="1"/>
  <c r="H102" i="51" s="1"/>
  <c r="G127" i="51"/>
  <c r="O145" i="51"/>
  <c r="N145" i="51"/>
  <c r="O161" i="51"/>
  <c r="N161" i="51"/>
  <c r="O181" i="51"/>
  <c r="N181" i="51"/>
  <c r="O199" i="51"/>
  <c r="G199" i="51" s="1"/>
  <c r="O62" i="51"/>
  <c r="G62" i="51" s="1"/>
  <c r="H62" i="51" s="1"/>
  <c r="O90" i="51"/>
  <c r="N90" i="51"/>
  <c r="O109" i="51"/>
  <c r="N109" i="51"/>
  <c r="O117" i="51"/>
  <c r="N117" i="51"/>
  <c r="O121" i="51"/>
  <c r="N121" i="51"/>
  <c r="O125" i="51"/>
  <c r="N125" i="51"/>
  <c r="O129" i="51"/>
  <c r="N129" i="51"/>
  <c r="O133" i="51"/>
  <c r="N133" i="51"/>
  <c r="O137" i="51"/>
  <c r="N137" i="51"/>
  <c r="O143" i="51"/>
  <c r="G143" i="51" s="1"/>
  <c r="O159" i="51"/>
  <c r="G159" i="51" s="1"/>
  <c r="O179" i="51"/>
  <c r="G179" i="51" s="1"/>
  <c r="O195" i="51"/>
  <c r="G195" i="51" s="1"/>
  <c r="O197" i="51"/>
  <c r="N197" i="51"/>
  <c r="AG55" i="15"/>
  <c r="AG38" i="15"/>
  <c r="AG52" i="15"/>
  <c r="H37" i="51" l="1"/>
  <c r="G24" i="51"/>
  <c r="H24" i="51" s="1"/>
  <c r="G226" i="51"/>
  <c r="G222" i="51"/>
  <c r="G42" i="51"/>
  <c r="H42" i="51" s="1"/>
  <c r="G248" i="51"/>
  <c r="G54" i="51"/>
  <c r="H54" i="51" s="1"/>
  <c r="G69" i="51"/>
  <c r="H69" i="51" s="1"/>
  <c r="G149" i="51"/>
  <c r="G125" i="51"/>
  <c r="G41" i="51"/>
  <c r="H41" i="51" s="1"/>
  <c r="G90" i="51"/>
  <c r="H90" i="51" s="1"/>
  <c r="G98" i="51"/>
  <c r="H98" i="51" s="1"/>
  <c r="G205" i="51"/>
  <c r="G121" i="51"/>
  <c r="G197" i="51"/>
  <c r="G191" i="51"/>
  <c r="G22" i="51"/>
  <c r="G74" i="51"/>
  <c r="G58" i="51"/>
  <c r="H58" i="51" s="1"/>
  <c r="G203" i="51"/>
  <c r="G79" i="51"/>
  <c r="H79" i="51" s="1"/>
  <c r="G61" i="51"/>
  <c r="H61" i="51" s="1"/>
  <c r="G94" i="51"/>
  <c r="H94" i="51" s="1"/>
  <c r="G193" i="51"/>
  <c r="G34" i="51"/>
  <c r="G66" i="51"/>
  <c r="H66" i="51" s="1"/>
  <c r="G32" i="51"/>
  <c r="H32" i="51" s="1"/>
  <c r="G165" i="51"/>
  <c r="G49" i="51"/>
  <c r="H49" i="51" s="1"/>
  <c r="G48" i="51"/>
  <c r="H48" i="51" s="1"/>
  <c r="G70" i="51"/>
  <c r="H70" i="51" s="1"/>
  <c r="G55" i="51"/>
  <c r="H55" i="51" s="1"/>
  <c r="G207" i="51"/>
  <c r="G110" i="51"/>
  <c r="H110" i="51" s="1"/>
  <c r="G23" i="51"/>
  <c r="H23" i="51" s="1"/>
  <c r="G117" i="51"/>
  <c r="G50" i="51"/>
  <c r="H50" i="51" s="1"/>
  <c r="G86" i="51"/>
  <c r="H86" i="51" s="1"/>
  <c r="G101" i="51"/>
  <c r="H101" i="51" s="1"/>
  <c r="G169" i="51"/>
  <c r="G157" i="51"/>
  <c r="G140" i="51"/>
  <c r="G129" i="51"/>
  <c r="G189" i="51"/>
  <c r="G171" i="51"/>
  <c r="G137" i="51"/>
  <c r="G177" i="51"/>
  <c r="G161" i="51"/>
  <c r="G141" i="51"/>
  <c r="G155" i="51"/>
  <c r="N113" i="51"/>
  <c r="O13" i="51"/>
  <c r="G77" i="51"/>
  <c r="H77" i="51" s="1"/>
  <c r="G82" i="51"/>
  <c r="H82" i="51" s="1"/>
  <c r="G71" i="51"/>
  <c r="H71" i="51" s="1"/>
  <c r="G33" i="51"/>
  <c r="G31" i="51"/>
  <c r="H31" i="51" s="1"/>
  <c r="G153" i="51"/>
  <c r="G113" i="51"/>
  <c r="G109" i="51"/>
  <c r="H109" i="51" s="1"/>
  <c r="G145" i="51"/>
  <c r="G201" i="51"/>
  <c r="G40" i="51"/>
  <c r="H40" i="51" s="1"/>
  <c r="G175" i="51"/>
  <c r="G30" i="51"/>
  <c r="H30" i="51" s="1"/>
  <c r="G173" i="51"/>
  <c r="G87" i="51"/>
  <c r="H87" i="51" s="1"/>
  <c r="G106" i="51"/>
  <c r="H106" i="51" s="1"/>
  <c r="G133" i="51"/>
  <c r="G181" i="51"/>
  <c r="G185" i="51"/>
  <c r="G85" i="51"/>
  <c r="H85" i="51" s="1"/>
  <c r="G78" i="51"/>
  <c r="H78" i="51" s="1"/>
  <c r="G93" i="51"/>
  <c r="H93" i="51" s="1"/>
  <c r="B34" i="51"/>
  <c r="B37" i="51" s="1"/>
  <c r="B38" i="51" s="1"/>
  <c r="B39" i="51" s="1"/>
  <c r="B40" i="51" s="1"/>
  <c r="B41" i="51" s="1"/>
  <c r="B42" i="51" s="1"/>
  <c r="B43" i="51" s="1"/>
  <c r="B44" i="51" s="1"/>
  <c r="B45" i="51" s="1"/>
  <c r="B46" i="51" s="1"/>
  <c r="B47" i="51" s="1"/>
  <c r="B48" i="51" s="1"/>
  <c r="B49" i="51" s="1"/>
  <c r="B50" i="51" s="1"/>
  <c r="B51" i="51" s="1"/>
  <c r="B52" i="51" s="1"/>
  <c r="B53" i="51" s="1"/>
  <c r="B54" i="51" s="1"/>
  <c r="B55" i="51" s="1"/>
  <c r="B56" i="51" s="1"/>
  <c r="B57" i="51" s="1"/>
  <c r="B58" i="51" s="1"/>
  <c r="B59" i="51" s="1"/>
  <c r="B60" i="51" s="1"/>
  <c r="B61" i="51" s="1"/>
  <c r="B62" i="51" s="1"/>
  <c r="B63" i="51" s="1"/>
  <c r="B64" i="51" s="1"/>
  <c r="B65" i="51" s="1"/>
  <c r="B66" i="51" s="1"/>
  <c r="B67" i="51" s="1"/>
  <c r="B68" i="51" s="1"/>
  <c r="B69" i="51" s="1"/>
  <c r="B70" i="51" s="1"/>
  <c r="B71" i="51" s="1"/>
  <c r="B72" i="51" s="1"/>
  <c r="B73" i="51" s="1"/>
  <c r="B74" i="51" s="1"/>
  <c r="B75" i="51" s="1"/>
  <c r="B76" i="51" s="1"/>
  <c r="B77" i="51" s="1"/>
  <c r="B78" i="51" s="1"/>
  <c r="B79" i="51" s="1"/>
  <c r="B80" i="51" s="1"/>
  <c r="B81" i="51" s="1"/>
  <c r="B82" i="51" s="1"/>
  <c r="B83" i="51" s="1"/>
  <c r="B84" i="51" s="1"/>
  <c r="B85" i="51" s="1"/>
  <c r="B86" i="51" s="1"/>
  <c r="B87" i="51" s="1"/>
  <c r="B88" i="51" s="1"/>
  <c r="B89" i="51" s="1"/>
  <c r="B90" i="51" s="1"/>
  <c r="B91" i="51" s="1"/>
  <c r="B92" i="51" s="1"/>
  <c r="B93" i="51" s="1"/>
  <c r="B94" i="51" s="1"/>
  <c r="B95" i="51" s="1"/>
  <c r="B96" i="51" s="1"/>
  <c r="B97" i="51" s="1"/>
  <c r="B98" i="51" s="1"/>
  <c r="B99" i="51" s="1"/>
  <c r="B100" i="51" s="1"/>
  <c r="B101" i="51" s="1"/>
  <c r="B102" i="51" s="1"/>
  <c r="B103" i="51" s="1"/>
  <c r="B104" i="51" s="1"/>
  <c r="B105" i="51" s="1"/>
  <c r="B106" i="51" s="1"/>
  <c r="B107" i="51" s="1"/>
  <c r="B108" i="51" s="1"/>
  <c r="B109" i="51" s="1"/>
  <c r="B110" i="51" s="1"/>
  <c r="B111" i="51" s="1"/>
  <c r="B112" i="51" s="1"/>
  <c r="B113" i="51" s="1"/>
  <c r="B114" i="51" s="1"/>
  <c r="B115" i="51" s="1"/>
  <c r="B116" i="51" s="1"/>
  <c r="B117" i="51" s="1"/>
  <c r="B118" i="51" s="1"/>
  <c r="B119" i="51" s="1"/>
  <c r="B120" i="51" s="1"/>
  <c r="B121" i="51" s="1"/>
  <c r="B122" i="51" s="1"/>
  <c r="B123" i="51" s="1"/>
  <c r="B124" i="51" s="1"/>
  <c r="B125" i="51" s="1"/>
  <c r="B126" i="51" s="1"/>
  <c r="B127" i="51" s="1"/>
  <c r="B128" i="51" s="1"/>
  <c r="B129" i="51" s="1"/>
  <c r="B130" i="51" s="1"/>
  <c r="B131" i="51" s="1"/>
  <c r="B132" i="51" s="1"/>
  <c r="B133" i="51" s="1"/>
  <c r="B134" i="51" s="1"/>
  <c r="B135" i="51" s="1"/>
  <c r="B136" i="51" s="1"/>
  <c r="B137" i="51" s="1"/>
  <c r="B138" i="51" s="1"/>
  <c r="B139" i="51" s="1"/>
  <c r="B140" i="51" s="1"/>
  <c r="B141" i="51" s="1"/>
  <c r="B142" i="51" s="1"/>
  <c r="B143" i="51" s="1"/>
  <c r="B144" i="51" s="1"/>
  <c r="B145" i="51" s="1"/>
  <c r="B146" i="51" s="1"/>
  <c r="B147" i="51" s="1"/>
  <c r="B148" i="51" s="1"/>
  <c r="B149" i="51" s="1"/>
  <c r="B150" i="51" s="1"/>
  <c r="B151" i="51" s="1"/>
  <c r="B152" i="51" s="1"/>
  <c r="B153" i="51" s="1"/>
  <c r="B154" i="51" s="1"/>
  <c r="B155" i="51" s="1"/>
  <c r="B156" i="51" s="1"/>
  <c r="B157" i="51" s="1"/>
  <c r="B158" i="51" s="1"/>
  <c r="B159" i="51" s="1"/>
  <c r="B160" i="51" s="1"/>
  <c r="B161" i="51" s="1"/>
  <c r="B162" i="51" s="1"/>
  <c r="B163" i="51" s="1"/>
  <c r="B164" i="51" s="1"/>
  <c r="B165" i="51" s="1"/>
  <c r="B166" i="51" s="1"/>
  <c r="B167" i="51" s="1"/>
  <c r="B168" i="51" s="1"/>
  <c r="B169" i="51" s="1"/>
  <c r="B170" i="51" s="1"/>
  <c r="B171" i="51" s="1"/>
  <c r="B172" i="51" s="1"/>
  <c r="B173" i="51" s="1"/>
  <c r="B174" i="51" s="1"/>
  <c r="B175" i="51" s="1"/>
  <c r="B176" i="51" s="1"/>
  <c r="B177" i="51" s="1"/>
  <c r="B178" i="51" s="1"/>
  <c r="B179" i="51" s="1"/>
  <c r="B180" i="51" s="1"/>
  <c r="B181" i="51" s="1"/>
  <c r="B182" i="51" s="1"/>
  <c r="B183" i="51" s="1"/>
  <c r="B184" i="51" s="1"/>
  <c r="B185" i="51" s="1"/>
  <c r="B186" i="51" s="1"/>
  <c r="B187" i="51" s="1"/>
  <c r="B188" i="51" s="1"/>
  <c r="B189" i="51" s="1"/>
  <c r="B190" i="51" s="1"/>
  <c r="B191" i="51" s="1"/>
  <c r="B192" i="51" s="1"/>
  <c r="B193" i="51" s="1"/>
  <c r="B194" i="51" s="1"/>
  <c r="B195" i="51" s="1"/>
  <c r="B196" i="51" s="1"/>
  <c r="B197" i="51" s="1"/>
  <c r="B198" i="51" s="1"/>
  <c r="B199" i="51" s="1"/>
  <c r="B200" i="51" s="1"/>
  <c r="B201" i="51" s="1"/>
  <c r="B202" i="51" s="1"/>
  <c r="B203" i="51" s="1"/>
  <c r="B204" i="51" s="1"/>
  <c r="B205" i="51" s="1"/>
  <c r="B206" i="51" s="1"/>
  <c r="B207" i="51" s="1"/>
  <c r="B36" i="51"/>
  <c r="AF21" i="15"/>
  <c r="AF20" i="15"/>
  <c r="H74" i="51" l="1"/>
  <c r="G251" i="51"/>
  <c r="AG25" i="15"/>
  <c r="H34" i="51"/>
  <c r="AG15" i="15"/>
  <c r="H33" i="51"/>
  <c r="AG17" i="15"/>
  <c r="AG9" i="15"/>
  <c r="B208" i="51"/>
  <c r="B209" i="51" s="1"/>
  <c r="B210" i="51" s="1"/>
  <c r="B211" i="51" s="1"/>
  <c r="B212" i="51" s="1"/>
  <c r="D11" i="51"/>
  <c r="D7" i="51"/>
  <c r="D10" i="51"/>
  <c r="AG21" i="15"/>
  <c r="D9" i="51"/>
  <c r="H113" i="51"/>
  <c r="D6" i="51"/>
  <c r="D8" i="51"/>
  <c r="D5" i="51"/>
  <c r="D12" i="51"/>
  <c r="AG26" i="15" l="1"/>
  <c r="B213" i="51"/>
  <c r="B214" i="51" s="1"/>
  <c r="B215" i="51" s="1"/>
  <c r="B216" i="51" s="1"/>
  <c r="B217" i="51" s="1"/>
  <c r="B218" i="51" s="1"/>
  <c r="B219" i="51" s="1"/>
  <c r="B220" i="51" s="1"/>
  <c r="B221" i="51" s="1"/>
  <c r="B222" i="51" s="1"/>
  <c r="B223" i="51" s="1"/>
  <c r="B224" i="51" s="1"/>
  <c r="B225" i="51" s="1"/>
  <c r="B226" i="51" s="1"/>
  <c r="B227" i="51" s="1"/>
  <c r="B228" i="51" s="1"/>
  <c r="B229" i="51" s="1"/>
  <c r="B230" i="51" s="1"/>
  <c r="B231" i="51" s="1"/>
  <c r="B232" i="51" s="1"/>
  <c r="B233" i="51" s="1"/>
  <c r="B234" i="51" s="1"/>
  <c r="B235" i="51" s="1"/>
  <c r="B236" i="51" s="1"/>
  <c r="B237" i="51" s="1"/>
  <c r="B238" i="51" s="1"/>
  <c r="B239" i="51" s="1"/>
  <c r="B240" i="51" s="1"/>
  <c r="B241" i="51" s="1"/>
  <c r="B242" i="51" s="1"/>
  <c r="B243" i="51" s="1"/>
  <c r="B244" i="51" s="1"/>
  <c r="B245" i="51" s="1"/>
  <c r="B246" i="51" s="1"/>
  <c r="B247" i="51" s="1"/>
  <c r="B248" i="51" s="1"/>
  <c r="B249" i="51" s="1"/>
  <c r="F33" i="50"/>
  <c r="E33" i="50"/>
  <c r="AG29" i="15" l="1"/>
  <c r="AG34" i="15"/>
  <c r="AF31" i="15"/>
  <c r="C30" i="44" s="1"/>
  <c r="AF45" i="15" l="1"/>
  <c r="AF44" i="15"/>
  <c r="AF39" i="15" l="1"/>
  <c r="AF55" i="15"/>
  <c r="AF33" i="15" l="1"/>
  <c r="M115" i="50"/>
  <c r="O115" i="50" s="1"/>
  <c r="P115" i="50"/>
  <c r="M116" i="50"/>
  <c r="O116" i="50" s="1"/>
  <c r="N116" i="50"/>
  <c r="P116" i="50"/>
  <c r="M117" i="50"/>
  <c r="O117" i="50" s="1"/>
  <c r="N117" i="50"/>
  <c r="P117" i="50"/>
  <c r="M118" i="50"/>
  <c r="O118" i="50" s="1"/>
  <c r="P118" i="50"/>
  <c r="M119" i="50"/>
  <c r="O119" i="50" s="1"/>
  <c r="P119" i="50"/>
  <c r="M120" i="50"/>
  <c r="O120" i="50" s="1"/>
  <c r="P120" i="50"/>
  <c r="M121" i="50"/>
  <c r="O121" i="50" s="1"/>
  <c r="P121" i="50"/>
  <c r="M122" i="50"/>
  <c r="O122" i="50" s="1"/>
  <c r="P122" i="50"/>
  <c r="M123" i="50"/>
  <c r="O123" i="50" s="1"/>
  <c r="P123" i="50"/>
  <c r="M124" i="50"/>
  <c r="O124" i="50" s="1"/>
  <c r="P124" i="50"/>
  <c r="M125" i="50"/>
  <c r="O125" i="50" s="1"/>
  <c r="P125" i="50"/>
  <c r="M126" i="50"/>
  <c r="O126" i="50" s="1"/>
  <c r="P126" i="50"/>
  <c r="M127" i="50"/>
  <c r="O127" i="50" s="1"/>
  <c r="P127" i="50"/>
  <c r="M128" i="50"/>
  <c r="O128" i="50" s="1"/>
  <c r="P128" i="50"/>
  <c r="M129" i="50"/>
  <c r="O129" i="50" s="1"/>
  <c r="P129" i="50"/>
  <c r="M130" i="50"/>
  <c r="O130" i="50" s="1"/>
  <c r="N130" i="50"/>
  <c r="P130" i="50"/>
  <c r="M131" i="50"/>
  <c r="O131" i="50" s="1"/>
  <c r="P131" i="50"/>
  <c r="M132" i="50"/>
  <c r="N132" i="50" s="1"/>
  <c r="O132" i="50"/>
  <c r="P132" i="50"/>
  <c r="M133" i="50"/>
  <c r="O133" i="50" s="1"/>
  <c r="N133" i="50"/>
  <c r="P133" i="50"/>
  <c r="M134" i="50"/>
  <c r="O134" i="50" s="1"/>
  <c r="N134" i="50"/>
  <c r="P134" i="50"/>
  <c r="M135" i="50"/>
  <c r="O135" i="50" s="1"/>
  <c r="N135" i="50"/>
  <c r="P135" i="50"/>
  <c r="M136" i="50"/>
  <c r="O136" i="50" s="1"/>
  <c r="N136" i="50"/>
  <c r="P136" i="50"/>
  <c r="M137" i="50"/>
  <c r="O137" i="50" s="1"/>
  <c r="P137" i="50"/>
  <c r="M138" i="50"/>
  <c r="O138" i="50" s="1"/>
  <c r="P138" i="50"/>
  <c r="M139" i="50"/>
  <c r="O139" i="50" s="1"/>
  <c r="P139" i="50"/>
  <c r="M140" i="50"/>
  <c r="O140" i="50" s="1"/>
  <c r="P140" i="50"/>
  <c r="M141" i="50"/>
  <c r="N141" i="50" s="1"/>
  <c r="P141" i="50"/>
  <c r="M142" i="50"/>
  <c r="O142" i="50" s="1"/>
  <c r="N142" i="50"/>
  <c r="P142" i="50"/>
  <c r="M143" i="50"/>
  <c r="O143" i="50" s="1"/>
  <c r="N143" i="50"/>
  <c r="P143" i="50"/>
  <c r="M144" i="50"/>
  <c r="O144" i="50" s="1"/>
  <c r="N144" i="50"/>
  <c r="P144" i="50"/>
  <c r="M145" i="50"/>
  <c r="O145" i="50" s="1"/>
  <c r="N145" i="50"/>
  <c r="P145" i="50"/>
  <c r="M146" i="50"/>
  <c r="O146" i="50" s="1"/>
  <c r="P146" i="50"/>
  <c r="M147" i="50"/>
  <c r="O147" i="50" s="1"/>
  <c r="P147" i="50"/>
  <c r="M148" i="50"/>
  <c r="O148" i="50" s="1"/>
  <c r="P148" i="50"/>
  <c r="M149" i="50"/>
  <c r="O149" i="50" s="1"/>
  <c r="P149" i="50"/>
  <c r="M150" i="50"/>
  <c r="O150" i="50" s="1"/>
  <c r="P150" i="50"/>
  <c r="M151" i="50"/>
  <c r="O151" i="50" s="1"/>
  <c r="P151" i="50"/>
  <c r="M152" i="50"/>
  <c r="O152" i="50" s="1"/>
  <c r="P152" i="50"/>
  <c r="M153" i="50"/>
  <c r="N153" i="50" s="1"/>
  <c r="P153" i="50"/>
  <c r="M154" i="50"/>
  <c r="O154" i="50" s="1"/>
  <c r="P154" i="50"/>
  <c r="M155" i="50"/>
  <c r="O155" i="50" s="1"/>
  <c r="P155" i="50"/>
  <c r="M156" i="50"/>
  <c r="O156" i="50" s="1"/>
  <c r="P156" i="50"/>
  <c r="M157" i="50"/>
  <c r="O157" i="50" s="1"/>
  <c r="P157" i="50"/>
  <c r="M158" i="50"/>
  <c r="O158" i="50" s="1"/>
  <c r="P158" i="50"/>
  <c r="M159" i="50"/>
  <c r="O159" i="50" s="1"/>
  <c r="N159" i="50"/>
  <c r="P159" i="50"/>
  <c r="M160" i="50"/>
  <c r="O160" i="50" s="1"/>
  <c r="P160" i="50"/>
  <c r="M161" i="50"/>
  <c r="O161" i="50" s="1"/>
  <c r="P161" i="50"/>
  <c r="M162" i="50"/>
  <c r="N162" i="50" s="1"/>
  <c r="P162" i="50"/>
  <c r="M163" i="50"/>
  <c r="O163" i="50" s="1"/>
  <c r="P163" i="50"/>
  <c r="M164" i="50"/>
  <c r="O164" i="50" s="1"/>
  <c r="P164" i="50"/>
  <c r="M165" i="50"/>
  <c r="O165" i="50" s="1"/>
  <c r="P165" i="50"/>
  <c r="M166" i="50"/>
  <c r="O166" i="50" s="1"/>
  <c r="P166" i="50"/>
  <c r="M167" i="50"/>
  <c r="O167" i="50" s="1"/>
  <c r="P167" i="50"/>
  <c r="M168" i="50"/>
  <c r="O168" i="50" s="1"/>
  <c r="N168" i="50"/>
  <c r="P168" i="50"/>
  <c r="M169" i="50"/>
  <c r="O169" i="50" s="1"/>
  <c r="P169" i="50"/>
  <c r="M170" i="50"/>
  <c r="O170" i="50" s="1"/>
  <c r="P170" i="50"/>
  <c r="M171" i="50"/>
  <c r="N171" i="50" s="1"/>
  <c r="P171" i="50"/>
  <c r="M172" i="50"/>
  <c r="O172" i="50" s="1"/>
  <c r="N172" i="50"/>
  <c r="P172" i="50"/>
  <c r="M173" i="50"/>
  <c r="O173" i="50" s="1"/>
  <c r="P173" i="50"/>
  <c r="M174" i="50"/>
  <c r="O174" i="50" s="1"/>
  <c r="P174" i="50"/>
  <c r="M175" i="50"/>
  <c r="O175" i="50" s="1"/>
  <c r="P175" i="50"/>
  <c r="M176" i="50"/>
  <c r="O176" i="50" s="1"/>
  <c r="P176" i="50"/>
  <c r="M177" i="50"/>
  <c r="O177" i="50" s="1"/>
  <c r="N177" i="50"/>
  <c r="P177" i="50"/>
  <c r="M178" i="50"/>
  <c r="O178" i="50" s="1"/>
  <c r="P178" i="50"/>
  <c r="M179" i="50"/>
  <c r="O179" i="50" s="1"/>
  <c r="P179" i="50"/>
  <c r="M180" i="50"/>
  <c r="N180" i="50" s="1"/>
  <c r="P180" i="50"/>
  <c r="M181" i="50"/>
  <c r="O181" i="50" s="1"/>
  <c r="N181" i="50"/>
  <c r="P181" i="50"/>
  <c r="M182" i="50"/>
  <c r="O182" i="50" s="1"/>
  <c r="P182" i="50"/>
  <c r="M183" i="50"/>
  <c r="O183" i="50" s="1"/>
  <c r="P183" i="50"/>
  <c r="M184" i="50"/>
  <c r="O184" i="50" s="1"/>
  <c r="P184" i="50"/>
  <c r="M185" i="50"/>
  <c r="O185" i="50" s="1"/>
  <c r="P185" i="50"/>
  <c r="M186" i="50"/>
  <c r="O186" i="50" s="1"/>
  <c r="N186" i="50"/>
  <c r="P186" i="50"/>
  <c r="M187" i="50"/>
  <c r="O187" i="50" s="1"/>
  <c r="P187" i="50"/>
  <c r="M188" i="50"/>
  <c r="O188" i="50" s="1"/>
  <c r="P188" i="50"/>
  <c r="E212" i="50"/>
  <c r="O10" i="50" s="1"/>
  <c r="P210" i="50"/>
  <c r="M210" i="50"/>
  <c r="O210" i="50" s="1"/>
  <c r="P209" i="50"/>
  <c r="O209" i="50"/>
  <c r="M209" i="50"/>
  <c r="N209" i="50" s="1"/>
  <c r="G209" i="50" s="1"/>
  <c r="P208" i="50"/>
  <c r="M208" i="50"/>
  <c r="O208" i="50" s="1"/>
  <c r="P207" i="50"/>
  <c r="M207" i="50"/>
  <c r="O207" i="50" s="1"/>
  <c r="P206" i="50"/>
  <c r="M206" i="50"/>
  <c r="O206" i="50" s="1"/>
  <c r="P205" i="50"/>
  <c r="O205" i="50"/>
  <c r="M205" i="50"/>
  <c r="N205" i="50" s="1"/>
  <c r="G205" i="50" s="1"/>
  <c r="P204" i="50"/>
  <c r="O204" i="50"/>
  <c r="N204" i="50"/>
  <c r="M204" i="50"/>
  <c r="P203" i="50"/>
  <c r="M203" i="50"/>
  <c r="O203" i="50" s="1"/>
  <c r="P202" i="50"/>
  <c r="M202" i="50"/>
  <c r="P201" i="50"/>
  <c r="M201" i="50"/>
  <c r="O201" i="50" s="1"/>
  <c r="P200" i="50"/>
  <c r="M200" i="50"/>
  <c r="O200" i="50" s="1"/>
  <c r="P199" i="50"/>
  <c r="M199" i="50"/>
  <c r="O199" i="50" s="1"/>
  <c r="P198" i="50"/>
  <c r="M198" i="50"/>
  <c r="N198" i="50" s="1"/>
  <c r="P197" i="50"/>
  <c r="M197" i="50"/>
  <c r="N197" i="50" s="1"/>
  <c r="P196" i="50"/>
  <c r="M196" i="50"/>
  <c r="P195" i="50"/>
  <c r="M195" i="50"/>
  <c r="O195" i="50" s="1"/>
  <c r="P194" i="50"/>
  <c r="M194" i="50"/>
  <c r="O194" i="50" s="1"/>
  <c r="P193" i="50"/>
  <c r="M193" i="50"/>
  <c r="O193" i="50" s="1"/>
  <c r="P192" i="50"/>
  <c r="M192" i="50"/>
  <c r="O192" i="50" s="1"/>
  <c r="P191" i="50"/>
  <c r="M191" i="50"/>
  <c r="N191" i="50" s="1"/>
  <c r="P190" i="50"/>
  <c r="M190" i="50"/>
  <c r="P189" i="50"/>
  <c r="M189" i="50"/>
  <c r="O189" i="50" s="1"/>
  <c r="P114" i="50"/>
  <c r="M114" i="50"/>
  <c r="N114" i="50" s="1"/>
  <c r="P113" i="50"/>
  <c r="M113" i="50"/>
  <c r="O113" i="50" s="1"/>
  <c r="P112" i="50"/>
  <c r="M112" i="50"/>
  <c r="O112" i="50" s="1"/>
  <c r="P111" i="50"/>
  <c r="M111" i="50"/>
  <c r="P110" i="50"/>
  <c r="M110" i="50"/>
  <c r="N110" i="50" s="1"/>
  <c r="P109" i="50"/>
  <c r="M109" i="50"/>
  <c r="O109" i="50" s="1"/>
  <c r="P108" i="50"/>
  <c r="M108" i="50"/>
  <c r="P107" i="50"/>
  <c r="M107" i="50"/>
  <c r="O107" i="50" s="1"/>
  <c r="P106" i="50"/>
  <c r="M106" i="50"/>
  <c r="O106" i="50" s="1"/>
  <c r="P105" i="50"/>
  <c r="M105" i="50"/>
  <c r="N105" i="50" s="1"/>
  <c r="P104" i="50"/>
  <c r="M104" i="50"/>
  <c r="O104" i="50" s="1"/>
  <c r="P103" i="50"/>
  <c r="M103" i="50"/>
  <c r="N103" i="50" s="1"/>
  <c r="P102" i="50"/>
  <c r="M102" i="50"/>
  <c r="P101" i="50"/>
  <c r="M101" i="50"/>
  <c r="O101" i="50" s="1"/>
  <c r="P100" i="50"/>
  <c r="M100" i="50"/>
  <c r="O100" i="50" s="1"/>
  <c r="P99" i="50"/>
  <c r="M99" i="50"/>
  <c r="P98" i="50"/>
  <c r="M98" i="50"/>
  <c r="O98" i="50" s="1"/>
  <c r="P97" i="50"/>
  <c r="M97" i="50"/>
  <c r="O97" i="50" s="1"/>
  <c r="P96" i="50"/>
  <c r="M96" i="50"/>
  <c r="P95" i="50"/>
  <c r="M95" i="50"/>
  <c r="O95" i="50" s="1"/>
  <c r="P94" i="50"/>
  <c r="M94" i="50"/>
  <c r="P93" i="50"/>
  <c r="M93" i="50"/>
  <c r="N93" i="50" s="1"/>
  <c r="P92" i="50"/>
  <c r="M92" i="50"/>
  <c r="N92" i="50" s="1"/>
  <c r="P91" i="50"/>
  <c r="M91" i="50"/>
  <c r="N91" i="50" s="1"/>
  <c r="P90" i="50"/>
  <c r="M90" i="50"/>
  <c r="P89" i="50"/>
  <c r="M89" i="50"/>
  <c r="O89" i="50" s="1"/>
  <c r="P88" i="50"/>
  <c r="M88" i="50"/>
  <c r="O88" i="50" s="1"/>
  <c r="P87" i="50"/>
  <c r="M87" i="50"/>
  <c r="P86" i="50"/>
  <c r="M86" i="50"/>
  <c r="N86" i="50" s="1"/>
  <c r="P85" i="50"/>
  <c r="M85" i="50"/>
  <c r="N85" i="50" s="1"/>
  <c r="P84" i="50"/>
  <c r="M84" i="50"/>
  <c r="P83" i="50"/>
  <c r="M83" i="50"/>
  <c r="N83" i="50" s="1"/>
  <c r="P82" i="50"/>
  <c r="M82" i="50"/>
  <c r="P81" i="50"/>
  <c r="M81" i="50"/>
  <c r="P80" i="50"/>
  <c r="M80" i="50"/>
  <c r="P79" i="50"/>
  <c r="M79" i="50"/>
  <c r="N79" i="50" s="1"/>
  <c r="P78" i="50"/>
  <c r="M78" i="50"/>
  <c r="P77" i="50"/>
  <c r="M77" i="50"/>
  <c r="N77" i="50" s="1"/>
  <c r="P76" i="50"/>
  <c r="M76" i="50"/>
  <c r="P75" i="50"/>
  <c r="M75" i="50"/>
  <c r="N75" i="50" s="1"/>
  <c r="P74" i="50"/>
  <c r="M74" i="50"/>
  <c r="O74" i="50" s="1"/>
  <c r="P73" i="50"/>
  <c r="M73" i="50"/>
  <c r="N73" i="50" s="1"/>
  <c r="P72" i="50"/>
  <c r="M72" i="50"/>
  <c r="P71" i="50"/>
  <c r="M71" i="50"/>
  <c r="N71" i="50" s="1"/>
  <c r="P70" i="50"/>
  <c r="M70" i="50"/>
  <c r="O70" i="50" s="1"/>
  <c r="P69" i="50"/>
  <c r="M69" i="50"/>
  <c r="P68" i="50"/>
  <c r="M68" i="50"/>
  <c r="N68" i="50" s="1"/>
  <c r="P67" i="50"/>
  <c r="M67" i="50"/>
  <c r="N67" i="50" s="1"/>
  <c r="P66" i="50"/>
  <c r="M66" i="50"/>
  <c r="P65" i="50"/>
  <c r="M65" i="50"/>
  <c r="N65" i="50" s="1"/>
  <c r="P64" i="50"/>
  <c r="M64" i="50"/>
  <c r="P63" i="50"/>
  <c r="M63" i="50"/>
  <c r="P62" i="50"/>
  <c r="M62" i="50"/>
  <c r="P61" i="50"/>
  <c r="M61" i="50"/>
  <c r="N61" i="50" s="1"/>
  <c r="P60" i="50"/>
  <c r="M60" i="50"/>
  <c r="P59" i="50"/>
  <c r="M59" i="50"/>
  <c r="N59" i="50" s="1"/>
  <c r="P58" i="50"/>
  <c r="M58" i="50"/>
  <c r="P57" i="50"/>
  <c r="M57" i="50"/>
  <c r="N57" i="50" s="1"/>
  <c r="P56" i="50"/>
  <c r="M56" i="50"/>
  <c r="N56" i="50" s="1"/>
  <c r="P55" i="50"/>
  <c r="M55" i="50"/>
  <c r="N55" i="50" s="1"/>
  <c r="P54" i="50"/>
  <c r="M54" i="50"/>
  <c r="P53" i="50"/>
  <c r="M53" i="50"/>
  <c r="N53" i="50" s="1"/>
  <c r="P52" i="50"/>
  <c r="M52" i="50"/>
  <c r="O52" i="50" s="1"/>
  <c r="P51" i="50"/>
  <c r="M51" i="50"/>
  <c r="P50" i="50"/>
  <c r="M50" i="50"/>
  <c r="N50" i="50" s="1"/>
  <c r="P49" i="50"/>
  <c r="M49" i="50"/>
  <c r="N49" i="50" s="1"/>
  <c r="P48" i="50"/>
  <c r="M48" i="50"/>
  <c r="P47" i="50"/>
  <c r="M47" i="50"/>
  <c r="N47" i="50" s="1"/>
  <c r="P46" i="50"/>
  <c r="M46" i="50"/>
  <c r="P45" i="50"/>
  <c r="M45" i="50"/>
  <c r="P44" i="50"/>
  <c r="M44" i="50"/>
  <c r="P43" i="50"/>
  <c r="M43" i="50"/>
  <c r="N43" i="50" s="1"/>
  <c r="P42" i="50"/>
  <c r="M42" i="50"/>
  <c r="P41" i="50"/>
  <c r="M41" i="50"/>
  <c r="N41" i="50" s="1"/>
  <c r="P40" i="50"/>
  <c r="M40" i="50"/>
  <c r="P39" i="50"/>
  <c r="M39" i="50"/>
  <c r="N39" i="50" s="1"/>
  <c r="P38" i="50"/>
  <c r="M38" i="50"/>
  <c r="O38" i="50" s="1"/>
  <c r="P37" i="50"/>
  <c r="M37" i="50"/>
  <c r="N37" i="50" s="1"/>
  <c r="P36" i="50"/>
  <c r="M36" i="50"/>
  <c r="P35" i="50"/>
  <c r="M35" i="50"/>
  <c r="N35" i="50" s="1"/>
  <c r="P34" i="50"/>
  <c r="M34" i="50"/>
  <c r="N34" i="50" s="1"/>
  <c r="P33" i="50"/>
  <c r="M33" i="50"/>
  <c r="N33" i="50" s="1"/>
  <c r="P32" i="50"/>
  <c r="M32" i="50"/>
  <c r="N32" i="50" s="1"/>
  <c r="P31" i="50"/>
  <c r="M31" i="50"/>
  <c r="O31" i="50" s="1"/>
  <c r="P30" i="50"/>
  <c r="M30" i="50"/>
  <c r="N30" i="50" s="1"/>
  <c r="P29" i="50"/>
  <c r="M29" i="50"/>
  <c r="O29" i="50" s="1"/>
  <c r="P28" i="50"/>
  <c r="M28" i="50"/>
  <c r="N28" i="50" s="1"/>
  <c r="P27" i="50"/>
  <c r="M27" i="50"/>
  <c r="N27" i="50" s="1"/>
  <c r="P26" i="50"/>
  <c r="M26" i="50"/>
  <c r="O26" i="50" s="1"/>
  <c r="P25" i="50"/>
  <c r="M25" i="50"/>
  <c r="P24" i="50"/>
  <c r="M24" i="50"/>
  <c r="N24" i="50" s="1"/>
  <c r="P23" i="50"/>
  <c r="M23" i="50"/>
  <c r="O23" i="50" s="1"/>
  <c r="P22" i="50"/>
  <c r="M22" i="50"/>
  <c r="N22" i="50" s="1"/>
  <c r="P21" i="50"/>
  <c r="M21" i="50"/>
  <c r="N21" i="50" s="1"/>
  <c r="P20" i="50"/>
  <c r="M20" i="50"/>
  <c r="O20" i="50" s="1"/>
  <c r="P19" i="50"/>
  <c r="M19" i="50"/>
  <c r="O19" i="50" s="1"/>
  <c r="B19" i="50"/>
  <c r="B20" i="50" s="1"/>
  <c r="B21" i="50" s="1"/>
  <c r="B22" i="50" s="1"/>
  <c r="B23" i="50" s="1"/>
  <c r="B24" i="50" s="1"/>
  <c r="B25" i="50" s="1"/>
  <c r="B26" i="50" s="1"/>
  <c r="B27" i="50" s="1"/>
  <c r="B28" i="50" s="1"/>
  <c r="B29" i="50" s="1"/>
  <c r="B30" i="50" s="1"/>
  <c r="B31" i="50" s="1"/>
  <c r="B32" i="50" s="1"/>
  <c r="N12" i="50"/>
  <c r="N11" i="50"/>
  <c r="N10" i="50"/>
  <c r="N9" i="50"/>
  <c r="C12" i="44"/>
  <c r="AF52" i="15"/>
  <c r="AF38" i="15"/>
  <c r="N26" i="50" l="1"/>
  <c r="O12" i="50"/>
  <c r="AF14" i="15"/>
  <c r="AF12" i="15"/>
  <c r="AF24" i="15"/>
  <c r="AF13" i="15"/>
  <c r="AF11" i="15"/>
  <c r="AF19" i="15"/>
  <c r="AF16" i="15"/>
  <c r="AF18" i="15"/>
  <c r="AF10" i="15"/>
  <c r="AF8" i="15"/>
  <c r="O103" i="50"/>
  <c r="G103" i="50" s="1"/>
  <c r="H103" i="50" s="1"/>
  <c r="O11" i="50"/>
  <c r="N101" i="50"/>
  <c r="G101" i="50" s="1"/>
  <c r="H101" i="50" s="1"/>
  <c r="O198" i="50"/>
  <c r="N163" i="50"/>
  <c r="G163" i="50" s="1"/>
  <c r="N154" i="50"/>
  <c r="G154" i="50" s="1"/>
  <c r="N150" i="50"/>
  <c r="G150" i="50" s="1"/>
  <c r="N139" i="50"/>
  <c r="G139" i="50" s="1"/>
  <c r="N138" i="50"/>
  <c r="G138" i="50" s="1"/>
  <c r="N129" i="50"/>
  <c r="N123" i="50"/>
  <c r="N118" i="50"/>
  <c r="G118" i="50" s="1"/>
  <c r="N115" i="50"/>
  <c r="G115" i="50" s="1"/>
  <c r="G177" i="50"/>
  <c r="O171" i="50"/>
  <c r="G171" i="50" s="1"/>
  <c r="G159" i="50"/>
  <c r="O153" i="50"/>
  <c r="G153" i="50" s="1"/>
  <c r="O141" i="50"/>
  <c r="G141" i="50" s="1"/>
  <c r="N187" i="50"/>
  <c r="G187" i="50" s="1"/>
  <c r="N183" i="50"/>
  <c r="G183" i="50" s="1"/>
  <c r="N179" i="50"/>
  <c r="G179" i="50" s="1"/>
  <c r="N175" i="50"/>
  <c r="N169" i="50"/>
  <c r="N165" i="50"/>
  <c r="G165" i="50" s="1"/>
  <c r="N161" i="50"/>
  <c r="G161" i="50" s="1"/>
  <c r="N157" i="50"/>
  <c r="G157" i="50" s="1"/>
  <c r="N151" i="50"/>
  <c r="G151" i="50" s="1"/>
  <c r="N147" i="50"/>
  <c r="N126" i="50"/>
  <c r="G126" i="50" s="1"/>
  <c r="N124" i="50"/>
  <c r="G124" i="50" s="1"/>
  <c r="N120" i="50"/>
  <c r="G120" i="50" s="1"/>
  <c r="O162" i="50"/>
  <c r="G162" i="50" s="1"/>
  <c r="G123" i="50"/>
  <c r="O180" i="50"/>
  <c r="G180" i="50" s="1"/>
  <c r="N188" i="50"/>
  <c r="G188" i="50" s="1"/>
  <c r="N184" i="50"/>
  <c r="G184" i="50" s="1"/>
  <c r="N178" i="50"/>
  <c r="G178" i="50" s="1"/>
  <c r="N174" i="50"/>
  <c r="G174" i="50" s="1"/>
  <c r="N170" i="50"/>
  <c r="G170" i="50" s="1"/>
  <c r="N166" i="50"/>
  <c r="G166" i="50" s="1"/>
  <c r="N160" i="50"/>
  <c r="G160" i="50" s="1"/>
  <c r="N156" i="50"/>
  <c r="G156" i="50" s="1"/>
  <c r="N152" i="50"/>
  <c r="G152" i="50" s="1"/>
  <c r="N148" i="50"/>
  <c r="G148" i="50" s="1"/>
  <c r="G144" i="50"/>
  <c r="N127" i="50"/>
  <c r="G127" i="50" s="1"/>
  <c r="N125" i="50"/>
  <c r="G125" i="50" s="1"/>
  <c r="N121" i="50"/>
  <c r="G121" i="50" s="1"/>
  <c r="G186" i="50"/>
  <c r="G136" i="50"/>
  <c r="G132" i="50"/>
  <c r="G143" i="50"/>
  <c r="G135" i="50"/>
  <c r="G117" i="50"/>
  <c r="N182" i="50"/>
  <c r="G182" i="50" s="1"/>
  <c r="N173" i="50"/>
  <c r="G173" i="50" s="1"/>
  <c r="N164" i="50"/>
  <c r="G164" i="50" s="1"/>
  <c r="N155" i="50"/>
  <c r="G155" i="50" s="1"/>
  <c r="N146" i="50"/>
  <c r="G146" i="50" s="1"/>
  <c r="N137" i="50"/>
  <c r="G137" i="50" s="1"/>
  <c r="G130" i="50"/>
  <c r="N128" i="50"/>
  <c r="G128" i="50" s="1"/>
  <c r="N119" i="50"/>
  <c r="G119" i="50" s="1"/>
  <c r="G172" i="50"/>
  <c r="G168" i="50"/>
  <c r="G147" i="50"/>
  <c r="G129" i="50"/>
  <c r="N185" i="50"/>
  <c r="G185" i="50" s="1"/>
  <c r="N176" i="50"/>
  <c r="G176" i="50" s="1"/>
  <c r="N167" i="50"/>
  <c r="G167" i="50" s="1"/>
  <c r="N158" i="50"/>
  <c r="G158" i="50" s="1"/>
  <c r="N149" i="50"/>
  <c r="G149" i="50" s="1"/>
  <c r="G142" i="50"/>
  <c r="N140" i="50"/>
  <c r="G140" i="50" s="1"/>
  <c r="N131" i="50"/>
  <c r="G131" i="50" s="1"/>
  <c r="N122" i="50"/>
  <c r="G122" i="50" s="1"/>
  <c r="G134" i="50"/>
  <c r="G116" i="50"/>
  <c r="G181" i="50"/>
  <c r="G175" i="50"/>
  <c r="G169" i="50"/>
  <c r="G145" i="50"/>
  <c r="G133" i="50"/>
  <c r="N192" i="50"/>
  <c r="G192" i="50" s="1"/>
  <c r="G204" i="50"/>
  <c r="N208" i="50"/>
  <c r="G208" i="50" s="1"/>
  <c r="N19" i="50"/>
  <c r="G19" i="50" s="1"/>
  <c r="O32" i="50"/>
  <c r="G32" i="50" s="1"/>
  <c r="H32" i="50" s="1"/>
  <c r="N112" i="50"/>
  <c r="G112" i="50" s="1"/>
  <c r="H112" i="50" s="1"/>
  <c r="N201" i="50"/>
  <c r="G201" i="50" s="1"/>
  <c r="N203" i="50"/>
  <c r="G203" i="50" s="1"/>
  <c r="N38" i="50"/>
  <c r="G38" i="50" s="1"/>
  <c r="H38" i="50" s="1"/>
  <c r="N195" i="50"/>
  <c r="G195" i="50" s="1"/>
  <c r="N207" i="50"/>
  <c r="G207" i="50" s="1"/>
  <c r="N13" i="50"/>
  <c r="N189" i="50"/>
  <c r="G189" i="50" s="1"/>
  <c r="N206" i="50"/>
  <c r="G206" i="50" s="1"/>
  <c r="O9" i="50"/>
  <c r="O56" i="50"/>
  <c r="G56" i="50" s="1"/>
  <c r="H56" i="50" s="1"/>
  <c r="O68" i="50"/>
  <c r="G68" i="50" s="1"/>
  <c r="H68" i="50" s="1"/>
  <c r="O86" i="50"/>
  <c r="G86" i="50" s="1"/>
  <c r="H86" i="50" s="1"/>
  <c r="N97" i="50"/>
  <c r="G97" i="50" s="1"/>
  <c r="H97" i="50" s="1"/>
  <c r="O50" i="50"/>
  <c r="G50" i="50" s="1"/>
  <c r="H50" i="50" s="1"/>
  <c r="N74" i="50"/>
  <c r="G74" i="50" s="1"/>
  <c r="H74" i="50" s="1"/>
  <c r="O85" i="50"/>
  <c r="G85" i="50" s="1"/>
  <c r="H85" i="50" s="1"/>
  <c r="N89" i="50"/>
  <c r="G89" i="50" s="1"/>
  <c r="H89" i="50" s="1"/>
  <c r="O91" i="50"/>
  <c r="G91" i="50" s="1"/>
  <c r="H91" i="50" s="1"/>
  <c r="N95" i="50"/>
  <c r="G95" i="50" s="1"/>
  <c r="H95" i="50" s="1"/>
  <c r="G198" i="50"/>
  <c r="N190" i="50"/>
  <c r="O191" i="50"/>
  <c r="G191" i="50" s="1"/>
  <c r="N196" i="50"/>
  <c r="O197" i="50"/>
  <c r="G197" i="50" s="1"/>
  <c r="N202" i="50"/>
  <c r="O92" i="50"/>
  <c r="G92" i="50" s="1"/>
  <c r="H92" i="50" s="1"/>
  <c r="N98" i="50"/>
  <c r="G98" i="50" s="1"/>
  <c r="H98" i="50" s="1"/>
  <c r="N104" i="50"/>
  <c r="G104" i="50" s="1"/>
  <c r="H104" i="50" s="1"/>
  <c r="N194" i="50"/>
  <c r="G194" i="50" s="1"/>
  <c r="N200" i="50"/>
  <c r="G200" i="50" s="1"/>
  <c r="N20" i="50"/>
  <c r="G20" i="50" s="1"/>
  <c r="H20" i="50" s="1"/>
  <c r="O35" i="50"/>
  <c r="G35" i="50" s="1"/>
  <c r="H35" i="50" s="1"/>
  <c r="O41" i="50"/>
  <c r="G41" i="50" s="1"/>
  <c r="H41" i="50" s="1"/>
  <c r="O47" i="50"/>
  <c r="G47" i="50" s="1"/>
  <c r="H47" i="50" s="1"/>
  <c r="O53" i="50"/>
  <c r="G53" i="50" s="1"/>
  <c r="H53" i="50" s="1"/>
  <c r="O59" i="50"/>
  <c r="G59" i="50" s="1"/>
  <c r="H59" i="50" s="1"/>
  <c r="O65" i="50"/>
  <c r="G65" i="50" s="1"/>
  <c r="H65" i="50" s="1"/>
  <c r="O71" i="50"/>
  <c r="G71" i="50" s="1"/>
  <c r="H71" i="50" s="1"/>
  <c r="O77" i="50"/>
  <c r="G77" i="50" s="1"/>
  <c r="H77" i="50" s="1"/>
  <c r="O83" i="50"/>
  <c r="G83" i="50" s="1"/>
  <c r="H83" i="50" s="1"/>
  <c r="N113" i="50"/>
  <c r="G113" i="50" s="1"/>
  <c r="O114" i="50"/>
  <c r="G114" i="50" s="1"/>
  <c r="N193" i="50"/>
  <c r="G193" i="50" s="1"/>
  <c r="N199" i="50"/>
  <c r="G199" i="50" s="1"/>
  <c r="N23" i="50"/>
  <c r="G23" i="50" s="1"/>
  <c r="H23" i="50" s="1"/>
  <c r="N25" i="50"/>
  <c r="N44" i="50"/>
  <c r="N62" i="50"/>
  <c r="N80" i="50"/>
  <c r="N109" i="50"/>
  <c r="G109" i="50" s="1"/>
  <c r="H109" i="50" s="1"/>
  <c r="O25" i="50"/>
  <c r="N29" i="50"/>
  <c r="G29" i="50" s="1"/>
  <c r="H29" i="50" s="1"/>
  <c r="N31" i="50"/>
  <c r="G31" i="50" s="1"/>
  <c r="H31" i="50" s="1"/>
  <c r="O44" i="50"/>
  <c r="O62" i="50"/>
  <c r="O80" i="50"/>
  <c r="N107" i="50"/>
  <c r="G107" i="50" s="1"/>
  <c r="H107" i="50" s="1"/>
  <c r="O190" i="50"/>
  <c r="O196" i="50"/>
  <c r="O202" i="50"/>
  <c r="O37" i="50"/>
  <c r="G37" i="50" s="1"/>
  <c r="O43" i="50"/>
  <c r="G43" i="50" s="1"/>
  <c r="H43" i="50" s="1"/>
  <c r="O49" i="50"/>
  <c r="G49" i="50" s="1"/>
  <c r="H49" i="50" s="1"/>
  <c r="O55" i="50"/>
  <c r="G55" i="50" s="1"/>
  <c r="H55" i="50" s="1"/>
  <c r="O61" i="50"/>
  <c r="G61" i="50" s="1"/>
  <c r="H61" i="50" s="1"/>
  <c r="O67" i="50"/>
  <c r="G67" i="50" s="1"/>
  <c r="H67" i="50" s="1"/>
  <c r="O73" i="50"/>
  <c r="G73" i="50" s="1"/>
  <c r="H73" i="50" s="1"/>
  <c r="O79" i="50"/>
  <c r="G26" i="50"/>
  <c r="H26" i="50" s="1"/>
  <c r="B33" i="50"/>
  <c r="B35" i="50"/>
  <c r="O63" i="50"/>
  <c r="N46" i="50"/>
  <c r="O51" i="50"/>
  <c r="N64" i="50"/>
  <c r="O69" i="50"/>
  <c r="N82" i="50"/>
  <c r="O87" i="50"/>
  <c r="O111" i="50"/>
  <c r="N111" i="50"/>
  <c r="O27" i="50"/>
  <c r="G27" i="50" s="1"/>
  <c r="H27" i="50" s="1"/>
  <c r="O28" i="50"/>
  <c r="G28" i="50" s="1"/>
  <c r="H28" i="50" s="1"/>
  <c r="O30" i="50"/>
  <c r="G30" i="50" s="1"/>
  <c r="H30" i="50" s="1"/>
  <c r="O42" i="50"/>
  <c r="N42" i="50"/>
  <c r="O46" i="50"/>
  <c r="N51" i="50"/>
  <c r="O60" i="50"/>
  <c r="N60" i="50"/>
  <c r="O64" i="50"/>
  <c r="N69" i="50"/>
  <c r="O78" i="50"/>
  <c r="N78" i="50"/>
  <c r="O82" i="50"/>
  <c r="N87" i="50"/>
  <c r="O96" i="50"/>
  <c r="N96" i="50"/>
  <c r="N100" i="50"/>
  <c r="G100" i="50" s="1"/>
  <c r="H100" i="50" s="1"/>
  <c r="O105" i="50"/>
  <c r="G105" i="50" s="1"/>
  <c r="H105" i="50" s="1"/>
  <c r="O45" i="50"/>
  <c r="N58" i="50"/>
  <c r="N76" i="50"/>
  <c r="O81" i="50"/>
  <c r="N94" i="50"/>
  <c r="O108" i="50"/>
  <c r="N108" i="50"/>
  <c r="G108" i="50" s="1"/>
  <c r="H108" i="50" s="1"/>
  <c r="O36" i="50"/>
  <c r="N36" i="50"/>
  <c r="O54" i="50"/>
  <c r="N54" i="50"/>
  <c r="O58" i="50"/>
  <c r="N63" i="50"/>
  <c r="O72" i="50"/>
  <c r="N72" i="50"/>
  <c r="O76" i="50"/>
  <c r="N81" i="50"/>
  <c r="O94" i="50"/>
  <c r="O99" i="50"/>
  <c r="O21" i="50"/>
  <c r="G21" i="50" s="1"/>
  <c r="H21" i="50" s="1"/>
  <c r="O22" i="50"/>
  <c r="G22" i="50" s="1"/>
  <c r="H22" i="50" s="1"/>
  <c r="O24" i="50"/>
  <c r="G24" i="50" s="1"/>
  <c r="H24" i="50" s="1"/>
  <c r="O33" i="50"/>
  <c r="G33" i="50" s="1"/>
  <c r="H33" i="50" s="1"/>
  <c r="O34" i="50"/>
  <c r="G34" i="50" s="1"/>
  <c r="H34" i="50" s="1"/>
  <c r="O39" i="50"/>
  <c r="G39" i="50" s="1"/>
  <c r="H39" i="50" s="1"/>
  <c r="N52" i="50"/>
  <c r="G52" i="50" s="1"/>
  <c r="H52" i="50" s="1"/>
  <c r="O57" i="50"/>
  <c r="G57" i="50" s="1"/>
  <c r="H57" i="50" s="1"/>
  <c r="N70" i="50"/>
  <c r="G70" i="50" s="1"/>
  <c r="H70" i="50" s="1"/>
  <c r="O75" i="50"/>
  <c r="G75" i="50" s="1"/>
  <c r="H75" i="50" s="1"/>
  <c r="N88" i="50"/>
  <c r="G88" i="50" s="1"/>
  <c r="H88" i="50" s="1"/>
  <c r="O93" i="50"/>
  <c r="G93" i="50" s="1"/>
  <c r="H93" i="50" s="1"/>
  <c r="N99" i="50"/>
  <c r="N40" i="50"/>
  <c r="O40" i="50"/>
  <c r="N45" i="50"/>
  <c r="O90" i="50"/>
  <c r="N90" i="50"/>
  <c r="O48" i="50"/>
  <c r="N48" i="50"/>
  <c r="O66" i="50"/>
  <c r="N66" i="50"/>
  <c r="G66" i="50" s="1"/>
  <c r="H66" i="50" s="1"/>
  <c r="O84" i="50"/>
  <c r="N84" i="50"/>
  <c r="O102" i="50"/>
  <c r="N102" i="50"/>
  <c r="N106" i="50"/>
  <c r="G106" i="50" s="1"/>
  <c r="H106" i="50" s="1"/>
  <c r="O110" i="50"/>
  <c r="G110" i="50" s="1"/>
  <c r="H110" i="50" s="1"/>
  <c r="G79" i="50"/>
  <c r="H79" i="50" s="1"/>
  <c r="N210" i="50"/>
  <c r="G210" i="50" s="1"/>
  <c r="AE31" i="15"/>
  <c r="AI26" i="15"/>
  <c r="AJ26" i="15"/>
  <c r="AL26" i="15"/>
  <c r="AL29" i="15" s="1"/>
  <c r="AE24" i="15"/>
  <c r="AE20" i="15"/>
  <c r="AE19" i="15"/>
  <c r="AE18" i="15"/>
  <c r="AE16" i="15"/>
  <c r="AE14" i="15"/>
  <c r="AE13" i="15"/>
  <c r="AE12" i="15"/>
  <c r="AE11" i="15"/>
  <c r="AE10" i="15"/>
  <c r="AE8" i="15"/>
  <c r="AE44" i="15"/>
  <c r="AE45" i="15"/>
  <c r="B80" i="48"/>
  <c r="B81" i="48"/>
  <c r="B82" i="48" s="1"/>
  <c r="B83" i="48" s="1"/>
  <c r="B84" i="48" s="1"/>
  <c r="B85" i="48" s="1"/>
  <c r="B86" i="48" s="1"/>
  <c r="B87" i="48" s="1"/>
  <c r="B88" i="48" s="1"/>
  <c r="B89" i="48" s="1"/>
  <c r="B90" i="48" s="1"/>
  <c r="B91" i="48" s="1"/>
  <c r="B92" i="48" s="1"/>
  <c r="B93" i="48" s="1"/>
  <c r="AJ29" i="15" l="1"/>
  <c r="AE33" i="15"/>
  <c r="B30" i="44"/>
  <c r="AI29" i="15"/>
  <c r="AF17" i="15"/>
  <c r="O13" i="50"/>
  <c r="H37" i="50"/>
  <c r="G44" i="50"/>
  <c r="H44" i="50" s="1"/>
  <c r="G94" i="50"/>
  <c r="H94" i="50" s="1"/>
  <c r="G202" i="50"/>
  <c r="G190" i="50"/>
  <c r="G81" i="50"/>
  <c r="H81" i="50" s="1"/>
  <c r="G80" i="50"/>
  <c r="H80" i="50" s="1"/>
  <c r="G63" i="50"/>
  <c r="H63" i="50" s="1"/>
  <c r="G102" i="50"/>
  <c r="H102" i="50" s="1"/>
  <c r="G78" i="50"/>
  <c r="H78" i="50" s="1"/>
  <c r="G196" i="50"/>
  <c r="G62" i="50"/>
  <c r="H62" i="50" s="1"/>
  <c r="G69" i="50"/>
  <c r="H69" i="50" s="1"/>
  <c r="G99" i="50"/>
  <c r="H99" i="50" s="1"/>
  <c r="G76" i="50"/>
  <c r="H76" i="50" s="1"/>
  <c r="G64" i="50"/>
  <c r="H64" i="50" s="1"/>
  <c r="G46" i="50"/>
  <c r="H46" i="50" s="1"/>
  <c r="G25" i="50"/>
  <c r="H25" i="50" s="1"/>
  <c r="G40" i="50"/>
  <c r="H40" i="50" s="1"/>
  <c r="G54" i="50"/>
  <c r="H54" i="50" s="1"/>
  <c r="G58" i="50"/>
  <c r="H58" i="50" s="1"/>
  <c r="G87" i="50"/>
  <c r="H87" i="50" s="1"/>
  <c r="G60" i="50"/>
  <c r="H60" i="50" s="1"/>
  <c r="G111" i="50"/>
  <c r="H111" i="50" s="1"/>
  <c r="G51" i="50"/>
  <c r="H51" i="50" s="1"/>
  <c r="G48" i="50"/>
  <c r="H48" i="50" s="1"/>
  <c r="G45" i="50"/>
  <c r="H45" i="50" s="1"/>
  <c r="G84" i="50"/>
  <c r="H84" i="50" s="1"/>
  <c r="G82" i="50"/>
  <c r="H82" i="50" s="1"/>
  <c r="H19" i="50"/>
  <c r="G90" i="50"/>
  <c r="H90" i="50" s="1"/>
  <c r="G72" i="50"/>
  <c r="H72" i="50" s="1"/>
  <c r="G36" i="50"/>
  <c r="H36" i="50" s="1"/>
  <c r="G96" i="50"/>
  <c r="H96" i="50" s="1"/>
  <c r="G42" i="50"/>
  <c r="H42" i="50" s="1"/>
  <c r="B34" i="50"/>
  <c r="B37" i="50" s="1"/>
  <c r="B38" i="50" s="1"/>
  <c r="B39" i="50" s="1"/>
  <c r="B40" i="50" s="1"/>
  <c r="B41" i="50" s="1"/>
  <c r="B42" i="50" s="1"/>
  <c r="B43" i="50" s="1"/>
  <c r="B44" i="50" s="1"/>
  <c r="B45" i="50" s="1"/>
  <c r="B46" i="50" s="1"/>
  <c r="B47" i="50" s="1"/>
  <c r="B48" i="50" s="1"/>
  <c r="B49" i="50" s="1"/>
  <c r="B50" i="50" s="1"/>
  <c r="B51" i="50" s="1"/>
  <c r="B52" i="50" s="1"/>
  <c r="B53" i="50" s="1"/>
  <c r="B54" i="50" s="1"/>
  <c r="B55" i="50" s="1"/>
  <c r="B56" i="50" s="1"/>
  <c r="B57" i="50" s="1"/>
  <c r="B58" i="50" s="1"/>
  <c r="B59" i="50" s="1"/>
  <c r="B60" i="50" s="1"/>
  <c r="B61" i="50" s="1"/>
  <c r="B62" i="50" s="1"/>
  <c r="B63" i="50" s="1"/>
  <c r="B64" i="50" s="1"/>
  <c r="B65" i="50" s="1"/>
  <c r="B66" i="50" s="1"/>
  <c r="B67" i="50" s="1"/>
  <c r="B68" i="50" s="1"/>
  <c r="B69" i="50" s="1"/>
  <c r="B70" i="50" s="1"/>
  <c r="B71" i="50" s="1"/>
  <c r="B72" i="50" s="1"/>
  <c r="B73" i="50" s="1"/>
  <c r="B74" i="50" s="1"/>
  <c r="B75" i="50" s="1"/>
  <c r="B76" i="50" s="1"/>
  <c r="B77" i="50" s="1"/>
  <c r="B78" i="50" s="1"/>
  <c r="B79" i="50" s="1"/>
  <c r="B80" i="50" s="1"/>
  <c r="B81" i="50" s="1"/>
  <c r="B82" i="50" s="1"/>
  <c r="B83" i="50" s="1"/>
  <c r="B84" i="50" s="1"/>
  <c r="B85" i="50" s="1"/>
  <c r="B86" i="50" s="1"/>
  <c r="B87" i="50" s="1"/>
  <c r="B88" i="50" s="1"/>
  <c r="B89" i="50" s="1"/>
  <c r="B90" i="50" s="1"/>
  <c r="B91" i="50" s="1"/>
  <c r="B92" i="50" s="1"/>
  <c r="B93" i="50" s="1"/>
  <c r="B94" i="50" s="1"/>
  <c r="B95" i="50" s="1"/>
  <c r="B96" i="50" s="1"/>
  <c r="B97" i="50" s="1"/>
  <c r="B98" i="50" s="1"/>
  <c r="B99" i="50" s="1"/>
  <c r="B100" i="50" s="1"/>
  <c r="B101" i="50" s="1"/>
  <c r="B102" i="50" s="1"/>
  <c r="B103" i="50" s="1"/>
  <c r="B104" i="50" s="1"/>
  <c r="B105" i="50" s="1"/>
  <c r="B36" i="50"/>
  <c r="E138" i="49"/>
  <c r="O11" i="49" s="1"/>
  <c r="P136" i="49"/>
  <c r="M136" i="49"/>
  <c r="P135" i="49"/>
  <c r="M135" i="49"/>
  <c r="O135" i="49" s="1"/>
  <c r="P134" i="49"/>
  <c r="N134" i="49"/>
  <c r="M134" i="49"/>
  <c r="P133" i="49"/>
  <c r="O133" i="49"/>
  <c r="M133" i="49"/>
  <c r="N133" i="49" s="1"/>
  <c r="G133" i="49" s="1"/>
  <c r="P132" i="49"/>
  <c r="M132" i="49"/>
  <c r="P131" i="49"/>
  <c r="O131" i="49"/>
  <c r="M131" i="49"/>
  <c r="N131" i="49" s="1"/>
  <c r="G131" i="49" s="1"/>
  <c r="P130" i="49"/>
  <c r="N130" i="49"/>
  <c r="M130" i="49"/>
  <c r="P129" i="49"/>
  <c r="O129" i="49"/>
  <c r="M129" i="49"/>
  <c r="N129" i="49" s="1"/>
  <c r="G129" i="49" s="1"/>
  <c r="P128" i="49"/>
  <c r="M128" i="49"/>
  <c r="P127" i="49"/>
  <c r="M127" i="49"/>
  <c r="N127" i="49" s="1"/>
  <c r="P126" i="49"/>
  <c r="M126" i="49"/>
  <c r="N126" i="49" s="1"/>
  <c r="P125" i="49"/>
  <c r="M125" i="49"/>
  <c r="N125" i="49" s="1"/>
  <c r="P124" i="49"/>
  <c r="M124" i="49"/>
  <c r="P123" i="49"/>
  <c r="M123" i="49"/>
  <c r="N123" i="49" s="1"/>
  <c r="P122" i="49"/>
  <c r="M122" i="49"/>
  <c r="N122" i="49" s="1"/>
  <c r="P121" i="49"/>
  <c r="M121" i="49"/>
  <c r="N121" i="49" s="1"/>
  <c r="P120" i="49"/>
  <c r="M120" i="49"/>
  <c r="P119" i="49"/>
  <c r="O119" i="49"/>
  <c r="M119" i="49"/>
  <c r="N119" i="49" s="1"/>
  <c r="P118" i="49"/>
  <c r="M118" i="49"/>
  <c r="N118" i="49" s="1"/>
  <c r="P117" i="49"/>
  <c r="M117" i="49"/>
  <c r="N117" i="49" s="1"/>
  <c r="P116" i="49"/>
  <c r="M116" i="49"/>
  <c r="P115" i="49"/>
  <c r="M115" i="49"/>
  <c r="N115" i="49" s="1"/>
  <c r="P114" i="49"/>
  <c r="M114" i="49"/>
  <c r="N114" i="49" s="1"/>
  <c r="P113" i="49"/>
  <c r="M113" i="49"/>
  <c r="N113" i="49" s="1"/>
  <c r="P112" i="49"/>
  <c r="M112" i="49"/>
  <c r="P111" i="49"/>
  <c r="M111" i="49"/>
  <c r="O111" i="49" s="1"/>
  <c r="P110" i="49"/>
  <c r="M110" i="49"/>
  <c r="N110" i="49" s="1"/>
  <c r="P109" i="49"/>
  <c r="M109" i="49"/>
  <c r="O109" i="49" s="1"/>
  <c r="P108" i="49"/>
  <c r="M108" i="49"/>
  <c r="N108" i="49" s="1"/>
  <c r="P107" i="49"/>
  <c r="M107" i="49"/>
  <c r="P106" i="49"/>
  <c r="M106" i="49"/>
  <c r="N106" i="49" s="1"/>
  <c r="P105" i="49"/>
  <c r="M105" i="49"/>
  <c r="O105" i="49" s="1"/>
  <c r="P104" i="49"/>
  <c r="M104" i="49"/>
  <c r="P103" i="49"/>
  <c r="M103" i="49"/>
  <c r="O103" i="49" s="1"/>
  <c r="P102" i="49"/>
  <c r="M102" i="49"/>
  <c r="N102" i="49" s="1"/>
  <c r="P101" i="49"/>
  <c r="O101" i="49"/>
  <c r="M101" i="49"/>
  <c r="N101" i="49" s="1"/>
  <c r="P100" i="49"/>
  <c r="M100" i="49"/>
  <c r="N100" i="49" s="1"/>
  <c r="P99" i="49"/>
  <c r="M99" i="49"/>
  <c r="P98" i="49"/>
  <c r="M98" i="49"/>
  <c r="N98" i="49" s="1"/>
  <c r="P97" i="49"/>
  <c r="M97" i="49"/>
  <c r="N97" i="49" s="1"/>
  <c r="P96" i="49"/>
  <c r="M96" i="49"/>
  <c r="P95" i="49"/>
  <c r="M95" i="49"/>
  <c r="O95" i="49" s="1"/>
  <c r="P94" i="49"/>
  <c r="M94" i="49"/>
  <c r="N94" i="49" s="1"/>
  <c r="P93" i="49"/>
  <c r="M93" i="49"/>
  <c r="O93" i="49" s="1"/>
  <c r="P92" i="49"/>
  <c r="M92" i="49"/>
  <c r="N92" i="49" s="1"/>
  <c r="P91" i="49"/>
  <c r="M91" i="49"/>
  <c r="P90" i="49"/>
  <c r="M90" i="49"/>
  <c r="N90" i="49" s="1"/>
  <c r="P89" i="49"/>
  <c r="M89" i="49"/>
  <c r="O89" i="49" s="1"/>
  <c r="P88" i="49"/>
  <c r="M88" i="49"/>
  <c r="P87" i="49"/>
  <c r="M87" i="49"/>
  <c r="O87" i="49" s="1"/>
  <c r="P86" i="49"/>
  <c r="M86" i="49"/>
  <c r="N86" i="49" s="1"/>
  <c r="P85" i="49"/>
  <c r="M85" i="49"/>
  <c r="P84" i="49"/>
  <c r="M84" i="49"/>
  <c r="N84" i="49" s="1"/>
  <c r="P83" i="49"/>
  <c r="M83" i="49"/>
  <c r="P82" i="49"/>
  <c r="M82" i="49"/>
  <c r="N82" i="49" s="1"/>
  <c r="P81" i="49"/>
  <c r="M81" i="49"/>
  <c r="O81" i="49" s="1"/>
  <c r="P80" i="49"/>
  <c r="M80" i="49"/>
  <c r="P79" i="49"/>
  <c r="M79" i="49"/>
  <c r="O79" i="49" s="1"/>
  <c r="P78" i="49"/>
  <c r="M78" i="49"/>
  <c r="N78" i="49" s="1"/>
  <c r="P77" i="49"/>
  <c r="M77" i="49"/>
  <c r="O77" i="49" s="1"/>
  <c r="P76" i="49"/>
  <c r="M76" i="49"/>
  <c r="N76" i="49" s="1"/>
  <c r="P75" i="49"/>
  <c r="M75" i="49"/>
  <c r="P74" i="49"/>
  <c r="M74" i="49"/>
  <c r="N74" i="49" s="1"/>
  <c r="P73" i="49"/>
  <c r="O73" i="49"/>
  <c r="N73" i="49"/>
  <c r="M73" i="49"/>
  <c r="P72" i="49"/>
  <c r="M72" i="49"/>
  <c r="P71" i="49"/>
  <c r="M71" i="49"/>
  <c r="O71" i="49" s="1"/>
  <c r="P70" i="49"/>
  <c r="M70" i="49"/>
  <c r="N70" i="49" s="1"/>
  <c r="P69" i="49"/>
  <c r="M69" i="49"/>
  <c r="N69" i="49" s="1"/>
  <c r="P68" i="49"/>
  <c r="M68" i="49"/>
  <c r="N68" i="49" s="1"/>
  <c r="P67" i="49"/>
  <c r="M67" i="49"/>
  <c r="P66" i="49"/>
  <c r="M66" i="49"/>
  <c r="N66" i="49" s="1"/>
  <c r="P65" i="49"/>
  <c r="M65" i="49"/>
  <c r="O65" i="49" s="1"/>
  <c r="P64" i="49"/>
  <c r="M64" i="49"/>
  <c r="P63" i="49"/>
  <c r="M63" i="49"/>
  <c r="O63" i="49" s="1"/>
  <c r="P62" i="49"/>
  <c r="M62" i="49"/>
  <c r="N62" i="49" s="1"/>
  <c r="P61" i="49"/>
  <c r="M61" i="49"/>
  <c r="O61" i="49" s="1"/>
  <c r="P60" i="49"/>
  <c r="M60" i="49"/>
  <c r="N60" i="49" s="1"/>
  <c r="P59" i="49"/>
  <c r="M59" i="49"/>
  <c r="P58" i="49"/>
  <c r="M58" i="49"/>
  <c r="N58" i="49" s="1"/>
  <c r="P57" i="49"/>
  <c r="M57" i="49"/>
  <c r="O57" i="49" s="1"/>
  <c r="P56" i="49"/>
  <c r="M56" i="49"/>
  <c r="P55" i="49"/>
  <c r="M55" i="49"/>
  <c r="O55" i="49" s="1"/>
  <c r="P54" i="49"/>
  <c r="M54" i="49"/>
  <c r="N54" i="49" s="1"/>
  <c r="P53" i="49"/>
  <c r="M53" i="49"/>
  <c r="O53" i="49" s="1"/>
  <c r="P52" i="49"/>
  <c r="M52" i="49"/>
  <c r="N52" i="49" s="1"/>
  <c r="P51" i="49"/>
  <c r="M51" i="49"/>
  <c r="P50" i="49"/>
  <c r="M50" i="49"/>
  <c r="N50" i="49" s="1"/>
  <c r="P49" i="49"/>
  <c r="O49" i="49"/>
  <c r="M49" i="49"/>
  <c r="N49" i="49" s="1"/>
  <c r="G49" i="49" s="1"/>
  <c r="H49" i="49" s="1"/>
  <c r="P48" i="49"/>
  <c r="M48" i="49"/>
  <c r="P47" i="49"/>
  <c r="M47" i="49"/>
  <c r="O47" i="49" s="1"/>
  <c r="P46" i="49"/>
  <c r="M46" i="49"/>
  <c r="N46" i="49" s="1"/>
  <c r="P45" i="49"/>
  <c r="M45" i="49"/>
  <c r="O45" i="49" s="1"/>
  <c r="P44" i="49"/>
  <c r="M44" i="49"/>
  <c r="N44" i="49" s="1"/>
  <c r="P43" i="49"/>
  <c r="M43" i="49"/>
  <c r="P42" i="49"/>
  <c r="M42" i="49"/>
  <c r="N42" i="49" s="1"/>
  <c r="P41" i="49"/>
  <c r="O41" i="49"/>
  <c r="N41" i="49"/>
  <c r="G41" i="49" s="1"/>
  <c r="H41" i="49" s="1"/>
  <c r="M41" i="49"/>
  <c r="P40" i="49"/>
  <c r="M40" i="49"/>
  <c r="N40" i="49" s="1"/>
  <c r="P39" i="49"/>
  <c r="M39" i="49"/>
  <c r="P38" i="49"/>
  <c r="O38" i="49"/>
  <c r="N38" i="49"/>
  <c r="G38" i="49" s="1"/>
  <c r="H38" i="49" s="1"/>
  <c r="M38" i="49"/>
  <c r="P37" i="49"/>
  <c r="M37" i="49"/>
  <c r="O37" i="49" s="1"/>
  <c r="P36" i="49"/>
  <c r="M36" i="49"/>
  <c r="N36" i="49" s="1"/>
  <c r="P35" i="49"/>
  <c r="M35" i="49"/>
  <c r="O35" i="49" s="1"/>
  <c r="P34" i="49"/>
  <c r="M34" i="49"/>
  <c r="N34" i="49" s="1"/>
  <c r="P33" i="49"/>
  <c r="M33" i="49"/>
  <c r="O33" i="49" s="1"/>
  <c r="P32" i="49"/>
  <c r="M32" i="49"/>
  <c r="N32" i="49" s="1"/>
  <c r="P31" i="49"/>
  <c r="M31" i="49"/>
  <c r="P30" i="49"/>
  <c r="O30" i="49"/>
  <c r="N30" i="49"/>
  <c r="M30" i="49"/>
  <c r="G30" i="49" s="1"/>
  <c r="H30" i="49" s="1"/>
  <c r="P29" i="49"/>
  <c r="M29" i="49"/>
  <c r="O29" i="49" s="1"/>
  <c r="P28" i="49"/>
  <c r="M28" i="49"/>
  <c r="N28" i="49" s="1"/>
  <c r="P27" i="49"/>
  <c r="M27" i="49"/>
  <c r="O27" i="49" s="1"/>
  <c r="P26" i="49"/>
  <c r="M26" i="49"/>
  <c r="N26" i="49" s="1"/>
  <c r="P25" i="49"/>
  <c r="M25" i="49"/>
  <c r="O25" i="49" s="1"/>
  <c r="P24" i="49"/>
  <c r="M24" i="49"/>
  <c r="N24" i="49" s="1"/>
  <c r="P23" i="49"/>
  <c r="M23" i="49"/>
  <c r="P22" i="49"/>
  <c r="M22" i="49"/>
  <c r="P21" i="49"/>
  <c r="M21" i="49"/>
  <c r="O21" i="49" s="1"/>
  <c r="P20" i="49"/>
  <c r="M20" i="49"/>
  <c r="O20" i="49" s="1"/>
  <c r="P19" i="49"/>
  <c r="M19" i="49"/>
  <c r="O19" i="49" s="1"/>
  <c r="B19" i="49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N12" i="49"/>
  <c r="N11" i="49"/>
  <c r="N10" i="49"/>
  <c r="N13" i="49" s="1"/>
  <c r="N9" i="49"/>
  <c r="AE39" i="15"/>
  <c r="AE55" i="15"/>
  <c r="P112" i="48"/>
  <c r="M112" i="48"/>
  <c r="O112" i="48" s="1"/>
  <c r="P111" i="48"/>
  <c r="M111" i="48"/>
  <c r="N111" i="48" s="1"/>
  <c r="P110" i="48"/>
  <c r="O110" i="48"/>
  <c r="N110" i="48"/>
  <c r="M110" i="48"/>
  <c r="P109" i="48"/>
  <c r="M109" i="48"/>
  <c r="O109" i="48" s="1"/>
  <c r="P108" i="48"/>
  <c r="M108" i="48"/>
  <c r="P107" i="48"/>
  <c r="M107" i="48"/>
  <c r="N107" i="48" s="1"/>
  <c r="P106" i="48"/>
  <c r="M106" i="48"/>
  <c r="O106" i="48" s="1"/>
  <c r="AF15" i="15" l="1"/>
  <c r="AF9" i="15"/>
  <c r="AF25" i="15"/>
  <c r="G212" i="50"/>
  <c r="D12" i="50" s="1"/>
  <c r="D6" i="50"/>
  <c r="D10" i="50"/>
  <c r="D7" i="50"/>
  <c r="D9" i="50"/>
  <c r="B106" i="50"/>
  <c r="B107" i="50" s="1"/>
  <c r="B108" i="50" s="1"/>
  <c r="B109" i="50" s="1"/>
  <c r="B110" i="50" s="1"/>
  <c r="B111" i="50" s="1"/>
  <c r="B112" i="50" s="1"/>
  <c r="B113" i="50" s="1"/>
  <c r="D11" i="50"/>
  <c r="D5" i="50"/>
  <c r="D8" i="50"/>
  <c r="O94" i="49"/>
  <c r="G94" i="49" s="1"/>
  <c r="H94" i="49" s="1"/>
  <c r="O97" i="49"/>
  <c r="N77" i="49"/>
  <c r="O22" i="49"/>
  <c r="N22" i="49"/>
  <c r="G22" i="49" s="1"/>
  <c r="H22" i="49" s="1"/>
  <c r="N19" i="49"/>
  <c r="G19" i="49"/>
  <c r="H19" i="49" s="1"/>
  <c r="N20" i="49"/>
  <c r="G20" i="49"/>
  <c r="H20" i="49" s="1"/>
  <c r="O102" i="49"/>
  <c r="G102" i="49" s="1"/>
  <c r="H102" i="49" s="1"/>
  <c r="N109" i="49"/>
  <c r="G109" i="49" s="1"/>
  <c r="H109" i="49" s="1"/>
  <c r="O98" i="49"/>
  <c r="G98" i="49" s="1"/>
  <c r="H98" i="49" s="1"/>
  <c r="N105" i="49"/>
  <c r="G105" i="49" s="1"/>
  <c r="H105" i="49" s="1"/>
  <c r="O110" i="49"/>
  <c r="G110" i="49" s="1"/>
  <c r="H110" i="49" s="1"/>
  <c r="O82" i="49"/>
  <c r="G82" i="49" s="1"/>
  <c r="H82" i="49" s="1"/>
  <c r="N81" i="49"/>
  <c r="G81" i="49" s="1"/>
  <c r="H81" i="49" s="1"/>
  <c r="G77" i="49"/>
  <c r="H77" i="49" s="1"/>
  <c r="O74" i="49"/>
  <c r="G74" i="49" s="1"/>
  <c r="H74" i="49" s="1"/>
  <c r="O70" i="49"/>
  <c r="O69" i="49"/>
  <c r="G69" i="49" s="1"/>
  <c r="H69" i="49" s="1"/>
  <c r="O62" i="49"/>
  <c r="G62" i="49"/>
  <c r="H62" i="49" s="1"/>
  <c r="O50" i="49"/>
  <c r="O42" i="49"/>
  <c r="O9" i="49"/>
  <c r="O12" i="49"/>
  <c r="O10" i="49"/>
  <c r="O125" i="49"/>
  <c r="O123" i="49"/>
  <c r="O113" i="49"/>
  <c r="G113" i="49" s="1"/>
  <c r="O117" i="49"/>
  <c r="G117" i="49" s="1"/>
  <c r="G123" i="49"/>
  <c r="O115" i="49"/>
  <c r="G115" i="49" s="1"/>
  <c r="O121" i="49"/>
  <c r="G121" i="49" s="1"/>
  <c r="G127" i="49"/>
  <c r="O127" i="49"/>
  <c r="G119" i="49"/>
  <c r="G125" i="49"/>
  <c r="N25" i="49"/>
  <c r="G25" i="49" s="1"/>
  <c r="H25" i="49" s="1"/>
  <c r="N33" i="49"/>
  <c r="G33" i="49" s="1"/>
  <c r="O46" i="49"/>
  <c r="N57" i="49"/>
  <c r="G57" i="49" s="1"/>
  <c r="H57" i="49" s="1"/>
  <c r="N85" i="49"/>
  <c r="O90" i="49"/>
  <c r="G90" i="49" s="1"/>
  <c r="H90" i="49" s="1"/>
  <c r="G101" i="49"/>
  <c r="H101" i="49" s="1"/>
  <c r="O54" i="49"/>
  <c r="G54" i="49" s="1"/>
  <c r="H54" i="49" s="1"/>
  <c r="N65" i="49"/>
  <c r="G65" i="49" s="1"/>
  <c r="H65" i="49" s="1"/>
  <c r="G70" i="49"/>
  <c r="H70" i="49" s="1"/>
  <c r="O85" i="49"/>
  <c r="N93" i="49"/>
  <c r="G93" i="49" s="1"/>
  <c r="H93" i="49" s="1"/>
  <c r="G46" i="49"/>
  <c r="H46" i="49" s="1"/>
  <c r="G42" i="49"/>
  <c r="H42" i="49" s="1"/>
  <c r="G45" i="49"/>
  <c r="H45" i="49" s="1"/>
  <c r="G53" i="49"/>
  <c r="H53" i="49" s="1"/>
  <c r="G73" i="49"/>
  <c r="H73" i="49" s="1"/>
  <c r="O106" i="49"/>
  <c r="G106" i="49" s="1"/>
  <c r="H106" i="49" s="1"/>
  <c r="O26" i="49"/>
  <c r="G26" i="49" s="1"/>
  <c r="H26" i="49" s="1"/>
  <c r="O34" i="49"/>
  <c r="G34" i="49" s="1"/>
  <c r="N45" i="49"/>
  <c r="N53" i="49"/>
  <c r="O58" i="49"/>
  <c r="G58" i="49" s="1"/>
  <c r="H58" i="49" s="1"/>
  <c r="G66" i="49"/>
  <c r="H66" i="49" s="1"/>
  <c r="O78" i="49"/>
  <c r="G78" i="49" s="1"/>
  <c r="H78" i="49" s="1"/>
  <c r="N89" i="49"/>
  <c r="G89" i="49" s="1"/>
  <c r="H89" i="49" s="1"/>
  <c r="N61" i="49"/>
  <c r="G61" i="49" s="1"/>
  <c r="H61" i="49" s="1"/>
  <c r="O66" i="49"/>
  <c r="O86" i="49"/>
  <c r="G86" i="49" s="1"/>
  <c r="H86" i="49" s="1"/>
  <c r="G97" i="49"/>
  <c r="H97" i="49" s="1"/>
  <c r="B33" i="49"/>
  <c r="B35" i="49"/>
  <c r="O31" i="49"/>
  <c r="N31" i="49"/>
  <c r="N116" i="49"/>
  <c r="O116" i="49"/>
  <c r="O124" i="49"/>
  <c r="N124" i="49"/>
  <c r="O132" i="49"/>
  <c r="N132" i="49"/>
  <c r="G132" i="49" s="1"/>
  <c r="N80" i="49"/>
  <c r="O80" i="49"/>
  <c r="G80" i="49"/>
  <c r="H80" i="49" s="1"/>
  <c r="O104" i="49"/>
  <c r="N104" i="49"/>
  <c r="O40" i="49"/>
  <c r="G40" i="49"/>
  <c r="H40" i="49" s="1"/>
  <c r="O56" i="49"/>
  <c r="N56" i="49"/>
  <c r="O32" i="49"/>
  <c r="G32" i="49" s="1"/>
  <c r="H32" i="49" s="1"/>
  <c r="G50" i="49"/>
  <c r="H50" i="49" s="1"/>
  <c r="N64" i="49"/>
  <c r="O64" i="49"/>
  <c r="O48" i="49"/>
  <c r="G48" i="49"/>
  <c r="H48" i="49" s="1"/>
  <c r="N88" i="49"/>
  <c r="O88" i="49"/>
  <c r="O136" i="49"/>
  <c r="N136" i="49"/>
  <c r="G136" i="49"/>
  <c r="N96" i="49"/>
  <c r="O96" i="49"/>
  <c r="N48" i="49"/>
  <c r="N112" i="49"/>
  <c r="O112" i="49"/>
  <c r="N120" i="49"/>
  <c r="G120" i="49" s="1"/>
  <c r="O120" i="49"/>
  <c r="O128" i="49"/>
  <c r="N128" i="49"/>
  <c r="G128" i="49" s="1"/>
  <c r="N23" i="49"/>
  <c r="O23" i="49"/>
  <c r="O24" i="49"/>
  <c r="G24" i="49"/>
  <c r="H24" i="49" s="1"/>
  <c r="O39" i="49"/>
  <c r="N39" i="49"/>
  <c r="G39" i="49" s="1"/>
  <c r="H39" i="49" s="1"/>
  <c r="N72" i="49"/>
  <c r="G72" i="49" s="1"/>
  <c r="H72" i="49" s="1"/>
  <c r="O72" i="49"/>
  <c r="N27" i="49"/>
  <c r="G27" i="49" s="1"/>
  <c r="H27" i="49" s="1"/>
  <c r="O28" i="49"/>
  <c r="G28" i="49" s="1"/>
  <c r="H28" i="49" s="1"/>
  <c r="N35" i="49"/>
  <c r="G35" i="49" s="1"/>
  <c r="H35" i="49" s="1"/>
  <c r="O36" i="49"/>
  <c r="G36" i="49" s="1"/>
  <c r="H36" i="49" s="1"/>
  <c r="N43" i="49"/>
  <c r="O44" i="49"/>
  <c r="G44" i="49" s="1"/>
  <c r="H44" i="49" s="1"/>
  <c r="N51" i="49"/>
  <c r="O52" i="49"/>
  <c r="G52" i="49" s="1"/>
  <c r="H52" i="49" s="1"/>
  <c r="N59" i="49"/>
  <c r="G59" i="49" s="1"/>
  <c r="H59" i="49" s="1"/>
  <c r="O60" i="49"/>
  <c r="G60" i="49" s="1"/>
  <c r="H60" i="49" s="1"/>
  <c r="N67" i="49"/>
  <c r="G67" i="49" s="1"/>
  <c r="H67" i="49" s="1"/>
  <c r="O68" i="49"/>
  <c r="G68" i="49" s="1"/>
  <c r="H68" i="49" s="1"/>
  <c r="N75" i="49"/>
  <c r="G75" i="49" s="1"/>
  <c r="H75" i="49" s="1"/>
  <c r="O76" i="49"/>
  <c r="G76" i="49" s="1"/>
  <c r="H76" i="49" s="1"/>
  <c r="N83" i="49"/>
  <c r="O84" i="49"/>
  <c r="G84" i="49" s="1"/>
  <c r="H84" i="49" s="1"/>
  <c r="N91" i="49"/>
  <c r="O92" i="49"/>
  <c r="G92" i="49" s="1"/>
  <c r="H92" i="49" s="1"/>
  <c r="N99" i="49"/>
  <c r="O100" i="49"/>
  <c r="G100" i="49" s="1"/>
  <c r="H100" i="49" s="1"/>
  <c r="N107" i="49"/>
  <c r="O108" i="49"/>
  <c r="G108" i="49" s="1"/>
  <c r="H108" i="49" s="1"/>
  <c r="O114" i="49"/>
  <c r="G114" i="49" s="1"/>
  <c r="O118" i="49"/>
  <c r="G118" i="49" s="1"/>
  <c r="O122" i="49"/>
  <c r="G122" i="49" s="1"/>
  <c r="O126" i="49"/>
  <c r="G126" i="49" s="1"/>
  <c r="O130" i="49"/>
  <c r="G130" i="49" s="1"/>
  <c r="O134" i="49"/>
  <c r="G134" i="49" s="1"/>
  <c r="O43" i="49"/>
  <c r="O51" i="49"/>
  <c r="O59" i="49"/>
  <c r="G63" i="49"/>
  <c r="H63" i="49" s="1"/>
  <c r="O67" i="49"/>
  <c r="G71" i="49"/>
  <c r="H71" i="49" s="1"/>
  <c r="O75" i="49"/>
  <c r="O83" i="49"/>
  <c r="O91" i="49"/>
  <c r="O99" i="49"/>
  <c r="O107" i="49"/>
  <c r="N47" i="49"/>
  <c r="G47" i="49" s="1"/>
  <c r="H47" i="49" s="1"/>
  <c r="N55" i="49"/>
  <c r="G55" i="49" s="1"/>
  <c r="H55" i="49" s="1"/>
  <c r="N63" i="49"/>
  <c r="N71" i="49"/>
  <c r="N79" i="49"/>
  <c r="G79" i="49" s="1"/>
  <c r="H79" i="49" s="1"/>
  <c r="N87" i="49"/>
  <c r="G87" i="49" s="1"/>
  <c r="H87" i="49" s="1"/>
  <c r="N95" i="49"/>
  <c r="G95" i="49" s="1"/>
  <c r="H95" i="49" s="1"/>
  <c r="N103" i="49"/>
  <c r="G103" i="49" s="1"/>
  <c r="H103" i="49" s="1"/>
  <c r="N111" i="49"/>
  <c r="G111" i="49" s="1"/>
  <c r="H111" i="49" s="1"/>
  <c r="N135" i="49"/>
  <c r="G135" i="49" s="1"/>
  <c r="N21" i="49"/>
  <c r="G21" i="49" s="1"/>
  <c r="N29" i="49"/>
  <c r="G29" i="49" s="1"/>
  <c r="H29" i="49" s="1"/>
  <c r="N37" i="49"/>
  <c r="G37" i="49" s="1"/>
  <c r="O111" i="48"/>
  <c r="G111" i="48"/>
  <c r="H111" i="48" s="1"/>
  <c r="O107" i="48"/>
  <c r="G107" i="48" s="1"/>
  <c r="H107" i="48" s="1"/>
  <c r="G110" i="48"/>
  <c r="H110" i="48" s="1"/>
  <c r="N109" i="48"/>
  <c r="G109" i="48" s="1"/>
  <c r="H109" i="48" s="1"/>
  <c r="N108" i="48"/>
  <c r="O108" i="48"/>
  <c r="N106" i="48"/>
  <c r="G106" i="48" s="1"/>
  <c r="H106" i="48" s="1"/>
  <c r="N112" i="48"/>
  <c r="G112" i="48" s="1"/>
  <c r="H112" i="48" s="1"/>
  <c r="AF26" i="15" l="1"/>
  <c r="B114" i="50"/>
  <c r="B115" i="50" s="1"/>
  <c r="B116" i="50" s="1"/>
  <c r="B117" i="50" s="1"/>
  <c r="B118" i="50" s="1"/>
  <c r="B119" i="50" s="1"/>
  <c r="B120" i="50" s="1"/>
  <c r="B121" i="50" s="1"/>
  <c r="B122" i="50" s="1"/>
  <c r="B123" i="50" s="1"/>
  <c r="B124" i="50" s="1"/>
  <c r="B125" i="50" s="1"/>
  <c r="B126" i="50" s="1"/>
  <c r="B127" i="50" s="1"/>
  <c r="B128" i="50" s="1"/>
  <c r="B129" i="50" s="1"/>
  <c r="B130" i="50" s="1"/>
  <c r="B131" i="50" s="1"/>
  <c r="B132" i="50" s="1"/>
  <c r="B133" i="50" s="1"/>
  <c r="B134" i="50" s="1"/>
  <c r="B135" i="50" s="1"/>
  <c r="B136" i="50" s="1"/>
  <c r="B137" i="50" s="1"/>
  <c r="B138" i="50" s="1"/>
  <c r="B139" i="50" s="1"/>
  <c r="B140" i="50" s="1"/>
  <c r="B141" i="50" s="1"/>
  <c r="B142" i="50" s="1"/>
  <c r="B143" i="50" s="1"/>
  <c r="B144" i="50" s="1"/>
  <c r="B145" i="50" s="1"/>
  <c r="B146" i="50" s="1"/>
  <c r="B147" i="50" s="1"/>
  <c r="B148" i="50" s="1"/>
  <c r="B149" i="50" s="1"/>
  <c r="B150" i="50" s="1"/>
  <c r="B151" i="50" s="1"/>
  <c r="B152" i="50" s="1"/>
  <c r="B153" i="50" s="1"/>
  <c r="B154" i="50" s="1"/>
  <c r="B155" i="50" s="1"/>
  <c r="B156" i="50" s="1"/>
  <c r="B157" i="50" s="1"/>
  <c r="B158" i="50" s="1"/>
  <c r="B159" i="50" s="1"/>
  <c r="B160" i="50" s="1"/>
  <c r="B161" i="50" s="1"/>
  <c r="B162" i="50" s="1"/>
  <c r="B163" i="50" s="1"/>
  <c r="B164" i="50" s="1"/>
  <c r="B165" i="50" s="1"/>
  <c r="B166" i="50" s="1"/>
  <c r="B167" i="50" s="1"/>
  <c r="B168" i="50" s="1"/>
  <c r="B169" i="50" s="1"/>
  <c r="B170" i="50" s="1"/>
  <c r="B171" i="50" s="1"/>
  <c r="B172" i="50" s="1"/>
  <c r="B173" i="50" s="1"/>
  <c r="B174" i="50" s="1"/>
  <c r="B175" i="50" s="1"/>
  <c r="B176" i="50" s="1"/>
  <c r="B177" i="50" s="1"/>
  <c r="B178" i="50" s="1"/>
  <c r="B179" i="50" s="1"/>
  <c r="B180" i="50" s="1"/>
  <c r="B181" i="50" s="1"/>
  <c r="B182" i="50" s="1"/>
  <c r="B183" i="50" s="1"/>
  <c r="B184" i="50" s="1"/>
  <c r="B185" i="50" s="1"/>
  <c r="B186" i="50" s="1"/>
  <c r="B187" i="50" s="1"/>
  <c r="B188" i="50" s="1"/>
  <c r="B189" i="50" s="1"/>
  <c r="B190" i="50" s="1"/>
  <c r="B191" i="50" s="1"/>
  <c r="B192" i="50" s="1"/>
  <c r="B193" i="50" s="1"/>
  <c r="B194" i="50" s="1"/>
  <c r="B195" i="50" s="1"/>
  <c r="B196" i="50" s="1"/>
  <c r="B197" i="50" s="1"/>
  <c r="B198" i="50" s="1"/>
  <c r="B199" i="50" s="1"/>
  <c r="B200" i="50" s="1"/>
  <c r="B201" i="50" s="1"/>
  <c r="B202" i="50" s="1"/>
  <c r="B203" i="50" s="1"/>
  <c r="B204" i="50" s="1"/>
  <c r="B205" i="50" s="1"/>
  <c r="B206" i="50" s="1"/>
  <c r="B207" i="50" s="1"/>
  <c r="B208" i="50" s="1"/>
  <c r="B209" i="50" s="1"/>
  <c r="B210" i="50" s="1"/>
  <c r="G96" i="49"/>
  <c r="H96" i="49" s="1"/>
  <c r="G112" i="49"/>
  <c r="H112" i="49" s="1"/>
  <c r="G91" i="49"/>
  <c r="H91" i="49" s="1"/>
  <c r="G85" i="49"/>
  <c r="H85" i="49" s="1"/>
  <c r="AE21" i="15"/>
  <c r="G116" i="49"/>
  <c r="H34" i="49"/>
  <c r="AE15" i="15"/>
  <c r="H33" i="49"/>
  <c r="AE17" i="15"/>
  <c r="AE9" i="15"/>
  <c r="G88" i="49"/>
  <c r="H88" i="49" s="1"/>
  <c r="G99" i="49"/>
  <c r="H99" i="49" s="1"/>
  <c r="G104" i="49"/>
  <c r="H104" i="49" s="1"/>
  <c r="H37" i="49"/>
  <c r="O13" i="49"/>
  <c r="G124" i="49"/>
  <c r="G64" i="49"/>
  <c r="H64" i="49" s="1"/>
  <c r="G31" i="49"/>
  <c r="H31" i="49" s="1"/>
  <c r="G23" i="49"/>
  <c r="H23" i="49" s="1"/>
  <c r="G56" i="49"/>
  <c r="H56" i="49" s="1"/>
  <c r="G43" i="49"/>
  <c r="H43" i="49" s="1"/>
  <c r="G51" i="49"/>
  <c r="H51" i="49" s="1"/>
  <c r="G83" i="49"/>
  <c r="H83" i="49" s="1"/>
  <c r="G107" i="49"/>
  <c r="H107" i="49" s="1"/>
  <c r="D11" i="49"/>
  <c r="H21" i="49"/>
  <c r="D5" i="49"/>
  <c r="D6" i="49"/>
  <c r="D8" i="49"/>
  <c r="B34" i="49"/>
  <c r="B37" i="49" s="1"/>
  <c r="B38" i="49" s="1"/>
  <c r="B39" i="49" s="1"/>
  <c r="B40" i="49" s="1"/>
  <c r="B41" i="49" s="1"/>
  <c r="B42" i="49" s="1"/>
  <c r="B43" i="49" s="1"/>
  <c r="B44" i="49" s="1"/>
  <c r="B45" i="49" s="1"/>
  <c r="B46" i="49" s="1"/>
  <c r="B47" i="49" s="1"/>
  <c r="B48" i="49" s="1"/>
  <c r="B49" i="49" s="1"/>
  <c r="B50" i="49" s="1"/>
  <c r="B51" i="49" s="1"/>
  <c r="B52" i="49" s="1"/>
  <c r="B53" i="49" s="1"/>
  <c r="B54" i="49" s="1"/>
  <c r="B55" i="49" s="1"/>
  <c r="B56" i="49" s="1"/>
  <c r="B57" i="49" s="1"/>
  <c r="B58" i="49" s="1"/>
  <c r="B59" i="49" s="1"/>
  <c r="B60" i="49" s="1"/>
  <c r="B61" i="49" s="1"/>
  <c r="B62" i="49" s="1"/>
  <c r="B63" i="49" s="1"/>
  <c r="B64" i="49" s="1"/>
  <c r="B65" i="49" s="1"/>
  <c r="B66" i="49" s="1"/>
  <c r="B67" i="49" s="1"/>
  <c r="B68" i="49" s="1"/>
  <c r="B69" i="49" s="1"/>
  <c r="B70" i="49" s="1"/>
  <c r="B71" i="49" s="1"/>
  <c r="B72" i="49" s="1"/>
  <c r="B73" i="49" s="1"/>
  <c r="B74" i="49" s="1"/>
  <c r="B75" i="49" s="1"/>
  <c r="B76" i="49" s="1"/>
  <c r="B77" i="49" s="1"/>
  <c r="B78" i="49" s="1"/>
  <c r="B79" i="49" s="1"/>
  <c r="B80" i="49" s="1"/>
  <c r="B81" i="49" s="1"/>
  <c r="B82" i="49" s="1"/>
  <c r="B83" i="49" s="1"/>
  <c r="B84" i="49" s="1"/>
  <c r="B85" i="49" s="1"/>
  <c r="B86" i="49" s="1"/>
  <c r="B87" i="49" s="1"/>
  <c r="B88" i="49" s="1"/>
  <c r="B89" i="49" s="1"/>
  <c r="B90" i="49" s="1"/>
  <c r="B91" i="49" s="1"/>
  <c r="B92" i="49" s="1"/>
  <c r="B93" i="49" s="1"/>
  <c r="B94" i="49" s="1"/>
  <c r="B95" i="49" s="1"/>
  <c r="B96" i="49" s="1"/>
  <c r="B97" i="49" s="1"/>
  <c r="B98" i="49" s="1"/>
  <c r="B99" i="49" s="1"/>
  <c r="B100" i="49" s="1"/>
  <c r="B101" i="49" s="1"/>
  <c r="B102" i="49" s="1"/>
  <c r="B103" i="49" s="1"/>
  <c r="B104" i="49" s="1"/>
  <c r="B105" i="49" s="1"/>
  <c r="B36" i="49"/>
  <c r="G108" i="48"/>
  <c r="H108" i="48" s="1"/>
  <c r="AF29" i="15" l="1"/>
  <c r="AF34" i="15"/>
  <c r="D10" i="49"/>
  <c r="D7" i="49"/>
  <c r="AE25" i="15"/>
  <c r="AE26" i="15" s="1"/>
  <c r="D9" i="49"/>
  <c r="G138" i="49"/>
  <c r="D12" i="49" s="1"/>
  <c r="B113" i="49"/>
  <c r="B106" i="49"/>
  <c r="B107" i="49" s="1"/>
  <c r="B108" i="49" s="1"/>
  <c r="B109" i="49" s="1"/>
  <c r="B110" i="49" s="1"/>
  <c r="B111" i="49" s="1"/>
  <c r="B112" i="49" s="1"/>
  <c r="AE38" i="15"/>
  <c r="AE52" i="15"/>
  <c r="AE34" i="15" l="1"/>
  <c r="AE29" i="15"/>
  <c r="B114" i="49"/>
  <c r="B115" i="49" s="1"/>
  <c r="B116" i="49" s="1"/>
  <c r="B117" i="49" s="1"/>
  <c r="B118" i="49" s="1"/>
  <c r="B119" i="49" s="1"/>
  <c r="B120" i="49" s="1"/>
  <c r="B121" i="49" s="1"/>
  <c r="B122" i="49" s="1"/>
  <c r="B123" i="49" s="1"/>
  <c r="B124" i="49" s="1"/>
  <c r="B125" i="49" s="1"/>
  <c r="B126" i="49" s="1"/>
  <c r="B127" i="49" s="1"/>
  <c r="B128" i="49" s="1"/>
  <c r="B129" i="49" s="1"/>
  <c r="B130" i="49" s="1"/>
  <c r="B131" i="49" s="1"/>
  <c r="B132" i="49" s="1"/>
  <c r="B133" i="49" s="1"/>
  <c r="B134" i="49" s="1"/>
  <c r="B135" i="49" s="1"/>
  <c r="B136" i="49"/>
  <c r="M99" i="48"/>
  <c r="M95" i="48"/>
  <c r="N95" i="48" s="1"/>
  <c r="P95" i="48"/>
  <c r="M96" i="48"/>
  <c r="O96" i="48" s="1"/>
  <c r="N96" i="48"/>
  <c r="G96" i="48" s="1"/>
  <c r="H96" i="48" s="1"/>
  <c r="P96" i="48"/>
  <c r="M97" i="48"/>
  <c r="N97" i="48" s="1"/>
  <c r="P97" i="48"/>
  <c r="M98" i="48"/>
  <c r="O98" i="48" s="1"/>
  <c r="N98" i="48"/>
  <c r="G98" i="48" s="1"/>
  <c r="H98" i="48" s="1"/>
  <c r="P98" i="48"/>
  <c r="N99" i="48"/>
  <c r="O99" i="48"/>
  <c r="P99" i="48"/>
  <c r="M100" i="48"/>
  <c r="O100" i="48" s="1"/>
  <c r="N100" i="48"/>
  <c r="P100" i="48"/>
  <c r="M101" i="48"/>
  <c r="N101" i="48" s="1"/>
  <c r="P101" i="48"/>
  <c r="M102" i="48"/>
  <c r="N102" i="48" s="1"/>
  <c r="P102" i="48"/>
  <c r="M103" i="48"/>
  <c r="N103" i="48" s="1"/>
  <c r="P103" i="48"/>
  <c r="M104" i="48"/>
  <c r="N104" i="48" s="1"/>
  <c r="P104" i="48"/>
  <c r="M105" i="48"/>
  <c r="N105" i="48" s="1"/>
  <c r="P105" i="48"/>
  <c r="AD39" i="15"/>
  <c r="M57" i="48"/>
  <c r="P57" i="48"/>
  <c r="M58" i="48"/>
  <c r="P58" i="48"/>
  <c r="M59" i="48"/>
  <c r="P59" i="48"/>
  <c r="M60" i="48"/>
  <c r="P60" i="48"/>
  <c r="M61" i="48"/>
  <c r="P61" i="48"/>
  <c r="M62" i="48"/>
  <c r="P62" i="48"/>
  <c r="M63" i="48"/>
  <c r="P63" i="48"/>
  <c r="M64" i="48"/>
  <c r="P64" i="48"/>
  <c r="M65" i="48"/>
  <c r="P65" i="48"/>
  <c r="M66" i="48"/>
  <c r="P66" i="48"/>
  <c r="M67" i="48"/>
  <c r="P67" i="48"/>
  <c r="M68" i="48"/>
  <c r="P68" i="48"/>
  <c r="M69" i="48"/>
  <c r="P69" i="48"/>
  <c r="M70" i="48"/>
  <c r="P70" i="48"/>
  <c r="M71" i="48"/>
  <c r="P71" i="48"/>
  <c r="M72" i="48"/>
  <c r="P72" i="48"/>
  <c r="M73" i="48"/>
  <c r="P73" i="48"/>
  <c r="M74" i="48"/>
  <c r="P74" i="48"/>
  <c r="M75" i="48"/>
  <c r="P75" i="48"/>
  <c r="M76" i="48"/>
  <c r="P76" i="48"/>
  <c r="M77" i="48"/>
  <c r="P77" i="48"/>
  <c r="M78" i="48"/>
  <c r="P78" i="48"/>
  <c r="M79" i="48"/>
  <c r="P79" i="48"/>
  <c r="AD38" i="15"/>
  <c r="AD31" i="15"/>
  <c r="D30" i="40" s="1"/>
  <c r="AD45" i="15"/>
  <c r="AD44" i="15"/>
  <c r="G99" i="48" l="1"/>
  <c r="H99" i="48" s="1"/>
  <c r="O104" i="48"/>
  <c r="O101" i="48"/>
  <c r="G104" i="48"/>
  <c r="H104" i="48" s="1"/>
  <c r="G101" i="48"/>
  <c r="H101" i="48" s="1"/>
  <c r="G100" i="48"/>
  <c r="H100" i="48" s="1"/>
  <c r="G95" i="48"/>
  <c r="H95" i="48" s="1"/>
  <c r="O102" i="48"/>
  <c r="G102" i="48" s="1"/>
  <c r="H102" i="48" s="1"/>
  <c r="O105" i="48"/>
  <c r="G105" i="48" s="1"/>
  <c r="H105" i="48" s="1"/>
  <c r="O95" i="48"/>
  <c r="O103" i="48"/>
  <c r="G103" i="48" s="1"/>
  <c r="H103" i="48" s="1"/>
  <c r="O97" i="48"/>
  <c r="G97" i="48" s="1"/>
  <c r="H97" i="48" s="1"/>
  <c r="O79" i="48"/>
  <c r="O78" i="48"/>
  <c r="O77" i="48"/>
  <c r="O76" i="48"/>
  <c r="O75" i="48"/>
  <c r="O74" i="48"/>
  <c r="O73" i="48"/>
  <c r="O72" i="48"/>
  <c r="O71" i="48"/>
  <c r="O70" i="48"/>
  <c r="O69" i="48"/>
  <c r="O68" i="48"/>
  <c r="O67" i="48"/>
  <c r="O66" i="48"/>
  <c r="O65" i="48"/>
  <c r="O64" i="48"/>
  <c r="O63" i="48"/>
  <c r="O62" i="48"/>
  <c r="O61" i="48"/>
  <c r="O60" i="48"/>
  <c r="O59" i="48"/>
  <c r="O58" i="48"/>
  <c r="O57" i="48"/>
  <c r="N79" i="48"/>
  <c r="G79" i="48" s="1"/>
  <c r="H79" i="48" s="1"/>
  <c r="N78" i="48"/>
  <c r="G78" i="48" s="1"/>
  <c r="H78" i="48" s="1"/>
  <c r="N77" i="48"/>
  <c r="N76" i="48"/>
  <c r="N75" i="48"/>
  <c r="N74" i="48"/>
  <c r="G74" i="48" s="1"/>
  <c r="H74" i="48" s="1"/>
  <c r="N73" i="48"/>
  <c r="N72" i="48"/>
  <c r="G72" i="48" s="1"/>
  <c r="H72" i="48" s="1"/>
  <c r="N71" i="48"/>
  <c r="N70" i="48"/>
  <c r="N69" i="48"/>
  <c r="N68" i="48"/>
  <c r="N67" i="48"/>
  <c r="G67" i="48" s="1"/>
  <c r="H67" i="48" s="1"/>
  <c r="N66" i="48"/>
  <c r="G66" i="48" s="1"/>
  <c r="H66" i="48" s="1"/>
  <c r="N65" i="48"/>
  <c r="N64" i="48"/>
  <c r="N63" i="48"/>
  <c r="G63" i="48" s="1"/>
  <c r="H63" i="48" s="1"/>
  <c r="N62" i="48"/>
  <c r="N61" i="48"/>
  <c r="G61" i="48" s="1"/>
  <c r="H61" i="48" s="1"/>
  <c r="N60" i="48"/>
  <c r="N59" i="48"/>
  <c r="N58" i="48"/>
  <c r="N57" i="48"/>
  <c r="AD52" i="15"/>
  <c r="AD24" i="15"/>
  <c r="AD20" i="15"/>
  <c r="AD19" i="15"/>
  <c r="AD18" i="15"/>
  <c r="AD16" i="15"/>
  <c r="AD14" i="15"/>
  <c r="AD12" i="15"/>
  <c r="AD10" i="15"/>
  <c r="AD8" i="15"/>
  <c r="AD5" i="15"/>
  <c r="AD55" i="15"/>
  <c r="G60" i="48" l="1"/>
  <c r="H60" i="48" s="1"/>
  <c r="G59" i="48"/>
  <c r="H59" i="48" s="1"/>
  <c r="G71" i="48"/>
  <c r="H71" i="48" s="1"/>
  <c r="G77" i="48"/>
  <c r="H77" i="48" s="1"/>
  <c r="G58" i="48"/>
  <c r="H58" i="48" s="1"/>
  <c r="G70" i="48"/>
  <c r="H70" i="48" s="1"/>
  <c r="G76" i="48"/>
  <c r="H76" i="48" s="1"/>
  <c r="AD28" i="15"/>
  <c r="G73" i="48"/>
  <c r="H73" i="48" s="1"/>
  <c r="G68" i="48"/>
  <c r="H68" i="48" s="1"/>
  <c r="G64" i="48"/>
  <c r="H64" i="48" s="1"/>
  <c r="G62" i="48"/>
  <c r="H62" i="48" s="1"/>
  <c r="G57" i="48"/>
  <c r="H57" i="48" s="1"/>
  <c r="G69" i="48"/>
  <c r="H69" i="48" s="1"/>
  <c r="G75" i="48"/>
  <c r="H75" i="48" s="1"/>
  <c r="G65" i="48"/>
  <c r="H65" i="48" s="1"/>
  <c r="E138" i="48"/>
  <c r="O11" i="48" s="1"/>
  <c r="P136" i="48"/>
  <c r="M136" i="48"/>
  <c r="O136" i="48" s="1"/>
  <c r="P135" i="48"/>
  <c r="M135" i="48"/>
  <c r="N135" i="48" s="1"/>
  <c r="P134" i="48"/>
  <c r="M134" i="48"/>
  <c r="N134" i="48" s="1"/>
  <c r="P133" i="48"/>
  <c r="M133" i="48"/>
  <c r="P132" i="48"/>
  <c r="M132" i="48"/>
  <c r="O132" i="48" s="1"/>
  <c r="P131" i="48"/>
  <c r="M131" i="48"/>
  <c r="N131" i="48" s="1"/>
  <c r="P130" i="48"/>
  <c r="M130" i="48"/>
  <c r="N130" i="48" s="1"/>
  <c r="P129" i="48"/>
  <c r="M129" i="48"/>
  <c r="P128" i="48"/>
  <c r="M128" i="48"/>
  <c r="O128" i="48" s="1"/>
  <c r="P127" i="48"/>
  <c r="M127" i="48"/>
  <c r="N127" i="48" s="1"/>
  <c r="P126" i="48"/>
  <c r="M126" i="48"/>
  <c r="N126" i="48" s="1"/>
  <c r="P125" i="48"/>
  <c r="M125" i="48"/>
  <c r="P124" i="48"/>
  <c r="M124" i="48"/>
  <c r="O124" i="48" s="1"/>
  <c r="P123" i="48"/>
  <c r="M123" i="48"/>
  <c r="N123" i="48" s="1"/>
  <c r="P122" i="48"/>
  <c r="M122" i="48"/>
  <c r="N122" i="48" s="1"/>
  <c r="P121" i="48"/>
  <c r="M121" i="48"/>
  <c r="P120" i="48"/>
  <c r="M120" i="48"/>
  <c r="O120" i="48" s="1"/>
  <c r="P119" i="48"/>
  <c r="M119" i="48"/>
  <c r="N119" i="48" s="1"/>
  <c r="P118" i="48"/>
  <c r="M118" i="48"/>
  <c r="N118" i="48" s="1"/>
  <c r="P117" i="48"/>
  <c r="M117" i="48"/>
  <c r="P116" i="48"/>
  <c r="M116" i="48"/>
  <c r="O116" i="48" s="1"/>
  <c r="P115" i="48"/>
  <c r="M115" i="48"/>
  <c r="N115" i="48" s="1"/>
  <c r="P114" i="48"/>
  <c r="M114" i="48"/>
  <c r="N114" i="48" s="1"/>
  <c r="P113" i="48"/>
  <c r="M113" i="48"/>
  <c r="P94" i="48"/>
  <c r="M94" i="48"/>
  <c r="O94" i="48" s="1"/>
  <c r="P56" i="48"/>
  <c r="M56" i="48"/>
  <c r="O56" i="48" s="1"/>
  <c r="P55" i="48"/>
  <c r="M55" i="48"/>
  <c r="O55" i="48" s="1"/>
  <c r="P54" i="48"/>
  <c r="M54" i="48"/>
  <c r="O54" i="48" s="1"/>
  <c r="P53" i="48"/>
  <c r="M53" i="48"/>
  <c r="N53" i="48" s="1"/>
  <c r="P52" i="48"/>
  <c r="M52" i="48"/>
  <c r="O52" i="48" s="1"/>
  <c r="P51" i="48"/>
  <c r="M51" i="48"/>
  <c r="N51" i="48" s="1"/>
  <c r="P50" i="48"/>
  <c r="M50" i="48"/>
  <c r="N50" i="48" s="1"/>
  <c r="P49" i="48"/>
  <c r="M49" i="48"/>
  <c r="P48" i="48"/>
  <c r="M48" i="48"/>
  <c r="O48" i="48" s="1"/>
  <c r="P47" i="48"/>
  <c r="M47" i="48"/>
  <c r="O47" i="48" s="1"/>
  <c r="P46" i="48"/>
  <c r="M46" i="48"/>
  <c r="O46" i="48" s="1"/>
  <c r="P45" i="48"/>
  <c r="M45" i="48"/>
  <c r="N45" i="48" s="1"/>
  <c r="P44" i="48"/>
  <c r="M44" i="48"/>
  <c r="O44" i="48" s="1"/>
  <c r="P43" i="48"/>
  <c r="M43" i="48"/>
  <c r="N43" i="48" s="1"/>
  <c r="P42" i="48"/>
  <c r="M42" i="48"/>
  <c r="N42" i="48" s="1"/>
  <c r="P41" i="48"/>
  <c r="M41" i="48"/>
  <c r="P40" i="48"/>
  <c r="M40" i="48"/>
  <c r="O40" i="48" s="1"/>
  <c r="P39" i="48"/>
  <c r="M39" i="48"/>
  <c r="O39" i="48" s="1"/>
  <c r="P38" i="48"/>
  <c r="M38" i="48"/>
  <c r="O38" i="48" s="1"/>
  <c r="P37" i="48"/>
  <c r="M37" i="48"/>
  <c r="N37" i="48" s="1"/>
  <c r="P36" i="48"/>
  <c r="M36" i="48"/>
  <c r="O36" i="48" s="1"/>
  <c r="P35" i="48"/>
  <c r="M35" i="48"/>
  <c r="N35" i="48" s="1"/>
  <c r="P34" i="48"/>
  <c r="M34" i="48"/>
  <c r="N34" i="48" s="1"/>
  <c r="P33" i="48"/>
  <c r="M33" i="48"/>
  <c r="P32" i="48"/>
  <c r="M32" i="48"/>
  <c r="O32" i="48" s="1"/>
  <c r="P31" i="48"/>
  <c r="M31" i="48"/>
  <c r="O31" i="48" s="1"/>
  <c r="P30" i="48"/>
  <c r="M30" i="48"/>
  <c r="O30" i="48" s="1"/>
  <c r="P29" i="48"/>
  <c r="M29" i="48"/>
  <c r="N29" i="48" s="1"/>
  <c r="P28" i="48"/>
  <c r="M28" i="48"/>
  <c r="O28" i="48" s="1"/>
  <c r="P27" i="48"/>
  <c r="M27" i="48"/>
  <c r="N27" i="48" s="1"/>
  <c r="P26" i="48"/>
  <c r="M26" i="48"/>
  <c r="N26" i="48" s="1"/>
  <c r="P25" i="48"/>
  <c r="M25" i="48"/>
  <c r="P24" i="48"/>
  <c r="M24" i="48"/>
  <c r="O24" i="48" s="1"/>
  <c r="P23" i="48"/>
  <c r="M23" i="48"/>
  <c r="O23" i="48" s="1"/>
  <c r="P22" i="48"/>
  <c r="M22" i="48"/>
  <c r="O22" i="48" s="1"/>
  <c r="P21" i="48"/>
  <c r="M21" i="48"/>
  <c r="N21" i="48" s="1"/>
  <c r="P20" i="48"/>
  <c r="M20" i="48"/>
  <c r="O20" i="48" s="1"/>
  <c r="P19" i="48"/>
  <c r="M19" i="48"/>
  <c r="N19" i="48" s="1"/>
  <c r="B19" i="48"/>
  <c r="B20" i="48" s="1"/>
  <c r="B21" i="48" s="1"/>
  <c r="B22" i="48" s="1"/>
  <c r="B23" i="48" s="1"/>
  <c r="B24" i="48" s="1"/>
  <c r="B25" i="48" s="1"/>
  <c r="B26" i="48" s="1"/>
  <c r="B27" i="48" s="1"/>
  <c r="B28" i="48" s="1"/>
  <c r="B29" i="48" s="1"/>
  <c r="B30" i="48" s="1"/>
  <c r="B31" i="48" s="1"/>
  <c r="B32" i="48" s="1"/>
  <c r="N12" i="48"/>
  <c r="N11" i="48"/>
  <c r="N10" i="48"/>
  <c r="N9" i="48"/>
  <c r="O135" i="48" l="1"/>
  <c r="N13" i="48"/>
  <c r="O134" i="48"/>
  <c r="N136" i="48"/>
  <c r="G136" i="48" s="1"/>
  <c r="O131" i="48"/>
  <c r="G131" i="48" s="1"/>
  <c r="O130" i="48"/>
  <c r="G130" i="48" s="1"/>
  <c r="N132" i="48"/>
  <c r="G132" i="48" s="1"/>
  <c r="G135" i="48"/>
  <c r="N36" i="48"/>
  <c r="G36" i="48" s="1"/>
  <c r="O12" i="48"/>
  <c r="O10" i="48"/>
  <c r="O9" i="48"/>
  <c r="O122" i="48"/>
  <c r="G122" i="48" s="1"/>
  <c r="O127" i="48"/>
  <c r="G127" i="48" s="1"/>
  <c r="O119" i="48"/>
  <c r="G119" i="48" s="1"/>
  <c r="N124" i="48"/>
  <c r="G124" i="48" s="1"/>
  <c r="O118" i="48"/>
  <c r="G118" i="48" s="1"/>
  <c r="O115" i="48"/>
  <c r="G115" i="48" s="1"/>
  <c r="N128" i="48"/>
  <c r="G128" i="48" s="1"/>
  <c r="N120" i="48"/>
  <c r="G120" i="48" s="1"/>
  <c r="O123" i="48"/>
  <c r="G123" i="48" s="1"/>
  <c r="O126" i="48"/>
  <c r="G126" i="48" s="1"/>
  <c r="O114" i="48"/>
  <c r="G114" i="48" s="1"/>
  <c r="N116" i="48"/>
  <c r="G116" i="48" s="1"/>
  <c r="N20" i="48"/>
  <c r="G20" i="48" s="1"/>
  <c r="H20" i="48" s="1"/>
  <c r="N44" i="48"/>
  <c r="G44" i="48" s="1"/>
  <c r="H44" i="48" s="1"/>
  <c r="N52" i="48"/>
  <c r="G52" i="48" s="1"/>
  <c r="H52" i="48" s="1"/>
  <c r="N28" i="48"/>
  <c r="G28" i="48" s="1"/>
  <c r="H28" i="48" s="1"/>
  <c r="N23" i="48"/>
  <c r="G23" i="48" s="1"/>
  <c r="H23" i="48" s="1"/>
  <c r="N31" i="48"/>
  <c r="G31" i="48" s="1"/>
  <c r="H31" i="48" s="1"/>
  <c r="N39" i="48"/>
  <c r="G39" i="48" s="1"/>
  <c r="H39" i="48" s="1"/>
  <c r="N47" i="48"/>
  <c r="G47" i="48" s="1"/>
  <c r="H47" i="48" s="1"/>
  <c r="N55" i="48"/>
  <c r="G55" i="48" s="1"/>
  <c r="H55" i="48" s="1"/>
  <c r="N94" i="48"/>
  <c r="G94" i="48" s="1"/>
  <c r="H94" i="48" s="1"/>
  <c r="O21" i="48"/>
  <c r="G21" i="48" s="1"/>
  <c r="H21" i="48" s="1"/>
  <c r="N24" i="48"/>
  <c r="G24" i="48" s="1"/>
  <c r="H24" i="48" s="1"/>
  <c r="O29" i="48"/>
  <c r="G29" i="48" s="1"/>
  <c r="H29" i="48" s="1"/>
  <c r="N32" i="48"/>
  <c r="G32" i="48" s="1"/>
  <c r="H32" i="48" s="1"/>
  <c r="O37" i="48"/>
  <c r="G37" i="48" s="1"/>
  <c r="N40" i="48"/>
  <c r="G40" i="48" s="1"/>
  <c r="H40" i="48" s="1"/>
  <c r="O45" i="48"/>
  <c r="G45" i="48" s="1"/>
  <c r="H45" i="48" s="1"/>
  <c r="N48" i="48"/>
  <c r="G48" i="48" s="1"/>
  <c r="H48" i="48" s="1"/>
  <c r="O53" i="48"/>
  <c r="G53" i="48" s="1"/>
  <c r="H53" i="48" s="1"/>
  <c r="N56" i="48"/>
  <c r="G56" i="48" s="1"/>
  <c r="H56" i="48" s="1"/>
  <c r="O19" i="48"/>
  <c r="G19" i="48" s="1"/>
  <c r="O27" i="48"/>
  <c r="G27" i="48" s="1"/>
  <c r="H27" i="48" s="1"/>
  <c r="O35" i="48"/>
  <c r="G35" i="48" s="1"/>
  <c r="O43" i="48"/>
  <c r="G43" i="48" s="1"/>
  <c r="H43" i="48" s="1"/>
  <c r="O51" i="48"/>
  <c r="G51" i="48" s="1"/>
  <c r="H51" i="48" s="1"/>
  <c r="B33" i="48"/>
  <c r="B35" i="48"/>
  <c r="N25" i="48"/>
  <c r="O26" i="48"/>
  <c r="G26" i="48" s="1"/>
  <c r="H26" i="48" s="1"/>
  <c r="N33" i="48"/>
  <c r="O34" i="48"/>
  <c r="G34" i="48" s="1"/>
  <c r="N41" i="48"/>
  <c r="O42" i="48"/>
  <c r="G42" i="48" s="1"/>
  <c r="H42" i="48" s="1"/>
  <c r="N49" i="48"/>
  <c r="O50" i="48"/>
  <c r="G50" i="48" s="1"/>
  <c r="H50" i="48" s="1"/>
  <c r="N113" i="48"/>
  <c r="N117" i="48"/>
  <c r="N121" i="48"/>
  <c r="N125" i="48"/>
  <c r="N129" i="48"/>
  <c r="N133" i="48"/>
  <c r="O25" i="48"/>
  <c r="O33" i="48"/>
  <c r="O41" i="48"/>
  <c r="O49" i="48"/>
  <c r="O113" i="48"/>
  <c r="O117" i="48"/>
  <c r="O121" i="48"/>
  <c r="O125" i="48"/>
  <c r="O129" i="48"/>
  <c r="O133" i="48"/>
  <c r="N22" i="48"/>
  <c r="G22" i="48" s="1"/>
  <c r="H22" i="48" s="1"/>
  <c r="N30" i="48"/>
  <c r="G30" i="48" s="1"/>
  <c r="H30" i="48" s="1"/>
  <c r="N38" i="48"/>
  <c r="G38" i="48" s="1"/>
  <c r="H38" i="48" s="1"/>
  <c r="N46" i="48"/>
  <c r="G46" i="48" s="1"/>
  <c r="H46" i="48" s="1"/>
  <c r="N54" i="48"/>
  <c r="G54" i="48" s="1"/>
  <c r="H54" i="48" s="1"/>
  <c r="G134" i="48"/>
  <c r="D35" i="47"/>
  <c r="D36" i="47" s="1"/>
  <c r="D29" i="47"/>
  <c r="C29" i="47"/>
  <c r="C35" i="47" s="1"/>
  <c r="C36" i="47" s="1"/>
  <c r="B29" i="47"/>
  <c r="B35" i="47" s="1"/>
  <c r="B36" i="47" s="1"/>
  <c r="B8" i="47"/>
  <c r="C8" i="47"/>
  <c r="C1" i="47"/>
  <c r="B1" i="47"/>
  <c r="D4" i="44"/>
  <c r="C4" i="44"/>
  <c r="B10" i="47" l="1"/>
  <c r="G41" i="48"/>
  <c r="H41" i="48" s="1"/>
  <c r="H35" i="48"/>
  <c r="AD11" i="15"/>
  <c r="H36" i="48"/>
  <c r="AD13" i="15"/>
  <c r="H37" i="48"/>
  <c r="H34" i="48"/>
  <c r="AD15" i="15"/>
  <c r="G33" i="48"/>
  <c r="O13" i="48"/>
  <c r="G133" i="48"/>
  <c r="G129" i="48"/>
  <c r="G121" i="48"/>
  <c r="G113" i="48"/>
  <c r="G125" i="48"/>
  <c r="G117" i="48"/>
  <c r="G25" i="48"/>
  <c r="H25" i="48" s="1"/>
  <c r="G49" i="48"/>
  <c r="H49" i="48" s="1"/>
  <c r="B34" i="48"/>
  <c r="B37" i="48" s="1"/>
  <c r="B38" i="48" s="1"/>
  <c r="B39" i="48" s="1"/>
  <c r="B40" i="48" s="1"/>
  <c r="B41" i="48" s="1"/>
  <c r="B42" i="48" s="1"/>
  <c r="B43" i="48" s="1"/>
  <c r="B44" i="48" s="1"/>
  <c r="B45" i="48" s="1"/>
  <c r="B46" i="48" s="1"/>
  <c r="B47" i="48" s="1"/>
  <c r="B48" i="48" s="1"/>
  <c r="B36" i="48"/>
  <c r="H19" i="48"/>
  <c r="D5" i="48"/>
  <c r="C10" i="47"/>
  <c r="D8" i="47"/>
  <c r="D10" i="47" s="1"/>
  <c r="C12" i="47" l="1"/>
  <c r="AD21" i="15"/>
  <c r="AD25" i="15"/>
  <c r="H33" i="48"/>
  <c r="AD17" i="15"/>
  <c r="AD9" i="15"/>
  <c r="D8" i="48"/>
  <c r="D11" i="48"/>
  <c r="D9" i="48"/>
  <c r="D10" i="48"/>
  <c r="D7" i="48"/>
  <c r="G138" i="48"/>
  <c r="D12" i="48" s="1"/>
  <c r="D6" i="48"/>
  <c r="B49" i="48"/>
  <c r="B50" i="48" s="1"/>
  <c r="B51" i="48" s="1"/>
  <c r="B52" i="48" s="1"/>
  <c r="B53" i="48" s="1"/>
  <c r="B54" i="48" s="1"/>
  <c r="B55" i="48" s="1"/>
  <c r="B56" i="48" s="1"/>
  <c r="AD26" i="15" l="1"/>
  <c r="B57" i="48"/>
  <c r="B58" i="48" s="1"/>
  <c r="B59" i="48" s="1"/>
  <c r="B60" i="48" s="1"/>
  <c r="B61" i="48" s="1"/>
  <c r="B62" i="48" s="1"/>
  <c r="B63" i="48" s="1"/>
  <c r="B64" i="48" s="1"/>
  <c r="B65" i="48" s="1"/>
  <c r="B66" i="48" s="1"/>
  <c r="B67" i="48" s="1"/>
  <c r="B68" i="48" s="1"/>
  <c r="B69" i="48" s="1"/>
  <c r="B70" i="48" s="1"/>
  <c r="B71" i="48" s="1"/>
  <c r="B72" i="48" s="1"/>
  <c r="B73" i="48" s="1"/>
  <c r="B74" i="48" s="1"/>
  <c r="B75" i="48" s="1"/>
  <c r="B76" i="48" s="1"/>
  <c r="B77" i="48" s="1"/>
  <c r="B78" i="48" s="1"/>
  <c r="B79" i="48" s="1"/>
  <c r="B94" i="48" s="1"/>
  <c r="B95" i="48" s="1"/>
  <c r="B96" i="48" s="1"/>
  <c r="B97" i="48" s="1"/>
  <c r="B98" i="48" s="1"/>
  <c r="B99" i="48" s="1"/>
  <c r="B100" i="48" s="1"/>
  <c r="B101" i="48" s="1"/>
  <c r="B102" i="48" s="1"/>
  <c r="B103" i="48" s="1"/>
  <c r="B104" i="48" s="1"/>
  <c r="B105" i="48" s="1"/>
  <c r="P63" i="46"/>
  <c r="M63" i="46"/>
  <c r="O63" i="46" s="1"/>
  <c r="P62" i="46"/>
  <c r="M62" i="46"/>
  <c r="N62" i="46" s="1"/>
  <c r="P61" i="46"/>
  <c r="N61" i="46"/>
  <c r="M61" i="46"/>
  <c r="O61" i="46" s="1"/>
  <c r="P60" i="46"/>
  <c r="M60" i="46"/>
  <c r="O60" i="46" s="1"/>
  <c r="P59" i="46"/>
  <c r="M59" i="46"/>
  <c r="N59" i="46" s="1"/>
  <c r="P58" i="46"/>
  <c r="M58" i="46"/>
  <c r="O58" i="46" s="1"/>
  <c r="P57" i="46"/>
  <c r="M57" i="46"/>
  <c r="N57" i="46" s="1"/>
  <c r="P56" i="46"/>
  <c r="M56" i="46"/>
  <c r="P55" i="46"/>
  <c r="O55" i="46"/>
  <c r="M55" i="46"/>
  <c r="N55" i="46" s="1"/>
  <c r="G55" i="46" s="1"/>
  <c r="H55" i="46" s="1"/>
  <c r="P54" i="46"/>
  <c r="M54" i="46"/>
  <c r="O54" i="46" s="1"/>
  <c r="P53" i="46"/>
  <c r="M53" i="46"/>
  <c r="O53" i="46" s="1"/>
  <c r="P52" i="46"/>
  <c r="M52" i="46"/>
  <c r="O52" i="46" s="1"/>
  <c r="P51" i="46"/>
  <c r="O51" i="46"/>
  <c r="M51" i="46"/>
  <c r="N51" i="46" s="1"/>
  <c r="P50" i="46"/>
  <c r="M50" i="46"/>
  <c r="O50" i="46" s="1"/>
  <c r="P49" i="46"/>
  <c r="M49" i="46"/>
  <c r="N49" i="46" s="1"/>
  <c r="P48" i="46"/>
  <c r="M48" i="46"/>
  <c r="P47" i="46"/>
  <c r="M47" i="46"/>
  <c r="O47" i="46" s="1"/>
  <c r="P46" i="46"/>
  <c r="M46" i="46"/>
  <c r="O46" i="46" s="1"/>
  <c r="P45" i="46"/>
  <c r="M45" i="46"/>
  <c r="O45" i="46" s="1"/>
  <c r="P44" i="46"/>
  <c r="M44" i="46"/>
  <c r="O44" i="46" s="1"/>
  <c r="AC31" i="15"/>
  <c r="C30" i="40" s="1"/>
  <c r="AC45" i="15"/>
  <c r="AC44" i="15"/>
  <c r="B113" i="48" l="1"/>
  <c r="B114" i="48" s="1"/>
  <c r="B115" i="48" s="1"/>
  <c r="B116" i="48" s="1"/>
  <c r="B117" i="48" s="1"/>
  <c r="B118" i="48" s="1"/>
  <c r="B119" i="48" s="1"/>
  <c r="B120" i="48" s="1"/>
  <c r="B121" i="48" s="1"/>
  <c r="B122" i="48" s="1"/>
  <c r="B123" i="48" s="1"/>
  <c r="B124" i="48" s="1"/>
  <c r="B125" i="48" s="1"/>
  <c r="B126" i="48" s="1"/>
  <c r="B127" i="48" s="1"/>
  <c r="B128" i="48" s="1"/>
  <c r="B129" i="48" s="1"/>
  <c r="B130" i="48" s="1"/>
  <c r="B131" i="48" s="1"/>
  <c r="B132" i="48" s="1"/>
  <c r="B133" i="48" s="1"/>
  <c r="B134" i="48" s="1"/>
  <c r="B135" i="48" s="1"/>
  <c r="B106" i="48"/>
  <c r="B107" i="48" s="1"/>
  <c r="B108" i="48" s="1"/>
  <c r="B109" i="48" s="1"/>
  <c r="B110" i="48" s="1"/>
  <c r="B111" i="48" s="1"/>
  <c r="B112" i="48" s="1"/>
  <c r="B136" i="48"/>
  <c r="G62" i="46"/>
  <c r="H62" i="46" s="1"/>
  <c r="O62" i="46"/>
  <c r="N47" i="46"/>
  <c r="G51" i="46"/>
  <c r="H51" i="46" s="1"/>
  <c r="N63" i="46"/>
  <c r="G61" i="46"/>
  <c r="H61" i="46" s="1"/>
  <c r="G63" i="46"/>
  <c r="H63" i="46" s="1"/>
  <c r="G47" i="46"/>
  <c r="H47" i="46" s="1"/>
  <c r="N50" i="46"/>
  <c r="G50" i="46" s="1"/>
  <c r="H50" i="46" s="1"/>
  <c r="N58" i="46"/>
  <c r="G58" i="46" s="1"/>
  <c r="H58" i="46" s="1"/>
  <c r="O59" i="46"/>
  <c r="G59" i="46" s="1"/>
  <c r="H59" i="46" s="1"/>
  <c r="N46" i="46"/>
  <c r="G46" i="46" s="1"/>
  <c r="H46" i="46" s="1"/>
  <c r="N48" i="46"/>
  <c r="O49" i="46"/>
  <c r="G49" i="46" s="1"/>
  <c r="H49" i="46" s="1"/>
  <c r="N56" i="46"/>
  <c r="O57" i="46"/>
  <c r="G57" i="46" s="1"/>
  <c r="H57" i="46" s="1"/>
  <c r="O48" i="46"/>
  <c r="O56" i="46"/>
  <c r="N54" i="46"/>
  <c r="G54" i="46" s="1"/>
  <c r="H54" i="46" s="1"/>
  <c r="N45" i="46"/>
  <c r="G45" i="46" s="1"/>
  <c r="H45" i="46" s="1"/>
  <c r="N53" i="46"/>
  <c r="G53" i="46" s="1"/>
  <c r="H53" i="46" s="1"/>
  <c r="N44" i="46"/>
  <c r="G44" i="46" s="1"/>
  <c r="H44" i="46" s="1"/>
  <c r="N52" i="46"/>
  <c r="G52" i="46" s="1"/>
  <c r="H52" i="46" s="1"/>
  <c r="N60" i="46"/>
  <c r="G60" i="46" s="1"/>
  <c r="H60" i="46" s="1"/>
  <c r="AC55" i="15"/>
  <c r="AC39" i="15"/>
  <c r="G48" i="46" l="1"/>
  <c r="H48" i="46" s="1"/>
  <c r="G56" i="46"/>
  <c r="H56" i="46" s="1"/>
  <c r="AC24" i="15"/>
  <c r="AC20" i="15"/>
  <c r="AC19" i="15"/>
  <c r="AC18" i="15"/>
  <c r="AC16" i="15"/>
  <c r="AC14" i="15"/>
  <c r="AC13" i="15"/>
  <c r="AC12" i="15"/>
  <c r="AC11" i="15"/>
  <c r="AC10" i="15"/>
  <c r="AC8" i="15"/>
  <c r="P87" i="46"/>
  <c r="M87" i="46"/>
  <c r="O87" i="46" s="1"/>
  <c r="P86" i="46"/>
  <c r="M86" i="46"/>
  <c r="N86" i="46" s="1"/>
  <c r="P85" i="46"/>
  <c r="M85" i="46"/>
  <c r="O85" i="46" s="1"/>
  <c r="P84" i="46"/>
  <c r="M84" i="46"/>
  <c r="O84" i="46" s="1"/>
  <c r="P83" i="46"/>
  <c r="M83" i="46"/>
  <c r="P82" i="46"/>
  <c r="M82" i="46"/>
  <c r="N82" i="46" s="1"/>
  <c r="P81" i="46"/>
  <c r="M81" i="46"/>
  <c r="O81" i="46" s="1"/>
  <c r="P80" i="46"/>
  <c r="M80" i="46"/>
  <c r="O80" i="46" s="1"/>
  <c r="P79" i="46"/>
  <c r="M79" i="46"/>
  <c r="O79" i="46" s="1"/>
  <c r="P78" i="46"/>
  <c r="M78" i="46"/>
  <c r="N78" i="46" s="1"/>
  <c r="P77" i="46"/>
  <c r="M77" i="46"/>
  <c r="P76" i="46"/>
  <c r="M76" i="46"/>
  <c r="N76" i="46" s="1"/>
  <c r="P75" i="46"/>
  <c r="M75" i="46"/>
  <c r="O75" i="46" s="1"/>
  <c r="P74" i="46"/>
  <c r="M74" i="46"/>
  <c r="N74" i="46" s="1"/>
  <c r="P73" i="46"/>
  <c r="M73" i="46"/>
  <c r="O73" i="46" s="1"/>
  <c r="P72" i="46"/>
  <c r="M72" i="46"/>
  <c r="N72" i="46" s="1"/>
  <c r="P71" i="46"/>
  <c r="M71" i="46"/>
  <c r="P70" i="46"/>
  <c r="M70" i="46"/>
  <c r="P69" i="46"/>
  <c r="M69" i="46"/>
  <c r="N69" i="46" s="1"/>
  <c r="P68" i="46"/>
  <c r="M68" i="46"/>
  <c r="O68" i="46" s="1"/>
  <c r="P67" i="46"/>
  <c r="M67" i="46"/>
  <c r="O67" i="46" s="1"/>
  <c r="P66" i="46"/>
  <c r="M66" i="46"/>
  <c r="O66" i="46" s="1"/>
  <c r="P65" i="46"/>
  <c r="M65" i="46"/>
  <c r="P64" i="46"/>
  <c r="M64" i="46"/>
  <c r="N64" i="46" s="1"/>
  <c r="P43" i="46"/>
  <c r="M43" i="46"/>
  <c r="N43" i="46" s="1"/>
  <c r="P42" i="46"/>
  <c r="M42" i="46"/>
  <c r="O42" i="46" s="1"/>
  <c r="P41" i="46"/>
  <c r="M41" i="46"/>
  <c r="O41" i="46" s="1"/>
  <c r="P40" i="46"/>
  <c r="M40" i="46"/>
  <c r="O40" i="46" s="1"/>
  <c r="P39" i="46"/>
  <c r="M39" i="46"/>
  <c r="P38" i="46"/>
  <c r="M38" i="46"/>
  <c r="P37" i="46"/>
  <c r="M37" i="46"/>
  <c r="O37" i="46" s="1"/>
  <c r="P36" i="46"/>
  <c r="M36" i="46"/>
  <c r="O36" i="46" s="1"/>
  <c r="P35" i="46"/>
  <c r="M35" i="46"/>
  <c r="O35" i="46" s="1"/>
  <c r="P34" i="46"/>
  <c r="M34" i="46"/>
  <c r="O34" i="46" s="1"/>
  <c r="P33" i="46"/>
  <c r="M33" i="46"/>
  <c r="E89" i="46"/>
  <c r="O9" i="46" s="1"/>
  <c r="P32" i="46"/>
  <c r="M32" i="46"/>
  <c r="O32" i="46" s="1"/>
  <c r="P31" i="46"/>
  <c r="M31" i="46"/>
  <c r="N31" i="46" s="1"/>
  <c r="P30" i="46"/>
  <c r="M30" i="46"/>
  <c r="N30" i="46" s="1"/>
  <c r="P29" i="46"/>
  <c r="M29" i="46"/>
  <c r="O29" i="46" s="1"/>
  <c r="P28" i="46"/>
  <c r="M28" i="46"/>
  <c r="P27" i="46"/>
  <c r="M27" i="46"/>
  <c r="N27" i="46" s="1"/>
  <c r="P26" i="46"/>
  <c r="M26" i="46"/>
  <c r="P25" i="46"/>
  <c r="M25" i="46"/>
  <c r="N25" i="46" s="1"/>
  <c r="P24" i="46"/>
  <c r="M24" i="46"/>
  <c r="N24" i="46" s="1"/>
  <c r="P23" i="46"/>
  <c r="M23" i="46"/>
  <c r="O23" i="46" s="1"/>
  <c r="P22" i="46"/>
  <c r="M22" i="46"/>
  <c r="P21" i="46"/>
  <c r="M21" i="46"/>
  <c r="P20" i="46"/>
  <c r="M20" i="46"/>
  <c r="N20" i="46" s="1"/>
  <c r="P19" i="46"/>
  <c r="M19" i="46"/>
  <c r="O19" i="46" s="1"/>
  <c r="B19" i="46"/>
  <c r="B20" i="46" s="1"/>
  <c r="B21" i="46" s="1"/>
  <c r="B22" i="46" s="1"/>
  <c r="B23" i="46" s="1"/>
  <c r="B24" i="46" s="1"/>
  <c r="B25" i="46" s="1"/>
  <c r="B26" i="46" s="1"/>
  <c r="B27" i="46" s="1"/>
  <c r="B28" i="46" s="1"/>
  <c r="B29" i="46" s="1"/>
  <c r="B30" i="46" s="1"/>
  <c r="B31" i="46" s="1"/>
  <c r="B32" i="46" s="1"/>
  <c r="N12" i="46"/>
  <c r="N11" i="46"/>
  <c r="N10" i="46"/>
  <c r="N9" i="46"/>
  <c r="AC38" i="15"/>
  <c r="AB38" i="15"/>
  <c r="AC52" i="15"/>
  <c r="P36" i="45"/>
  <c r="M36" i="45"/>
  <c r="O36" i="45" s="1"/>
  <c r="P35" i="45"/>
  <c r="M35" i="45"/>
  <c r="N35" i="45" s="1"/>
  <c r="F75" i="45"/>
  <c r="N37" i="46" l="1"/>
  <c r="G37" i="46" s="1"/>
  <c r="H37" i="46" s="1"/>
  <c r="N36" i="46"/>
  <c r="G36" i="46" s="1"/>
  <c r="H36" i="46" s="1"/>
  <c r="N42" i="46"/>
  <c r="G42" i="46" s="1"/>
  <c r="H42" i="46" s="1"/>
  <c r="O24" i="46"/>
  <c r="N13" i="46"/>
  <c r="O30" i="46"/>
  <c r="G30" i="46" s="1"/>
  <c r="H30" i="46" s="1"/>
  <c r="O86" i="46"/>
  <c r="G86" i="46" s="1"/>
  <c r="O74" i="46"/>
  <c r="G74" i="46" s="1"/>
  <c r="O69" i="46"/>
  <c r="G69" i="46" s="1"/>
  <c r="N75" i="46"/>
  <c r="N80" i="46"/>
  <c r="G80" i="46" s="1"/>
  <c r="G75" i="46"/>
  <c r="G24" i="46"/>
  <c r="H24" i="46" s="1"/>
  <c r="N19" i="46"/>
  <c r="G19" i="46" s="1"/>
  <c r="N87" i="46"/>
  <c r="G87" i="46" s="1"/>
  <c r="O25" i="46"/>
  <c r="G25" i="46" s="1"/>
  <c r="H25" i="46" s="1"/>
  <c r="O31" i="46"/>
  <c r="G31" i="46" s="1"/>
  <c r="H31" i="46" s="1"/>
  <c r="N35" i="46"/>
  <c r="G35" i="46" s="1"/>
  <c r="H35" i="46" s="1"/>
  <c r="N41" i="46"/>
  <c r="G41" i="46" s="1"/>
  <c r="H41" i="46" s="1"/>
  <c r="N68" i="46"/>
  <c r="G68" i="46" s="1"/>
  <c r="N81" i="46"/>
  <c r="G81" i="46" s="1"/>
  <c r="B33" i="46"/>
  <c r="B35" i="46"/>
  <c r="O70" i="46"/>
  <c r="O12" i="46"/>
  <c r="O10" i="46"/>
  <c r="O39" i="46"/>
  <c r="N39" i="46"/>
  <c r="O77" i="46"/>
  <c r="N77" i="46"/>
  <c r="O22" i="46"/>
  <c r="N22" i="46"/>
  <c r="G22" i="46" s="1"/>
  <c r="H22" i="46" s="1"/>
  <c r="O65" i="46"/>
  <c r="N65" i="46"/>
  <c r="O76" i="46"/>
  <c r="G76" i="46" s="1"/>
  <c r="O21" i="46"/>
  <c r="N26" i="46"/>
  <c r="N21" i="46"/>
  <c r="O26" i="46"/>
  <c r="O64" i="46"/>
  <c r="G64" i="46" s="1"/>
  <c r="N70" i="46"/>
  <c r="N83" i="46"/>
  <c r="O83" i="46"/>
  <c r="O20" i="46"/>
  <c r="G20" i="46" s="1"/>
  <c r="H20" i="46" s="1"/>
  <c r="O28" i="46"/>
  <c r="N28" i="46"/>
  <c r="O38" i="46"/>
  <c r="O11" i="46"/>
  <c r="O27" i="46"/>
  <c r="G27" i="46" s="1"/>
  <c r="H27" i="46" s="1"/>
  <c r="N32" i="46"/>
  <c r="G32" i="46" s="1"/>
  <c r="H32" i="46" s="1"/>
  <c r="N33" i="46"/>
  <c r="O33" i="46"/>
  <c r="N38" i="46"/>
  <c r="O43" i="46"/>
  <c r="G43" i="46" s="1"/>
  <c r="H43" i="46" s="1"/>
  <c r="O71" i="46"/>
  <c r="N71" i="46"/>
  <c r="O82" i="46"/>
  <c r="G82" i="46" s="1"/>
  <c r="N66" i="46"/>
  <c r="G66" i="46" s="1"/>
  <c r="N84" i="46"/>
  <c r="G84" i="46" s="1"/>
  <c r="N23" i="46"/>
  <c r="G23" i="46" s="1"/>
  <c r="H23" i="46" s="1"/>
  <c r="N29" i="46"/>
  <c r="G29" i="46" s="1"/>
  <c r="H29" i="46" s="1"/>
  <c r="N34" i="46"/>
  <c r="G34" i="46" s="1"/>
  <c r="N40" i="46"/>
  <c r="G40" i="46" s="1"/>
  <c r="H40" i="46" s="1"/>
  <c r="N67" i="46"/>
  <c r="G67" i="46" s="1"/>
  <c r="O72" i="46"/>
  <c r="G72" i="46" s="1"/>
  <c r="N73" i="46"/>
  <c r="G73" i="46" s="1"/>
  <c r="O78" i="46"/>
  <c r="G78" i="46" s="1"/>
  <c r="N79" i="46"/>
  <c r="G79" i="46" s="1"/>
  <c r="N85" i="46"/>
  <c r="G85" i="46" s="1"/>
  <c r="O35" i="45"/>
  <c r="G35" i="45" s="1"/>
  <c r="H35" i="45" s="1"/>
  <c r="N36" i="45"/>
  <c r="G36" i="45" s="1"/>
  <c r="H36" i="45" s="1"/>
  <c r="O13" i="46" l="1"/>
  <c r="G38" i="46"/>
  <c r="H38" i="46" s="1"/>
  <c r="G21" i="46"/>
  <c r="H21" i="46" s="1"/>
  <c r="G65" i="46"/>
  <c r="H34" i="46"/>
  <c r="AC15" i="15"/>
  <c r="G83" i="46"/>
  <c r="G28" i="46"/>
  <c r="H28" i="46" s="1"/>
  <c r="G77" i="46"/>
  <c r="AC21" i="15" s="1"/>
  <c r="G71" i="46"/>
  <c r="G70" i="46"/>
  <c r="G26" i="46"/>
  <c r="H26" i="46" s="1"/>
  <c r="H19" i="46"/>
  <c r="G39" i="46"/>
  <c r="H39" i="46" s="1"/>
  <c r="B34" i="46"/>
  <c r="B37" i="46" s="1"/>
  <c r="B36" i="46"/>
  <c r="G33" i="46"/>
  <c r="E33" i="45"/>
  <c r="AB24" i="15" s="1"/>
  <c r="AC9" i="15" l="1"/>
  <c r="AC25" i="15"/>
  <c r="H33" i="46"/>
  <c r="AC17" i="15"/>
  <c r="D6" i="46"/>
  <c r="D7" i="46"/>
  <c r="D5" i="46"/>
  <c r="B38" i="46"/>
  <c r="B39" i="46" s="1"/>
  <c r="B40" i="46" s="1"/>
  <c r="B41" i="46" s="1"/>
  <c r="B42" i="46" s="1"/>
  <c r="B43" i="46" s="1"/>
  <c r="B44" i="46" s="1"/>
  <c r="B45" i="46" s="1"/>
  <c r="B46" i="46" s="1"/>
  <c r="B47" i="46" s="1"/>
  <c r="B48" i="46" s="1"/>
  <c r="B49" i="46" s="1"/>
  <c r="B50" i="46" s="1"/>
  <c r="B51" i="46" s="1"/>
  <c r="B52" i="46" s="1"/>
  <c r="B53" i="46" s="1"/>
  <c r="B54" i="46" s="1"/>
  <c r="B55" i="46" s="1"/>
  <c r="B56" i="46" s="1"/>
  <c r="B57" i="46" s="1"/>
  <c r="B58" i="46" s="1"/>
  <c r="B59" i="46" s="1"/>
  <c r="B60" i="46" s="1"/>
  <c r="B61" i="46" s="1"/>
  <c r="B62" i="46" s="1"/>
  <c r="B63" i="46" s="1"/>
  <c r="D11" i="46"/>
  <c r="D10" i="46"/>
  <c r="D8" i="46"/>
  <c r="D9" i="46"/>
  <c r="G89" i="46"/>
  <c r="D12" i="46" s="1"/>
  <c r="N12" i="45"/>
  <c r="M38" i="45"/>
  <c r="P38" i="45"/>
  <c r="M39" i="45"/>
  <c r="N39" i="45" s="1"/>
  <c r="P39" i="45"/>
  <c r="M40" i="45"/>
  <c r="N40" i="45" s="1"/>
  <c r="P40" i="45"/>
  <c r="M41" i="45"/>
  <c r="P41" i="45"/>
  <c r="M42" i="45"/>
  <c r="N42" i="45"/>
  <c r="P42" i="45"/>
  <c r="M43" i="45"/>
  <c r="N43" i="45" s="1"/>
  <c r="P43" i="45"/>
  <c r="M44" i="45"/>
  <c r="P44" i="45"/>
  <c r="M45" i="45"/>
  <c r="P45" i="45"/>
  <c r="M46" i="45"/>
  <c r="N46" i="45" s="1"/>
  <c r="P46" i="45"/>
  <c r="M47" i="45"/>
  <c r="O47" i="45" s="1"/>
  <c r="P47" i="45"/>
  <c r="N11" i="45"/>
  <c r="N10" i="45"/>
  <c r="N9" i="45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7" i="45"/>
  <c r="P48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49" i="45"/>
  <c r="M49" i="45"/>
  <c r="O49" i="45" s="1"/>
  <c r="D35" i="44"/>
  <c r="D36" i="44" s="1"/>
  <c r="AC26" i="15" l="1"/>
  <c r="B64" i="46"/>
  <c r="N47" i="45"/>
  <c r="G47" i="45" s="1"/>
  <c r="H47" i="45" s="1"/>
  <c r="O46" i="45"/>
  <c r="G46" i="45" s="1"/>
  <c r="H46" i="45" s="1"/>
  <c r="O43" i="45"/>
  <c r="G43" i="45" s="1"/>
  <c r="H43" i="45" s="1"/>
  <c r="O40" i="45"/>
  <c r="G40" i="45" s="1"/>
  <c r="H40" i="45" s="1"/>
  <c r="O38" i="45"/>
  <c r="O44" i="45"/>
  <c r="O41" i="45"/>
  <c r="N44" i="45"/>
  <c r="N41" i="45"/>
  <c r="N38" i="45"/>
  <c r="N45" i="45"/>
  <c r="O45" i="45"/>
  <c r="O42" i="45"/>
  <c r="G42" i="45" s="1"/>
  <c r="H42" i="45" s="1"/>
  <c r="O39" i="45"/>
  <c r="G39" i="45" s="1"/>
  <c r="H39" i="45" s="1"/>
  <c r="N13" i="45"/>
  <c r="N49" i="45"/>
  <c r="G49" i="45" s="1"/>
  <c r="AB45" i="15"/>
  <c r="AB44" i="15"/>
  <c r="AB52" i="15"/>
  <c r="AB8" i="15"/>
  <c r="M69" i="45"/>
  <c r="M70" i="45"/>
  <c r="M71" i="45"/>
  <c r="M72" i="45"/>
  <c r="M51" i="45"/>
  <c r="M52" i="45"/>
  <c r="M53" i="45"/>
  <c r="M54" i="45"/>
  <c r="M55" i="45"/>
  <c r="M56" i="45"/>
  <c r="M57" i="45"/>
  <c r="M58" i="45"/>
  <c r="M59" i="45"/>
  <c r="M60" i="45"/>
  <c r="M61" i="45"/>
  <c r="M62" i="45"/>
  <c r="M63" i="45"/>
  <c r="M64" i="45"/>
  <c r="M65" i="45"/>
  <c r="M66" i="45"/>
  <c r="M67" i="45"/>
  <c r="M68" i="45"/>
  <c r="M48" i="45"/>
  <c r="M37" i="45"/>
  <c r="M34" i="45"/>
  <c r="M33" i="45"/>
  <c r="AB20" i="15"/>
  <c r="AB18" i="15"/>
  <c r="AB16" i="15"/>
  <c r="AB14" i="15"/>
  <c r="AB12" i="15"/>
  <c r="AB10" i="15"/>
  <c r="AB31" i="15"/>
  <c r="B30" i="40" s="1"/>
  <c r="M74" i="45"/>
  <c r="M73" i="45"/>
  <c r="E77" i="45"/>
  <c r="O12" i="45" s="1"/>
  <c r="M50" i="45"/>
  <c r="M32" i="45"/>
  <c r="M31" i="45"/>
  <c r="M30" i="45"/>
  <c r="M29" i="45"/>
  <c r="M28" i="45"/>
  <c r="M27" i="45"/>
  <c r="M26" i="45"/>
  <c r="M25" i="45"/>
  <c r="M24" i="45"/>
  <c r="M23" i="45"/>
  <c r="M22" i="45"/>
  <c r="M21" i="45"/>
  <c r="M20" i="45"/>
  <c r="M19" i="45"/>
  <c r="B19" i="45"/>
  <c r="B20" i="45" s="1"/>
  <c r="B21" i="45" s="1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AB39" i="15"/>
  <c r="AB55" i="15"/>
  <c r="N38" i="43"/>
  <c r="N37" i="43"/>
  <c r="M37" i="43"/>
  <c r="M38" i="43"/>
  <c r="AC29" i="15" l="1"/>
  <c r="B87" i="46"/>
  <c r="B65" i="46"/>
  <c r="B66" i="46" s="1"/>
  <c r="B67" i="46" s="1"/>
  <c r="B68" i="46" s="1"/>
  <c r="B69" i="46" s="1"/>
  <c r="B70" i="46" s="1"/>
  <c r="B71" i="46" s="1"/>
  <c r="B72" i="46" s="1"/>
  <c r="B73" i="46" s="1"/>
  <c r="B74" i="46" s="1"/>
  <c r="B75" i="46" s="1"/>
  <c r="B76" i="46" s="1"/>
  <c r="B77" i="46" s="1"/>
  <c r="B78" i="46" s="1"/>
  <c r="B79" i="46" s="1"/>
  <c r="B80" i="46" s="1"/>
  <c r="B81" i="46" s="1"/>
  <c r="B82" i="46" s="1"/>
  <c r="B83" i="46" s="1"/>
  <c r="B84" i="46" s="1"/>
  <c r="B85" i="46" s="1"/>
  <c r="B86" i="46" s="1"/>
  <c r="B33" i="45"/>
  <c r="B35" i="45"/>
  <c r="G41" i="45"/>
  <c r="H41" i="45" s="1"/>
  <c r="G38" i="45"/>
  <c r="H38" i="45" s="1"/>
  <c r="G44" i="45"/>
  <c r="H44" i="45" s="1"/>
  <c r="G45" i="45"/>
  <c r="H45" i="45" s="1"/>
  <c r="N50" i="45"/>
  <c r="O74" i="45"/>
  <c r="N67" i="45"/>
  <c r="N61" i="45"/>
  <c r="N55" i="45"/>
  <c r="N71" i="45"/>
  <c r="N33" i="45"/>
  <c r="N60" i="45"/>
  <c r="N70" i="45"/>
  <c r="O34" i="45"/>
  <c r="N65" i="45"/>
  <c r="N59" i="45"/>
  <c r="N53" i="45"/>
  <c r="N64" i="45"/>
  <c r="N52" i="45"/>
  <c r="N63" i="45"/>
  <c r="N57" i="45"/>
  <c r="N51" i="45"/>
  <c r="N68" i="45"/>
  <c r="N56" i="45"/>
  <c r="O72" i="45"/>
  <c r="O48" i="45"/>
  <c r="O11" i="45"/>
  <c r="O10" i="45"/>
  <c r="O9" i="45"/>
  <c r="N31" i="45"/>
  <c r="N32" i="45"/>
  <c r="N28" i="45"/>
  <c r="N29" i="45"/>
  <c r="N27" i="45"/>
  <c r="O30" i="45"/>
  <c r="N20" i="45"/>
  <c r="O26" i="45"/>
  <c r="N21" i="45"/>
  <c r="O22" i="45"/>
  <c r="N23" i="45"/>
  <c r="N25" i="45"/>
  <c r="O24" i="45"/>
  <c r="N19" i="45"/>
  <c r="O67" i="45"/>
  <c r="O59" i="45"/>
  <c r="O55" i="45"/>
  <c r="O53" i="45"/>
  <c r="O63" i="45"/>
  <c r="O57" i="45"/>
  <c r="N72" i="45"/>
  <c r="O69" i="45"/>
  <c r="N69" i="45"/>
  <c r="O70" i="45"/>
  <c r="O71" i="45"/>
  <c r="O61" i="45"/>
  <c r="O51" i="45"/>
  <c r="O65" i="45"/>
  <c r="O66" i="45"/>
  <c r="O62" i="45"/>
  <c r="O58" i="45"/>
  <c r="O54" i="45"/>
  <c r="N66" i="45"/>
  <c r="N62" i="45"/>
  <c r="N58" i="45"/>
  <c r="N54" i="45"/>
  <c r="O68" i="45"/>
  <c r="O64" i="45"/>
  <c r="O60" i="45"/>
  <c r="O56" i="45"/>
  <c r="O52" i="45"/>
  <c r="O33" i="45"/>
  <c r="N37" i="45"/>
  <c r="N34" i="45"/>
  <c r="O37" i="45"/>
  <c r="N48" i="45"/>
  <c r="O29" i="45"/>
  <c r="O31" i="45"/>
  <c r="O27" i="45"/>
  <c r="O19" i="45"/>
  <c r="O50" i="45"/>
  <c r="O23" i="45"/>
  <c r="N24" i="45"/>
  <c r="O25" i="45"/>
  <c r="O21" i="45"/>
  <c r="O73" i="45"/>
  <c r="N73" i="45"/>
  <c r="O20" i="45"/>
  <c r="O28" i="45"/>
  <c r="O32" i="45"/>
  <c r="M75" i="45"/>
  <c r="N22" i="45"/>
  <c r="N26" i="45"/>
  <c r="N30" i="45"/>
  <c r="N74" i="45"/>
  <c r="F40" i="43"/>
  <c r="B34" i="45" l="1"/>
  <c r="B37" i="45" s="1"/>
  <c r="B36" i="45"/>
  <c r="G50" i="45"/>
  <c r="G23" i="45"/>
  <c r="H23" i="45" s="1"/>
  <c r="G65" i="45"/>
  <c r="G59" i="45"/>
  <c r="G31" i="45"/>
  <c r="H31" i="45" s="1"/>
  <c r="G33" i="45"/>
  <c r="G74" i="45"/>
  <c r="G63" i="45"/>
  <c r="G51" i="45"/>
  <c r="G28" i="45"/>
  <c r="H28" i="45" s="1"/>
  <c r="G53" i="45"/>
  <c r="G22" i="45"/>
  <c r="H22" i="45" s="1"/>
  <c r="G72" i="45"/>
  <c r="G58" i="45"/>
  <c r="G68" i="45"/>
  <c r="G55" i="45"/>
  <c r="G27" i="45"/>
  <c r="H27" i="45" s="1"/>
  <c r="G71" i="45"/>
  <c r="G21" i="45"/>
  <c r="H21" i="45" s="1"/>
  <c r="G37" i="45"/>
  <c r="G61" i="45"/>
  <c r="G54" i="45"/>
  <c r="G70" i="45"/>
  <c r="G24" i="45"/>
  <c r="H24" i="45" s="1"/>
  <c r="G20" i="45"/>
  <c r="H20" i="45" s="1"/>
  <c r="G48" i="45"/>
  <c r="H48" i="45" s="1"/>
  <c r="G62" i="45"/>
  <c r="G69" i="45"/>
  <c r="O13" i="45"/>
  <c r="G32" i="45"/>
  <c r="H32" i="45" s="1"/>
  <c r="G56" i="45"/>
  <c r="G57" i="45"/>
  <c r="G52" i="45"/>
  <c r="G30" i="45"/>
  <c r="H30" i="45" s="1"/>
  <c r="G26" i="45"/>
  <c r="H26" i="45" s="1"/>
  <c r="G66" i="45"/>
  <c r="G73" i="45"/>
  <c r="G34" i="45"/>
  <c r="H34" i="45" s="1"/>
  <c r="G67" i="45"/>
  <c r="G64" i="45"/>
  <c r="G60" i="45"/>
  <c r="O75" i="45"/>
  <c r="G19" i="45"/>
  <c r="H19" i="45" s="1"/>
  <c r="G25" i="45"/>
  <c r="H25" i="45" s="1"/>
  <c r="G29" i="45"/>
  <c r="H29" i="45" s="1"/>
  <c r="N75" i="45"/>
  <c r="AB17" i="15"/>
  <c r="H33" i="45"/>
  <c r="AA5" i="15"/>
  <c r="B48" i="45" l="1"/>
  <c r="B38" i="45"/>
  <c r="B39" i="45" s="1"/>
  <c r="B40" i="45" s="1"/>
  <c r="B41" i="45" s="1"/>
  <c r="B42" i="45" s="1"/>
  <c r="B43" i="45" s="1"/>
  <c r="B44" i="45" s="1"/>
  <c r="B45" i="45" s="1"/>
  <c r="B46" i="45" s="1"/>
  <c r="B47" i="45" s="1"/>
  <c r="AB15" i="15"/>
  <c r="AB9" i="15"/>
  <c r="AB13" i="15"/>
  <c r="G75" i="45"/>
  <c r="D11" i="45" s="1"/>
  <c r="D5" i="45"/>
  <c r="AB19" i="15"/>
  <c r="AB11" i="15"/>
  <c r="H37" i="45"/>
  <c r="G26" i="43"/>
  <c r="H19" i="43"/>
  <c r="D8" i="45" l="1"/>
  <c r="B50" i="45"/>
  <c r="B49" i="45"/>
  <c r="D7" i="45"/>
  <c r="D9" i="45"/>
  <c r="D10" i="45"/>
  <c r="D6" i="45"/>
  <c r="AA31" i="15"/>
  <c r="D32" i="35" s="1"/>
  <c r="B73" i="45" l="1"/>
  <c r="B74" i="45" s="1"/>
  <c r="B75" i="45" s="1"/>
  <c r="B51" i="45"/>
  <c r="B52" i="45" s="1"/>
  <c r="B53" i="45" s="1"/>
  <c r="B54" i="45" s="1"/>
  <c r="B55" i="45" s="1"/>
  <c r="B56" i="45" s="1"/>
  <c r="B57" i="45" s="1"/>
  <c r="B58" i="45" s="1"/>
  <c r="B59" i="45" s="1"/>
  <c r="B60" i="45" s="1"/>
  <c r="B61" i="45" s="1"/>
  <c r="B62" i="45" s="1"/>
  <c r="B63" i="45" s="1"/>
  <c r="B64" i="45" s="1"/>
  <c r="B65" i="45" s="1"/>
  <c r="B66" i="45" s="1"/>
  <c r="B67" i="45" s="1"/>
  <c r="B68" i="45" s="1"/>
  <c r="B69" i="45" s="1"/>
  <c r="B70" i="45" s="1"/>
  <c r="B71" i="45" s="1"/>
  <c r="B72" i="45" s="1"/>
  <c r="AA64" i="15"/>
  <c r="AA33" i="15"/>
  <c r="F38" i="43"/>
  <c r="E38" i="43"/>
  <c r="AA10" i="15" s="1"/>
  <c r="AA45" i="15"/>
  <c r="AA44" i="15"/>
  <c r="F39" i="43"/>
  <c r="AA12" i="15"/>
  <c r="AA53" i="15"/>
  <c r="F41" i="42"/>
  <c r="D29" i="44"/>
  <c r="C29" i="44"/>
  <c r="C35" i="44" s="1"/>
  <c r="C36" i="44" s="1"/>
  <c r="B29" i="44"/>
  <c r="B35" i="44" s="1"/>
  <c r="B36" i="44" s="1"/>
  <c r="D26" i="44"/>
  <c r="C26" i="44"/>
  <c r="B26" i="44"/>
  <c r="D21" i="44"/>
  <c r="C21" i="44"/>
  <c r="B21" i="44"/>
  <c r="D8" i="44"/>
  <c r="D10" i="44" s="1"/>
  <c r="C8" i="44"/>
  <c r="B8" i="44"/>
  <c r="C1" i="44"/>
  <c r="B1" i="44"/>
  <c r="AA38" i="15"/>
  <c r="AA52" i="15"/>
  <c r="L40" i="43"/>
  <c r="N40" i="43" s="1"/>
  <c r="L38" i="43"/>
  <c r="L37" i="43"/>
  <c r="L36" i="43"/>
  <c r="M36" i="43" s="1"/>
  <c r="L35" i="43"/>
  <c r="N35" i="43" s="1"/>
  <c r="L34" i="43"/>
  <c r="N34" i="43" s="1"/>
  <c r="L33" i="43"/>
  <c r="N33" i="43" s="1"/>
  <c r="L32" i="43"/>
  <c r="N32" i="43" s="1"/>
  <c r="L31" i="43"/>
  <c r="N31" i="43" s="1"/>
  <c r="L30" i="43"/>
  <c r="L29" i="43"/>
  <c r="N29" i="43" s="1"/>
  <c r="L28" i="43"/>
  <c r="N28" i="43" s="1"/>
  <c r="L27" i="43"/>
  <c r="N27" i="43" s="1"/>
  <c r="L26" i="43"/>
  <c r="L25" i="43"/>
  <c r="N25" i="43" s="1"/>
  <c r="L24" i="43"/>
  <c r="N24" i="43" s="1"/>
  <c r="L23" i="43"/>
  <c r="M23" i="43" s="1"/>
  <c r="L22" i="43"/>
  <c r="L21" i="43"/>
  <c r="M21" i="43" s="1"/>
  <c r="L20" i="43"/>
  <c r="N20" i="43" s="1"/>
  <c r="L19" i="43"/>
  <c r="M19" i="43" s="1"/>
  <c r="B19" i="43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B33" i="43" s="1"/>
  <c r="B34" i="43" s="1"/>
  <c r="B35" i="43" s="1"/>
  <c r="B36" i="43" s="1"/>
  <c r="B37" i="43" s="1"/>
  <c r="B38" i="43" s="1"/>
  <c r="B39" i="43" s="1"/>
  <c r="B40" i="43" s="1"/>
  <c r="L12" i="43"/>
  <c r="M9" i="43"/>
  <c r="M14" i="43" s="1"/>
  <c r="L9" i="43"/>
  <c r="D8" i="43"/>
  <c r="Z31" i="15"/>
  <c r="C32" i="35" s="1"/>
  <c r="Z6" i="15"/>
  <c r="Z8" i="15"/>
  <c r="Z10" i="15"/>
  <c r="Z12" i="15"/>
  <c r="Z14" i="15"/>
  <c r="Z15" i="15"/>
  <c r="Z16" i="15"/>
  <c r="Z38" i="15"/>
  <c r="N19" i="43" l="1"/>
  <c r="G19" i="43" s="1"/>
  <c r="AA14" i="15"/>
  <c r="AA16" i="15"/>
  <c r="N23" i="43"/>
  <c r="G23" i="43" s="1"/>
  <c r="H23" i="43" s="1"/>
  <c r="AA18" i="15"/>
  <c r="E42" i="43"/>
  <c r="N10" i="43" s="1"/>
  <c r="AA6" i="15"/>
  <c r="AA8" i="15"/>
  <c r="G38" i="43"/>
  <c r="H38" i="43" s="1"/>
  <c r="C10" i="44"/>
  <c r="B10" i="44"/>
  <c r="M40" i="43"/>
  <c r="G40" i="43" s="1"/>
  <c r="M31" i="43"/>
  <c r="G31" i="43" s="1"/>
  <c r="H31" i="43" s="1"/>
  <c r="N21" i="43"/>
  <c r="G21" i="43" s="1"/>
  <c r="H21" i="43" s="1"/>
  <c r="M27" i="43"/>
  <c r="G27" i="43" s="1"/>
  <c r="H27" i="43" s="1"/>
  <c r="N36" i="43"/>
  <c r="G36" i="43" s="1"/>
  <c r="M22" i="43"/>
  <c r="M26" i="43"/>
  <c r="M30" i="43"/>
  <c r="G30" i="43" s="1"/>
  <c r="H30" i="43" s="1"/>
  <c r="M34" i="43"/>
  <c r="G34" i="43" s="1"/>
  <c r="H34" i="43" s="1"/>
  <c r="G37" i="43"/>
  <c r="AA11" i="15" s="1"/>
  <c r="N26" i="43"/>
  <c r="N30" i="43"/>
  <c r="N22" i="43"/>
  <c r="M25" i="43"/>
  <c r="G25" i="43" s="1"/>
  <c r="H25" i="43" s="1"/>
  <c r="M29" i="43"/>
  <c r="G29" i="43" s="1"/>
  <c r="H29" i="43" s="1"/>
  <c r="M33" i="43"/>
  <c r="G33" i="43" s="1"/>
  <c r="H33" i="43" s="1"/>
  <c r="L39" i="43"/>
  <c r="N39" i="43" s="1"/>
  <c r="M20" i="43"/>
  <c r="G20" i="43" s="1"/>
  <c r="M24" i="43"/>
  <c r="G24" i="43" s="1"/>
  <c r="H24" i="43" s="1"/>
  <c r="M28" i="43"/>
  <c r="G28" i="43" s="1"/>
  <c r="H28" i="43" s="1"/>
  <c r="M32" i="43"/>
  <c r="G32" i="43" s="1"/>
  <c r="H32" i="43" s="1"/>
  <c r="M35" i="43"/>
  <c r="G35" i="43" s="1"/>
  <c r="Z45" i="15"/>
  <c r="Z44" i="15"/>
  <c r="AA28" i="15" l="1"/>
  <c r="H26" i="43"/>
  <c r="N11" i="43"/>
  <c r="N12" i="43"/>
  <c r="N9" i="43"/>
  <c r="AA15" i="15"/>
  <c r="H36" i="43"/>
  <c r="H35" i="43"/>
  <c r="AA17" i="15"/>
  <c r="AA7" i="15"/>
  <c r="G22" i="43"/>
  <c r="H22" i="43" s="1"/>
  <c r="AA13" i="15"/>
  <c r="H37" i="43"/>
  <c r="D7" i="43"/>
  <c r="H20" i="43"/>
  <c r="M39" i="43"/>
  <c r="G39" i="43" s="1"/>
  <c r="AA19" i="15" s="1"/>
  <c r="Z53" i="15"/>
  <c r="Z39" i="15"/>
  <c r="Z18" i="15"/>
  <c r="F40" i="42"/>
  <c r="Y38" i="15"/>
  <c r="AD29" i="15"/>
  <c r="Z33" i="15"/>
  <c r="E43" i="42"/>
  <c r="N11" i="42" s="1"/>
  <c r="L39" i="42"/>
  <c r="N39" i="42" s="1"/>
  <c r="L38" i="42"/>
  <c r="L37" i="42"/>
  <c r="N37" i="42" s="1"/>
  <c r="L36" i="42"/>
  <c r="N36" i="42" s="1"/>
  <c r="L35" i="42"/>
  <c r="N35" i="42" s="1"/>
  <c r="L34" i="42"/>
  <c r="L33" i="42"/>
  <c r="N33" i="42" s="1"/>
  <c r="L32" i="42"/>
  <c r="N32" i="42" s="1"/>
  <c r="L31" i="42"/>
  <c r="N31" i="42" s="1"/>
  <c r="L30" i="42"/>
  <c r="L29" i="42"/>
  <c r="N29" i="42" s="1"/>
  <c r="L28" i="42"/>
  <c r="N28" i="42" s="1"/>
  <c r="L27" i="42"/>
  <c r="N27" i="42" s="1"/>
  <c r="L26" i="42"/>
  <c r="L25" i="42"/>
  <c r="N25" i="42" s="1"/>
  <c r="L24" i="42"/>
  <c r="N24" i="42" s="1"/>
  <c r="L23" i="42"/>
  <c r="M23" i="42" s="1"/>
  <c r="L22" i="42"/>
  <c r="L21" i="42"/>
  <c r="N21" i="42" s="1"/>
  <c r="L20" i="42"/>
  <c r="N20" i="42" s="1"/>
  <c r="B20" i="42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L19" i="42"/>
  <c r="N19" i="42" s="1"/>
  <c r="B19" i="42"/>
  <c r="M13" i="42"/>
  <c r="L11" i="42"/>
  <c r="L10" i="42"/>
  <c r="M9" i="42"/>
  <c r="L9" i="42"/>
  <c r="D8" i="42"/>
  <c r="F41" i="41"/>
  <c r="Y31" i="15"/>
  <c r="B32" i="35" s="1"/>
  <c r="Y45" i="15"/>
  <c r="Y44" i="15"/>
  <c r="Y33" i="15" l="1"/>
  <c r="AA9" i="15"/>
  <c r="AA26" i="15" s="1"/>
  <c r="N14" i="43"/>
  <c r="D6" i="43"/>
  <c r="G42" i="43"/>
  <c r="D5" i="43"/>
  <c r="N9" i="42"/>
  <c r="N23" i="42"/>
  <c r="G23" i="42"/>
  <c r="H23" i="42" s="1"/>
  <c r="N10" i="42"/>
  <c r="M19" i="42"/>
  <c r="G19" i="42" s="1"/>
  <c r="M27" i="42"/>
  <c r="G27" i="42" s="1"/>
  <c r="H27" i="42" s="1"/>
  <c r="M31" i="42"/>
  <c r="G31" i="42" s="1"/>
  <c r="H31" i="42" s="1"/>
  <c r="M35" i="42"/>
  <c r="G35" i="42" s="1"/>
  <c r="H35" i="42" s="1"/>
  <c r="M39" i="42"/>
  <c r="G39" i="42" s="1"/>
  <c r="H19" i="42"/>
  <c r="M22" i="42"/>
  <c r="M26" i="42"/>
  <c r="M30" i="42"/>
  <c r="M34" i="42"/>
  <c r="G34" i="42" s="1"/>
  <c r="H34" i="42" s="1"/>
  <c r="M38" i="42"/>
  <c r="G38" i="42" s="1"/>
  <c r="Z11" i="15" s="1"/>
  <c r="N22" i="42"/>
  <c r="N26" i="42"/>
  <c r="N34" i="42"/>
  <c r="N38" i="42"/>
  <c r="L41" i="42"/>
  <c r="M41" i="42" s="1"/>
  <c r="N30" i="42"/>
  <c r="M21" i="42"/>
  <c r="G21" i="42" s="1"/>
  <c r="H21" i="42" s="1"/>
  <c r="M25" i="42"/>
  <c r="G25" i="42" s="1"/>
  <c r="H25" i="42" s="1"/>
  <c r="M29" i="42"/>
  <c r="G29" i="42" s="1"/>
  <c r="H29" i="42" s="1"/>
  <c r="M33" i="42"/>
  <c r="G33" i="42" s="1"/>
  <c r="H33" i="42" s="1"/>
  <c r="M37" i="42"/>
  <c r="G37" i="42" s="1"/>
  <c r="L40" i="42"/>
  <c r="M40" i="42" s="1"/>
  <c r="M20" i="42"/>
  <c r="G20" i="42" s="1"/>
  <c r="M24" i="42"/>
  <c r="G24" i="42" s="1"/>
  <c r="H24" i="42" s="1"/>
  <c r="M28" i="42"/>
  <c r="G28" i="42" s="1"/>
  <c r="H28" i="42" s="1"/>
  <c r="M32" i="42"/>
  <c r="G32" i="42" s="1"/>
  <c r="H32" i="42" s="1"/>
  <c r="M36" i="42"/>
  <c r="G36" i="42" s="1"/>
  <c r="X64" i="15"/>
  <c r="Y64" i="15"/>
  <c r="AA34" i="15" l="1"/>
  <c r="D9" i="43"/>
  <c r="AA29" i="15"/>
  <c r="H36" i="42"/>
  <c r="Z17" i="15"/>
  <c r="G22" i="42"/>
  <c r="N13" i="42"/>
  <c r="H20" i="42"/>
  <c r="H39" i="42"/>
  <c r="Z13" i="15"/>
  <c r="H37" i="42"/>
  <c r="Z7" i="15"/>
  <c r="G30" i="42"/>
  <c r="H30" i="42" s="1"/>
  <c r="G26" i="42"/>
  <c r="H26" i="42" s="1"/>
  <c r="H22" i="42"/>
  <c r="H38" i="42"/>
  <c r="D7" i="42"/>
  <c r="N41" i="42"/>
  <c r="G41" i="42" s="1"/>
  <c r="Z19" i="15" s="1"/>
  <c r="N40" i="42"/>
  <c r="G40" i="42" s="1"/>
  <c r="Y52" i="15"/>
  <c r="F40" i="39"/>
  <c r="Z9" i="15" l="1"/>
  <c r="D6" i="42"/>
  <c r="G43" i="42"/>
  <c r="D9" i="42" s="1"/>
  <c r="D5" i="42"/>
  <c r="X31" i="15"/>
  <c r="D28" i="33" s="1"/>
  <c r="Y16" i="15"/>
  <c r="Y14" i="15"/>
  <c r="X16" i="15"/>
  <c r="X14" i="15"/>
  <c r="Y18" i="15"/>
  <c r="Y12" i="15"/>
  <c r="Y10" i="15"/>
  <c r="Y8" i="15"/>
  <c r="Y6" i="15"/>
  <c r="Y5" i="15"/>
  <c r="Y28" i="15" l="1"/>
  <c r="X33" i="15"/>
  <c r="E43" i="41"/>
  <c r="N11" i="41" s="1"/>
  <c r="L41" i="41"/>
  <c r="N41" i="41" s="1"/>
  <c r="F40" i="41"/>
  <c r="M39" i="41"/>
  <c r="L39" i="41"/>
  <c r="L38" i="41"/>
  <c r="M38" i="41" s="1"/>
  <c r="L37" i="41"/>
  <c r="N37" i="41" s="1"/>
  <c r="L36" i="41"/>
  <c r="M36" i="41" s="1"/>
  <c r="L35" i="41"/>
  <c r="L34" i="41"/>
  <c r="M34" i="41" s="1"/>
  <c r="L33" i="41"/>
  <c r="N33" i="41" s="1"/>
  <c r="L32" i="41"/>
  <c r="M32" i="41" s="1"/>
  <c r="L31" i="41"/>
  <c r="L30" i="41"/>
  <c r="M30" i="41" s="1"/>
  <c r="L29" i="41"/>
  <c r="N29" i="41" s="1"/>
  <c r="L28" i="41"/>
  <c r="M28" i="41" s="1"/>
  <c r="L27" i="41"/>
  <c r="L26" i="41"/>
  <c r="M26" i="41" s="1"/>
  <c r="L25" i="41"/>
  <c r="N25" i="41" s="1"/>
  <c r="L24" i="41"/>
  <c r="M24" i="41" s="1"/>
  <c r="L23" i="41"/>
  <c r="N22" i="41"/>
  <c r="L22" i="41"/>
  <c r="M22" i="41" s="1"/>
  <c r="L21" i="41"/>
  <c r="N21" i="41" s="1"/>
  <c r="L20" i="41"/>
  <c r="M20" i="41" s="1"/>
  <c r="L19" i="41"/>
  <c r="B19" i="41"/>
  <c r="B20" i="41" s="1"/>
  <c r="B21" i="41" s="1"/>
  <c r="B22" i="41" s="1"/>
  <c r="B23" i="41" s="1"/>
  <c r="B24" i="41" s="1"/>
  <c r="B25" i="41" s="1"/>
  <c r="B26" i="41" s="1"/>
  <c r="B27" i="41" s="1"/>
  <c r="B28" i="41" s="1"/>
  <c r="B29" i="41" s="1"/>
  <c r="B30" i="41" s="1"/>
  <c r="B31" i="41" s="1"/>
  <c r="B32" i="41" s="1"/>
  <c r="B33" i="41" s="1"/>
  <c r="B34" i="41" s="1"/>
  <c r="B35" i="41" s="1"/>
  <c r="B36" i="41" s="1"/>
  <c r="B37" i="41" s="1"/>
  <c r="B38" i="41" s="1"/>
  <c r="B39" i="41" s="1"/>
  <c r="B40" i="41" s="1"/>
  <c r="B41" i="41" s="1"/>
  <c r="L11" i="41"/>
  <c r="L10" i="41"/>
  <c r="M9" i="41"/>
  <c r="M13" i="41" s="1"/>
  <c r="L9" i="41"/>
  <c r="D8" i="41"/>
  <c r="F41" i="39"/>
  <c r="X39" i="15"/>
  <c r="N9" i="41" l="1"/>
  <c r="N24" i="41"/>
  <c r="G24" i="41" s="1"/>
  <c r="H24" i="41" s="1"/>
  <c r="N10" i="41"/>
  <c r="G22" i="41"/>
  <c r="H22" i="41" s="1"/>
  <c r="N38" i="41"/>
  <c r="G38" i="41" s="1"/>
  <c r="Y17" i="15" s="1"/>
  <c r="N28" i="41"/>
  <c r="G28" i="41" s="1"/>
  <c r="H28" i="41" s="1"/>
  <c r="N32" i="41"/>
  <c r="G32" i="41" s="1"/>
  <c r="H32" i="41" s="1"/>
  <c r="N36" i="41"/>
  <c r="G36" i="41" s="1"/>
  <c r="H36" i="41" s="1"/>
  <c r="N26" i="41"/>
  <c r="G26" i="41" s="1"/>
  <c r="H26" i="41" s="1"/>
  <c r="N30" i="41"/>
  <c r="G30" i="41" s="1"/>
  <c r="H30" i="41" s="1"/>
  <c r="N34" i="41"/>
  <c r="G34" i="41" s="1"/>
  <c r="H34" i="41" s="1"/>
  <c r="N20" i="41"/>
  <c r="G20" i="41" s="1"/>
  <c r="H20" i="41" s="1"/>
  <c r="M19" i="41"/>
  <c r="M31" i="41"/>
  <c r="N27" i="41"/>
  <c r="N31" i="41"/>
  <c r="N35" i="41"/>
  <c r="G35" i="41" s="1"/>
  <c r="H35" i="41" s="1"/>
  <c r="N39" i="41"/>
  <c r="G39" i="41" s="1"/>
  <c r="Y15" i="15" s="1"/>
  <c r="M23" i="41"/>
  <c r="M27" i="41"/>
  <c r="M35" i="41"/>
  <c r="N19" i="41"/>
  <c r="G19" i="41" s="1"/>
  <c r="N23" i="41"/>
  <c r="M21" i="41"/>
  <c r="G21" i="41" s="1"/>
  <c r="H21" i="41" s="1"/>
  <c r="M25" i="41"/>
  <c r="G25" i="41" s="1"/>
  <c r="H25" i="41" s="1"/>
  <c r="M29" i="41"/>
  <c r="G29" i="41" s="1"/>
  <c r="H29" i="41" s="1"/>
  <c r="M33" i="41"/>
  <c r="G33" i="41" s="1"/>
  <c r="H33" i="41" s="1"/>
  <c r="M37" i="41"/>
  <c r="G37" i="41" s="1"/>
  <c r="M41" i="41"/>
  <c r="G41" i="41" s="1"/>
  <c r="L40" i="41"/>
  <c r="N40" i="41" s="1"/>
  <c r="X45" i="15"/>
  <c r="X44" i="15"/>
  <c r="V31" i="15"/>
  <c r="B28" i="33" s="1"/>
  <c r="D29" i="40"/>
  <c r="C29" i="40"/>
  <c r="B29" i="40"/>
  <c r="D26" i="40"/>
  <c r="C26" i="40"/>
  <c r="B26" i="40"/>
  <c r="D21" i="40"/>
  <c r="C21" i="40"/>
  <c r="B21" i="40"/>
  <c r="C1" i="40"/>
  <c r="B1" i="40"/>
  <c r="F41" i="38"/>
  <c r="X18" i="15"/>
  <c r="X12" i="15"/>
  <c r="X10" i="15"/>
  <c r="X8" i="15"/>
  <c r="X6" i="15"/>
  <c r="E43" i="39"/>
  <c r="L41" i="39"/>
  <c r="N41" i="39" s="1"/>
  <c r="L39" i="39"/>
  <c r="N39" i="39" s="1"/>
  <c r="L38" i="39"/>
  <c r="N38" i="39" s="1"/>
  <c r="L37" i="39"/>
  <c r="N37" i="39" s="1"/>
  <c r="L36" i="39"/>
  <c r="N36" i="39" s="1"/>
  <c r="L35" i="39"/>
  <c r="N35" i="39" s="1"/>
  <c r="L34" i="39"/>
  <c r="N34" i="39" s="1"/>
  <c r="L33" i="39"/>
  <c r="N33" i="39" s="1"/>
  <c r="L32" i="39"/>
  <c r="N32" i="39" s="1"/>
  <c r="L31" i="39"/>
  <c r="N31" i="39" s="1"/>
  <c r="L30" i="39"/>
  <c r="N30" i="39" s="1"/>
  <c r="L29" i="39"/>
  <c r="N29" i="39" s="1"/>
  <c r="L28" i="39"/>
  <c r="N28" i="39" s="1"/>
  <c r="L27" i="39"/>
  <c r="N27" i="39" s="1"/>
  <c r="L26" i="39"/>
  <c r="N26" i="39" s="1"/>
  <c r="L25" i="39"/>
  <c r="N25" i="39" s="1"/>
  <c r="L24" i="39"/>
  <c r="N24" i="39" s="1"/>
  <c r="L23" i="39"/>
  <c r="N23" i="39" s="1"/>
  <c r="L22" i="39"/>
  <c r="N22" i="39" s="1"/>
  <c r="L21" i="39"/>
  <c r="N21" i="39" s="1"/>
  <c r="L20" i="39"/>
  <c r="N20" i="39" s="1"/>
  <c r="L19" i="39"/>
  <c r="N19" i="39" s="1"/>
  <c r="B19" i="39"/>
  <c r="B20" i="39" s="1"/>
  <c r="B21" i="39" s="1"/>
  <c r="B22" i="39" s="1"/>
  <c r="B23" i="39" s="1"/>
  <c r="B24" i="39" s="1"/>
  <c r="B25" i="39" s="1"/>
  <c r="B26" i="39" s="1"/>
  <c r="B27" i="39" s="1"/>
  <c r="B28" i="39" s="1"/>
  <c r="B29" i="39" s="1"/>
  <c r="B30" i="39" s="1"/>
  <c r="B31" i="39" s="1"/>
  <c r="B32" i="39" s="1"/>
  <c r="B33" i="39" s="1"/>
  <c r="B34" i="39" s="1"/>
  <c r="B35" i="39" s="1"/>
  <c r="B36" i="39" s="1"/>
  <c r="B37" i="39" s="1"/>
  <c r="B38" i="39" s="1"/>
  <c r="B39" i="39" s="1"/>
  <c r="B40" i="39" s="1"/>
  <c r="B41" i="39" s="1"/>
  <c r="D8" i="39"/>
  <c r="X38" i="15"/>
  <c r="D7" i="38"/>
  <c r="D8" i="38"/>
  <c r="W31" i="15"/>
  <c r="C28" i="33" s="1"/>
  <c r="N13" i="41" l="1"/>
  <c r="G23" i="41"/>
  <c r="H23" i="41" s="1"/>
  <c r="G31" i="41"/>
  <c r="H31" i="41" s="1"/>
  <c r="Y11" i="15"/>
  <c r="H38" i="41"/>
  <c r="H39" i="41"/>
  <c r="Y13" i="15"/>
  <c r="H37" i="41"/>
  <c r="Y7" i="15"/>
  <c r="G27" i="41"/>
  <c r="H27" i="41" s="1"/>
  <c r="W33" i="15"/>
  <c r="H19" i="41"/>
  <c r="D7" i="41"/>
  <c r="M40" i="41"/>
  <c r="G40" i="41" s="1"/>
  <c r="X13" i="15"/>
  <c r="B8" i="40"/>
  <c r="B10" i="40" s="1"/>
  <c r="C8" i="40"/>
  <c r="C10" i="40" s="1"/>
  <c r="D8" i="40"/>
  <c r="D10" i="40" s="1"/>
  <c r="L40" i="39"/>
  <c r="N40" i="39" s="1"/>
  <c r="M41" i="39"/>
  <c r="G41" i="39" s="1"/>
  <c r="M19" i="39"/>
  <c r="G19" i="39" s="1"/>
  <c r="M20" i="39"/>
  <c r="G20" i="39" s="1"/>
  <c r="H20" i="39" s="1"/>
  <c r="M21" i="39"/>
  <c r="G21" i="39" s="1"/>
  <c r="H21" i="39" s="1"/>
  <c r="M22" i="39"/>
  <c r="G22" i="39" s="1"/>
  <c r="H22" i="39" s="1"/>
  <c r="M23" i="39"/>
  <c r="G23" i="39" s="1"/>
  <c r="H23" i="39" s="1"/>
  <c r="M24" i="39"/>
  <c r="G24" i="39" s="1"/>
  <c r="H24" i="39" s="1"/>
  <c r="M25" i="39"/>
  <c r="G25" i="39" s="1"/>
  <c r="H25" i="39" s="1"/>
  <c r="M26" i="39"/>
  <c r="G26" i="39" s="1"/>
  <c r="H26" i="39" s="1"/>
  <c r="M27" i="39"/>
  <c r="G27" i="39" s="1"/>
  <c r="H27" i="39" s="1"/>
  <c r="M28" i="39"/>
  <c r="G28" i="39" s="1"/>
  <c r="H28" i="39" s="1"/>
  <c r="M29" i="39"/>
  <c r="G29" i="39" s="1"/>
  <c r="H29" i="39" s="1"/>
  <c r="M30" i="39"/>
  <c r="G30" i="39" s="1"/>
  <c r="H30" i="39" s="1"/>
  <c r="M31" i="39"/>
  <c r="G31" i="39" s="1"/>
  <c r="H31" i="39" s="1"/>
  <c r="M32" i="39"/>
  <c r="G32" i="39" s="1"/>
  <c r="H32" i="39" s="1"/>
  <c r="M33" i="39"/>
  <c r="G33" i="39" s="1"/>
  <c r="H33" i="39" s="1"/>
  <c r="M34" i="39"/>
  <c r="G34" i="39" s="1"/>
  <c r="H34" i="39" s="1"/>
  <c r="M35" i="39"/>
  <c r="G35" i="39" s="1"/>
  <c r="H35" i="39" s="1"/>
  <c r="M36" i="39"/>
  <c r="G36" i="39" s="1"/>
  <c r="H36" i="39" s="1"/>
  <c r="M37" i="39"/>
  <c r="G37" i="39" s="1"/>
  <c r="M38" i="39"/>
  <c r="G38" i="39" s="1"/>
  <c r="M39" i="39"/>
  <c r="G39" i="39" s="1"/>
  <c r="W45" i="15"/>
  <c r="W44" i="15"/>
  <c r="W39" i="15"/>
  <c r="F40" i="38"/>
  <c r="W38" i="15"/>
  <c r="W52" i="15"/>
  <c r="W18" i="15"/>
  <c r="W12" i="15"/>
  <c r="W10" i="15"/>
  <c r="W8" i="15"/>
  <c r="W6" i="15"/>
  <c r="W5" i="15"/>
  <c r="E43" i="38"/>
  <c r="N9" i="38" s="1"/>
  <c r="L41" i="38"/>
  <c r="M41" i="38" s="1"/>
  <c r="L40" i="38"/>
  <c r="N40" i="38" s="1"/>
  <c r="L39" i="38"/>
  <c r="N39" i="38" s="1"/>
  <c r="L38" i="38"/>
  <c r="M38" i="38" s="1"/>
  <c r="L37" i="38"/>
  <c r="L36" i="38"/>
  <c r="M36" i="38" s="1"/>
  <c r="L35" i="38"/>
  <c r="N35" i="38" s="1"/>
  <c r="L34" i="38"/>
  <c r="N34" i="38" s="1"/>
  <c r="L33" i="38"/>
  <c r="N33" i="38" s="1"/>
  <c r="L32" i="38"/>
  <c r="N32" i="38" s="1"/>
  <c r="L31" i="38"/>
  <c r="N31" i="38" s="1"/>
  <c r="L30" i="38"/>
  <c r="N30" i="38" s="1"/>
  <c r="L29" i="38"/>
  <c r="N29" i="38" s="1"/>
  <c r="N28" i="38"/>
  <c r="L28" i="38"/>
  <c r="L27" i="38"/>
  <c r="N27" i="38" s="1"/>
  <c r="L26" i="38"/>
  <c r="N26" i="38" s="1"/>
  <c r="L25" i="38"/>
  <c r="N25" i="38" s="1"/>
  <c r="L24" i="38"/>
  <c r="N24" i="38" s="1"/>
  <c r="L23" i="38"/>
  <c r="N23" i="38" s="1"/>
  <c r="L22" i="38"/>
  <c r="N22" i="38" s="1"/>
  <c r="L21" i="38"/>
  <c r="N21" i="38" s="1"/>
  <c r="L20" i="38"/>
  <c r="N20" i="38" s="1"/>
  <c r="L19" i="38"/>
  <c r="N19" i="38" s="1"/>
  <c r="B19" i="38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L11" i="38"/>
  <c r="L10" i="38"/>
  <c r="M9" i="38"/>
  <c r="M13" i="38" s="1"/>
  <c r="L9" i="38"/>
  <c r="V45" i="15"/>
  <c r="V44" i="15"/>
  <c r="G43" i="41" l="1"/>
  <c r="D9" i="41" s="1"/>
  <c r="Y9" i="15"/>
  <c r="Z26" i="15" s="1"/>
  <c r="Z29" i="15" s="1"/>
  <c r="Y19" i="15"/>
  <c r="X11" i="15"/>
  <c r="X17" i="15"/>
  <c r="H39" i="39"/>
  <c r="X15" i="15"/>
  <c r="H37" i="39"/>
  <c r="D6" i="39"/>
  <c r="X7" i="15"/>
  <c r="X9" i="15"/>
  <c r="D6" i="41"/>
  <c r="D5" i="41"/>
  <c r="M40" i="39"/>
  <c r="C12" i="40"/>
  <c r="G40" i="39"/>
  <c r="D5" i="39"/>
  <c r="H19" i="39"/>
  <c r="D7" i="39"/>
  <c r="H38" i="39"/>
  <c r="W28" i="15"/>
  <c r="N10" i="38"/>
  <c r="N11" i="38"/>
  <c r="M35" i="38"/>
  <c r="M40" i="38"/>
  <c r="G40" i="38" s="1"/>
  <c r="N41" i="38"/>
  <c r="G41" i="38" s="1"/>
  <c r="M20" i="38"/>
  <c r="G20" i="38" s="1"/>
  <c r="M22" i="38"/>
  <c r="G22" i="38" s="1"/>
  <c r="H22" i="38" s="1"/>
  <c r="M24" i="38"/>
  <c r="G24" i="38" s="1"/>
  <c r="H24" i="38" s="1"/>
  <c r="M26" i="38"/>
  <c r="G26" i="38" s="1"/>
  <c r="H26" i="38" s="1"/>
  <c r="M28" i="38"/>
  <c r="G28" i="38" s="1"/>
  <c r="H28" i="38" s="1"/>
  <c r="M30" i="38"/>
  <c r="G30" i="38" s="1"/>
  <c r="H30" i="38" s="1"/>
  <c r="M32" i="38"/>
  <c r="G32" i="38" s="1"/>
  <c r="H32" i="38" s="1"/>
  <c r="M34" i="38"/>
  <c r="G34" i="38" s="1"/>
  <c r="H34" i="38" s="1"/>
  <c r="N36" i="38"/>
  <c r="G36" i="38" s="1"/>
  <c r="H36" i="38" s="1"/>
  <c r="N38" i="38"/>
  <c r="G38" i="38" s="1"/>
  <c r="G19" i="38"/>
  <c r="G35" i="38"/>
  <c r="H35" i="38" s="1"/>
  <c r="M37" i="38"/>
  <c r="M39" i="38"/>
  <c r="G39" i="38" s="1"/>
  <c r="M19" i="38"/>
  <c r="M21" i="38"/>
  <c r="G21" i="38" s="1"/>
  <c r="H21" i="38" s="1"/>
  <c r="M23" i="38"/>
  <c r="G23" i="38" s="1"/>
  <c r="H23" i="38" s="1"/>
  <c r="M25" i="38"/>
  <c r="G25" i="38" s="1"/>
  <c r="H25" i="38" s="1"/>
  <c r="M27" i="38"/>
  <c r="G27" i="38" s="1"/>
  <c r="H27" i="38" s="1"/>
  <c r="M29" i="38"/>
  <c r="G29" i="38" s="1"/>
  <c r="H29" i="38" s="1"/>
  <c r="M31" i="38"/>
  <c r="G31" i="38" s="1"/>
  <c r="H31" i="38" s="1"/>
  <c r="M33" i="38"/>
  <c r="G33" i="38" s="1"/>
  <c r="H33" i="38" s="1"/>
  <c r="N37" i="38"/>
  <c r="V39" i="15"/>
  <c r="V18" i="15"/>
  <c r="V12" i="15"/>
  <c r="V10" i="15"/>
  <c r="V8" i="15"/>
  <c r="V6" i="15"/>
  <c r="E43" i="37"/>
  <c r="L40" i="37"/>
  <c r="N40" i="37" s="1"/>
  <c r="L39" i="37"/>
  <c r="M39" i="37" s="1"/>
  <c r="L38" i="37"/>
  <c r="M38" i="37" s="1"/>
  <c r="L37" i="37"/>
  <c r="M37" i="37" s="1"/>
  <c r="L36" i="37"/>
  <c r="M36" i="37" s="1"/>
  <c r="L35" i="37"/>
  <c r="M35" i="37" s="1"/>
  <c r="L34" i="37"/>
  <c r="M34" i="37" s="1"/>
  <c r="L33" i="37"/>
  <c r="M33" i="37" s="1"/>
  <c r="L32" i="37"/>
  <c r="M32" i="37" s="1"/>
  <c r="L31" i="37"/>
  <c r="M31" i="37" s="1"/>
  <c r="L30" i="37"/>
  <c r="M30" i="37" s="1"/>
  <c r="L29" i="37"/>
  <c r="M29" i="37" s="1"/>
  <c r="L28" i="37"/>
  <c r="M28" i="37" s="1"/>
  <c r="L27" i="37"/>
  <c r="M27" i="37" s="1"/>
  <c r="L26" i="37"/>
  <c r="M26" i="37" s="1"/>
  <c r="L25" i="37"/>
  <c r="M25" i="37" s="1"/>
  <c r="L24" i="37"/>
  <c r="M24" i="37" s="1"/>
  <c r="L23" i="37"/>
  <c r="M23" i="37" s="1"/>
  <c r="L22" i="37"/>
  <c r="M22" i="37" s="1"/>
  <c r="L21" i="37"/>
  <c r="M21" i="37" s="1"/>
  <c r="L20" i="37"/>
  <c r="M20" i="37" s="1"/>
  <c r="L19" i="37"/>
  <c r="M19" i="37" s="1"/>
  <c r="B19" i="37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L11" i="37"/>
  <c r="L10" i="37"/>
  <c r="M9" i="37"/>
  <c r="M13" i="37" s="1"/>
  <c r="L9" i="37"/>
  <c r="D8" i="37"/>
  <c r="V38" i="15"/>
  <c r="F41" i="36"/>
  <c r="Z34" i="15" l="1"/>
  <c r="Y26" i="15"/>
  <c r="Y29" i="15" s="1"/>
  <c r="G43" i="39"/>
  <c r="D9" i="39" s="1"/>
  <c r="X19" i="15"/>
  <c r="D6" i="38"/>
  <c r="D5" i="38"/>
  <c r="G37" i="38"/>
  <c r="G43" i="38" s="1"/>
  <c r="D9" i="38" s="1"/>
  <c r="N13" i="38"/>
  <c r="W19" i="15"/>
  <c r="H39" i="38"/>
  <c r="W13" i="15"/>
  <c r="W11" i="15"/>
  <c r="H38" i="38"/>
  <c r="H37" i="38"/>
  <c r="W7" i="15"/>
  <c r="H19" i="38"/>
  <c r="W9" i="15"/>
  <c r="H20" i="38"/>
  <c r="N11" i="37"/>
  <c r="N9" i="37"/>
  <c r="N10" i="37"/>
  <c r="N26" i="37"/>
  <c r="G26" i="37" s="1"/>
  <c r="H26" i="37" s="1"/>
  <c r="N23" i="37"/>
  <c r="G23" i="37" s="1"/>
  <c r="H23" i="37" s="1"/>
  <c r="N35" i="37"/>
  <c r="G35" i="37" s="1"/>
  <c r="H35" i="37" s="1"/>
  <c r="N29" i="37"/>
  <c r="N38" i="37"/>
  <c r="G38" i="37" s="1"/>
  <c r="N20" i="37"/>
  <c r="G20" i="37" s="1"/>
  <c r="H20" i="37" s="1"/>
  <c r="N32" i="37"/>
  <c r="G32" i="37" s="1"/>
  <c r="H32" i="37" s="1"/>
  <c r="N21" i="37"/>
  <c r="G21" i="37" s="1"/>
  <c r="H21" i="37" s="1"/>
  <c r="N24" i="37"/>
  <c r="N27" i="37"/>
  <c r="G27" i="37" s="1"/>
  <c r="H27" i="37" s="1"/>
  <c r="N30" i="37"/>
  <c r="G30" i="37" s="1"/>
  <c r="H30" i="37" s="1"/>
  <c r="N33" i="37"/>
  <c r="G33" i="37" s="1"/>
  <c r="H33" i="37" s="1"/>
  <c r="N36" i="37"/>
  <c r="G36" i="37" s="1"/>
  <c r="H36" i="37" s="1"/>
  <c r="N39" i="37"/>
  <c r="G39" i="37" s="1"/>
  <c r="G24" i="37"/>
  <c r="H24" i="37" s="1"/>
  <c r="N19" i="37"/>
  <c r="G19" i="37" s="1"/>
  <c r="N22" i="37"/>
  <c r="G22" i="37" s="1"/>
  <c r="H22" i="37" s="1"/>
  <c r="N25" i="37"/>
  <c r="G25" i="37" s="1"/>
  <c r="H25" i="37" s="1"/>
  <c r="N28" i="37"/>
  <c r="G28" i="37" s="1"/>
  <c r="H28" i="37" s="1"/>
  <c r="N31" i="37"/>
  <c r="G31" i="37" s="1"/>
  <c r="H31" i="37" s="1"/>
  <c r="N34" i="37"/>
  <c r="G34" i="37" s="1"/>
  <c r="H34" i="37" s="1"/>
  <c r="N37" i="37"/>
  <c r="G37" i="37" s="1"/>
  <c r="G29" i="37"/>
  <c r="H29" i="37" s="1"/>
  <c r="L41" i="37"/>
  <c r="M41" i="37" s="1"/>
  <c r="M40" i="37"/>
  <c r="G40" i="37" s="1"/>
  <c r="U12" i="15"/>
  <c r="U10" i="15"/>
  <c r="U8" i="15"/>
  <c r="U6" i="15"/>
  <c r="AR64" i="15"/>
  <c r="AQ64" i="15"/>
  <c r="AP64" i="15"/>
  <c r="AO64" i="15"/>
  <c r="AN64" i="15"/>
  <c r="AM64" i="15"/>
  <c r="AL64" i="15"/>
  <c r="AK64" i="15"/>
  <c r="AJ64" i="15"/>
  <c r="AI64" i="15"/>
  <c r="AF64" i="15"/>
  <c r="AE64" i="15"/>
  <c r="AD64" i="15"/>
  <c r="AC64" i="15"/>
  <c r="AB64" i="15"/>
  <c r="Z64" i="15"/>
  <c r="W64" i="15"/>
  <c r="V64" i="15"/>
  <c r="P64" i="15"/>
  <c r="O64" i="15"/>
  <c r="Q64" i="15"/>
  <c r="R64" i="15"/>
  <c r="S64" i="15"/>
  <c r="T64" i="15"/>
  <c r="U64" i="15"/>
  <c r="U52" i="15"/>
  <c r="U38" i="15"/>
  <c r="AR73" i="15" l="1"/>
  <c r="X26" i="15"/>
  <c r="X29" i="15" s="1"/>
  <c r="W26" i="15"/>
  <c r="N13" i="37"/>
  <c r="H39" i="37"/>
  <c r="V13" i="15"/>
  <c r="H38" i="37"/>
  <c r="V11" i="15"/>
  <c r="H37" i="37"/>
  <c r="V7" i="15"/>
  <c r="H19" i="37"/>
  <c r="V9" i="15"/>
  <c r="D7" i="37"/>
  <c r="N41" i="37"/>
  <c r="G41" i="37" s="1"/>
  <c r="V19" i="15" s="1"/>
  <c r="U31" i="15"/>
  <c r="U18" i="15"/>
  <c r="E43" i="36"/>
  <c r="N9" i="36" s="1"/>
  <c r="L20" i="36"/>
  <c r="M20" i="36" s="1"/>
  <c r="L21" i="36"/>
  <c r="N21" i="36" s="1"/>
  <c r="L22" i="36"/>
  <c r="M22" i="36" s="1"/>
  <c r="L23" i="36"/>
  <c r="N23" i="36" s="1"/>
  <c r="M23" i="36"/>
  <c r="L24" i="36"/>
  <c r="M24" i="36" s="1"/>
  <c r="N24" i="36"/>
  <c r="L25" i="36"/>
  <c r="M25" i="36" s="1"/>
  <c r="L26" i="36"/>
  <c r="M26" i="36" s="1"/>
  <c r="L27" i="36"/>
  <c r="N27" i="36" s="1"/>
  <c r="M27" i="36"/>
  <c r="L28" i="36"/>
  <c r="M28" i="36" s="1"/>
  <c r="N28" i="36"/>
  <c r="L29" i="36"/>
  <c r="M29" i="36" s="1"/>
  <c r="N29" i="36"/>
  <c r="L30" i="36"/>
  <c r="M30" i="36" s="1"/>
  <c r="N30" i="36"/>
  <c r="L31" i="36"/>
  <c r="M31" i="36" s="1"/>
  <c r="L32" i="36"/>
  <c r="M32" i="36" s="1"/>
  <c r="L33" i="36"/>
  <c r="N33" i="36" s="1"/>
  <c r="M33" i="36"/>
  <c r="L34" i="36"/>
  <c r="M34" i="36" s="1"/>
  <c r="N34" i="36"/>
  <c r="L35" i="36"/>
  <c r="M35" i="36" s="1"/>
  <c r="L36" i="36"/>
  <c r="M36" i="36" s="1"/>
  <c r="N36" i="36"/>
  <c r="L37" i="36"/>
  <c r="M37" i="36" s="1"/>
  <c r="L38" i="36"/>
  <c r="M38" i="36" s="1"/>
  <c r="L39" i="36"/>
  <c r="N39" i="36" s="1"/>
  <c r="M39" i="36"/>
  <c r="L40" i="36"/>
  <c r="L41" i="36"/>
  <c r="L19" i="36"/>
  <c r="B19" i="36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L11" i="36"/>
  <c r="L10" i="36"/>
  <c r="M9" i="36"/>
  <c r="M13" i="36" s="1"/>
  <c r="L9" i="36"/>
  <c r="C28" i="35"/>
  <c r="D28" i="35"/>
  <c r="B28" i="35"/>
  <c r="D31" i="35"/>
  <c r="C31" i="35"/>
  <c r="B31" i="35"/>
  <c r="D22" i="35"/>
  <c r="C22" i="35"/>
  <c r="B22" i="35"/>
  <c r="D5" i="35"/>
  <c r="C5" i="35"/>
  <c r="B5" i="35"/>
  <c r="D4" i="35"/>
  <c r="C4" i="35"/>
  <c r="B4" i="35"/>
  <c r="C1" i="35"/>
  <c r="B1" i="35"/>
  <c r="D28" i="25" l="1"/>
  <c r="J28" i="19"/>
  <c r="X34" i="15"/>
  <c r="W29" i="15"/>
  <c r="W34" i="15"/>
  <c r="N37" i="36"/>
  <c r="M21" i="36"/>
  <c r="N20" i="36"/>
  <c r="M40" i="36"/>
  <c r="N35" i="36"/>
  <c r="M41" i="36"/>
  <c r="V26" i="15"/>
  <c r="V29" i="15" s="1"/>
  <c r="G43" i="37"/>
  <c r="D9" i="37" s="1"/>
  <c r="D5" i="37"/>
  <c r="D6" i="37"/>
  <c r="N38" i="36"/>
  <c r="N41" i="36"/>
  <c r="N40" i="36"/>
  <c r="G40" i="36" s="1"/>
  <c r="N25" i="36"/>
  <c r="N32" i="36"/>
  <c r="N31" i="36"/>
  <c r="G31" i="36" s="1"/>
  <c r="H31" i="36" s="1"/>
  <c r="N26" i="36"/>
  <c r="G26" i="36" s="1"/>
  <c r="H26" i="36" s="1"/>
  <c r="N22" i="36"/>
  <c r="N11" i="36"/>
  <c r="N10" i="36"/>
  <c r="G34" i="36"/>
  <c r="H34" i="36" s="1"/>
  <c r="G38" i="36"/>
  <c r="U11" i="15" s="1"/>
  <c r="M19" i="36"/>
  <c r="G21" i="36"/>
  <c r="H21" i="36" s="1"/>
  <c r="G39" i="36"/>
  <c r="N19" i="36"/>
  <c r="C9" i="35"/>
  <c r="C11" i="35" s="1"/>
  <c r="D9" i="35"/>
  <c r="D11" i="35" s="1"/>
  <c r="B9" i="35"/>
  <c r="B11" i="35" s="1"/>
  <c r="G41" i="36" l="1"/>
  <c r="G19" i="36"/>
  <c r="U19" i="15"/>
  <c r="D8" i="36"/>
  <c r="H39" i="36"/>
  <c r="U13" i="15"/>
  <c r="N13" i="36"/>
  <c r="G27" i="36"/>
  <c r="H27" i="36" s="1"/>
  <c r="G36" i="36"/>
  <c r="H36" i="36" s="1"/>
  <c r="G24" i="36"/>
  <c r="H24" i="36" s="1"/>
  <c r="G32" i="36"/>
  <c r="H32" i="36" s="1"/>
  <c r="G20" i="36"/>
  <c r="H20" i="36" s="1"/>
  <c r="G25" i="36"/>
  <c r="H25" i="36" s="1"/>
  <c r="G33" i="36"/>
  <c r="H33" i="36" s="1"/>
  <c r="G29" i="36"/>
  <c r="H29" i="36" s="1"/>
  <c r="G35" i="36"/>
  <c r="H35" i="36" s="1"/>
  <c r="G23" i="36"/>
  <c r="H23" i="36" s="1"/>
  <c r="G30" i="36"/>
  <c r="H30" i="36" s="1"/>
  <c r="G28" i="36"/>
  <c r="H28" i="36" s="1"/>
  <c r="G22" i="36"/>
  <c r="H22" i="36" s="1"/>
  <c r="G37" i="36"/>
  <c r="H19" i="36"/>
  <c r="H38" i="36"/>
  <c r="D7" i="36"/>
  <c r="C13" i="35"/>
  <c r="D6" i="36" l="1"/>
  <c r="U9" i="15"/>
  <c r="H37" i="36"/>
  <c r="U7" i="15"/>
  <c r="D5" i="36"/>
  <c r="G43" i="36"/>
  <c r="D9" i="36" s="1"/>
  <c r="F41" i="34"/>
  <c r="U26" i="15" l="1"/>
  <c r="U29" i="15" s="1"/>
  <c r="E43" i="34"/>
  <c r="T45" i="15" l="1"/>
  <c r="T44" i="15"/>
  <c r="T18" i="15"/>
  <c r="T52" i="15"/>
  <c r="S52" i="15"/>
  <c r="T53" i="15"/>
  <c r="T38" i="15"/>
  <c r="T40" i="15" s="1"/>
  <c r="T31" i="15"/>
  <c r="T12" i="15"/>
  <c r="T10" i="15"/>
  <c r="T8" i="15"/>
  <c r="T6" i="15"/>
  <c r="F40" i="34"/>
  <c r="L40" i="34" s="1"/>
  <c r="N10" i="34"/>
  <c r="L41" i="34"/>
  <c r="L39" i="34"/>
  <c r="L38" i="34"/>
  <c r="N38" i="34" s="1"/>
  <c r="L37" i="34"/>
  <c r="M37" i="34" s="1"/>
  <c r="L36" i="34"/>
  <c r="M36" i="34" s="1"/>
  <c r="L35" i="34"/>
  <c r="M35" i="34" s="1"/>
  <c r="L34" i="34"/>
  <c r="M34" i="34" s="1"/>
  <c r="L33" i="34"/>
  <c r="M33" i="34" s="1"/>
  <c r="L32" i="34"/>
  <c r="M32" i="34" s="1"/>
  <c r="L31" i="34"/>
  <c r="M31" i="34" s="1"/>
  <c r="L30" i="34"/>
  <c r="M30" i="34" s="1"/>
  <c r="L29" i="34"/>
  <c r="M29" i="34" s="1"/>
  <c r="L28" i="34"/>
  <c r="M28" i="34" s="1"/>
  <c r="L27" i="34"/>
  <c r="M27" i="34" s="1"/>
  <c r="L26" i="34"/>
  <c r="M26" i="34" s="1"/>
  <c r="L25" i="34"/>
  <c r="M25" i="34" s="1"/>
  <c r="L24" i="34"/>
  <c r="M24" i="34" s="1"/>
  <c r="L23" i="34"/>
  <c r="M23" i="34" s="1"/>
  <c r="L22" i="34"/>
  <c r="M22" i="34" s="1"/>
  <c r="L21" i="34"/>
  <c r="M21" i="34" s="1"/>
  <c r="L20" i="34"/>
  <c r="M20" i="34" s="1"/>
  <c r="L19" i="34"/>
  <c r="M19" i="34" s="1"/>
  <c r="B19" i="34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L11" i="34"/>
  <c r="L10" i="34"/>
  <c r="M9" i="34"/>
  <c r="M13" i="34" s="1"/>
  <c r="L9" i="34"/>
  <c r="F41" i="32"/>
  <c r="E40" i="32"/>
  <c r="E39" i="32"/>
  <c r="E43" i="32" s="1"/>
  <c r="N9" i="32" s="1"/>
  <c r="C28" i="25" l="1"/>
  <c r="I28" i="19"/>
  <c r="T33" i="15"/>
  <c r="M41" i="34"/>
  <c r="N9" i="34"/>
  <c r="N11" i="34"/>
  <c r="T57" i="15"/>
  <c r="M38" i="34"/>
  <c r="G38" i="34" s="1"/>
  <c r="M40" i="34"/>
  <c r="N40" i="34"/>
  <c r="N19" i="34"/>
  <c r="G19" i="34" s="1"/>
  <c r="N28" i="34"/>
  <c r="G28" i="34" s="1"/>
  <c r="H28" i="34" s="1"/>
  <c r="N37" i="34"/>
  <c r="G37" i="34" s="1"/>
  <c r="N22" i="34"/>
  <c r="G22" i="34" s="1"/>
  <c r="H22" i="34" s="1"/>
  <c r="N25" i="34"/>
  <c r="G25" i="34" s="1"/>
  <c r="H25" i="34" s="1"/>
  <c r="N31" i="34"/>
  <c r="G31" i="34" s="1"/>
  <c r="H31" i="34" s="1"/>
  <c r="N34" i="34"/>
  <c r="G34" i="34" s="1"/>
  <c r="H34" i="34" s="1"/>
  <c r="N20" i="34"/>
  <c r="G20" i="34" s="1"/>
  <c r="H20" i="34" s="1"/>
  <c r="N23" i="34"/>
  <c r="G23" i="34" s="1"/>
  <c r="H23" i="34" s="1"/>
  <c r="N26" i="34"/>
  <c r="G26" i="34" s="1"/>
  <c r="H26" i="34" s="1"/>
  <c r="N29" i="34"/>
  <c r="G29" i="34" s="1"/>
  <c r="H29" i="34" s="1"/>
  <c r="N32" i="34"/>
  <c r="G32" i="34" s="1"/>
  <c r="H32" i="34" s="1"/>
  <c r="N35" i="34"/>
  <c r="G35" i="34" s="1"/>
  <c r="H35" i="34" s="1"/>
  <c r="N21" i="34"/>
  <c r="G21" i="34" s="1"/>
  <c r="H21" i="34" s="1"/>
  <c r="N24" i="34"/>
  <c r="G24" i="34" s="1"/>
  <c r="N27" i="34"/>
  <c r="G27" i="34" s="1"/>
  <c r="H27" i="34" s="1"/>
  <c r="N30" i="34"/>
  <c r="G30" i="34" s="1"/>
  <c r="H30" i="34" s="1"/>
  <c r="N33" i="34"/>
  <c r="G33" i="34" s="1"/>
  <c r="H33" i="34" s="1"/>
  <c r="N36" i="34"/>
  <c r="G36" i="34" s="1"/>
  <c r="H36" i="34" s="1"/>
  <c r="M39" i="34"/>
  <c r="N41" i="34"/>
  <c r="G41" i="34" s="1"/>
  <c r="H41" i="34" s="1"/>
  <c r="N39" i="34"/>
  <c r="N11" i="32"/>
  <c r="N10" i="32"/>
  <c r="K64" i="15"/>
  <c r="J64" i="15"/>
  <c r="I64" i="15"/>
  <c r="H64" i="15"/>
  <c r="G64" i="15"/>
  <c r="F64" i="15"/>
  <c r="E64" i="15"/>
  <c r="D64" i="15"/>
  <c r="C64" i="15"/>
  <c r="L64" i="15"/>
  <c r="M64" i="15"/>
  <c r="S45" i="15"/>
  <c r="S44" i="15"/>
  <c r="S31" i="15"/>
  <c r="B28" i="25" l="1"/>
  <c r="H28" i="19"/>
  <c r="T11" i="15"/>
  <c r="D8" i="34"/>
  <c r="H24" i="34"/>
  <c r="H38" i="34"/>
  <c r="H19" i="34"/>
  <c r="T9" i="15"/>
  <c r="H37" i="34"/>
  <c r="T7" i="15"/>
  <c r="G39" i="34"/>
  <c r="T13" i="15" s="1"/>
  <c r="G40" i="34"/>
  <c r="T19" i="15" s="1"/>
  <c r="N13" i="34"/>
  <c r="S5" i="15"/>
  <c r="S33" i="15"/>
  <c r="H39" i="34" l="1"/>
  <c r="G43" i="34"/>
  <c r="D7" i="34"/>
  <c r="D5" i="34"/>
  <c r="D9" i="34"/>
  <c r="T26" i="15"/>
  <c r="D6" i="34"/>
  <c r="S12" i="15"/>
  <c r="S10" i="15"/>
  <c r="S8" i="15"/>
  <c r="S6" i="15"/>
  <c r="S18" i="15"/>
  <c r="M9" i="32"/>
  <c r="M13" i="32" s="1"/>
  <c r="T34" i="15" l="1"/>
  <c r="T29" i="15"/>
  <c r="S28" i="15"/>
  <c r="L41" i="32"/>
  <c r="D27" i="33"/>
  <c r="C27" i="33"/>
  <c r="C33" i="33" s="1"/>
  <c r="C34" i="33" s="1"/>
  <c r="B27" i="33"/>
  <c r="D24" i="33"/>
  <c r="C24" i="33"/>
  <c r="B24" i="33"/>
  <c r="D20" i="33"/>
  <c r="C20" i="33"/>
  <c r="B20" i="33"/>
  <c r="D5" i="33"/>
  <c r="C5" i="33"/>
  <c r="B5" i="33"/>
  <c r="D4" i="33"/>
  <c r="C4" i="33"/>
  <c r="B4" i="33"/>
  <c r="C1" i="33"/>
  <c r="B1" i="33"/>
  <c r="N41" i="32" l="1"/>
  <c r="D7" i="33"/>
  <c r="D9" i="33" s="1"/>
  <c r="M41" i="32"/>
  <c r="G41" i="32" s="1"/>
  <c r="B7" i="33"/>
  <c r="B9" i="33" s="1"/>
  <c r="C7" i="33"/>
  <c r="C9" i="33" s="1"/>
  <c r="H41" i="32" l="1"/>
  <c r="D8" i="32" s="1"/>
  <c r="S19" i="15"/>
  <c r="C11" i="33"/>
  <c r="S38" i="15"/>
  <c r="L40" i="32" l="1"/>
  <c r="L39" i="32"/>
  <c r="L38" i="32"/>
  <c r="M38" i="32" s="1"/>
  <c r="L37" i="32"/>
  <c r="M37" i="32" s="1"/>
  <c r="L36" i="32"/>
  <c r="M36" i="32" s="1"/>
  <c r="L35" i="32"/>
  <c r="M35" i="32" s="1"/>
  <c r="L34" i="32"/>
  <c r="M34" i="32" s="1"/>
  <c r="L33" i="32"/>
  <c r="M33" i="32" s="1"/>
  <c r="L32" i="32"/>
  <c r="M32" i="32" s="1"/>
  <c r="L31" i="32"/>
  <c r="M31" i="32" s="1"/>
  <c r="L30" i="32"/>
  <c r="M30" i="32" s="1"/>
  <c r="L29" i="32"/>
  <c r="M29" i="32" s="1"/>
  <c r="L28" i="32"/>
  <c r="M28" i="32" s="1"/>
  <c r="L27" i="32"/>
  <c r="M27" i="32" s="1"/>
  <c r="L26" i="32"/>
  <c r="M26" i="32" s="1"/>
  <c r="L25" i="32"/>
  <c r="M25" i="32" s="1"/>
  <c r="L24" i="32"/>
  <c r="M24" i="32" s="1"/>
  <c r="L23" i="32"/>
  <c r="M23" i="32" s="1"/>
  <c r="L22" i="32"/>
  <c r="N22" i="32" s="1"/>
  <c r="L21" i="32"/>
  <c r="M21" i="32" s="1"/>
  <c r="L20" i="32"/>
  <c r="M20" i="32" s="1"/>
  <c r="L19" i="32"/>
  <c r="M19" i="32" s="1"/>
  <c r="B19" i="32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L11" i="32"/>
  <c r="L10" i="32"/>
  <c r="L9" i="32"/>
  <c r="E39" i="31"/>
  <c r="E38" i="31"/>
  <c r="R8" i="15" s="1"/>
  <c r="R45" i="15"/>
  <c r="R44" i="15"/>
  <c r="R12" i="15"/>
  <c r="R10" i="15"/>
  <c r="R5" i="15"/>
  <c r="R31" i="15"/>
  <c r="E42" i="31"/>
  <c r="L39" i="31"/>
  <c r="L38" i="31"/>
  <c r="L37" i="31"/>
  <c r="L36" i="31"/>
  <c r="L35" i="31"/>
  <c r="L34" i="31"/>
  <c r="L33" i="31"/>
  <c r="L32" i="31"/>
  <c r="L31" i="31"/>
  <c r="L30" i="31"/>
  <c r="L29" i="31"/>
  <c r="L28" i="31"/>
  <c r="L27" i="31"/>
  <c r="L26" i="31"/>
  <c r="L25" i="31"/>
  <c r="L24" i="31"/>
  <c r="L23" i="31"/>
  <c r="L22" i="31"/>
  <c r="L21" i="31"/>
  <c r="L20" i="31"/>
  <c r="L19" i="31"/>
  <c r="L18" i="31"/>
  <c r="B18" i="3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L11" i="31"/>
  <c r="L10" i="31"/>
  <c r="M9" i="31"/>
  <c r="M12" i="31" s="1"/>
  <c r="L9" i="31"/>
  <c r="R38" i="15"/>
  <c r="R40" i="15" s="1"/>
  <c r="R53" i="15"/>
  <c r="R56" i="15" s="1"/>
  <c r="L25" i="27"/>
  <c r="N25" i="27" s="1"/>
  <c r="L21" i="27"/>
  <c r="N21" i="27" s="1"/>
  <c r="L24" i="27"/>
  <c r="N24" i="27" s="1"/>
  <c r="L20" i="27"/>
  <c r="N20" i="27" s="1"/>
  <c r="L34" i="27"/>
  <c r="N34" i="27" s="1"/>
  <c r="L33" i="27"/>
  <c r="N33" i="27" s="1"/>
  <c r="D28" i="29" l="1"/>
  <c r="G28" i="19"/>
  <c r="D28" i="20"/>
  <c r="R6" i="15"/>
  <c r="R28" i="15" s="1"/>
  <c r="N10" i="31"/>
  <c r="N11" i="31"/>
  <c r="R50" i="15"/>
  <c r="M22" i="32"/>
  <c r="G22" i="32" s="1"/>
  <c r="H22" i="32" s="1"/>
  <c r="N19" i="32"/>
  <c r="G19" i="32" s="1"/>
  <c r="N21" i="32"/>
  <c r="G21" i="32" s="1"/>
  <c r="H21" i="32" s="1"/>
  <c r="N23" i="32"/>
  <c r="G23" i="32" s="1"/>
  <c r="H23" i="32" s="1"/>
  <c r="N25" i="32"/>
  <c r="G25" i="32" s="1"/>
  <c r="H25" i="32" s="1"/>
  <c r="N26" i="32"/>
  <c r="G26" i="32" s="1"/>
  <c r="H26" i="32" s="1"/>
  <c r="N28" i="32"/>
  <c r="G28" i="32" s="1"/>
  <c r="H28" i="32" s="1"/>
  <c r="N29" i="32"/>
  <c r="G29" i="32" s="1"/>
  <c r="H29" i="32" s="1"/>
  <c r="N31" i="32"/>
  <c r="G31" i="32" s="1"/>
  <c r="H31" i="32" s="1"/>
  <c r="N33" i="32"/>
  <c r="G33" i="32" s="1"/>
  <c r="H33" i="32" s="1"/>
  <c r="N35" i="32"/>
  <c r="G35" i="32" s="1"/>
  <c r="H35" i="32" s="1"/>
  <c r="N37" i="32"/>
  <c r="G37" i="32" s="1"/>
  <c r="N39" i="32"/>
  <c r="M40" i="32"/>
  <c r="N20" i="32"/>
  <c r="G20" i="32" s="1"/>
  <c r="H20" i="32" s="1"/>
  <c r="N24" i="32"/>
  <c r="G24" i="32" s="1"/>
  <c r="H24" i="32" s="1"/>
  <c r="N27" i="32"/>
  <c r="G27" i="32" s="1"/>
  <c r="H27" i="32" s="1"/>
  <c r="N30" i="32"/>
  <c r="G30" i="32" s="1"/>
  <c r="H30" i="32" s="1"/>
  <c r="N32" i="32"/>
  <c r="G32" i="32" s="1"/>
  <c r="H32" i="32" s="1"/>
  <c r="N34" i="32"/>
  <c r="G34" i="32" s="1"/>
  <c r="H34" i="32" s="1"/>
  <c r="N36" i="32"/>
  <c r="G36" i="32" s="1"/>
  <c r="H36" i="32" s="1"/>
  <c r="N38" i="32"/>
  <c r="G38" i="32" s="1"/>
  <c r="M39" i="32"/>
  <c r="N40" i="32"/>
  <c r="N9" i="31"/>
  <c r="R57" i="15"/>
  <c r="M18" i="31"/>
  <c r="M19" i="31"/>
  <c r="M20" i="31"/>
  <c r="M21" i="31"/>
  <c r="M22" i="31"/>
  <c r="G22" i="31" s="1"/>
  <c r="H22" i="31" s="1"/>
  <c r="M23" i="31"/>
  <c r="M24" i="31"/>
  <c r="M25" i="31"/>
  <c r="M26" i="31"/>
  <c r="M27" i="31"/>
  <c r="M28" i="31"/>
  <c r="G28" i="31" s="1"/>
  <c r="H28" i="31" s="1"/>
  <c r="M29" i="31"/>
  <c r="M30" i="31"/>
  <c r="M31" i="31"/>
  <c r="M32" i="31"/>
  <c r="M33" i="31"/>
  <c r="M34" i="31"/>
  <c r="M35" i="31"/>
  <c r="G35" i="31" s="1"/>
  <c r="H35" i="31" s="1"/>
  <c r="M36" i="31"/>
  <c r="M37" i="31"/>
  <c r="M38" i="31"/>
  <c r="M39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M25" i="27"/>
  <c r="G25" i="27" s="1"/>
  <c r="H25" i="27" s="1"/>
  <c r="M21" i="27"/>
  <c r="G21" i="27" s="1"/>
  <c r="H21" i="27" s="1"/>
  <c r="M24" i="27"/>
  <c r="G24" i="27" s="1"/>
  <c r="H24" i="27" s="1"/>
  <c r="M20" i="27"/>
  <c r="G20" i="27" s="1"/>
  <c r="H20" i="27" s="1"/>
  <c r="M34" i="27"/>
  <c r="G34" i="27" s="1"/>
  <c r="H34" i="27" s="1"/>
  <c r="M33" i="27"/>
  <c r="G33" i="27" s="1"/>
  <c r="H33" i="27" s="1"/>
  <c r="Q5" i="15"/>
  <c r="Q52" i="28"/>
  <c r="P52" i="28"/>
  <c r="O52" i="28"/>
  <c r="Q33" i="28"/>
  <c r="Q32" i="28"/>
  <c r="G36" i="31" l="1"/>
  <c r="G18" i="31"/>
  <c r="G32" i="31"/>
  <c r="H32" i="31" s="1"/>
  <c r="G26" i="31"/>
  <c r="H26" i="31" s="1"/>
  <c r="G37" i="31"/>
  <c r="R7" i="15" s="1"/>
  <c r="H38" i="32"/>
  <c r="S7" i="15"/>
  <c r="N13" i="32"/>
  <c r="H37" i="32"/>
  <c r="S9" i="15"/>
  <c r="G39" i="32"/>
  <c r="H39" i="32" s="1"/>
  <c r="G40" i="32"/>
  <c r="S13" i="15" s="1"/>
  <c r="H19" i="32"/>
  <c r="N12" i="31"/>
  <c r="G38" i="31"/>
  <c r="G30" i="31"/>
  <c r="H30" i="31" s="1"/>
  <c r="H36" i="31"/>
  <c r="G20" i="31"/>
  <c r="H20" i="31" s="1"/>
  <c r="G29" i="31"/>
  <c r="H29" i="31" s="1"/>
  <c r="G34" i="31"/>
  <c r="H34" i="31" s="1"/>
  <c r="G39" i="31"/>
  <c r="G33" i="31"/>
  <c r="H33" i="31" s="1"/>
  <c r="G27" i="31"/>
  <c r="H27" i="31" s="1"/>
  <c r="G21" i="31"/>
  <c r="H21" i="31" s="1"/>
  <c r="G31" i="31"/>
  <c r="H31" i="31" s="1"/>
  <c r="G25" i="31"/>
  <c r="H25" i="31" s="1"/>
  <c r="G19" i="31"/>
  <c r="H19" i="31" s="1"/>
  <c r="G24" i="31"/>
  <c r="H24" i="31" s="1"/>
  <c r="G23" i="31"/>
  <c r="H23" i="31" s="1"/>
  <c r="H18" i="31"/>
  <c r="Q45" i="15"/>
  <c r="Q44" i="15"/>
  <c r="D5" i="31" l="1"/>
  <c r="H37" i="31"/>
  <c r="R11" i="15"/>
  <c r="D7" i="31"/>
  <c r="D6" i="32"/>
  <c r="D7" i="32"/>
  <c r="S11" i="15"/>
  <c r="S26" i="15" s="1"/>
  <c r="S29" i="15" s="1"/>
  <c r="D5" i="32"/>
  <c r="G43" i="32"/>
  <c r="D9" i="32" s="1"/>
  <c r="H40" i="32"/>
  <c r="H38" i="31"/>
  <c r="H39" i="31"/>
  <c r="R13" i="15"/>
  <c r="D6" i="31"/>
  <c r="R9" i="15"/>
  <c r="G42" i="31"/>
  <c r="D9" i="31" s="1"/>
  <c r="P45" i="15"/>
  <c r="C7" i="30"/>
  <c r="D7" i="30" s="1"/>
  <c r="D8" i="30" s="1"/>
  <c r="D24" i="29"/>
  <c r="C24" i="29"/>
  <c r="B24" i="29"/>
  <c r="D20" i="29"/>
  <c r="C20" i="29"/>
  <c r="B20" i="29"/>
  <c r="D5" i="29"/>
  <c r="C5" i="29"/>
  <c r="B5" i="29"/>
  <c r="D4" i="29"/>
  <c r="C4" i="29"/>
  <c r="C7" i="29" s="1"/>
  <c r="B4" i="29"/>
  <c r="B7" i="29" s="1"/>
  <c r="B9" i="29" s="1"/>
  <c r="B23" i="30" s="1"/>
  <c r="C1" i="29"/>
  <c r="B1" i="29"/>
  <c r="AX52" i="28"/>
  <c r="AX53" i="28" s="1"/>
  <c r="AW52" i="28"/>
  <c r="AW53" i="28" s="1"/>
  <c r="AV52" i="28"/>
  <c r="AV53" i="28" s="1"/>
  <c r="AU52" i="28"/>
  <c r="AU53" i="28" s="1"/>
  <c r="AT52" i="28"/>
  <c r="AT53" i="28" s="1"/>
  <c r="AS52" i="28"/>
  <c r="AS53" i="28" s="1"/>
  <c r="AR52" i="28"/>
  <c r="AR53" i="28" s="1"/>
  <c r="AQ52" i="28"/>
  <c r="AQ53" i="28" s="1"/>
  <c r="AP52" i="28"/>
  <c r="AP53" i="28" s="1"/>
  <c r="AO52" i="28"/>
  <c r="AO53" i="28" s="1"/>
  <c r="AN52" i="28"/>
  <c r="AN53" i="28" s="1"/>
  <c r="AM52" i="28"/>
  <c r="AM53" i="28" s="1"/>
  <c r="AL52" i="28"/>
  <c r="AL53" i="28" s="1"/>
  <c r="AK52" i="28"/>
  <c r="AK53" i="28" s="1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O44" i="28"/>
  <c r="K44" i="28"/>
  <c r="G44" i="28"/>
  <c r="F44" i="28"/>
  <c r="P41" i="28"/>
  <c r="O41" i="28"/>
  <c r="N41" i="28"/>
  <c r="M41" i="28"/>
  <c r="L41" i="28"/>
  <c r="J41" i="28"/>
  <c r="J44" i="28" s="1"/>
  <c r="I41" i="28"/>
  <c r="I44" i="28" s="1"/>
  <c r="H41" i="28"/>
  <c r="G41" i="28"/>
  <c r="E41" i="28"/>
  <c r="E44" i="28" s="1"/>
  <c r="D41" i="28"/>
  <c r="P40" i="28"/>
  <c r="P44" i="28" s="1"/>
  <c r="N40" i="28"/>
  <c r="N44" i="28" s="1"/>
  <c r="M40" i="28"/>
  <c r="H40" i="28"/>
  <c r="H44" i="28" s="1"/>
  <c r="D40" i="28"/>
  <c r="C40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C36" i="28"/>
  <c r="K35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N28" i="28"/>
  <c r="M28" i="28"/>
  <c r="L28" i="28"/>
  <c r="J28" i="28"/>
  <c r="I28" i="28"/>
  <c r="H28" i="28"/>
  <c r="G28" i="28"/>
  <c r="F28" i="28"/>
  <c r="E28" i="28"/>
  <c r="C28" i="28"/>
  <c r="O27" i="28"/>
  <c r="K27" i="28"/>
  <c r="K28" i="28" s="1"/>
  <c r="Q26" i="28"/>
  <c r="P26" i="28"/>
  <c r="P28" i="28" s="1"/>
  <c r="O26" i="28"/>
  <c r="D26" i="28"/>
  <c r="D28" i="28" s="1"/>
  <c r="AX21" i="28"/>
  <c r="AW21" i="28"/>
  <c r="AV21" i="28"/>
  <c r="AU21" i="28"/>
  <c r="AT21" i="28"/>
  <c r="AT22" i="28" s="1"/>
  <c r="AS21" i="28"/>
  <c r="AR21" i="28"/>
  <c r="AQ21" i="28"/>
  <c r="AP21" i="28"/>
  <c r="AO21" i="28"/>
  <c r="AN21" i="28"/>
  <c r="AM21" i="28"/>
  <c r="AL21" i="28"/>
  <c r="AL22" i="28" s="1"/>
  <c r="AK21" i="28"/>
  <c r="AJ21" i="28"/>
  <c r="AI21" i="28"/>
  <c r="AH21" i="28"/>
  <c r="AG21" i="28"/>
  <c r="AF21" i="28"/>
  <c r="AE21" i="28"/>
  <c r="AD21" i="28"/>
  <c r="AD22" i="28" s="1"/>
  <c r="AC21" i="28"/>
  <c r="AB21" i="28"/>
  <c r="AA21" i="28"/>
  <c r="Z21" i="28"/>
  <c r="Y21" i="28"/>
  <c r="X21" i="28"/>
  <c r="W21" i="28"/>
  <c r="V21" i="28"/>
  <c r="V22" i="28" s="1"/>
  <c r="U21" i="28"/>
  <c r="T21" i="28"/>
  <c r="S21" i="28"/>
  <c r="R21" i="28"/>
  <c r="Q20" i="28"/>
  <c r="N20" i="28"/>
  <c r="O20" i="28" s="1"/>
  <c r="Q19" i="28"/>
  <c r="Q21" i="28" s="1"/>
  <c r="P19" i="28"/>
  <c r="P21" i="28" s="1"/>
  <c r="O19" i="28"/>
  <c r="N19" i="28"/>
  <c r="M19" i="28"/>
  <c r="M21" i="28" s="1"/>
  <c r="L19" i="28"/>
  <c r="L21" i="28" s="1"/>
  <c r="K19" i="28"/>
  <c r="K21" i="28" s="1"/>
  <c r="J19" i="28"/>
  <c r="J21" i="28" s="1"/>
  <c r="I19" i="28"/>
  <c r="I21" i="28" s="1"/>
  <c r="H19" i="28"/>
  <c r="H21" i="28" s="1"/>
  <c r="G19" i="28"/>
  <c r="G21" i="28" s="1"/>
  <c r="F19" i="28"/>
  <c r="F21" i="28" s="1"/>
  <c r="E19" i="28"/>
  <c r="E21" i="28" s="1"/>
  <c r="D19" i="28"/>
  <c r="D21" i="28" s="1"/>
  <c r="C19" i="28"/>
  <c r="C21" i="28" s="1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AX14" i="28"/>
  <c r="AW14" i="28"/>
  <c r="AV14" i="28"/>
  <c r="AU14" i="28"/>
  <c r="AT14" i="28"/>
  <c r="AS14" i="28"/>
  <c r="AR14" i="28"/>
  <c r="AQ14" i="28"/>
  <c r="AQ22" i="28" s="1"/>
  <c r="AP14" i="28"/>
  <c r="AO14" i="28"/>
  <c r="AN14" i="28"/>
  <c r="AM14" i="28"/>
  <c r="AL14" i="28"/>
  <c r="AK14" i="28"/>
  <c r="AJ14" i="28"/>
  <c r="AI14" i="28"/>
  <c r="AH14" i="28"/>
  <c r="AG14" i="28"/>
  <c r="AF14" i="28"/>
  <c r="AE14" i="28"/>
  <c r="AD14" i="28"/>
  <c r="AC14" i="28"/>
  <c r="AB14" i="28"/>
  <c r="AA14" i="28"/>
  <c r="Z14" i="28"/>
  <c r="Y14" i="28"/>
  <c r="X14" i="28"/>
  <c r="W14" i="28"/>
  <c r="V14" i="28"/>
  <c r="U14" i="28"/>
  <c r="T14" i="28"/>
  <c r="S14" i="28"/>
  <c r="S22" i="28" s="1"/>
  <c r="R14" i="28"/>
  <c r="Q12" i="28"/>
  <c r="P12" i="28"/>
  <c r="O12" i="28"/>
  <c r="N12" i="28"/>
  <c r="M12" i="28"/>
  <c r="L12" i="28"/>
  <c r="K12" i="28"/>
  <c r="H12" i="28"/>
  <c r="G12" i="28"/>
  <c r="F12" i="28"/>
  <c r="E12" i="28"/>
  <c r="D12" i="28"/>
  <c r="C12" i="28"/>
  <c r="Q10" i="28"/>
  <c r="P10" i="28"/>
  <c r="O10" i="28"/>
  <c r="N10" i="28"/>
  <c r="M10" i="28"/>
  <c r="L10" i="28"/>
  <c r="K10" i="28"/>
  <c r="H10" i="28"/>
  <c r="G10" i="28"/>
  <c r="F10" i="28"/>
  <c r="E10" i="28"/>
  <c r="D10" i="28"/>
  <c r="C10" i="28"/>
  <c r="Q8" i="28"/>
  <c r="P8" i="28"/>
  <c r="O8" i="28"/>
  <c r="N8" i="28"/>
  <c r="M8" i="28"/>
  <c r="L8" i="28"/>
  <c r="K8" i="28"/>
  <c r="H8" i="28"/>
  <c r="G8" i="28"/>
  <c r="F8" i="28"/>
  <c r="E8" i="28"/>
  <c r="D8" i="28"/>
  <c r="C8" i="28"/>
  <c r="Q6" i="28"/>
  <c r="P6" i="28"/>
  <c r="O6" i="28"/>
  <c r="N6" i="28"/>
  <c r="M6" i="28"/>
  <c r="L6" i="28"/>
  <c r="K6" i="28"/>
  <c r="H6" i="28"/>
  <c r="G6" i="28"/>
  <c r="F6" i="28"/>
  <c r="E6" i="28"/>
  <c r="D6" i="28"/>
  <c r="C6" i="28"/>
  <c r="Q5" i="28"/>
  <c r="P5" i="28"/>
  <c r="O5" i="28"/>
  <c r="N5" i="28"/>
  <c r="M5" i="28"/>
  <c r="L5" i="28"/>
  <c r="K5" i="28"/>
  <c r="J5" i="28"/>
  <c r="I5" i="28"/>
  <c r="H5" i="28"/>
  <c r="G5" i="28"/>
  <c r="F5" i="28"/>
  <c r="E5" i="28"/>
  <c r="D5" i="28"/>
  <c r="C5" i="28"/>
  <c r="Q32" i="15"/>
  <c r="R32" i="15" s="1"/>
  <c r="R33" i="15" s="1"/>
  <c r="N32" i="15"/>
  <c r="L37" i="27"/>
  <c r="N37" i="27" s="1"/>
  <c r="Q31" i="15"/>
  <c r="Q12" i="15"/>
  <c r="Q10" i="15"/>
  <c r="Q8" i="15"/>
  <c r="Q6" i="15"/>
  <c r="E42" i="27"/>
  <c r="N10" i="27" s="1"/>
  <c r="L39" i="27"/>
  <c r="L38" i="27"/>
  <c r="N38" i="27" s="1"/>
  <c r="L36" i="27"/>
  <c r="N36" i="27" s="1"/>
  <c r="L35" i="27"/>
  <c r="N35" i="27" s="1"/>
  <c r="L32" i="27"/>
  <c r="N32" i="27" s="1"/>
  <c r="L31" i="27"/>
  <c r="N31" i="27" s="1"/>
  <c r="L30" i="27"/>
  <c r="N30" i="27" s="1"/>
  <c r="L29" i="27"/>
  <c r="N29" i="27" s="1"/>
  <c r="L28" i="27"/>
  <c r="N28" i="27" s="1"/>
  <c r="L27" i="27"/>
  <c r="N27" i="27" s="1"/>
  <c r="L26" i="27"/>
  <c r="N26" i="27" s="1"/>
  <c r="L23" i="27"/>
  <c r="N23" i="27" s="1"/>
  <c r="L22" i="27"/>
  <c r="N22" i="27" s="1"/>
  <c r="L19" i="27"/>
  <c r="N19" i="27" s="1"/>
  <c r="L18" i="27"/>
  <c r="N18" i="27" s="1"/>
  <c r="B18" i="27"/>
  <c r="B19" i="27" s="1"/>
  <c r="L11" i="27"/>
  <c r="L10" i="27"/>
  <c r="M9" i="27"/>
  <c r="M12" i="27" s="1"/>
  <c r="L9" i="27"/>
  <c r="Q38" i="15"/>
  <c r="P38" i="15"/>
  <c r="L18" i="26"/>
  <c r="M18" i="26" s="1"/>
  <c r="E35" i="26"/>
  <c r="C28" i="20" l="1"/>
  <c r="C28" i="29"/>
  <c r="F28" i="19"/>
  <c r="H33" i="19"/>
  <c r="C9" i="29"/>
  <c r="C23" i="30" s="1"/>
  <c r="W22" i="28"/>
  <c r="AM22" i="28"/>
  <c r="AU22" i="28"/>
  <c r="S48" i="28"/>
  <c r="O28" i="28"/>
  <c r="AG22" i="28"/>
  <c r="AG48" i="28" s="1"/>
  <c r="AG53" i="28" s="1"/>
  <c r="AO22" i="28"/>
  <c r="AK22" i="28"/>
  <c r="T22" i="28"/>
  <c r="T48" i="28" s="1"/>
  <c r="AF22" i="28"/>
  <c r="AF48" i="28" s="1"/>
  <c r="AF53" i="28" s="1"/>
  <c r="AR22" i="28"/>
  <c r="U22" i="28"/>
  <c r="U48" i="28" s="1"/>
  <c r="U53" i="28" s="1"/>
  <c r="AS22" i="28"/>
  <c r="AH22" i="28"/>
  <c r="AH48" i="28" s="1"/>
  <c r="AH53" i="28" s="1"/>
  <c r="Z22" i="28"/>
  <c r="Z48" i="28" s="1"/>
  <c r="AX22" i="28"/>
  <c r="AA22" i="28"/>
  <c r="AA48" i="28" s="1"/>
  <c r="AA53" i="28" s="1"/>
  <c r="V48" i="28"/>
  <c r="V53" i="28" s="1"/>
  <c r="AB22" i="28"/>
  <c r="AB48" i="28" s="1"/>
  <c r="AB53" i="28" s="1"/>
  <c r="AN22" i="28"/>
  <c r="W48" i="28"/>
  <c r="W53" i="28" s="1"/>
  <c r="D44" i="28"/>
  <c r="AC22" i="28"/>
  <c r="AC48" i="28" s="1"/>
  <c r="AC53" i="28" s="1"/>
  <c r="AI22" i="28"/>
  <c r="AI48" i="28" s="1"/>
  <c r="AI53" i="28" s="1"/>
  <c r="AD48" i="28"/>
  <c r="R22" i="28"/>
  <c r="R48" i="28" s="1"/>
  <c r="R61" i="28" s="1"/>
  <c r="R62" i="28" s="1"/>
  <c r="X22" i="28"/>
  <c r="X48" i="28" s="1"/>
  <c r="X53" i="28" s="1"/>
  <c r="AJ22" i="28"/>
  <c r="AJ48" i="28" s="1"/>
  <c r="AJ53" i="28" s="1"/>
  <c r="AP22" i="28"/>
  <c r="AV22" i="28"/>
  <c r="O21" i="28"/>
  <c r="Y22" i="28"/>
  <c r="Y48" i="28" s="1"/>
  <c r="AE22" i="28"/>
  <c r="AE48" i="28" s="1"/>
  <c r="AW22" i="28"/>
  <c r="M44" i="28"/>
  <c r="S53" i="28"/>
  <c r="Z53" i="28"/>
  <c r="Q33" i="15"/>
  <c r="Y53" i="28"/>
  <c r="N38" i="28"/>
  <c r="R26" i="15"/>
  <c r="R34" i="15" s="1"/>
  <c r="R60" i="15" s="1"/>
  <c r="T53" i="28"/>
  <c r="D38" i="28"/>
  <c r="C8" i="30"/>
  <c r="G38" i="28"/>
  <c r="O38" i="28"/>
  <c r="H38" i="28"/>
  <c r="P38" i="28"/>
  <c r="I38" i="28"/>
  <c r="D7" i="29"/>
  <c r="D9" i="29" s="1"/>
  <c r="D23" i="30" s="1"/>
  <c r="D24" i="30" s="1"/>
  <c r="D9" i="30" s="1"/>
  <c r="E38" i="28"/>
  <c r="B22" i="27"/>
  <c r="B23" i="27" s="1"/>
  <c r="B20" i="27"/>
  <c r="B21" i="27" s="1"/>
  <c r="M37" i="27"/>
  <c r="G37" i="27" s="1"/>
  <c r="C24" i="30"/>
  <c r="C9" i="30" s="1"/>
  <c r="N21" i="28"/>
  <c r="AE53" i="28"/>
  <c r="AD53" i="28"/>
  <c r="R53" i="28"/>
  <c r="E45" i="28"/>
  <c r="F45" i="28"/>
  <c r="K38" i="28"/>
  <c r="O45" i="28"/>
  <c r="N45" i="28"/>
  <c r="M38" i="28"/>
  <c r="P45" i="28"/>
  <c r="J45" i="28"/>
  <c r="G45" i="28"/>
  <c r="K45" i="28"/>
  <c r="C38" i="28"/>
  <c r="C45" i="28"/>
  <c r="D45" i="28"/>
  <c r="L45" i="28"/>
  <c r="F38" i="28"/>
  <c r="L38" i="28"/>
  <c r="J38" i="28"/>
  <c r="M45" i="28"/>
  <c r="F16" i="28"/>
  <c r="N16" i="28"/>
  <c r="H16" i="28"/>
  <c r="G16" i="28"/>
  <c r="O16" i="28"/>
  <c r="P16" i="28"/>
  <c r="Q16" i="28"/>
  <c r="C16" i="28"/>
  <c r="K16" i="28"/>
  <c r="D16" i="28"/>
  <c r="L16" i="28"/>
  <c r="E16" i="28"/>
  <c r="M16" i="28"/>
  <c r="H45" i="28"/>
  <c r="C44" i="28"/>
  <c r="I45" i="28"/>
  <c r="L44" i="28"/>
  <c r="N9" i="27"/>
  <c r="N11" i="27"/>
  <c r="M18" i="27"/>
  <c r="G18" i="27" s="1"/>
  <c r="M19" i="27"/>
  <c r="G19" i="27" s="1"/>
  <c r="H19" i="27" s="1"/>
  <c r="M22" i="27"/>
  <c r="G22" i="27" s="1"/>
  <c r="M23" i="27"/>
  <c r="G23" i="27" s="1"/>
  <c r="H23" i="27" s="1"/>
  <c r="M26" i="27"/>
  <c r="G26" i="27" s="1"/>
  <c r="H26" i="27" s="1"/>
  <c r="M27" i="27"/>
  <c r="G27" i="27" s="1"/>
  <c r="H27" i="27" s="1"/>
  <c r="M28" i="27"/>
  <c r="G28" i="27" s="1"/>
  <c r="H28" i="27" s="1"/>
  <c r="M29" i="27"/>
  <c r="G29" i="27" s="1"/>
  <c r="H29" i="27" s="1"/>
  <c r="M30" i="27"/>
  <c r="G30" i="27" s="1"/>
  <c r="H30" i="27" s="1"/>
  <c r="M31" i="27"/>
  <c r="G31" i="27" s="1"/>
  <c r="H31" i="27" s="1"/>
  <c r="M32" i="27"/>
  <c r="G32" i="27" s="1"/>
  <c r="H32" i="27" s="1"/>
  <c r="M35" i="27"/>
  <c r="G35" i="27" s="1"/>
  <c r="H35" i="27" s="1"/>
  <c r="M36" i="27"/>
  <c r="G36" i="27" s="1"/>
  <c r="M38" i="27"/>
  <c r="G38" i="27" s="1"/>
  <c r="M39" i="27"/>
  <c r="N39" i="27"/>
  <c r="P44" i="15"/>
  <c r="R29" i="15" l="1"/>
  <c r="C11" i="29"/>
  <c r="B26" i="27"/>
  <c r="B27" i="27" s="1"/>
  <c r="B28" i="27" s="1"/>
  <c r="B29" i="27" s="1"/>
  <c r="B30" i="27" s="1"/>
  <c r="B31" i="27" s="1"/>
  <c r="B32" i="27" s="1"/>
  <c r="B24" i="27"/>
  <c r="B25" i="27" s="1"/>
  <c r="Q7" i="15"/>
  <c r="H22" i="27"/>
  <c r="Q9" i="28"/>
  <c r="H37" i="27"/>
  <c r="Q7" i="28"/>
  <c r="Q11" i="15"/>
  <c r="Q11" i="28"/>
  <c r="H36" i="27"/>
  <c r="Q9" i="15"/>
  <c r="G39" i="27"/>
  <c r="Q13" i="28" s="1"/>
  <c r="H38" i="27"/>
  <c r="D6" i="27"/>
  <c r="H18" i="27"/>
  <c r="D5" i="27"/>
  <c r="N12" i="27"/>
  <c r="P52" i="15"/>
  <c r="P53" i="15"/>
  <c r="P31" i="15"/>
  <c r="P12" i="15"/>
  <c r="P10" i="15"/>
  <c r="P8" i="15"/>
  <c r="P6" i="15"/>
  <c r="N11" i="26"/>
  <c r="L32" i="26"/>
  <c r="M32" i="26" s="1"/>
  <c r="L31" i="26"/>
  <c r="L30" i="26"/>
  <c r="L29" i="26"/>
  <c r="M29" i="26" s="1"/>
  <c r="L28" i="26"/>
  <c r="L27" i="26"/>
  <c r="M27" i="26" s="1"/>
  <c r="L26" i="26"/>
  <c r="L25" i="26"/>
  <c r="M25" i="26" s="1"/>
  <c r="L24" i="26"/>
  <c r="L23" i="26"/>
  <c r="M23" i="26" s="1"/>
  <c r="L22" i="26"/>
  <c r="L21" i="26"/>
  <c r="M21" i="26" s="1"/>
  <c r="L20" i="26"/>
  <c r="L19" i="26"/>
  <c r="M19" i="26" s="1"/>
  <c r="B18" i="26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L11" i="26"/>
  <c r="L10" i="26"/>
  <c r="M9" i="26"/>
  <c r="M12" i="26" s="1"/>
  <c r="L9" i="26"/>
  <c r="F47" i="24"/>
  <c r="L47" i="24" s="1"/>
  <c r="N47" i="24" s="1"/>
  <c r="E47" i="24"/>
  <c r="B28" i="20" l="1"/>
  <c r="B28" i="29"/>
  <c r="E28" i="19"/>
  <c r="D33" i="29"/>
  <c r="D34" i="29" s="1"/>
  <c r="G33" i="19"/>
  <c r="D33" i="20"/>
  <c r="B35" i="27"/>
  <c r="B36" i="27" s="1"/>
  <c r="B33" i="27"/>
  <c r="B34" i="27" s="1"/>
  <c r="D7" i="27"/>
  <c r="B24" i="30"/>
  <c r="B9" i="30" s="1"/>
  <c r="B8" i="30"/>
  <c r="G42" i="27"/>
  <c r="D9" i="27" s="1"/>
  <c r="Q14" i="28"/>
  <c r="Q22" i="28" s="1"/>
  <c r="Q48" i="28" s="1"/>
  <c r="Q53" i="28" s="1"/>
  <c r="Q61" i="28" s="1"/>
  <c r="H39" i="27"/>
  <c r="Q13" i="15"/>
  <c r="N10" i="26"/>
  <c r="N9" i="26"/>
  <c r="N18" i="26"/>
  <c r="N19" i="26"/>
  <c r="G19" i="26" s="1"/>
  <c r="H19" i="26" s="1"/>
  <c r="N20" i="26"/>
  <c r="N21" i="26"/>
  <c r="G21" i="26" s="1"/>
  <c r="H21" i="26" s="1"/>
  <c r="N22" i="26"/>
  <c r="N23" i="26"/>
  <c r="G23" i="26" s="1"/>
  <c r="H23" i="26" s="1"/>
  <c r="N24" i="26"/>
  <c r="N25" i="26"/>
  <c r="G25" i="26" s="1"/>
  <c r="H25" i="26" s="1"/>
  <c r="N26" i="26"/>
  <c r="N27" i="26"/>
  <c r="G27" i="26" s="1"/>
  <c r="H27" i="26" s="1"/>
  <c r="N28" i="26"/>
  <c r="N29" i="26"/>
  <c r="G29" i="26" s="1"/>
  <c r="H29" i="26" s="1"/>
  <c r="N30" i="26"/>
  <c r="N31" i="26"/>
  <c r="N32" i="26"/>
  <c r="G32" i="26" s="1"/>
  <c r="P13" i="28" s="1"/>
  <c r="M20" i="26"/>
  <c r="M22" i="26"/>
  <c r="M24" i="26"/>
  <c r="M26" i="26"/>
  <c r="M28" i="26"/>
  <c r="M30" i="26"/>
  <c r="M31" i="26"/>
  <c r="M47" i="24"/>
  <c r="G47" i="24" s="1"/>
  <c r="H47" i="24" s="1"/>
  <c r="D27" i="25"/>
  <c r="C27" i="25"/>
  <c r="B27" i="25"/>
  <c r="D24" i="25"/>
  <c r="C24" i="25"/>
  <c r="B24" i="25"/>
  <c r="D20" i="25"/>
  <c r="C20" i="25"/>
  <c r="B20" i="25"/>
  <c r="D5" i="25"/>
  <c r="C5" i="25"/>
  <c r="B5" i="25"/>
  <c r="D4" i="25"/>
  <c r="C4" i="25"/>
  <c r="B4" i="25"/>
  <c r="C1" i="25"/>
  <c r="B1" i="25"/>
  <c r="O39" i="15"/>
  <c r="O12" i="15"/>
  <c r="O10" i="15"/>
  <c r="O8" i="15"/>
  <c r="O6" i="15"/>
  <c r="O5" i="15"/>
  <c r="O31" i="15"/>
  <c r="D28" i="19" s="1"/>
  <c r="G26" i="26" l="1"/>
  <c r="H26" i="26" s="1"/>
  <c r="C7" i="25"/>
  <c r="C9" i="25" s="1"/>
  <c r="D7" i="25"/>
  <c r="D9" i="25" s="1"/>
  <c r="B38" i="27"/>
  <c r="B39" i="27" s="1"/>
  <c r="B37" i="27"/>
  <c r="Q17" i="28"/>
  <c r="B7" i="25"/>
  <c r="B9" i="25" s="1"/>
  <c r="N12" i="26"/>
  <c r="G22" i="26"/>
  <c r="H22" i="26" s="1"/>
  <c r="H32" i="26"/>
  <c r="P13" i="15"/>
  <c r="G24" i="26"/>
  <c r="H24" i="26" s="1"/>
  <c r="G20" i="26"/>
  <c r="H20" i="26" s="1"/>
  <c r="G31" i="26"/>
  <c r="P11" i="28" s="1"/>
  <c r="G18" i="26"/>
  <c r="G30" i="26"/>
  <c r="G28" i="26"/>
  <c r="H28" i="26" s="1"/>
  <c r="O44" i="15"/>
  <c r="O45" i="15"/>
  <c r="H30" i="26" l="1"/>
  <c r="P7" i="28"/>
  <c r="P9" i="28"/>
  <c r="C11" i="25"/>
  <c r="H18" i="26"/>
  <c r="P9" i="15"/>
  <c r="P7" i="15"/>
  <c r="H31" i="26"/>
  <c r="P11" i="15"/>
  <c r="D6" i="26"/>
  <c r="D7" i="26"/>
  <c r="D5" i="26"/>
  <c r="G35" i="26"/>
  <c r="N44" i="15"/>
  <c r="E46" i="24"/>
  <c r="N11" i="24" s="1"/>
  <c r="L43" i="24"/>
  <c r="N43" i="24" s="1"/>
  <c r="L42" i="24"/>
  <c r="N42" i="24" s="1"/>
  <c r="L41" i="24"/>
  <c r="N41" i="24" s="1"/>
  <c r="L40" i="24"/>
  <c r="M40" i="24" s="1"/>
  <c r="L39" i="24"/>
  <c r="N39" i="24" s="1"/>
  <c r="L38" i="24"/>
  <c r="M38" i="24" s="1"/>
  <c r="L37" i="24"/>
  <c r="N37" i="24" s="1"/>
  <c r="L36" i="24"/>
  <c r="M36" i="24" s="1"/>
  <c r="L35" i="24"/>
  <c r="M35" i="24" s="1"/>
  <c r="L34" i="24"/>
  <c r="M34" i="24" s="1"/>
  <c r="L33" i="24"/>
  <c r="M33" i="24" s="1"/>
  <c r="L32" i="24"/>
  <c r="N32" i="24" s="1"/>
  <c r="L31" i="24"/>
  <c r="N31" i="24" s="1"/>
  <c r="L30" i="24"/>
  <c r="M30" i="24" s="1"/>
  <c r="L29" i="24"/>
  <c r="N29" i="24" s="1"/>
  <c r="N28" i="24"/>
  <c r="M28" i="24"/>
  <c r="G28" i="24" s="1"/>
  <c r="H28" i="24" s="1"/>
  <c r="L28" i="24"/>
  <c r="L27" i="24"/>
  <c r="N27" i="24" s="1"/>
  <c r="L26" i="24"/>
  <c r="N26" i="24" s="1"/>
  <c r="L25" i="24"/>
  <c r="N25" i="24" s="1"/>
  <c r="L24" i="24"/>
  <c r="N24" i="24" s="1"/>
  <c r="L23" i="24"/>
  <c r="N23" i="24" s="1"/>
  <c r="L22" i="24"/>
  <c r="N22" i="24" s="1"/>
  <c r="N21" i="24"/>
  <c r="L21" i="24"/>
  <c r="M21" i="24" s="1"/>
  <c r="L20" i="24"/>
  <c r="M20" i="24" s="1"/>
  <c r="L19" i="24"/>
  <c r="N19" i="24" s="1"/>
  <c r="L18" i="24"/>
  <c r="N18" i="24" s="1"/>
  <c r="B18" i="24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L11" i="24"/>
  <c r="L10" i="24"/>
  <c r="M9" i="24"/>
  <c r="M12" i="24" s="1"/>
  <c r="L9" i="24"/>
  <c r="O53" i="15"/>
  <c r="N64" i="15"/>
  <c r="O38" i="15"/>
  <c r="P14" i="28" l="1"/>
  <c r="P22" i="28" s="1"/>
  <c r="P48" i="28" s="1"/>
  <c r="P53" i="28" s="1"/>
  <c r="M26" i="24"/>
  <c r="G26" i="24" s="1"/>
  <c r="H26" i="24" s="1"/>
  <c r="N34" i="24"/>
  <c r="G34" i="24" s="1"/>
  <c r="H34" i="24" s="1"/>
  <c r="N38" i="24"/>
  <c r="G38" i="24" s="1"/>
  <c r="H38" i="24" s="1"/>
  <c r="N20" i="24"/>
  <c r="G20" i="24" s="1"/>
  <c r="H20" i="24" s="1"/>
  <c r="M24" i="24"/>
  <c r="G24" i="24" s="1"/>
  <c r="H24" i="24" s="1"/>
  <c r="G36" i="24"/>
  <c r="H36" i="24" s="1"/>
  <c r="D9" i="26"/>
  <c r="G21" i="24"/>
  <c r="H21" i="24" s="1"/>
  <c r="N36" i="24"/>
  <c r="M41" i="24"/>
  <c r="G41" i="24" s="1"/>
  <c r="H41" i="24" s="1"/>
  <c r="M37" i="24"/>
  <c r="G37" i="24" s="1"/>
  <c r="H37" i="24" s="1"/>
  <c r="M39" i="24"/>
  <c r="G39" i="24" s="1"/>
  <c r="H39" i="24" s="1"/>
  <c r="M23" i="24"/>
  <c r="G23" i="24" s="1"/>
  <c r="H23" i="24" s="1"/>
  <c r="M25" i="24"/>
  <c r="G25" i="24" s="1"/>
  <c r="H25" i="24" s="1"/>
  <c r="M27" i="24"/>
  <c r="G27" i="24" s="1"/>
  <c r="H27" i="24" s="1"/>
  <c r="M32" i="24"/>
  <c r="G32" i="24" s="1"/>
  <c r="H32" i="24" s="1"/>
  <c r="N35" i="24"/>
  <c r="G35" i="24" s="1"/>
  <c r="H35" i="24" s="1"/>
  <c r="M31" i="24"/>
  <c r="G31" i="24" s="1"/>
  <c r="H31" i="24" s="1"/>
  <c r="M22" i="24"/>
  <c r="G22" i="24" s="1"/>
  <c r="H22" i="24" s="1"/>
  <c r="N30" i="24"/>
  <c r="G30" i="24"/>
  <c r="H30" i="24" s="1"/>
  <c r="M29" i="24"/>
  <c r="G29" i="24" s="1"/>
  <c r="H29" i="24" s="1"/>
  <c r="M19" i="24"/>
  <c r="G19" i="24" s="1"/>
  <c r="H19" i="24" s="1"/>
  <c r="N33" i="24"/>
  <c r="G33" i="24" s="1"/>
  <c r="H33" i="24" s="1"/>
  <c r="M18" i="24"/>
  <c r="G18" i="24" s="1"/>
  <c r="M43" i="24"/>
  <c r="G43" i="24" s="1"/>
  <c r="O13" i="28" s="1"/>
  <c r="N9" i="24"/>
  <c r="M42" i="24"/>
  <c r="G42" i="24" s="1"/>
  <c r="N40" i="24"/>
  <c r="G40" i="24" s="1"/>
  <c r="O7" i="28" s="1"/>
  <c r="N10" i="24"/>
  <c r="N31" i="15"/>
  <c r="N12" i="15"/>
  <c r="N10" i="15"/>
  <c r="N8" i="15"/>
  <c r="N6" i="15"/>
  <c r="L42" i="23"/>
  <c r="L19" i="23"/>
  <c r="M19" i="23" s="1"/>
  <c r="L20" i="23"/>
  <c r="M20" i="23" s="1"/>
  <c r="L21" i="23"/>
  <c r="M21" i="23" s="1"/>
  <c r="L22" i="23"/>
  <c r="M22" i="23" s="1"/>
  <c r="L23" i="23"/>
  <c r="M23" i="23" s="1"/>
  <c r="L24" i="23"/>
  <c r="M24" i="23" s="1"/>
  <c r="L25" i="23"/>
  <c r="M25" i="23" s="1"/>
  <c r="L26" i="23"/>
  <c r="M26" i="23" s="1"/>
  <c r="L27" i="23"/>
  <c r="M27" i="23" s="1"/>
  <c r="L28" i="23"/>
  <c r="M28" i="23" s="1"/>
  <c r="L29" i="23"/>
  <c r="M29" i="23" s="1"/>
  <c r="L30" i="23"/>
  <c r="M30" i="23" s="1"/>
  <c r="L31" i="23"/>
  <c r="M31" i="23" s="1"/>
  <c r="L32" i="23"/>
  <c r="M32" i="23" s="1"/>
  <c r="L33" i="23"/>
  <c r="M33" i="23" s="1"/>
  <c r="L34" i="23"/>
  <c r="M34" i="23" s="1"/>
  <c r="L35" i="23"/>
  <c r="M35" i="23" s="1"/>
  <c r="L36" i="23"/>
  <c r="M36" i="23" s="1"/>
  <c r="L37" i="23"/>
  <c r="M37" i="23" s="1"/>
  <c r="L38" i="23"/>
  <c r="M38" i="23" s="1"/>
  <c r="L39" i="23"/>
  <c r="M39" i="23" s="1"/>
  <c r="L40" i="23"/>
  <c r="M40" i="23" s="1"/>
  <c r="L41" i="23"/>
  <c r="M41" i="23" s="1"/>
  <c r="M42" i="23"/>
  <c r="L43" i="23"/>
  <c r="M43" i="23" s="1"/>
  <c r="E46" i="23"/>
  <c r="N11" i="23" s="1"/>
  <c r="L18" i="23"/>
  <c r="M18" i="23" s="1"/>
  <c r="B18" i="23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L11" i="23"/>
  <c r="L10" i="23"/>
  <c r="M9" i="23"/>
  <c r="M12" i="23" s="1"/>
  <c r="L9" i="23"/>
  <c r="N45" i="15"/>
  <c r="P17" i="28" l="1"/>
  <c r="P61" i="28"/>
  <c r="O11" i="15"/>
  <c r="O11" i="28"/>
  <c r="O9" i="28"/>
  <c r="O7" i="15"/>
  <c r="H40" i="24"/>
  <c r="O9" i="15"/>
  <c r="N12" i="24"/>
  <c r="H18" i="24"/>
  <c r="H43" i="24"/>
  <c r="O13" i="15"/>
  <c r="H42" i="24"/>
  <c r="D6" i="24"/>
  <c r="D5" i="24"/>
  <c r="D7" i="24"/>
  <c r="G46" i="24"/>
  <c r="N9" i="23"/>
  <c r="N42" i="23"/>
  <c r="G42" i="23" s="1"/>
  <c r="N11" i="28" s="1"/>
  <c r="N40" i="23"/>
  <c r="N38" i="23"/>
  <c r="G38" i="23" s="1"/>
  <c r="H38" i="23" s="1"/>
  <c r="N36" i="23"/>
  <c r="G36" i="23" s="1"/>
  <c r="H36" i="23" s="1"/>
  <c r="N34" i="23"/>
  <c r="G34" i="23" s="1"/>
  <c r="H34" i="23" s="1"/>
  <c r="N32" i="23"/>
  <c r="G32" i="23" s="1"/>
  <c r="H32" i="23" s="1"/>
  <c r="N30" i="23"/>
  <c r="G30" i="23" s="1"/>
  <c r="H30" i="23" s="1"/>
  <c r="N28" i="23"/>
  <c r="G28" i="23" s="1"/>
  <c r="H28" i="23" s="1"/>
  <c r="N26" i="23"/>
  <c r="G26" i="23" s="1"/>
  <c r="H26" i="23" s="1"/>
  <c r="N24" i="23"/>
  <c r="G24" i="23" s="1"/>
  <c r="H24" i="23" s="1"/>
  <c r="N22" i="23"/>
  <c r="G22" i="23" s="1"/>
  <c r="H22" i="23" s="1"/>
  <c r="N20" i="23"/>
  <c r="N43" i="23"/>
  <c r="G43" i="23" s="1"/>
  <c r="N13" i="28" s="1"/>
  <c r="N41" i="23"/>
  <c r="N39" i="23"/>
  <c r="N37" i="23"/>
  <c r="G37" i="23" s="1"/>
  <c r="H37" i="23" s="1"/>
  <c r="N35" i="23"/>
  <c r="G35" i="23" s="1"/>
  <c r="H35" i="23" s="1"/>
  <c r="N33" i="23"/>
  <c r="G33" i="23" s="1"/>
  <c r="H33" i="23" s="1"/>
  <c r="N31" i="23"/>
  <c r="G31" i="23" s="1"/>
  <c r="H31" i="23" s="1"/>
  <c r="N29" i="23"/>
  <c r="G29" i="23" s="1"/>
  <c r="H29" i="23" s="1"/>
  <c r="N27" i="23"/>
  <c r="G27" i="23" s="1"/>
  <c r="H27" i="23" s="1"/>
  <c r="N25" i="23"/>
  <c r="G25" i="23" s="1"/>
  <c r="H25" i="23" s="1"/>
  <c r="N23" i="23"/>
  <c r="N21" i="23"/>
  <c r="G21" i="23" s="1"/>
  <c r="H21" i="23" s="1"/>
  <c r="N19" i="23"/>
  <c r="G19" i="23" s="1"/>
  <c r="G40" i="23"/>
  <c r="G39" i="23"/>
  <c r="N18" i="23"/>
  <c r="G18" i="23" s="1"/>
  <c r="G20" i="23"/>
  <c r="H20" i="23" s="1"/>
  <c r="G23" i="23"/>
  <c r="H23" i="23" s="1"/>
  <c r="B37" i="23"/>
  <c r="B38" i="23" s="1"/>
  <c r="B39" i="23" s="1"/>
  <c r="B40" i="23" s="1"/>
  <c r="B41" i="23" s="1"/>
  <c r="B42" i="23" s="1"/>
  <c r="B43" i="23" s="1"/>
  <c r="N10" i="23"/>
  <c r="O14" i="28" l="1"/>
  <c r="O22" i="28" s="1"/>
  <c r="O48" i="28" s="1"/>
  <c r="O53" i="28" s="1"/>
  <c r="O61" i="28" s="1"/>
  <c r="O62" i="28" s="1"/>
  <c r="N9" i="28"/>
  <c r="D9" i="24"/>
  <c r="H40" i="23"/>
  <c r="N7" i="28"/>
  <c r="N12" i="23"/>
  <c r="N11" i="15"/>
  <c r="H42" i="23"/>
  <c r="H18" i="23"/>
  <c r="N9" i="15"/>
  <c r="H43" i="23"/>
  <c r="N13" i="15"/>
  <c r="G41" i="23"/>
  <c r="G46" i="23" s="1"/>
  <c r="D9" i="23" s="1"/>
  <c r="H39" i="23"/>
  <c r="N7" i="15"/>
  <c r="D7" i="23"/>
  <c r="H19" i="23"/>
  <c r="D6" i="23"/>
  <c r="D5" i="23"/>
  <c r="H41" i="23" l="1"/>
  <c r="O17" i="28"/>
  <c r="N14" i="28"/>
  <c r="N22" i="28" s="1"/>
  <c r="N48" i="28" s="1"/>
  <c r="N52" i="15"/>
  <c r="N17" i="28" l="1"/>
  <c r="N53" i="28"/>
  <c r="N61" i="28"/>
  <c r="N53" i="15"/>
  <c r="K47" i="15"/>
  <c r="M31" i="15"/>
  <c r="M12" i="15"/>
  <c r="M10" i="15"/>
  <c r="M8" i="15"/>
  <c r="M6" i="15"/>
  <c r="E46" i="21" l="1"/>
  <c r="N9" i="21" s="1"/>
  <c r="L43" i="21"/>
  <c r="L42" i="21"/>
  <c r="L41" i="21"/>
  <c r="L40" i="21"/>
  <c r="L39" i="21"/>
  <c r="M39" i="21" s="1"/>
  <c r="L38" i="21"/>
  <c r="L37" i="21"/>
  <c r="L36" i="21"/>
  <c r="L35" i="21"/>
  <c r="L34" i="21"/>
  <c r="L33" i="21"/>
  <c r="L32" i="21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B18" i="2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L11" i="21"/>
  <c r="L10" i="21"/>
  <c r="M9" i="21"/>
  <c r="M12" i="21" s="1"/>
  <c r="L9" i="21"/>
  <c r="M45" i="15"/>
  <c r="M44" i="15"/>
  <c r="M22" i="21" l="1"/>
  <c r="N22" i="21"/>
  <c r="M28" i="21"/>
  <c r="N28" i="21"/>
  <c r="M34" i="21"/>
  <c r="N34" i="21"/>
  <c r="M19" i="21"/>
  <c r="N19" i="21"/>
  <c r="M25" i="21"/>
  <c r="N25" i="21"/>
  <c r="M31" i="21"/>
  <c r="N31" i="21"/>
  <c r="M37" i="21"/>
  <c r="N37" i="21"/>
  <c r="M43" i="21"/>
  <c r="N43" i="21"/>
  <c r="M20" i="21"/>
  <c r="N20" i="21"/>
  <c r="M26" i="21"/>
  <c r="N26" i="21"/>
  <c r="M32" i="21"/>
  <c r="N32" i="21"/>
  <c r="M38" i="21"/>
  <c r="N38" i="21"/>
  <c r="M23" i="21"/>
  <c r="N23" i="21"/>
  <c r="M29" i="21"/>
  <c r="N29" i="21"/>
  <c r="M35" i="21"/>
  <c r="N35" i="21"/>
  <c r="N21" i="21"/>
  <c r="M21" i="21"/>
  <c r="M27" i="21"/>
  <c r="N27" i="21"/>
  <c r="M33" i="21"/>
  <c r="N33" i="21"/>
  <c r="M18" i="21"/>
  <c r="N18" i="21"/>
  <c r="M24" i="21"/>
  <c r="N24" i="21"/>
  <c r="M30" i="21"/>
  <c r="N30" i="21"/>
  <c r="M36" i="21"/>
  <c r="N36" i="21"/>
  <c r="M41" i="21"/>
  <c r="N41" i="21"/>
  <c r="N40" i="21"/>
  <c r="M40" i="21"/>
  <c r="N39" i="21"/>
  <c r="G39" i="21" s="1"/>
  <c r="M42" i="21"/>
  <c r="N42" i="21"/>
  <c r="N10" i="21"/>
  <c r="B37" i="21"/>
  <c r="B38" i="21" s="1"/>
  <c r="B39" i="21"/>
  <c r="B40" i="21" s="1"/>
  <c r="B41" i="21" s="1"/>
  <c r="B42" i="21" s="1"/>
  <c r="B43" i="21" s="1"/>
  <c r="N11" i="21"/>
  <c r="M52" i="15"/>
  <c r="O26" i="15"/>
  <c r="O29" i="15" s="1"/>
  <c r="P26" i="15"/>
  <c r="Q26" i="15"/>
  <c r="O28" i="15"/>
  <c r="Q28" i="15"/>
  <c r="D33" i="33"/>
  <c r="D34" i="33" s="1"/>
  <c r="B37" i="35"/>
  <c r="B38" i="35" s="1"/>
  <c r="C37" i="35"/>
  <c r="C38" i="35" s="1"/>
  <c r="D37" i="35"/>
  <c r="D38" i="35" s="1"/>
  <c r="C35" i="40"/>
  <c r="C36" i="40" s="1"/>
  <c r="D35" i="40"/>
  <c r="D36" i="40" s="1"/>
  <c r="O33" i="15"/>
  <c r="P33" i="15"/>
  <c r="U33" i="15"/>
  <c r="V33" i="15"/>
  <c r="V34" i="15" s="1"/>
  <c r="AB33" i="15"/>
  <c r="AC33" i="15"/>
  <c r="AC34" i="15" s="1"/>
  <c r="AD33" i="15"/>
  <c r="AH33" i="15"/>
  <c r="AI33" i="15"/>
  <c r="AI34" i="15" s="1"/>
  <c r="AI60" i="15" s="1"/>
  <c r="AJ33" i="15"/>
  <c r="AL33" i="15"/>
  <c r="AN33" i="15"/>
  <c r="AO33" i="15"/>
  <c r="AP33" i="15"/>
  <c r="AQ33" i="15"/>
  <c r="AT33" i="15"/>
  <c r="AU33" i="15"/>
  <c r="AU34" i="15" s="1"/>
  <c r="AV33" i="15"/>
  <c r="AX33" i="15"/>
  <c r="AX34" i="15" s="1"/>
  <c r="O40" i="15"/>
  <c r="P40" i="15"/>
  <c r="Q40" i="15"/>
  <c r="S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Q40" i="15"/>
  <c r="AR40" i="15"/>
  <c r="AS40" i="15"/>
  <c r="AS60" i="15" s="1"/>
  <c r="AT40" i="15"/>
  <c r="AU40" i="15"/>
  <c r="AV40" i="15"/>
  <c r="AW40" i="15"/>
  <c r="AX40" i="15"/>
  <c r="O50" i="15"/>
  <c r="P50" i="15"/>
  <c r="Q50" i="15"/>
  <c r="S50" i="15"/>
  <c r="T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AH50" i="15"/>
  <c r="AI50" i="15"/>
  <c r="AJ50" i="15"/>
  <c r="O56" i="15"/>
  <c r="P56" i="15"/>
  <c r="Q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O57" i="15"/>
  <c r="P57" i="15"/>
  <c r="Q57" i="15"/>
  <c r="S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J57" i="15"/>
  <c r="AI73" i="15" l="1"/>
  <c r="AF60" i="15"/>
  <c r="AA60" i="15"/>
  <c r="Z60" i="15"/>
  <c r="D33" i="19"/>
  <c r="G20" i="21"/>
  <c r="H20" i="21" s="1"/>
  <c r="G32" i="21"/>
  <c r="H32" i="21" s="1"/>
  <c r="G36" i="21"/>
  <c r="H36" i="21" s="1"/>
  <c r="G18" i="21"/>
  <c r="G21" i="21"/>
  <c r="H21" i="21" s="1"/>
  <c r="G23" i="21"/>
  <c r="H23" i="21" s="1"/>
  <c r="U34" i="15"/>
  <c r="B33" i="25"/>
  <c r="B34" i="25" s="1"/>
  <c r="Q29" i="15"/>
  <c r="Q34" i="15"/>
  <c r="Q60" i="15" s="1"/>
  <c r="P29" i="15"/>
  <c r="P34" i="15"/>
  <c r="P60" i="15" s="1"/>
  <c r="AG60" i="15"/>
  <c r="G31" i="21"/>
  <c r="H31" i="21" s="1"/>
  <c r="G25" i="21"/>
  <c r="H25" i="21" s="1"/>
  <c r="G37" i="21"/>
  <c r="H37" i="21" s="1"/>
  <c r="G19" i="21"/>
  <c r="H19" i="21" s="1"/>
  <c r="G22" i="21"/>
  <c r="H22" i="21" s="1"/>
  <c r="AT34" i="15"/>
  <c r="G43" i="21"/>
  <c r="G34" i="21"/>
  <c r="H34" i="21" s="1"/>
  <c r="G30" i="21"/>
  <c r="H30" i="21" s="1"/>
  <c r="G33" i="21"/>
  <c r="H33" i="21" s="1"/>
  <c r="G35" i="21"/>
  <c r="H35" i="21" s="1"/>
  <c r="G26" i="21"/>
  <c r="H26" i="21" s="1"/>
  <c r="G38" i="21"/>
  <c r="H38" i="21" s="1"/>
  <c r="G28" i="21"/>
  <c r="H28" i="21" s="1"/>
  <c r="AJ34" i="15"/>
  <c r="AD34" i="15"/>
  <c r="AD60" i="15" s="1"/>
  <c r="G24" i="21"/>
  <c r="H24" i="21" s="1"/>
  <c r="G27" i="21"/>
  <c r="H27" i="21" s="1"/>
  <c r="G29" i="21"/>
  <c r="H29" i="21" s="1"/>
  <c r="AO34" i="15"/>
  <c r="AO60" i="15" s="1"/>
  <c r="M13" i="15"/>
  <c r="G41" i="21"/>
  <c r="H41" i="21" s="1"/>
  <c r="Y34" i="15"/>
  <c r="G40" i="21"/>
  <c r="H40" i="21" s="1"/>
  <c r="H39" i="21"/>
  <c r="G42" i="21"/>
  <c r="M11" i="15"/>
  <c r="N12" i="21"/>
  <c r="AL34" i="15"/>
  <c r="AL60" i="15" s="1"/>
  <c r="AW34" i="15"/>
  <c r="AW60" i="15" s="1"/>
  <c r="AQ34" i="15"/>
  <c r="AQ60" i="15" s="1"/>
  <c r="AX60" i="15"/>
  <c r="AR65" i="15"/>
  <c r="AE60" i="15"/>
  <c r="V60" i="15"/>
  <c r="AV34" i="15"/>
  <c r="AP34" i="15"/>
  <c r="AP60" i="15" s="1"/>
  <c r="X60" i="15"/>
  <c r="R65" i="15"/>
  <c r="R73" i="15" s="1"/>
  <c r="AU60" i="15"/>
  <c r="W60" i="15"/>
  <c r="AN34" i="15"/>
  <c r="AN60" i="15" s="1"/>
  <c r="AH34" i="15"/>
  <c r="AC60" i="15"/>
  <c r="O34" i="15"/>
  <c r="O60" i="15" s="1"/>
  <c r="AV60" i="15" l="1"/>
  <c r="AT60" i="15"/>
  <c r="AP73" i="15"/>
  <c r="AQ73" i="15"/>
  <c r="AO73" i="15"/>
  <c r="AJ60" i="15"/>
  <c r="AO65" i="15"/>
  <c r="C33" i="20"/>
  <c r="C33" i="29"/>
  <c r="C34" i="29" s="1"/>
  <c r="F33" i="19"/>
  <c r="AS65" i="15"/>
  <c r="AS73" i="15" s="1"/>
  <c r="AW65" i="15"/>
  <c r="AW73" i="15" s="1"/>
  <c r="AK65" i="15"/>
  <c r="AK73" i="15" s="1"/>
  <c r="AH60" i="15"/>
  <c r="AG65" i="15"/>
  <c r="AG73" i="15" s="1"/>
  <c r="AF73" i="15"/>
  <c r="AC73" i="15"/>
  <c r="AE65" i="15"/>
  <c r="AE73" i="15" s="1"/>
  <c r="AF65" i="15"/>
  <c r="AI65" i="15"/>
  <c r="AC65" i="15"/>
  <c r="AA65" i="15"/>
  <c r="Z73" i="15"/>
  <c r="AA73" i="15"/>
  <c r="Y60" i="15"/>
  <c r="W73" i="15"/>
  <c r="H42" i="21"/>
  <c r="M11" i="28"/>
  <c r="M9" i="15"/>
  <c r="M9" i="28"/>
  <c r="H18" i="21"/>
  <c r="M7" i="28"/>
  <c r="D7" i="21"/>
  <c r="H43" i="21"/>
  <c r="M13" i="28"/>
  <c r="Q65" i="15"/>
  <c r="Q73" i="15" s="1"/>
  <c r="P73" i="15"/>
  <c r="Z65" i="15"/>
  <c r="W65" i="15"/>
  <c r="X65" i="15"/>
  <c r="X73" i="15" s="1"/>
  <c r="V65" i="15"/>
  <c r="V73" i="15" s="1"/>
  <c r="P65" i="15"/>
  <c r="O65" i="15"/>
  <c r="M7" i="15"/>
  <c r="D5" i="21"/>
  <c r="G46" i="21"/>
  <c r="D6" i="21"/>
  <c r="C20" i="20"/>
  <c r="D20" i="20"/>
  <c r="B20" i="20"/>
  <c r="B24" i="20"/>
  <c r="B1" i="20"/>
  <c r="B4" i="20"/>
  <c r="B5" i="20"/>
  <c r="D24" i="20"/>
  <c r="C24" i="20"/>
  <c r="D5" i="20"/>
  <c r="C5" i="20"/>
  <c r="D4" i="20"/>
  <c r="C4" i="20"/>
  <c r="C1" i="20"/>
  <c r="D24" i="19"/>
  <c r="C24" i="19"/>
  <c r="B24" i="19"/>
  <c r="J5" i="19"/>
  <c r="I5" i="19"/>
  <c r="H5" i="19"/>
  <c r="G5" i="19"/>
  <c r="F5" i="19"/>
  <c r="E5" i="19"/>
  <c r="D5" i="19"/>
  <c r="C5" i="19"/>
  <c r="B5" i="19"/>
  <c r="J4" i="19"/>
  <c r="I4" i="19"/>
  <c r="H4" i="19"/>
  <c r="H7" i="19" s="1"/>
  <c r="G4" i="19"/>
  <c r="F4" i="19"/>
  <c r="E4" i="19"/>
  <c r="D4" i="19"/>
  <c r="C4" i="19"/>
  <c r="B4" i="19"/>
  <c r="I1" i="19"/>
  <c r="H1" i="19"/>
  <c r="G1" i="19"/>
  <c r="F1" i="19"/>
  <c r="E1" i="19"/>
  <c r="D1" i="19"/>
  <c r="C1" i="19"/>
  <c r="B1" i="19"/>
  <c r="AT65" i="15" l="1"/>
  <c r="AT73" i="15" s="1"/>
  <c r="AP74" i="15"/>
  <c r="AN73" i="15"/>
  <c r="AL73" i="15"/>
  <c r="AM73" i="15"/>
  <c r="AJ65" i="15"/>
  <c r="AJ73" i="15" s="1"/>
  <c r="AQ65" i="15"/>
  <c r="AV65" i="15"/>
  <c r="AV73" i="15" s="1"/>
  <c r="AN65" i="15"/>
  <c r="AP65" i="15"/>
  <c r="AU65" i="15"/>
  <c r="AU73" i="15" s="1"/>
  <c r="AX65" i="15"/>
  <c r="AX73" i="15" s="1"/>
  <c r="AM65" i="15"/>
  <c r="AL65" i="15"/>
  <c r="AH65" i="15"/>
  <c r="AH73" i="15" s="1"/>
  <c r="AD65" i="15"/>
  <c r="AD73" i="15" s="1"/>
  <c r="Y65" i="15"/>
  <c r="Y73" i="15" s="1"/>
  <c r="H9" i="19"/>
  <c r="H34" i="19" s="1"/>
  <c r="D9" i="21"/>
  <c r="C7" i="19"/>
  <c r="C9" i="19" s="1"/>
  <c r="I7" i="19"/>
  <c r="I9" i="19" s="1"/>
  <c r="M14" i="28"/>
  <c r="M22" i="28" s="1"/>
  <c r="M48" i="28" s="1"/>
  <c r="M53" i="28" s="1"/>
  <c r="B7" i="19"/>
  <c r="B9" i="19" s="1"/>
  <c r="O73" i="15"/>
  <c r="D7" i="19"/>
  <c r="D9" i="19" s="1"/>
  <c r="D34" i="19" s="1"/>
  <c r="J7" i="19"/>
  <c r="J9" i="19" s="1"/>
  <c r="E7" i="19"/>
  <c r="E9" i="19" s="1"/>
  <c r="F7" i="19"/>
  <c r="F9" i="19" s="1"/>
  <c r="F34" i="19" s="1"/>
  <c r="G7" i="19"/>
  <c r="G9" i="19" s="1"/>
  <c r="G34" i="19" s="1"/>
  <c r="B7" i="20"/>
  <c r="B9" i="20" s="1"/>
  <c r="D7" i="20"/>
  <c r="D9" i="20" s="1"/>
  <c r="D34" i="20" s="1"/>
  <c r="C7" i="20"/>
  <c r="C9" i="20" s="1"/>
  <c r="C34" i="20" s="1"/>
  <c r="AV74" i="15" l="1"/>
  <c r="AS74" i="15"/>
  <c r="AM74" i="15"/>
  <c r="AJ74" i="15"/>
  <c r="AG74" i="15"/>
  <c r="AD74" i="15"/>
  <c r="X74" i="15"/>
  <c r="M61" i="28"/>
  <c r="M17" i="28"/>
  <c r="O74" i="15"/>
  <c r="C11" i="20"/>
  <c r="C11" i="19"/>
  <c r="M53" i="15"/>
  <c r="L12" i="15"/>
  <c r="L10" i="15"/>
  <c r="L8" i="15"/>
  <c r="L6" i="15"/>
  <c r="L53" i="15" l="1"/>
  <c r="L45" i="15"/>
  <c r="L44" i="15"/>
  <c r="L50" i="15" l="1"/>
  <c r="L57" i="15"/>
  <c r="L56" i="15"/>
  <c r="B18" i="17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E46" i="17"/>
  <c r="N11" i="17" s="1"/>
  <c r="L43" i="17"/>
  <c r="G43" i="17" s="1"/>
  <c r="L13" i="28" s="1"/>
  <c r="L42" i="17"/>
  <c r="G42" i="17" s="1"/>
  <c r="L11" i="28" s="1"/>
  <c r="L41" i="17"/>
  <c r="G41" i="17" s="1"/>
  <c r="H41" i="17" s="1"/>
  <c r="L40" i="17"/>
  <c r="G40" i="17" s="1"/>
  <c r="H40" i="17" s="1"/>
  <c r="L39" i="17"/>
  <c r="G39" i="17" s="1"/>
  <c r="L38" i="17"/>
  <c r="G38" i="17" s="1"/>
  <c r="H38" i="17" s="1"/>
  <c r="L37" i="17"/>
  <c r="G37" i="17" s="1"/>
  <c r="H37" i="17" s="1"/>
  <c r="L36" i="17"/>
  <c r="G36" i="17" s="1"/>
  <c r="H36" i="17" s="1"/>
  <c r="L35" i="17"/>
  <c r="G35" i="17" s="1"/>
  <c r="H35" i="17" s="1"/>
  <c r="L34" i="17"/>
  <c r="G34" i="17" s="1"/>
  <c r="H34" i="17" s="1"/>
  <c r="L33" i="17"/>
  <c r="G33" i="17" s="1"/>
  <c r="H33" i="17" s="1"/>
  <c r="L32" i="17"/>
  <c r="G32" i="17" s="1"/>
  <c r="H32" i="17" s="1"/>
  <c r="L31" i="17"/>
  <c r="G31" i="17" s="1"/>
  <c r="H31" i="17" s="1"/>
  <c r="L30" i="17"/>
  <c r="G30" i="17" s="1"/>
  <c r="H30" i="17" s="1"/>
  <c r="L29" i="17"/>
  <c r="G29" i="17" s="1"/>
  <c r="H29" i="17" s="1"/>
  <c r="L28" i="17"/>
  <c r="G28" i="17" s="1"/>
  <c r="H28" i="17" s="1"/>
  <c r="L27" i="17"/>
  <c r="G27" i="17" s="1"/>
  <c r="H27" i="17" s="1"/>
  <c r="L26" i="17"/>
  <c r="G26" i="17" s="1"/>
  <c r="H26" i="17" s="1"/>
  <c r="L25" i="17"/>
  <c r="G25" i="17" s="1"/>
  <c r="H25" i="17" s="1"/>
  <c r="L24" i="17"/>
  <c r="G24" i="17" s="1"/>
  <c r="H24" i="17" s="1"/>
  <c r="L23" i="17"/>
  <c r="G23" i="17" s="1"/>
  <c r="H23" i="17" s="1"/>
  <c r="L22" i="17"/>
  <c r="G22" i="17" s="1"/>
  <c r="H22" i="17" s="1"/>
  <c r="L21" i="17"/>
  <c r="G21" i="17" s="1"/>
  <c r="H21" i="17" s="1"/>
  <c r="L20" i="17"/>
  <c r="G20" i="17" s="1"/>
  <c r="H20" i="17" s="1"/>
  <c r="L19" i="17"/>
  <c r="G19" i="17" s="1"/>
  <c r="L18" i="17"/>
  <c r="G18" i="17" s="1"/>
  <c r="L11" i="17"/>
  <c r="L10" i="17"/>
  <c r="M9" i="17"/>
  <c r="M12" i="17" s="1"/>
  <c r="L9" i="17"/>
  <c r="K39" i="15"/>
  <c r="L7" i="28" l="1"/>
  <c r="L9" i="28"/>
  <c r="H42" i="17"/>
  <c r="L11" i="15"/>
  <c r="H43" i="17"/>
  <c r="L13" i="15"/>
  <c r="L9" i="15"/>
  <c r="H39" i="17"/>
  <c r="L7" i="15"/>
  <c r="N9" i="17"/>
  <c r="N10" i="17"/>
  <c r="G46" i="17"/>
  <c r="D9" i="17" s="1"/>
  <c r="B37" i="17"/>
  <c r="B38" i="17" s="1"/>
  <c r="B39" i="17"/>
  <c r="B40" i="17" s="1"/>
  <c r="B41" i="17" s="1"/>
  <c r="B42" i="17" s="1"/>
  <c r="B43" i="17" s="1"/>
  <c r="D6" i="17"/>
  <c r="H19" i="17"/>
  <c r="D5" i="17"/>
  <c r="D7" i="17"/>
  <c r="H18" i="17"/>
  <c r="L14" i="28" l="1"/>
  <c r="L17" i="28" s="1"/>
  <c r="N12" i="17"/>
  <c r="K44" i="15"/>
  <c r="L22" i="28" l="1"/>
  <c r="L48" i="28" s="1"/>
  <c r="L53" i="28" s="1"/>
  <c r="K45" i="15"/>
  <c r="L55" i="28" l="1"/>
  <c r="L61" i="28"/>
  <c r="L62" i="28" s="1"/>
  <c r="D38" i="15"/>
  <c r="J53" i="15"/>
  <c r="I53" i="15"/>
  <c r="H53" i="15"/>
  <c r="H52" i="15"/>
  <c r="G53" i="15"/>
  <c r="E53" i="15"/>
  <c r="D53" i="15"/>
  <c r="D52" i="15"/>
  <c r="C48" i="15"/>
  <c r="J45" i="15"/>
  <c r="J44" i="15"/>
  <c r="I45" i="15"/>
  <c r="I44" i="15"/>
  <c r="H45" i="15"/>
  <c r="H44" i="15"/>
  <c r="G45" i="15"/>
  <c r="G44" i="15"/>
  <c r="F45" i="15"/>
  <c r="F44" i="15"/>
  <c r="E45" i="15"/>
  <c r="E44" i="15"/>
  <c r="D45" i="15"/>
  <c r="D44" i="15"/>
  <c r="C52" i="15"/>
  <c r="C45" i="15"/>
  <c r="C44" i="15"/>
  <c r="E57" i="15" l="1"/>
  <c r="N57" i="15"/>
  <c r="M57" i="15"/>
  <c r="K57" i="15"/>
  <c r="N56" i="15"/>
  <c r="M56" i="15"/>
  <c r="K56" i="15"/>
  <c r="J56" i="15"/>
  <c r="I56" i="15"/>
  <c r="G56" i="15"/>
  <c r="F56" i="15"/>
  <c r="E56" i="15"/>
  <c r="D56" i="15"/>
  <c r="C56" i="15"/>
  <c r="N50" i="15"/>
  <c r="M50" i="15"/>
  <c r="K50" i="15"/>
  <c r="J50" i="15"/>
  <c r="I50" i="15"/>
  <c r="H50" i="15"/>
  <c r="G50" i="15"/>
  <c r="F57" i="15"/>
  <c r="E50" i="15"/>
  <c r="D50" i="15"/>
  <c r="C57" i="15"/>
  <c r="N40" i="15"/>
  <c r="M40" i="15"/>
  <c r="L40" i="15"/>
  <c r="J40" i="15"/>
  <c r="I40" i="15"/>
  <c r="H40" i="15"/>
  <c r="G40" i="15"/>
  <c r="F40" i="15"/>
  <c r="E40" i="15"/>
  <c r="D40" i="15"/>
  <c r="C40" i="15"/>
  <c r="K40" i="15"/>
  <c r="N33" i="15"/>
  <c r="M33" i="15"/>
  <c r="N26" i="15"/>
  <c r="N29" i="15" s="1"/>
  <c r="M26" i="15"/>
  <c r="M29" i="15" s="1"/>
  <c r="L26" i="15"/>
  <c r="K12" i="15"/>
  <c r="H12" i="15"/>
  <c r="G12" i="15"/>
  <c r="F12" i="15"/>
  <c r="E12" i="15"/>
  <c r="D12" i="15"/>
  <c r="C12" i="15"/>
  <c r="K10" i="15"/>
  <c r="H10" i="15"/>
  <c r="G10" i="15"/>
  <c r="F10" i="15"/>
  <c r="E10" i="15"/>
  <c r="D10" i="15"/>
  <c r="C10" i="15"/>
  <c r="K8" i="15"/>
  <c r="H8" i="15"/>
  <c r="G8" i="15"/>
  <c r="F8" i="15"/>
  <c r="E8" i="15"/>
  <c r="D8" i="15"/>
  <c r="C8" i="15"/>
  <c r="K6" i="15"/>
  <c r="H6" i="15"/>
  <c r="G6" i="15"/>
  <c r="F6" i="15"/>
  <c r="E6" i="15"/>
  <c r="D6" i="15"/>
  <c r="C6" i="15"/>
  <c r="K5" i="15"/>
  <c r="J5" i="15"/>
  <c r="I5" i="15"/>
  <c r="H5" i="15"/>
  <c r="G5" i="15"/>
  <c r="F5" i="15"/>
  <c r="E5" i="15"/>
  <c r="D5" i="15"/>
  <c r="C5" i="15"/>
  <c r="L29" i="15" l="1"/>
  <c r="K28" i="15"/>
  <c r="N34" i="15"/>
  <c r="N60" i="15" s="1"/>
  <c r="M34" i="15"/>
  <c r="M60" i="15" s="1"/>
  <c r="H56" i="15"/>
  <c r="D57" i="15"/>
  <c r="G57" i="15"/>
  <c r="D28" i="15"/>
  <c r="E28" i="15"/>
  <c r="F28" i="15"/>
  <c r="H28" i="15"/>
  <c r="G28" i="15"/>
  <c r="C28" i="15"/>
  <c r="C50" i="15"/>
  <c r="H57" i="15"/>
  <c r="I57" i="15"/>
  <c r="F50" i="15"/>
  <c r="J57" i="15"/>
  <c r="L37" i="14"/>
  <c r="G37" i="14" s="1"/>
  <c r="H37" i="14" s="1"/>
  <c r="L38" i="14"/>
  <c r="G38" i="14" s="1"/>
  <c r="H38" i="14" s="1"/>
  <c r="L39" i="14"/>
  <c r="G39" i="14" s="1"/>
  <c r="L40" i="14"/>
  <c r="G40" i="14" s="1"/>
  <c r="H40" i="14" s="1"/>
  <c r="L43" i="14"/>
  <c r="G43" i="14" s="1"/>
  <c r="K13" i="28" s="1"/>
  <c r="B19" i="14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9" i="14" s="1"/>
  <c r="B40" i="14" s="1"/>
  <c r="B41" i="14" s="1"/>
  <c r="B42" i="14" s="1"/>
  <c r="B43" i="14" s="1"/>
  <c r="L42" i="14"/>
  <c r="G42" i="14" s="1"/>
  <c r="K11" i="28" s="1"/>
  <c r="E46" i="14"/>
  <c r="L41" i="14"/>
  <c r="G41" i="14" s="1"/>
  <c r="H41" i="14" s="1"/>
  <c r="L36" i="14"/>
  <c r="L35" i="14"/>
  <c r="L34" i="14"/>
  <c r="L33" i="14"/>
  <c r="L32" i="14"/>
  <c r="L31" i="14"/>
  <c r="G31" i="14" s="1"/>
  <c r="H31" i="14" s="1"/>
  <c r="L30" i="14"/>
  <c r="G30" i="14" s="1"/>
  <c r="H30" i="14" s="1"/>
  <c r="L29" i="14"/>
  <c r="G29" i="14" s="1"/>
  <c r="H29" i="14" s="1"/>
  <c r="L28" i="14"/>
  <c r="G28" i="14" s="1"/>
  <c r="H28" i="14" s="1"/>
  <c r="L27" i="14"/>
  <c r="G27" i="14" s="1"/>
  <c r="H27" i="14" s="1"/>
  <c r="L26" i="14"/>
  <c r="G26" i="14" s="1"/>
  <c r="H26" i="14" s="1"/>
  <c r="L25" i="14"/>
  <c r="G25" i="14" s="1"/>
  <c r="H25" i="14" s="1"/>
  <c r="L24" i="14"/>
  <c r="G24" i="14" s="1"/>
  <c r="H24" i="14" s="1"/>
  <c r="L23" i="14"/>
  <c r="G23" i="14" s="1"/>
  <c r="H23" i="14" s="1"/>
  <c r="L22" i="14"/>
  <c r="G22" i="14" s="1"/>
  <c r="H22" i="14" s="1"/>
  <c r="L21" i="14"/>
  <c r="G21" i="14" s="1"/>
  <c r="H21" i="14" s="1"/>
  <c r="L20" i="14"/>
  <c r="G20" i="14" s="1"/>
  <c r="H20" i="14" s="1"/>
  <c r="L19" i="14"/>
  <c r="G19" i="14" s="1"/>
  <c r="L18" i="14"/>
  <c r="G18" i="14" s="1"/>
  <c r="L11" i="14"/>
  <c r="L10" i="14"/>
  <c r="M9" i="14"/>
  <c r="M12" i="14" s="1"/>
  <c r="L9" i="14"/>
  <c r="E41" i="13"/>
  <c r="E40" i="13"/>
  <c r="J8" i="28" l="1"/>
  <c r="J10" i="28"/>
  <c r="J12" i="28"/>
  <c r="J6" i="28"/>
  <c r="K7" i="28"/>
  <c r="M65" i="15"/>
  <c r="M73" i="15" s="1"/>
  <c r="N65" i="15"/>
  <c r="N73" i="15"/>
  <c r="J12" i="15"/>
  <c r="J8" i="15"/>
  <c r="J10" i="15"/>
  <c r="J6" i="15"/>
  <c r="E44" i="13"/>
  <c r="N10" i="13" s="1"/>
  <c r="B37" i="14"/>
  <c r="B38" i="14" s="1"/>
  <c r="H43" i="14"/>
  <c r="K13" i="15"/>
  <c r="H42" i="14"/>
  <c r="K11" i="15"/>
  <c r="H39" i="14"/>
  <c r="K7" i="15"/>
  <c r="G36" i="14"/>
  <c r="H36" i="14" s="1"/>
  <c r="G33" i="14"/>
  <c r="H33" i="14" s="1"/>
  <c r="G34" i="14"/>
  <c r="H34" i="14" s="1"/>
  <c r="G32" i="14"/>
  <c r="H32" i="14" s="1"/>
  <c r="G35" i="14"/>
  <c r="H35" i="14" s="1"/>
  <c r="H19" i="14"/>
  <c r="N9" i="14"/>
  <c r="N11" i="14"/>
  <c r="N10" i="14"/>
  <c r="D7" i="14"/>
  <c r="H18" i="14"/>
  <c r="L22" i="13"/>
  <c r="M9" i="13"/>
  <c r="M12" i="13" s="1"/>
  <c r="B19" i="13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L40" i="13"/>
  <c r="L39" i="13"/>
  <c r="L36" i="13"/>
  <c r="M36" i="13" s="1"/>
  <c r="L35" i="13"/>
  <c r="M35" i="13" s="1"/>
  <c r="L34" i="13"/>
  <c r="M34" i="13" s="1"/>
  <c r="L33" i="13"/>
  <c r="N33" i="13" s="1"/>
  <c r="L32" i="13"/>
  <c r="M32" i="13" s="1"/>
  <c r="L31" i="13"/>
  <c r="L30" i="13"/>
  <c r="L29" i="13"/>
  <c r="L28" i="13"/>
  <c r="L27" i="13"/>
  <c r="L26" i="13"/>
  <c r="L25" i="13"/>
  <c r="L24" i="13"/>
  <c r="L23" i="13"/>
  <c r="L21" i="13"/>
  <c r="L20" i="13"/>
  <c r="L19" i="13"/>
  <c r="L18" i="13"/>
  <c r="G18" i="13" s="1"/>
  <c r="L11" i="13"/>
  <c r="L10" i="13"/>
  <c r="L9" i="13"/>
  <c r="J16" i="28" l="1"/>
  <c r="K9" i="28"/>
  <c r="K14" i="28" s="1"/>
  <c r="K22" i="28" s="1"/>
  <c r="K48" i="28" s="1"/>
  <c r="K9" i="15"/>
  <c r="K26" i="15" s="1"/>
  <c r="J28" i="15"/>
  <c r="N12" i="14"/>
  <c r="D6" i="14"/>
  <c r="G46" i="14"/>
  <c r="D5" i="14"/>
  <c r="H18" i="13"/>
  <c r="N36" i="13"/>
  <c r="N34" i="13"/>
  <c r="M33" i="13"/>
  <c r="N35" i="13"/>
  <c r="N32" i="13"/>
  <c r="N9" i="13"/>
  <c r="N11" i="13"/>
  <c r="L39" i="12"/>
  <c r="N39" i="12" s="1"/>
  <c r="L38" i="12"/>
  <c r="M38" i="12" s="1"/>
  <c r="E42" i="12"/>
  <c r="N41" i="12"/>
  <c r="M41" i="12"/>
  <c r="E41" i="12"/>
  <c r="L42" i="12"/>
  <c r="L41" i="12"/>
  <c r="L40" i="12"/>
  <c r="N40" i="12" s="1"/>
  <c r="L37" i="12"/>
  <c r="N37" i="12" s="1"/>
  <c r="L36" i="12"/>
  <c r="M36" i="12" s="1"/>
  <c r="L35" i="12"/>
  <c r="N35" i="12" s="1"/>
  <c r="L34" i="12"/>
  <c r="L33" i="12"/>
  <c r="M33" i="12" s="1"/>
  <c r="L32" i="12"/>
  <c r="L31" i="12"/>
  <c r="L30" i="12"/>
  <c r="M30" i="12" s="1"/>
  <c r="L29" i="12"/>
  <c r="N29" i="12" s="1"/>
  <c r="L28" i="12"/>
  <c r="N28" i="12" s="1"/>
  <c r="L27" i="12"/>
  <c r="M27" i="12" s="1"/>
  <c r="G27" i="12" s="1"/>
  <c r="H27" i="12" s="1"/>
  <c r="L26" i="12"/>
  <c r="L25" i="12"/>
  <c r="N25" i="12" s="1"/>
  <c r="L24" i="12"/>
  <c r="M24" i="12" s="1"/>
  <c r="L23" i="12"/>
  <c r="L22" i="12"/>
  <c r="L21" i="12"/>
  <c r="M21" i="12" s="1"/>
  <c r="L20" i="12"/>
  <c r="N20" i="12" s="1"/>
  <c r="L19" i="12"/>
  <c r="N19" i="12" s="1"/>
  <c r="L18" i="12"/>
  <c r="L11" i="12"/>
  <c r="L10" i="12"/>
  <c r="M9" i="12"/>
  <c r="M12" i="12" s="1"/>
  <c r="L9" i="12"/>
  <c r="E45" i="11"/>
  <c r="N11" i="11" s="1"/>
  <c r="L42" i="11"/>
  <c r="N42" i="11" s="1"/>
  <c r="L41" i="11"/>
  <c r="M41" i="11" s="1"/>
  <c r="L40" i="11"/>
  <c r="N40" i="11" s="1"/>
  <c r="L39" i="11"/>
  <c r="L38" i="11"/>
  <c r="M38" i="11" s="1"/>
  <c r="G38" i="11" s="1"/>
  <c r="H38" i="11" s="1"/>
  <c r="L37" i="11"/>
  <c r="M37" i="11" s="1"/>
  <c r="G37" i="11" s="1"/>
  <c r="H37" i="11" s="1"/>
  <c r="L36" i="11"/>
  <c r="L35" i="11"/>
  <c r="M35" i="11" s="1"/>
  <c r="G35" i="11" s="1"/>
  <c r="H35" i="11" s="1"/>
  <c r="L34" i="11"/>
  <c r="M34" i="11" s="1"/>
  <c r="G34" i="11" s="1"/>
  <c r="H34" i="11" s="1"/>
  <c r="L33" i="11"/>
  <c r="L32" i="11"/>
  <c r="M32" i="11" s="1"/>
  <c r="G32" i="11" s="1"/>
  <c r="H32" i="11" s="1"/>
  <c r="L31" i="11"/>
  <c r="M31" i="11" s="1"/>
  <c r="G31" i="11" s="1"/>
  <c r="H31" i="11" s="1"/>
  <c r="L30" i="11"/>
  <c r="L29" i="11"/>
  <c r="M29" i="11" s="1"/>
  <c r="G29" i="11" s="1"/>
  <c r="H29" i="11" s="1"/>
  <c r="L28" i="11"/>
  <c r="M28" i="11" s="1"/>
  <c r="G28" i="11" s="1"/>
  <c r="H28" i="11" s="1"/>
  <c r="L27" i="11"/>
  <c r="L26" i="11"/>
  <c r="M26" i="11" s="1"/>
  <c r="G26" i="11" s="1"/>
  <c r="H26" i="11" s="1"/>
  <c r="L25" i="11"/>
  <c r="M25" i="11" s="1"/>
  <c r="G25" i="11" s="1"/>
  <c r="H25" i="11" s="1"/>
  <c r="L24" i="11"/>
  <c r="L23" i="11"/>
  <c r="G23" i="11" s="1"/>
  <c r="H23" i="11" s="1"/>
  <c r="L22" i="11"/>
  <c r="L21" i="11"/>
  <c r="M21" i="11" s="1"/>
  <c r="G21" i="11" s="1"/>
  <c r="H21" i="11" s="1"/>
  <c r="L20" i="11"/>
  <c r="M20" i="11" s="1"/>
  <c r="G20" i="11" s="1"/>
  <c r="H20" i="11" s="1"/>
  <c r="L19" i="11"/>
  <c r="L18" i="11"/>
  <c r="M18" i="11" s="1"/>
  <c r="G18" i="11" s="1"/>
  <c r="L11" i="11"/>
  <c r="L10" i="11"/>
  <c r="M9" i="11"/>
  <c r="M12" i="11" s="1"/>
  <c r="L9" i="11"/>
  <c r="L30" i="10"/>
  <c r="N30" i="10" s="1"/>
  <c r="L29" i="10"/>
  <c r="M29" i="10" s="1"/>
  <c r="L28" i="10"/>
  <c r="M28" i="10" s="1"/>
  <c r="L27" i="10"/>
  <c r="L26" i="10"/>
  <c r="M26" i="10" s="1"/>
  <c r="G26" i="10" s="1"/>
  <c r="H26" i="10" s="1"/>
  <c r="L25" i="10"/>
  <c r="M25" i="10" s="1"/>
  <c r="G25" i="10" s="1"/>
  <c r="H25" i="10" s="1"/>
  <c r="L24" i="10"/>
  <c r="L23" i="10"/>
  <c r="M23" i="10" s="1"/>
  <c r="G23" i="10" s="1"/>
  <c r="H23" i="10" s="1"/>
  <c r="L22" i="10"/>
  <c r="M22" i="10" s="1"/>
  <c r="G22" i="10" s="1"/>
  <c r="H22" i="10" s="1"/>
  <c r="L21" i="10"/>
  <c r="L20" i="10"/>
  <c r="M20" i="10" s="1"/>
  <c r="G20" i="10" s="1"/>
  <c r="H20" i="10" s="1"/>
  <c r="L19" i="10"/>
  <c r="M19" i="10" s="1"/>
  <c r="G19" i="10" s="1"/>
  <c r="H19" i="10" s="1"/>
  <c r="L18" i="10"/>
  <c r="E45" i="10"/>
  <c r="N10" i="10" s="1"/>
  <c r="L11" i="10"/>
  <c r="L10" i="10"/>
  <c r="M9" i="10"/>
  <c r="M12" i="10" s="1"/>
  <c r="L9" i="10"/>
  <c r="L36" i="9"/>
  <c r="N36" i="9" s="1"/>
  <c r="L35" i="9"/>
  <c r="M35" i="9" s="1"/>
  <c r="L34" i="9"/>
  <c r="N34" i="9" s="1"/>
  <c r="N33" i="9"/>
  <c r="M33" i="9"/>
  <c r="L33" i="9"/>
  <c r="N32" i="9"/>
  <c r="M32" i="9"/>
  <c r="L32" i="9"/>
  <c r="N31" i="9"/>
  <c r="M31" i="9"/>
  <c r="L31" i="9"/>
  <c r="N30" i="9"/>
  <c r="M30" i="9"/>
  <c r="L30" i="9"/>
  <c r="N29" i="9"/>
  <c r="M29" i="9"/>
  <c r="L29" i="9"/>
  <c r="N28" i="9"/>
  <c r="M28" i="9"/>
  <c r="L28" i="9"/>
  <c r="N27" i="9"/>
  <c r="M27" i="9"/>
  <c r="L27" i="9"/>
  <c r="N26" i="9"/>
  <c r="M26" i="9"/>
  <c r="L26" i="9"/>
  <c r="N25" i="9"/>
  <c r="M25" i="9"/>
  <c r="L25" i="9"/>
  <c r="N24" i="9"/>
  <c r="M24" i="9"/>
  <c r="L24" i="9"/>
  <c r="N23" i="9"/>
  <c r="M23" i="9"/>
  <c r="L23" i="9"/>
  <c r="N22" i="9"/>
  <c r="M22" i="9"/>
  <c r="L22" i="9"/>
  <c r="N21" i="9"/>
  <c r="M21" i="9"/>
  <c r="L21" i="9"/>
  <c r="N20" i="9"/>
  <c r="M20" i="9"/>
  <c r="L20" i="9"/>
  <c r="N19" i="9"/>
  <c r="M19" i="9"/>
  <c r="L19" i="9"/>
  <c r="N18" i="9"/>
  <c r="M18" i="9"/>
  <c r="L18" i="9"/>
  <c r="E45" i="9"/>
  <c r="N11" i="9" s="1"/>
  <c r="L11" i="9"/>
  <c r="L10" i="9"/>
  <c r="M9" i="9"/>
  <c r="M12" i="9" s="1"/>
  <c r="L9" i="9"/>
  <c r="E45" i="8"/>
  <c r="N10" i="8" s="1"/>
  <c r="L40" i="8"/>
  <c r="N40" i="8" s="1"/>
  <c r="L39" i="8"/>
  <c r="M39" i="8" s="1"/>
  <c r="L38" i="8"/>
  <c r="N38" i="8" s="1"/>
  <c r="N37" i="8"/>
  <c r="M37" i="8"/>
  <c r="L37" i="8"/>
  <c r="N36" i="8"/>
  <c r="M36" i="8"/>
  <c r="L36" i="8"/>
  <c r="N35" i="8"/>
  <c r="M35" i="8"/>
  <c r="L35" i="8"/>
  <c r="N34" i="8"/>
  <c r="M34" i="8"/>
  <c r="L34" i="8"/>
  <c r="N33" i="8"/>
  <c r="M33" i="8"/>
  <c r="L33" i="8"/>
  <c r="N32" i="8"/>
  <c r="M32" i="8"/>
  <c r="L32" i="8"/>
  <c r="N31" i="8"/>
  <c r="M31" i="8"/>
  <c r="L31" i="8"/>
  <c r="N30" i="8"/>
  <c r="M30" i="8"/>
  <c r="L30" i="8"/>
  <c r="N29" i="8"/>
  <c r="M29" i="8"/>
  <c r="L29" i="8"/>
  <c r="N28" i="8"/>
  <c r="M28" i="8"/>
  <c r="L28" i="8"/>
  <c r="N27" i="8"/>
  <c r="M27" i="8"/>
  <c r="L27" i="8"/>
  <c r="N26" i="8"/>
  <c r="M26" i="8"/>
  <c r="L26" i="8"/>
  <c r="N25" i="8"/>
  <c r="M25" i="8"/>
  <c r="L25" i="8"/>
  <c r="N24" i="8"/>
  <c r="M24" i="8"/>
  <c r="L24" i="8"/>
  <c r="N23" i="8"/>
  <c r="M23" i="8"/>
  <c r="L23" i="8"/>
  <c r="N22" i="8"/>
  <c r="M22" i="8"/>
  <c r="L22" i="8"/>
  <c r="N21" i="8"/>
  <c r="M21" i="8"/>
  <c r="L21" i="8"/>
  <c r="N20" i="8"/>
  <c r="M20" i="8"/>
  <c r="L20" i="8"/>
  <c r="N19" i="8"/>
  <c r="M19" i="8"/>
  <c r="L19" i="8"/>
  <c r="N18" i="8"/>
  <c r="M18" i="8"/>
  <c r="L18" i="8"/>
  <c r="L11" i="8"/>
  <c r="L10" i="8"/>
  <c r="M9" i="8"/>
  <c r="M12" i="8" s="1"/>
  <c r="L9" i="8"/>
  <c r="L34" i="7"/>
  <c r="N34" i="7" s="1"/>
  <c r="L33" i="7"/>
  <c r="M33" i="7" s="1"/>
  <c r="L32" i="7"/>
  <c r="N32" i="7" s="1"/>
  <c r="N31" i="7"/>
  <c r="M31" i="7"/>
  <c r="L31" i="7"/>
  <c r="N30" i="7"/>
  <c r="M30" i="7"/>
  <c r="L30" i="7"/>
  <c r="N29" i="7"/>
  <c r="M29" i="7"/>
  <c r="L29" i="7"/>
  <c r="N28" i="7"/>
  <c r="M28" i="7"/>
  <c r="L28" i="7"/>
  <c r="N27" i="7"/>
  <c r="M27" i="7"/>
  <c r="L27" i="7"/>
  <c r="N26" i="7"/>
  <c r="M26" i="7"/>
  <c r="L26" i="7"/>
  <c r="N25" i="7"/>
  <c r="M25" i="7"/>
  <c r="L25" i="7"/>
  <c r="N24" i="7"/>
  <c r="M24" i="7"/>
  <c r="L24" i="7"/>
  <c r="N23" i="7"/>
  <c r="M23" i="7"/>
  <c r="L23" i="7"/>
  <c r="N22" i="7"/>
  <c r="M22" i="7"/>
  <c r="L22" i="7"/>
  <c r="N21" i="7"/>
  <c r="M21" i="7"/>
  <c r="L21" i="7"/>
  <c r="N20" i="7"/>
  <c r="M20" i="7"/>
  <c r="L20" i="7"/>
  <c r="N19" i="7"/>
  <c r="M19" i="7"/>
  <c r="L19" i="7"/>
  <c r="N18" i="7"/>
  <c r="M18" i="7"/>
  <c r="L18" i="7"/>
  <c r="E45" i="7"/>
  <c r="N9" i="7" s="1"/>
  <c r="L11" i="7"/>
  <c r="L10" i="7"/>
  <c r="M9" i="7"/>
  <c r="M12" i="7" s="1"/>
  <c r="L9" i="7"/>
  <c r="I8" i="28" l="1"/>
  <c r="I12" i="28"/>
  <c r="I6" i="28"/>
  <c r="I10" i="28"/>
  <c r="N10" i="11"/>
  <c r="K53" i="28"/>
  <c r="K61" i="28"/>
  <c r="D9" i="14"/>
  <c r="K17" i="28"/>
  <c r="K29" i="15"/>
  <c r="M38" i="8"/>
  <c r="G22" i="9"/>
  <c r="H22" i="9" s="1"/>
  <c r="G28" i="9"/>
  <c r="H28" i="9" s="1"/>
  <c r="G28" i="8"/>
  <c r="H28" i="8" s="1"/>
  <c r="G23" i="8"/>
  <c r="H23" i="8" s="1"/>
  <c r="G29" i="8"/>
  <c r="H29" i="8" s="1"/>
  <c r="G31" i="8"/>
  <c r="H31" i="8" s="1"/>
  <c r="G33" i="8"/>
  <c r="H33" i="8" s="1"/>
  <c r="G19" i="9"/>
  <c r="H19" i="9" s="1"/>
  <c r="G21" i="9"/>
  <c r="H21" i="9" s="1"/>
  <c r="G31" i="9"/>
  <c r="H31" i="9" s="1"/>
  <c r="N9" i="8"/>
  <c r="G33" i="9"/>
  <c r="H33" i="9" s="1"/>
  <c r="N28" i="10"/>
  <c r="G28" i="10" s="1"/>
  <c r="G7" i="28" s="1"/>
  <c r="G28" i="7"/>
  <c r="H28" i="7" s="1"/>
  <c r="G35" i="8"/>
  <c r="H35" i="8" s="1"/>
  <c r="I12" i="15"/>
  <c r="I10" i="15"/>
  <c r="I8" i="15"/>
  <c r="I6" i="15"/>
  <c r="G18" i="9"/>
  <c r="G22" i="8"/>
  <c r="H22" i="8" s="1"/>
  <c r="G24" i="8"/>
  <c r="H24" i="8" s="1"/>
  <c r="G34" i="8"/>
  <c r="H34" i="8" s="1"/>
  <c r="G25" i="9"/>
  <c r="H25" i="9" s="1"/>
  <c r="G29" i="9"/>
  <c r="H29" i="9" s="1"/>
  <c r="N29" i="10"/>
  <c r="N9" i="11"/>
  <c r="N12" i="11" s="1"/>
  <c r="H18" i="11"/>
  <c r="N9" i="10"/>
  <c r="G29" i="7"/>
  <c r="H29" i="7" s="1"/>
  <c r="G31" i="7"/>
  <c r="H31" i="7" s="1"/>
  <c r="G20" i="8"/>
  <c r="H20" i="8" s="1"/>
  <c r="G32" i="8"/>
  <c r="H32" i="8" s="1"/>
  <c r="G38" i="8"/>
  <c r="E7" i="28" s="1"/>
  <c r="G24" i="9"/>
  <c r="H24" i="9" s="1"/>
  <c r="G30" i="9"/>
  <c r="H30" i="9" s="1"/>
  <c r="G32" i="9"/>
  <c r="H32" i="9" s="1"/>
  <c r="G27" i="7"/>
  <c r="H27" i="7" s="1"/>
  <c r="G22" i="7"/>
  <c r="H22" i="7" s="1"/>
  <c r="G24" i="7"/>
  <c r="H24" i="7" s="1"/>
  <c r="G19" i="8"/>
  <c r="H19" i="8" s="1"/>
  <c r="G21" i="8"/>
  <c r="H21" i="8" s="1"/>
  <c r="G26" i="8"/>
  <c r="H26" i="8" s="1"/>
  <c r="G37" i="8"/>
  <c r="H37" i="8" s="1"/>
  <c r="N11" i="8"/>
  <c r="N11" i="10"/>
  <c r="N10" i="7"/>
  <c r="G20" i="7"/>
  <c r="H20" i="7" s="1"/>
  <c r="G30" i="7"/>
  <c r="H30" i="7" s="1"/>
  <c r="G30" i="8"/>
  <c r="H30" i="8" s="1"/>
  <c r="N39" i="8"/>
  <c r="G39" i="8" s="1"/>
  <c r="N9" i="9"/>
  <c r="G23" i="9"/>
  <c r="H23" i="9" s="1"/>
  <c r="G27" i="9"/>
  <c r="H27" i="9" s="1"/>
  <c r="M34" i="9"/>
  <c r="G34" i="9" s="1"/>
  <c r="F7" i="28" s="1"/>
  <c r="N10" i="9"/>
  <c r="G25" i="8"/>
  <c r="H25" i="8" s="1"/>
  <c r="G27" i="8"/>
  <c r="H27" i="8" s="1"/>
  <c r="N11" i="7"/>
  <c r="G19" i="7"/>
  <c r="H19" i="7" s="1"/>
  <c r="G18" i="8"/>
  <c r="G36" i="8"/>
  <c r="H36" i="8" s="1"/>
  <c r="G20" i="9"/>
  <c r="H20" i="9" s="1"/>
  <c r="N42" i="12"/>
  <c r="G23" i="7"/>
  <c r="H23" i="7" s="1"/>
  <c r="G26" i="9"/>
  <c r="H26" i="9" s="1"/>
  <c r="N35" i="9"/>
  <c r="G35" i="9" s="1"/>
  <c r="G29" i="10"/>
  <c r="M18" i="12"/>
  <c r="G18" i="12" s="1"/>
  <c r="N12" i="13"/>
  <c r="M42" i="12"/>
  <c r="M29" i="12"/>
  <c r="G29" i="12" s="1"/>
  <c r="H29" i="12" s="1"/>
  <c r="E45" i="12"/>
  <c r="M35" i="12"/>
  <c r="G35" i="12" s="1"/>
  <c r="H35" i="12" s="1"/>
  <c r="G36" i="12"/>
  <c r="H36" i="12" s="1"/>
  <c r="N33" i="12"/>
  <c r="G33" i="12" s="1"/>
  <c r="H33" i="12" s="1"/>
  <c r="M26" i="12"/>
  <c r="G26" i="12" s="1"/>
  <c r="H26" i="12" s="1"/>
  <c r="N24" i="12"/>
  <c r="G24" i="12" s="1"/>
  <c r="H24" i="12" s="1"/>
  <c r="N38" i="12"/>
  <c r="G38" i="12" s="1"/>
  <c r="M39" i="12"/>
  <c r="G39" i="12" s="1"/>
  <c r="H39" i="12" s="1"/>
  <c r="M19" i="12"/>
  <c r="G19" i="12" s="1"/>
  <c r="H19" i="12" s="1"/>
  <c r="M22" i="12"/>
  <c r="G22" i="12" s="1"/>
  <c r="H22" i="12" s="1"/>
  <c r="M25" i="12"/>
  <c r="G25" i="12" s="1"/>
  <c r="H25" i="12" s="1"/>
  <c r="M28" i="12"/>
  <c r="G28" i="12" s="1"/>
  <c r="H28" i="12" s="1"/>
  <c r="M31" i="12"/>
  <c r="G31" i="12" s="1"/>
  <c r="H31" i="12" s="1"/>
  <c r="M34" i="12"/>
  <c r="G34" i="12" s="1"/>
  <c r="H34" i="12" s="1"/>
  <c r="M37" i="12"/>
  <c r="G37" i="12" s="1"/>
  <c r="H37" i="12" s="1"/>
  <c r="M20" i="12"/>
  <c r="G20" i="12" s="1"/>
  <c r="H20" i="12" s="1"/>
  <c r="M23" i="12"/>
  <c r="G23" i="12" s="1"/>
  <c r="H23" i="12" s="1"/>
  <c r="M32" i="12"/>
  <c r="G30" i="12"/>
  <c r="H30" i="12" s="1"/>
  <c r="N32" i="12"/>
  <c r="M40" i="12"/>
  <c r="G40" i="12" s="1"/>
  <c r="H40" i="12" s="1"/>
  <c r="G41" i="12"/>
  <c r="G21" i="12"/>
  <c r="H21" i="12" s="1"/>
  <c r="M40" i="11"/>
  <c r="G40" i="11" s="1"/>
  <c r="H7" i="28" s="1"/>
  <c r="N41" i="11"/>
  <c r="G41" i="11" s="1"/>
  <c r="M19" i="11"/>
  <c r="G19" i="11" s="1"/>
  <c r="M22" i="11"/>
  <c r="G22" i="11" s="1"/>
  <c r="H22" i="11" s="1"/>
  <c r="M24" i="11"/>
  <c r="G24" i="11" s="1"/>
  <c r="H24" i="11" s="1"/>
  <c r="M27" i="11"/>
  <c r="G27" i="11" s="1"/>
  <c r="H27" i="11" s="1"/>
  <c r="M30" i="11"/>
  <c r="G30" i="11" s="1"/>
  <c r="H30" i="11" s="1"/>
  <c r="M33" i="11"/>
  <c r="G33" i="11" s="1"/>
  <c r="H33" i="11" s="1"/>
  <c r="M36" i="11"/>
  <c r="G36" i="11" s="1"/>
  <c r="H36" i="11" s="1"/>
  <c r="M39" i="11"/>
  <c r="G39" i="11" s="1"/>
  <c r="H39" i="11" s="1"/>
  <c r="M42" i="11"/>
  <c r="G42" i="11" s="1"/>
  <c r="H13" i="28" s="1"/>
  <c r="M18" i="10"/>
  <c r="G18" i="10" s="1"/>
  <c r="M30" i="10"/>
  <c r="G30" i="10" s="1"/>
  <c r="G13" i="28" s="1"/>
  <c r="M21" i="10"/>
  <c r="G21" i="10" s="1"/>
  <c r="H21" i="10" s="1"/>
  <c r="M24" i="10"/>
  <c r="G24" i="10" s="1"/>
  <c r="H24" i="10" s="1"/>
  <c r="M27" i="10"/>
  <c r="G27" i="10" s="1"/>
  <c r="H27" i="10" s="1"/>
  <c r="M36" i="9"/>
  <c r="G36" i="9" s="1"/>
  <c r="F13" i="28" s="1"/>
  <c r="M40" i="8"/>
  <c r="G40" i="8" s="1"/>
  <c r="E13" i="28" s="1"/>
  <c r="G26" i="7"/>
  <c r="H26" i="7" s="1"/>
  <c r="G21" i="7"/>
  <c r="H21" i="7" s="1"/>
  <c r="G25" i="7"/>
  <c r="H25" i="7" s="1"/>
  <c r="M32" i="7"/>
  <c r="G32" i="7" s="1"/>
  <c r="D7" i="28" s="1"/>
  <c r="N33" i="7"/>
  <c r="G33" i="7" s="1"/>
  <c r="G18" i="7"/>
  <c r="M34" i="7"/>
  <c r="G34" i="7" s="1"/>
  <c r="D13" i="28" s="1"/>
  <c r="H9" i="28" l="1"/>
  <c r="D11" i="15"/>
  <c r="D11" i="28"/>
  <c r="I11" i="15"/>
  <c r="I11" i="28"/>
  <c r="I16" i="28"/>
  <c r="G11" i="15"/>
  <c r="G11" i="28"/>
  <c r="E11" i="15"/>
  <c r="D7" i="8"/>
  <c r="E11" i="28"/>
  <c r="H11" i="15"/>
  <c r="H11" i="28"/>
  <c r="I7" i="28"/>
  <c r="F11" i="15"/>
  <c r="F11" i="28"/>
  <c r="F9" i="28"/>
  <c r="E9" i="28"/>
  <c r="D9" i="28"/>
  <c r="G9" i="28"/>
  <c r="N12" i="8"/>
  <c r="H9" i="15"/>
  <c r="H30" i="10"/>
  <c r="G13" i="15"/>
  <c r="E9" i="15"/>
  <c r="D9" i="15"/>
  <c r="H40" i="8"/>
  <c r="E13" i="15"/>
  <c r="H18" i="10"/>
  <c r="G9" i="15"/>
  <c r="G42" i="12"/>
  <c r="H18" i="9"/>
  <c r="F9" i="15"/>
  <c r="H36" i="9"/>
  <c r="F13" i="15"/>
  <c r="N12" i="7"/>
  <c r="H34" i="9"/>
  <c r="F7" i="15"/>
  <c r="H32" i="7"/>
  <c r="D7" i="15"/>
  <c r="H42" i="11"/>
  <c r="H13" i="15"/>
  <c r="H40" i="11"/>
  <c r="H7" i="15"/>
  <c r="H28" i="10"/>
  <c r="G7" i="15"/>
  <c r="I28" i="15"/>
  <c r="H34" i="7"/>
  <c r="D13" i="15"/>
  <c r="H38" i="12"/>
  <c r="I7" i="15"/>
  <c r="H38" i="8"/>
  <c r="E7" i="15"/>
  <c r="H39" i="8"/>
  <c r="H19" i="11"/>
  <c r="D5" i="11"/>
  <c r="G45" i="11"/>
  <c r="H35" i="9"/>
  <c r="D7" i="9"/>
  <c r="N11" i="12"/>
  <c r="N10" i="12"/>
  <c r="H18" i="7"/>
  <c r="D6" i="7"/>
  <c r="D5" i="7"/>
  <c r="H41" i="11"/>
  <c r="D7" i="11"/>
  <c r="H29" i="10"/>
  <c r="D7" i="10"/>
  <c r="H18" i="8"/>
  <c r="D5" i="8"/>
  <c r="D6" i="8"/>
  <c r="G45" i="8"/>
  <c r="D9" i="8" s="1"/>
  <c r="N9" i="12"/>
  <c r="G32" i="12"/>
  <c r="H32" i="12" s="1"/>
  <c r="H41" i="12"/>
  <c r="H18" i="12"/>
  <c r="D6" i="11"/>
  <c r="D5" i="10"/>
  <c r="D6" i="10"/>
  <c r="G45" i="10"/>
  <c r="D9" i="10" s="1"/>
  <c r="N12" i="9"/>
  <c r="D6" i="9"/>
  <c r="G45" i="9"/>
  <c r="D9" i="9" s="1"/>
  <c r="D5" i="9"/>
  <c r="H33" i="7"/>
  <c r="G45" i="7"/>
  <c r="D9" i="7" s="1"/>
  <c r="D7" i="7"/>
  <c r="H14" i="28" l="1"/>
  <c r="H22" i="28" s="1"/>
  <c r="H48" i="28" s="1"/>
  <c r="H61" i="28" s="1"/>
  <c r="E14" i="28"/>
  <c r="E17" i="28" s="1"/>
  <c r="F14" i="28"/>
  <c r="F22" i="28" s="1"/>
  <c r="F48" i="28" s="1"/>
  <c r="G14" i="28"/>
  <c r="G22" i="28" s="1"/>
  <c r="G48" i="28" s="1"/>
  <c r="D14" i="28"/>
  <c r="D22" i="28" s="1"/>
  <c r="D48" i="28" s="1"/>
  <c r="D53" i="28" s="1"/>
  <c r="D61" i="28" s="1"/>
  <c r="D7" i="12"/>
  <c r="I13" i="28"/>
  <c r="I9" i="28"/>
  <c r="N12" i="12"/>
  <c r="I9" i="15"/>
  <c r="D5" i="12"/>
  <c r="E26" i="15"/>
  <c r="H26" i="15"/>
  <c r="D26" i="15"/>
  <c r="H42" i="12"/>
  <c r="I13" i="15"/>
  <c r="D9" i="11"/>
  <c r="G26" i="15"/>
  <c r="F26" i="15"/>
  <c r="D6" i="12"/>
  <c r="G45" i="12"/>
  <c r="E45" i="6"/>
  <c r="N9" i="6" s="1"/>
  <c r="L34" i="6"/>
  <c r="L33" i="6"/>
  <c r="N33" i="6" s="1"/>
  <c r="L32" i="6"/>
  <c r="N32" i="6" s="1"/>
  <c r="N31" i="6"/>
  <c r="M31" i="6"/>
  <c r="L31" i="6"/>
  <c r="N30" i="6"/>
  <c r="M30" i="6"/>
  <c r="L30" i="6"/>
  <c r="N29" i="6"/>
  <c r="M29" i="6"/>
  <c r="L29" i="6"/>
  <c r="N28" i="6"/>
  <c r="M28" i="6"/>
  <c r="L28" i="6"/>
  <c r="N27" i="6"/>
  <c r="M27" i="6"/>
  <c r="L27" i="6"/>
  <c r="N26" i="6"/>
  <c r="M26" i="6"/>
  <c r="L26" i="6"/>
  <c r="N25" i="6"/>
  <c r="M25" i="6"/>
  <c r="L25" i="6"/>
  <c r="N24" i="6"/>
  <c r="M24" i="6"/>
  <c r="L24" i="6"/>
  <c r="N23" i="6"/>
  <c r="M23" i="6"/>
  <c r="L23" i="6"/>
  <c r="N22" i="6"/>
  <c r="M22" i="6"/>
  <c r="L22" i="6"/>
  <c r="N21" i="6"/>
  <c r="M21" i="6"/>
  <c r="L21" i="6"/>
  <c r="N20" i="6"/>
  <c r="M20" i="6"/>
  <c r="L20" i="6"/>
  <c r="N19" i="6"/>
  <c r="M19" i="6"/>
  <c r="L19" i="6"/>
  <c r="N18" i="6"/>
  <c r="M18" i="6"/>
  <c r="L18" i="6"/>
  <c r="L11" i="6"/>
  <c r="L10" i="6"/>
  <c r="M9" i="6"/>
  <c r="M12" i="6" s="1"/>
  <c r="L9" i="6"/>
  <c r="E22" i="28" l="1"/>
  <c r="E48" i="28" s="1"/>
  <c r="E53" i="28" s="1"/>
  <c r="H53" i="28"/>
  <c r="H17" i="28"/>
  <c r="F17" i="28"/>
  <c r="D17" i="28"/>
  <c r="G17" i="28"/>
  <c r="I14" i="28"/>
  <c r="G53" i="28"/>
  <c r="G61" i="28"/>
  <c r="N11" i="6"/>
  <c r="F53" i="28"/>
  <c r="F61" i="28"/>
  <c r="E29" i="15"/>
  <c r="I26" i="15"/>
  <c r="G27" i="6"/>
  <c r="H27" i="6" s="1"/>
  <c r="H29" i="15"/>
  <c r="G20" i="6"/>
  <c r="H20" i="6" s="1"/>
  <c r="M32" i="6"/>
  <c r="F29" i="15"/>
  <c r="N10" i="6"/>
  <c r="G21" i="6"/>
  <c r="H21" i="6" s="1"/>
  <c r="G23" i="6"/>
  <c r="H23" i="6" s="1"/>
  <c r="G25" i="6"/>
  <c r="H25" i="6" s="1"/>
  <c r="G29" i="15"/>
  <c r="D9" i="12"/>
  <c r="D29" i="15"/>
  <c r="G29" i="6"/>
  <c r="H29" i="6" s="1"/>
  <c r="G31" i="6"/>
  <c r="H31" i="6" s="1"/>
  <c r="G30" i="6"/>
  <c r="H30" i="6" s="1"/>
  <c r="G26" i="6"/>
  <c r="H26" i="6" s="1"/>
  <c r="G18" i="6"/>
  <c r="H18" i="6" s="1"/>
  <c r="G22" i="6"/>
  <c r="H22" i="6" s="1"/>
  <c r="G19" i="6"/>
  <c r="H19" i="6" s="1"/>
  <c r="G24" i="6"/>
  <c r="H24" i="6" s="1"/>
  <c r="G28" i="6"/>
  <c r="H28" i="6" s="1"/>
  <c r="G32" i="6"/>
  <c r="C7" i="28" s="1"/>
  <c r="M34" i="6"/>
  <c r="M33" i="6"/>
  <c r="G33" i="6" s="1"/>
  <c r="N34" i="6"/>
  <c r="E61" i="28" l="1"/>
  <c r="N12" i="6"/>
  <c r="C11" i="15"/>
  <c r="C11" i="28"/>
  <c r="C9" i="28"/>
  <c r="I17" i="28"/>
  <c r="I22" i="28"/>
  <c r="I48" i="28" s="1"/>
  <c r="C9" i="15"/>
  <c r="I29" i="15"/>
  <c r="H32" i="6"/>
  <c r="C7" i="15"/>
  <c r="G34" i="6"/>
  <c r="H33" i="6"/>
  <c r="D7" i="6" l="1"/>
  <c r="C13" i="28"/>
  <c r="C14" i="28" s="1"/>
  <c r="I53" i="28"/>
  <c r="I61" i="28"/>
  <c r="D6" i="6"/>
  <c r="C13" i="15"/>
  <c r="C26" i="15" s="1"/>
  <c r="H34" i="6"/>
  <c r="D5" i="6"/>
  <c r="G45" i="6"/>
  <c r="D9" i="6" s="1"/>
  <c r="C22" i="28" l="1"/>
  <c r="C48" i="28" s="1"/>
  <c r="C53" i="28" s="1"/>
  <c r="C61" i="28" s="1"/>
  <c r="C17" i="28"/>
  <c r="C29" i="15"/>
  <c r="G21" i="13"/>
  <c r="H21" i="13" s="1"/>
  <c r="G22" i="13"/>
  <c r="H22" i="13" s="1"/>
  <c r="G26" i="13"/>
  <c r="H26" i="13" s="1"/>
  <c r="G25" i="13"/>
  <c r="H25" i="13" s="1"/>
  <c r="G30" i="13"/>
  <c r="H30" i="13" s="1"/>
  <c r="G29" i="13"/>
  <c r="H29" i="13" s="1"/>
  <c r="G33" i="13"/>
  <c r="H33" i="13" s="1"/>
  <c r="G35" i="13"/>
  <c r="H35" i="13" s="1"/>
  <c r="G40" i="13"/>
  <c r="G41" i="13"/>
  <c r="J13" i="28" s="1"/>
  <c r="G37" i="13"/>
  <c r="G39" i="13"/>
  <c r="H39" i="13" s="1"/>
  <c r="G38" i="13"/>
  <c r="H38" i="13" s="1"/>
  <c r="J7" i="28" l="1"/>
  <c r="J11" i="15"/>
  <c r="J11" i="28"/>
  <c r="H37" i="13"/>
  <c r="J7" i="15"/>
  <c r="H41" i="13"/>
  <c r="J13" i="15"/>
  <c r="H40" i="13"/>
  <c r="D7" i="13"/>
  <c r="G19" i="13"/>
  <c r="G20" i="13"/>
  <c r="H20" i="13" s="1"/>
  <c r="H19" i="13" l="1"/>
  <c r="G24" i="13"/>
  <c r="H24" i="13" s="1"/>
  <c r="G23" i="13"/>
  <c r="H23" i="13" l="1"/>
  <c r="G27" i="13"/>
  <c r="G28" i="13"/>
  <c r="H28" i="13" l="1"/>
  <c r="H27" i="13"/>
  <c r="G31" i="13"/>
  <c r="H31" i="13" s="1"/>
  <c r="G32" i="13"/>
  <c r="G36" i="13"/>
  <c r="G34" i="13"/>
  <c r="J9" i="28" l="1"/>
  <c r="J14" i="28" s="1"/>
  <c r="J22" i="28" s="1"/>
  <c r="J48" i="28" s="1"/>
  <c r="J9" i="15"/>
  <c r="J26" i="15" s="1"/>
  <c r="H32" i="13"/>
  <c r="G44" i="13"/>
  <c r="H36" i="13"/>
  <c r="D6" i="13"/>
  <c r="H34" i="13"/>
  <c r="D5" i="13"/>
  <c r="J17" i="28" l="1"/>
  <c r="J53" i="28"/>
  <c r="J61" i="28"/>
  <c r="J29" i="15"/>
  <c r="D9" i="13"/>
  <c r="L5" i="15" l="1"/>
  <c r="L28" i="15" s="1"/>
  <c r="C31" i="15" l="1"/>
  <c r="C33" i="15" s="1"/>
  <c r="C34" i="15" s="1"/>
  <c r="C60" i="15" l="1"/>
  <c r="D31" i="15"/>
  <c r="D33" i="15" s="1"/>
  <c r="D34" i="15" s="1"/>
  <c r="D60" i="15" s="1"/>
  <c r="D65" i="15" l="1"/>
  <c r="D73" i="15" s="1"/>
  <c r="C65" i="15"/>
  <c r="C73" i="15" s="1"/>
  <c r="D12" i="8"/>
  <c r="E31" i="15"/>
  <c r="E33" i="15" s="1"/>
  <c r="E34" i="15" s="1"/>
  <c r="E60" i="15" s="1"/>
  <c r="E65" i="15" l="1"/>
  <c r="E73" i="15"/>
  <c r="F31" i="15"/>
  <c r="F33" i="15" s="1"/>
  <c r="F34" i="15" s="1"/>
  <c r="F60" i="15" s="1"/>
  <c r="F65" i="15" l="1"/>
  <c r="F73" i="15"/>
  <c r="G31" i="15"/>
  <c r="G33" i="15" s="1"/>
  <c r="G34" i="15" s="1"/>
  <c r="G60" i="15" l="1"/>
  <c r="H31" i="15"/>
  <c r="H33" i="15" s="1"/>
  <c r="H34" i="15" s="1"/>
  <c r="H60" i="15" s="1"/>
  <c r="J31" i="15"/>
  <c r="J33" i="15" s="1"/>
  <c r="J34" i="15" s="1"/>
  <c r="J60" i="15" s="1"/>
  <c r="J65" i="15" l="1"/>
  <c r="J73" i="15"/>
  <c r="H65" i="15"/>
  <c r="H73" i="15"/>
  <c r="G65" i="15"/>
  <c r="G73" i="15"/>
  <c r="I31" i="15"/>
  <c r="I33" i="15" s="1"/>
  <c r="I34" i="15" s="1"/>
  <c r="I60" i="15" s="1"/>
  <c r="I65" i="15" l="1"/>
  <c r="I73" i="15"/>
  <c r="K31" i="15"/>
  <c r="K33" i="15" s="1"/>
  <c r="K34" i="15" s="1"/>
  <c r="K60" i="15" l="1"/>
  <c r="L31" i="15"/>
  <c r="L33" i="15" s="1"/>
  <c r="C13" i="19" l="1"/>
  <c r="C15" i="19" s="1"/>
  <c r="B29" i="19" s="1"/>
  <c r="K65" i="15"/>
  <c r="K73" i="15"/>
  <c r="L34" i="15"/>
  <c r="C29" i="19" l="1"/>
  <c r="L60" i="15"/>
  <c r="M5" i="15"/>
  <c r="M28" i="15" s="1"/>
  <c r="B33" i="19" s="1"/>
  <c r="B34" i="19" s="1"/>
  <c r="B36" i="19" s="1"/>
  <c r="B30" i="19" l="1"/>
  <c r="D29" i="19"/>
  <c r="D36" i="19" s="1"/>
  <c r="L65" i="15"/>
  <c r="B31" i="19" l="1"/>
  <c r="L67" i="15"/>
  <c r="E29" i="19"/>
  <c r="D30" i="19"/>
  <c r="L73" i="15"/>
  <c r="L74" i="15" s="1"/>
  <c r="N5" i="15"/>
  <c r="N28" i="15" s="1"/>
  <c r="C33" i="19" l="1"/>
  <c r="C34" i="19" s="1"/>
  <c r="C36" i="19" s="1"/>
  <c r="C30" i="19"/>
  <c r="F29" i="19"/>
  <c r="C31" i="19" l="1"/>
  <c r="D31" i="19" s="1"/>
  <c r="A40" i="20"/>
  <c r="C13" i="20" s="1"/>
  <c r="A40" i="29"/>
  <c r="C13" i="29" s="1"/>
  <c r="C15" i="29" s="1"/>
  <c r="F36" i="19"/>
  <c r="G29" i="19"/>
  <c r="F30" i="19"/>
  <c r="B3" i="30" l="1"/>
  <c r="B2" i="30"/>
  <c r="C15" i="20"/>
  <c r="B29" i="20" s="1"/>
  <c r="C29" i="20" s="1"/>
  <c r="C36" i="20" s="1"/>
  <c r="B13" i="30"/>
  <c r="B15" i="30" s="1"/>
  <c r="B29" i="29"/>
  <c r="G36" i="19"/>
  <c r="G30" i="19"/>
  <c r="H29" i="19"/>
  <c r="H30" i="19" s="1"/>
  <c r="D29" i="20" l="1"/>
  <c r="D36" i="20" s="1"/>
  <c r="C30" i="20"/>
  <c r="C13" i="30"/>
  <c r="C15" i="30" s="1"/>
  <c r="B14" i="30"/>
  <c r="B17" i="30" s="1"/>
  <c r="C29" i="29"/>
  <c r="C30" i="29" s="1"/>
  <c r="H36" i="19"/>
  <c r="I29" i="19"/>
  <c r="D30" i="20" l="1"/>
  <c r="D29" i="29"/>
  <c r="D36" i="29" s="1"/>
  <c r="C36" i="29"/>
  <c r="D13" i="30"/>
  <c r="D15" i="30" s="1"/>
  <c r="C14" i="30"/>
  <c r="C17" i="30" s="1"/>
  <c r="J29" i="19"/>
  <c r="A44" i="33" l="1"/>
  <c r="D30" i="29"/>
  <c r="D14" i="30"/>
  <c r="D17" i="30" s="1"/>
  <c r="A47" i="25" l="1"/>
  <c r="P5" i="15"/>
  <c r="P28" i="15" s="1"/>
  <c r="B33" i="29" l="1"/>
  <c r="B34" i="29" s="1"/>
  <c r="B36" i="29" s="1"/>
  <c r="B30" i="29"/>
  <c r="E33" i="19"/>
  <c r="E34" i="19" s="1"/>
  <c r="E36" i="19" s="1"/>
  <c r="E30" i="19"/>
  <c r="B33" i="20"/>
  <c r="B34" i="20" s="1"/>
  <c r="B36" i="20" s="1"/>
  <c r="B30" i="20"/>
  <c r="B31" i="20" s="1"/>
  <c r="C31" i="20" s="1"/>
  <c r="D31" i="20" s="1"/>
  <c r="A41" i="25" l="1"/>
  <c r="E31" i="19"/>
  <c r="F31" i="19" s="1"/>
  <c r="G31" i="19" s="1"/>
  <c r="H31" i="19" s="1"/>
  <c r="B31" i="29"/>
  <c r="C31" i="29" s="1"/>
  <c r="D31" i="29" s="1"/>
  <c r="A44" i="25"/>
  <c r="C13" i="25" l="1"/>
  <c r="C15" i="25" s="1"/>
  <c r="B29" i="25" s="1"/>
  <c r="S34" i="15"/>
  <c r="C29" i="25" l="1"/>
  <c r="B30" i="25"/>
  <c r="B36" i="25"/>
  <c r="S60" i="15"/>
  <c r="T60" i="15"/>
  <c r="B31" i="25" l="1"/>
  <c r="D29" i="25"/>
  <c r="S65" i="15"/>
  <c r="S73" i="15" s="1"/>
  <c r="T73" i="15"/>
  <c r="T65" i="15"/>
  <c r="R74" i="15" l="1"/>
  <c r="U45" i="15" l="1"/>
  <c r="U44" i="15"/>
  <c r="U50" i="15" l="1"/>
  <c r="U57" i="15"/>
  <c r="U60" i="15" s="1"/>
  <c r="U65" i="15" l="1"/>
  <c r="U73" i="15" s="1"/>
  <c r="U5" i="15"/>
  <c r="U28" i="15" s="1"/>
  <c r="T5" i="15"/>
  <c r="T28" i="15" s="1"/>
  <c r="U74" i="15" l="1"/>
  <c r="J33" i="19"/>
  <c r="J34" i="19" s="1"/>
  <c r="J36" i="19" s="1"/>
  <c r="J30" i="19"/>
  <c r="I33" i="19"/>
  <c r="I34" i="19" s="1"/>
  <c r="I36" i="19" s="1"/>
  <c r="I30" i="19"/>
  <c r="D33" i="25"/>
  <c r="D34" i="25" s="1"/>
  <c r="D36" i="25" s="1"/>
  <c r="D30" i="25"/>
  <c r="C33" i="25"/>
  <c r="C34" i="25" s="1"/>
  <c r="C36" i="25" s="1"/>
  <c r="C30" i="25"/>
  <c r="A48" i="35" l="1"/>
  <c r="A41" i="33"/>
  <c r="I31" i="19"/>
  <c r="J31" i="19" s="1"/>
  <c r="A45" i="35"/>
  <c r="C31" i="25"/>
  <c r="D31" i="25" s="1"/>
  <c r="A47" i="33"/>
  <c r="C13" i="33" l="1"/>
  <c r="C15" i="33" s="1"/>
  <c r="B29" i="33" l="1"/>
  <c r="C29" i="33" s="1"/>
  <c r="C36" i="33" l="1"/>
  <c r="D29" i="33"/>
  <c r="C30" i="33"/>
  <c r="V5" i="15"/>
  <c r="V28" i="15" s="1"/>
  <c r="D30" i="33" l="1"/>
  <c r="D36" i="33"/>
  <c r="B33" i="33"/>
  <c r="B34" i="33" s="1"/>
  <c r="B36" i="33" s="1"/>
  <c r="B30" i="33"/>
  <c r="B31" i="33" l="1"/>
  <c r="C31" i="33" s="1"/>
  <c r="D31" i="33" s="1"/>
  <c r="A51" i="35"/>
  <c r="A46" i="40"/>
  <c r="C15" i="35" l="1"/>
  <c r="C17" i="35" s="1"/>
  <c r="B33" i="35" l="1"/>
  <c r="B34" i="35" s="1"/>
  <c r="B35" i="35" l="1"/>
  <c r="C33" i="35"/>
  <c r="C34" i="35" s="1"/>
  <c r="B40" i="35"/>
  <c r="C35" i="35" l="1"/>
  <c r="C40" i="35"/>
  <c r="D33" i="35"/>
  <c r="D40" i="35" s="1"/>
  <c r="A43" i="44" l="1"/>
  <c r="A43" i="40"/>
  <c r="C14" i="40" s="1"/>
  <c r="D34" i="35"/>
  <c r="C16" i="40" l="1"/>
  <c r="D35" i="35"/>
  <c r="B31" i="40" l="1"/>
  <c r="X5" i="15"/>
  <c r="X28" i="15" s="1"/>
  <c r="C31" i="40" l="1"/>
  <c r="D31" i="40" s="1"/>
  <c r="D32" i="40" s="1"/>
  <c r="C38" i="40" l="1"/>
  <c r="C32" i="40"/>
  <c r="D38" i="40"/>
  <c r="Z5" i="15"/>
  <c r="Z28" i="15" s="1"/>
  <c r="A46" i="47" l="1"/>
  <c r="AB21" i="15"/>
  <c r="G77" i="45"/>
  <c r="D12" i="45" s="1"/>
  <c r="AB25" i="15"/>
  <c r="AB26" i="15" l="1"/>
  <c r="AB29" i="15" l="1"/>
  <c r="AB34" i="15"/>
  <c r="B35" i="40" l="1"/>
  <c r="B36" i="40" s="1"/>
  <c r="B38" i="40" s="1"/>
  <c r="B32" i="40"/>
  <c r="AB60" i="15"/>
  <c r="B33" i="40" l="1"/>
  <c r="C33" i="40" s="1"/>
  <c r="D33" i="40" s="1"/>
  <c r="A46" i="44"/>
  <c r="AB65" i="15"/>
  <c r="AB73" i="15"/>
  <c r="AA74" i="15" l="1"/>
  <c r="C14" i="44" l="1"/>
  <c r="C16" i="44" l="1"/>
  <c r="B31" i="44" l="1"/>
  <c r="B38" i="44" s="1"/>
  <c r="B32" i="44" l="1"/>
  <c r="C31" i="44"/>
  <c r="C32" i="44" s="1"/>
  <c r="AC5" i="15"/>
  <c r="AC28" i="15" s="1"/>
  <c r="B33" i="44" l="1"/>
  <c r="D31" i="44"/>
  <c r="D38" i="44" s="1"/>
  <c r="C38" i="44"/>
  <c r="A44" i="52" l="1"/>
  <c r="C33" i="44"/>
  <c r="A43" i="47"/>
  <c r="C14" i="47" s="1"/>
  <c r="D32" i="44"/>
  <c r="C16" i="47" l="1"/>
  <c r="D33" i="44"/>
  <c r="B31" i="47" l="1"/>
  <c r="B32" i="47" s="1"/>
  <c r="B38" i="47" l="1"/>
  <c r="C31" i="47"/>
  <c r="C38" i="47" s="1"/>
  <c r="B33" i="47"/>
  <c r="A47" i="52" l="1"/>
  <c r="C32" i="47"/>
  <c r="D31" i="47"/>
  <c r="D38" i="47" s="1"/>
  <c r="A44" i="56" l="1"/>
  <c r="C33" i="47"/>
  <c r="C15" i="52"/>
  <c r="D32" i="47"/>
  <c r="C17" i="52" l="1"/>
  <c r="D33" i="47"/>
  <c r="B32" i="52" l="1"/>
  <c r="B39" i="52" s="1"/>
  <c r="AF5" i="15"/>
  <c r="AF28" i="15" s="1"/>
  <c r="B33" i="52" l="1"/>
  <c r="C32" i="52"/>
  <c r="C33" i="52" s="1"/>
  <c r="B34" i="52" l="1"/>
  <c r="C34" i="52" s="1"/>
  <c r="C39" i="52"/>
  <c r="D32" i="52"/>
  <c r="D39" i="52" s="1"/>
  <c r="A44" i="61" l="1"/>
  <c r="A47" i="56"/>
  <c r="D33" i="52"/>
  <c r="C15" i="56" l="1"/>
  <c r="D34" i="52"/>
  <c r="C17" i="56" l="1"/>
  <c r="B32" i="56" l="1"/>
  <c r="B39" i="56" s="1"/>
  <c r="B33" i="56" l="1"/>
  <c r="C32" i="56"/>
  <c r="C39" i="56" s="1"/>
  <c r="A47" i="61" l="1"/>
  <c r="B34" i="56"/>
  <c r="C33" i="56"/>
  <c r="D32" i="56"/>
  <c r="D39" i="56" s="1"/>
  <c r="A44" i="65" l="1"/>
  <c r="C15" i="61"/>
  <c r="C34" i="56"/>
  <c r="D33" i="56"/>
  <c r="C17" i="61" l="1"/>
  <c r="D34" i="56"/>
  <c r="AL5" i="15"/>
  <c r="AL28" i="15" s="1"/>
  <c r="AE5" i="15"/>
  <c r="AE28" i="15" s="1"/>
  <c r="B32" i="61" l="1"/>
  <c r="AH5" i="15"/>
  <c r="AH28" i="15" s="1"/>
  <c r="AB5" i="15"/>
  <c r="AB28" i="15" s="1"/>
  <c r="B33" i="61" l="1"/>
  <c r="C32" i="61"/>
  <c r="B39" i="61"/>
  <c r="B34" i="61" l="1"/>
  <c r="D32" i="61"/>
  <c r="C39" i="61"/>
  <c r="C33" i="61"/>
  <c r="A47" i="65" l="1"/>
  <c r="C34" i="61"/>
  <c r="D39" i="61"/>
  <c r="D33" i="61"/>
  <c r="A44" i="69" l="1"/>
  <c r="C15" i="65"/>
  <c r="D34" i="61"/>
  <c r="C17" i="65" l="1"/>
  <c r="AQ5" i="15"/>
  <c r="AQ28" i="15" s="1"/>
  <c r="B32" i="65" l="1"/>
  <c r="C32" i="65" l="1"/>
  <c r="B39" i="65"/>
  <c r="B33" i="65"/>
  <c r="B34" i="65" l="1"/>
  <c r="C33" i="65"/>
  <c r="D32" i="65"/>
  <c r="C39" i="65"/>
  <c r="A47" i="69" l="1"/>
  <c r="C34" i="65"/>
  <c r="D33" i="65"/>
  <c r="D39" i="65"/>
  <c r="A44" i="75" l="1"/>
  <c r="C15" i="69"/>
  <c r="D34" i="65"/>
  <c r="C17" i="69" l="1"/>
  <c r="B32" i="69" l="1"/>
  <c r="B33" i="69" s="1"/>
  <c r="B34" i="69" l="1"/>
  <c r="C32" i="69"/>
  <c r="D32" i="69" s="1"/>
  <c r="B39" i="69"/>
  <c r="C39" i="69" l="1"/>
  <c r="C33" i="69"/>
  <c r="D33" i="69"/>
  <c r="D39" i="69"/>
  <c r="A44" i="79" l="1"/>
  <c r="C34" i="69"/>
  <c r="D34" i="69" s="1"/>
  <c r="A47" i="75"/>
  <c r="C15" i="75" l="1"/>
  <c r="AT5" i="15"/>
  <c r="AT28" i="15" s="1"/>
  <c r="C17" i="75" l="1"/>
  <c r="B32" i="75" l="1"/>
  <c r="C32" i="75" s="1"/>
  <c r="C33" i="75" s="1"/>
  <c r="D32" i="75" l="1"/>
  <c r="D33" i="75" s="1"/>
  <c r="B33" i="75"/>
  <c r="C39" i="75"/>
  <c r="B39" i="75"/>
  <c r="A47" i="79" l="1"/>
  <c r="C15" i="79" s="1"/>
  <c r="C17" i="79" s="1"/>
  <c r="B32" i="79" s="1"/>
  <c r="C32" i="79" s="1"/>
  <c r="B34" i="75"/>
  <c r="C34" i="75" s="1"/>
  <c r="D34" i="75" s="1"/>
  <c r="D39" i="75"/>
  <c r="B39" i="79" l="1"/>
  <c r="B33" i="79"/>
  <c r="D32" i="79"/>
  <c r="C33" i="79"/>
  <c r="C39" i="79"/>
  <c r="AX5" i="15"/>
  <c r="AX28" i="15" s="1"/>
  <c r="B34" i="79" l="1"/>
  <c r="C34" i="79" s="1"/>
  <c r="D39" i="79"/>
  <c r="D33" i="79"/>
  <c r="D34" i="7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Nunes</author>
  </authors>
  <commentList>
    <comment ref="H18" authorId="0" shapeId="0" xr:uid="{AA1EBD85-6486-4DC8-9300-BD807C19A961}">
      <text>
        <r>
          <rPr>
            <sz val="9"/>
            <color indexed="81"/>
            <rFont val="Segoe UI"/>
            <family val="2"/>
          </rPr>
          <t>Faturado sem a Parcela de Saída. PTB deve emitir NFe de complemento de preço em novembro/25</t>
        </r>
      </text>
    </comment>
    <comment ref="H28" authorId="0" shapeId="0" xr:uid="{847B5887-4DDF-4C16-97DF-82CE1D55028C}">
      <text>
        <r>
          <rPr>
            <sz val="9"/>
            <color indexed="81"/>
            <rFont val="Segoe UI"/>
            <family val="2"/>
          </rPr>
          <t>Faturado sem a Parcela de Saída. PTB deve emitir NFe de complemento de preço em novembro/25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Lima Coelho</author>
    <author>Francisco Nunes</author>
  </authors>
  <commentList>
    <comment ref="B31" authorId="0" shapeId="0" xr:uid="{00000000-0006-0000-0C00-000001000000}">
      <text>
        <r>
          <rPr>
            <b/>
            <sz val="9"/>
            <color indexed="81"/>
            <rFont val="Segoe UI"/>
            <family val="2"/>
          </rPr>
          <t>Pedro Lima Coelho:</t>
        </r>
        <r>
          <rPr>
            <sz val="9"/>
            <color indexed="81"/>
            <rFont val="Segoe UI"/>
            <family val="2"/>
          </rPr>
          <t xml:space="preserve">
Sem consumo próprio</t>
        </r>
      </text>
    </comment>
    <comment ref="G32" authorId="1" shapeId="0" xr:uid="{00000000-0006-0000-0C00-000002000000}">
      <text>
        <r>
          <rPr>
            <b/>
            <sz val="9"/>
            <color indexed="81"/>
            <rFont val="Segoe UI"/>
            <family val="2"/>
          </rPr>
          <t>Francisco Nunes:</t>
        </r>
        <r>
          <rPr>
            <sz val="9"/>
            <color indexed="81"/>
            <rFont val="Segoe UI"/>
            <family val="2"/>
          </rPr>
          <t xml:space="preserve">
Custo médio ponderado Resolução ARPE</t>
        </r>
      </text>
    </comment>
    <comment ref="J32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Pedro Lima Coelho:</t>
        </r>
        <r>
          <rPr>
            <sz val="9"/>
            <color indexed="81"/>
            <rFont val="Tahoma"/>
            <family val="2"/>
          </rPr>
          <t xml:space="preserve">
Resolução ARPE 217</t>
        </r>
      </text>
    </comment>
    <comment ref="M32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Francisco Nunes:</t>
        </r>
        <r>
          <rPr>
            <sz val="9"/>
            <color indexed="81"/>
            <rFont val="Tahoma"/>
            <family val="2"/>
          </rPr>
          <t xml:space="preserve">
Deveria ser Custo Homologado sem a parcela de recuperação.</t>
        </r>
      </text>
    </comment>
    <comment ref="P32" authorId="1" shapeId="0" xr:uid="{35DF30A7-34EF-404A-8480-9B41672E052D}">
      <text>
        <r>
          <rPr>
            <b/>
            <sz val="9"/>
            <color indexed="81"/>
            <rFont val="Segoe UI"/>
            <family val="2"/>
          </rPr>
          <t>Francisco Nunes:</t>
        </r>
        <r>
          <rPr>
            <sz val="9"/>
            <color indexed="81"/>
            <rFont val="Segoe UI"/>
            <family val="2"/>
          </rPr>
          <t xml:space="preserve">
Custo Homologado sem a parcela de recuperação.</t>
        </r>
      </text>
    </comment>
    <comment ref="S32" authorId="1" shapeId="0" xr:uid="{DE859DDE-DB93-46EA-8B9D-DB23FE9D59F6}">
      <text>
        <r>
          <rPr>
            <b/>
            <sz val="9"/>
            <color indexed="81"/>
            <rFont val="Segoe UI"/>
            <family val="2"/>
          </rPr>
          <t>Francisco Nunes:</t>
        </r>
        <r>
          <rPr>
            <sz val="9"/>
            <color indexed="81"/>
            <rFont val="Segoe UI"/>
            <family val="2"/>
          </rPr>
          <t xml:space="preserve">
Custo Homologado sem a parcela de recuperação.</t>
        </r>
      </text>
    </comment>
    <comment ref="V32" authorId="1" shapeId="0" xr:uid="{EFADFF14-75F8-4376-B531-71FE3B4A375D}">
      <text>
        <r>
          <rPr>
            <b/>
            <sz val="9"/>
            <color indexed="81"/>
            <rFont val="Segoe UI"/>
            <family val="2"/>
          </rPr>
          <t>Francisco Nunes:</t>
        </r>
        <r>
          <rPr>
            <sz val="9"/>
            <color indexed="81"/>
            <rFont val="Segoe UI"/>
            <family val="2"/>
          </rPr>
          <t xml:space="preserve">
Custo Homologado sem a parcela de recuperação.</t>
        </r>
      </text>
    </comment>
    <comment ref="Y32" authorId="1" shapeId="0" xr:uid="{CC20B957-CFE4-4E48-B289-3DE015DEDA01}">
      <text>
        <r>
          <rPr>
            <b/>
            <sz val="9"/>
            <color indexed="81"/>
            <rFont val="Segoe UI"/>
            <family val="2"/>
          </rPr>
          <t>Francisco Nunes:</t>
        </r>
        <r>
          <rPr>
            <sz val="9"/>
            <color indexed="81"/>
            <rFont val="Segoe UI"/>
            <family val="2"/>
          </rPr>
          <t xml:space="preserve">
Custo Homologado sem a parcela de recuperação.</t>
        </r>
      </text>
    </comment>
    <comment ref="AB32" authorId="1" shapeId="0" xr:uid="{F8166597-BA8F-4AC1-82AF-C14C54523729}">
      <text>
        <r>
          <rPr>
            <sz val="9"/>
            <color indexed="81"/>
            <rFont val="Segoe UI"/>
            <family val="2"/>
          </rPr>
          <t>Custo Homologado sem a parcela de recuperação.</t>
        </r>
      </text>
    </comment>
    <comment ref="AE32" authorId="1" shapeId="0" xr:uid="{22E474A4-50D2-442B-948A-624A9468DA82}">
      <text>
        <r>
          <rPr>
            <sz val="9"/>
            <color indexed="81"/>
            <rFont val="Segoe UI"/>
            <family val="2"/>
          </rPr>
          <t>Custo Homologado sem a parcela de recuperação.</t>
        </r>
      </text>
    </comment>
    <comment ref="AH32" authorId="1" shapeId="0" xr:uid="{595ADF8E-7739-47D0-B4B3-45E694BAB38F}">
      <text>
        <r>
          <rPr>
            <sz val="9"/>
            <color indexed="81"/>
            <rFont val="Segoe UI"/>
            <family val="2"/>
          </rPr>
          <t>Custo Homologado sem a parcela de recuperação.</t>
        </r>
      </text>
    </comment>
    <comment ref="C34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Pedro Lima Coelho:</t>
        </r>
        <r>
          <rPr>
            <sz val="9"/>
            <color indexed="81"/>
            <rFont val="Tahoma"/>
            <family val="2"/>
          </rPr>
          <t xml:space="preserve">
Arredondamento</t>
        </r>
      </text>
    </comment>
    <comment ref="I34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Pedro Lima Coelho:</t>
        </r>
        <r>
          <rPr>
            <sz val="9"/>
            <color indexed="81"/>
            <rFont val="Tahoma"/>
            <family val="2"/>
          </rPr>
          <t xml:space="preserve">
Arrendondamento</t>
        </r>
      </text>
    </comment>
    <comment ref="AP39" authorId="1" shapeId="0" xr:uid="{4659D4BE-5A32-47DA-8CC5-717E301B1B4F}">
      <text>
        <r>
          <rPr>
            <sz val="9"/>
            <color indexed="81"/>
            <rFont val="Segoe UI"/>
            <family val="2"/>
          </rPr>
          <t>Nota de Crédito de ECNU da Petroreconcavo, referente ao ECNU cobrado em janeiro/2025 (ND 90000433);</t>
        </r>
      </text>
    </comment>
    <comment ref="AR39" authorId="1" shapeId="0" xr:uid="{1F7F1551-0736-4729-8EE9-E8563134BEDC}">
      <text>
        <r>
          <rPr>
            <sz val="9"/>
            <color indexed="81"/>
            <rFont val="Segoe UI"/>
            <family val="2"/>
          </rPr>
          <t>Nota de Crédito de ECNU da Petroreconcavo, referente ao ECNU cobrado em abril/2025 (ND 90002390);</t>
        </r>
      </text>
    </comment>
    <comment ref="AS39" authorId="1" shapeId="0" xr:uid="{7BD3B631-6E56-434B-9AF3-9BF4DE7C83D9}">
      <text>
        <r>
          <rPr>
            <sz val="9"/>
            <color indexed="81"/>
            <rFont val="Segoe UI"/>
            <family val="2"/>
          </rPr>
          <t>Nota de Crédito de ECNU da Petroreconcavo, referente ao ECNU cobrado em junho/2025 (ND 90002923);</t>
        </r>
      </text>
    </comment>
    <comment ref="AK42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Pedro Lima Coelho:</t>
        </r>
        <r>
          <rPr>
            <sz val="9"/>
            <color indexed="81"/>
            <rFont val="Tahoma"/>
            <family val="2"/>
          </rPr>
          <t xml:space="preserve">
Primeira aplicação do mecanismo de Conta Gráfica - novembro 2022</t>
        </r>
      </text>
    </comment>
    <comment ref="G45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Pedro Lima Coelho:</t>
        </r>
        <r>
          <rPr>
            <sz val="9"/>
            <color indexed="81"/>
            <rFont val="Tahoma"/>
            <family val="2"/>
          </rPr>
          <t xml:space="preserve">
TOP 758 - Estorno</t>
        </r>
      </text>
    </comment>
    <comment ref="AU52" authorId="1" shapeId="0" xr:uid="{5790E6BC-2A03-4193-88F7-83175E61FD98}">
      <text>
        <r>
          <rPr>
            <sz val="9"/>
            <color indexed="81"/>
            <rFont val="Segoe UI"/>
            <family val="2"/>
          </rPr>
          <t>Penalidade de Variação de Agosto</t>
        </r>
      </text>
    </comment>
    <comment ref="AU54" authorId="1" shapeId="0" xr:uid="{A79F8851-A4F0-40CD-8B2D-63EA8C150279}">
      <text>
        <r>
          <rPr>
            <sz val="9"/>
            <color indexed="81"/>
            <rFont val="Segoe UI"/>
            <family val="2"/>
          </rPr>
          <t>Inclui Penalidade de Variação de Agosto</t>
        </r>
      </text>
    </comment>
    <comment ref="E57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Pedro Lima Coelho:</t>
        </r>
        <r>
          <rPr>
            <sz val="9"/>
            <color indexed="81"/>
            <rFont val="Tahoma"/>
            <family val="2"/>
          </rPr>
          <t xml:space="preserve">
Arrendondamento</t>
        </r>
      </text>
    </comment>
    <comment ref="K68" authorId="1" shapeId="0" xr:uid="{00000000-0006-0000-0C00-00000A000000}">
      <text>
        <r>
          <rPr>
            <b/>
            <sz val="9"/>
            <color indexed="81"/>
            <rFont val="Segoe UI"/>
            <family val="2"/>
          </rPr>
          <t>Francisco Nunes:</t>
        </r>
        <r>
          <rPr>
            <sz val="9"/>
            <color indexed="81"/>
            <rFont val="Segoe UI"/>
            <family val="2"/>
          </rPr>
          <t xml:space="preserve">
-0,0135 R$m3
Nov/22 a Jan/23
Fev a Abr/23
Mai a Jul/23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Lima Coelho</author>
    <author>Francisco Nunes</author>
  </authors>
  <commentList>
    <comment ref="B19" authorId="0" shapeId="0" xr:uid="{E8FD45A5-3B93-4676-AD28-0D9327646E80}">
      <text>
        <r>
          <rPr>
            <b/>
            <sz val="9"/>
            <color indexed="81"/>
            <rFont val="Segoe UI"/>
            <family val="2"/>
          </rPr>
          <t>Pedro Lima Coelho:</t>
        </r>
        <r>
          <rPr>
            <sz val="9"/>
            <color indexed="81"/>
            <rFont val="Segoe UI"/>
            <family val="2"/>
          </rPr>
          <t xml:space="preserve">
Sem consumo próprio</t>
        </r>
      </text>
    </comment>
    <comment ref="G20" authorId="1" shapeId="0" xr:uid="{A34A1908-1CBC-4BFA-A883-402503B353E4}">
      <text>
        <r>
          <rPr>
            <b/>
            <sz val="9"/>
            <color indexed="81"/>
            <rFont val="Segoe UI"/>
            <family val="2"/>
          </rPr>
          <t>Francisco Nunes:</t>
        </r>
        <r>
          <rPr>
            <sz val="9"/>
            <color indexed="81"/>
            <rFont val="Segoe UI"/>
            <family val="2"/>
          </rPr>
          <t xml:space="preserve">
Custo médio ponderado Resolução ARPE</t>
        </r>
      </text>
    </comment>
    <comment ref="J20" authorId="0" shapeId="0" xr:uid="{FC2D840B-3C48-49BC-8728-0F05F9B6E978}">
      <text>
        <r>
          <rPr>
            <b/>
            <sz val="9"/>
            <color indexed="81"/>
            <rFont val="Tahoma"/>
            <family val="2"/>
          </rPr>
          <t>Pedro Lima Coelho:</t>
        </r>
        <r>
          <rPr>
            <sz val="9"/>
            <color indexed="81"/>
            <rFont val="Tahoma"/>
            <family val="2"/>
          </rPr>
          <t xml:space="preserve">
Resolução ARPE 217</t>
        </r>
      </text>
    </comment>
    <comment ref="M20" authorId="0" shapeId="0" xr:uid="{3C36528E-62C6-41AC-9D56-2230A4BAE04A}">
      <text>
        <r>
          <rPr>
            <b/>
            <sz val="9"/>
            <color indexed="81"/>
            <rFont val="Tahoma"/>
            <family val="2"/>
          </rPr>
          <t>Francisco Nunes:</t>
        </r>
        <r>
          <rPr>
            <sz val="9"/>
            <color indexed="81"/>
            <rFont val="Tahoma"/>
            <family val="2"/>
          </rPr>
          <t xml:space="preserve">
Custo Homologado sem a parcela de recuperação.</t>
        </r>
      </text>
    </comment>
    <comment ref="P20" authorId="1" shapeId="0" xr:uid="{87846180-0150-4401-834A-5BF45A94DECA}">
      <text>
        <r>
          <rPr>
            <b/>
            <sz val="9"/>
            <color indexed="81"/>
            <rFont val="Segoe UI"/>
            <family val="2"/>
          </rPr>
          <t>Francisco Nunes:</t>
        </r>
        <r>
          <rPr>
            <sz val="9"/>
            <color indexed="81"/>
            <rFont val="Segoe UI"/>
            <family val="2"/>
          </rPr>
          <t xml:space="preserve">
Custo Homologado sem a parcela de recuperação.</t>
        </r>
      </text>
    </comment>
    <comment ref="C22" authorId="0" shapeId="0" xr:uid="{F6C77269-94A6-4694-8CBD-8B97D4328C2A}">
      <text>
        <r>
          <rPr>
            <b/>
            <sz val="9"/>
            <color indexed="81"/>
            <rFont val="Tahoma"/>
            <family val="2"/>
          </rPr>
          <t>Pedro Lima Coelho:</t>
        </r>
        <r>
          <rPr>
            <sz val="9"/>
            <color indexed="81"/>
            <rFont val="Tahoma"/>
            <family val="2"/>
          </rPr>
          <t xml:space="preserve">
Arredondamento</t>
        </r>
      </text>
    </comment>
    <comment ref="I22" authorId="0" shapeId="0" xr:uid="{CA48D6E0-5443-42C1-A5DF-113E895D57B4}">
      <text>
        <r>
          <rPr>
            <b/>
            <sz val="9"/>
            <color indexed="81"/>
            <rFont val="Tahoma"/>
            <family val="2"/>
          </rPr>
          <t>Pedro Lima Coelho:</t>
        </r>
        <r>
          <rPr>
            <sz val="9"/>
            <color indexed="81"/>
            <rFont val="Tahoma"/>
            <family val="2"/>
          </rPr>
          <t xml:space="preserve">
Arrendondamento</t>
        </r>
      </text>
    </comment>
    <comment ref="AK30" authorId="0" shapeId="0" xr:uid="{6889F949-59B6-46D9-8D29-4DCB04D2DA30}">
      <text>
        <r>
          <rPr>
            <b/>
            <sz val="9"/>
            <color indexed="81"/>
            <rFont val="Tahoma"/>
            <family val="2"/>
          </rPr>
          <t>Pedro Lima Coelho:</t>
        </r>
        <r>
          <rPr>
            <sz val="9"/>
            <color indexed="81"/>
            <rFont val="Tahoma"/>
            <family val="2"/>
          </rPr>
          <t xml:space="preserve">
Primeira aplicação do mecanismo de Conta Gráfica - novembro 2022</t>
        </r>
      </text>
    </comment>
    <comment ref="G33" authorId="0" shapeId="0" xr:uid="{FB5FAF0C-44D3-4D6C-83C5-43090B4A4745}">
      <text>
        <r>
          <rPr>
            <b/>
            <sz val="9"/>
            <color indexed="81"/>
            <rFont val="Tahoma"/>
            <family val="2"/>
          </rPr>
          <t>Pedro Lima Coelho:</t>
        </r>
        <r>
          <rPr>
            <sz val="9"/>
            <color indexed="81"/>
            <rFont val="Tahoma"/>
            <family val="2"/>
          </rPr>
          <t xml:space="preserve">
TOP 758 - Estorno</t>
        </r>
      </text>
    </comment>
    <comment ref="E45" authorId="0" shapeId="0" xr:uid="{6CA50988-8A46-4CCC-B989-24BB7B2821C8}">
      <text>
        <r>
          <rPr>
            <b/>
            <sz val="9"/>
            <color indexed="81"/>
            <rFont val="Tahoma"/>
            <family val="2"/>
          </rPr>
          <t>Pedro Lima Coelho:</t>
        </r>
        <r>
          <rPr>
            <sz val="9"/>
            <color indexed="81"/>
            <rFont val="Tahoma"/>
            <family val="2"/>
          </rPr>
          <t xml:space="preserve">
Arrendondamento</t>
        </r>
      </text>
    </comment>
    <comment ref="K56" authorId="1" shapeId="0" xr:uid="{53FEE924-87CA-4713-BE7C-323E8CB6E191}">
      <text>
        <r>
          <rPr>
            <b/>
            <sz val="9"/>
            <color indexed="81"/>
            <rFont val="Segoe UI"/>
            <family val="2"/>
          </rPr>
          <t>Francisco Nunes:</t>
        </r>
        <r>
          <rPr>
            <sz val="9"/>
            <color indexed="81"/>
            <rFont val="Segoe UI"/>
            <family val="2"/>
          </rPr>
          <t xml:space="preserve">
-0,0135 R$m3
Nov/22 a Jan/23
Fev a Abr/23
Mai a Jul/23</t>
        </r>
      </text>
    </comment>
  </commentList>
</comments>
</file>

<file path=xl/sharedStrings.xml><?xml version="1.0" encoding="utf-8"?>
<sst xmlns="http://schemas.openxmlformats.org/spreadsheetml/2006/main" count="7378" uniqueCount="1118">
  <si>
    <t>Vol m³</t>
  </si>
  <si>
    <t>Compra R$ c/tributos</t>
  </si>
  <si>
    <t>Compra R$ s/tributos</t>
  </si>
  <si>
    <t>ICMS</t>
  </si>
  <si>
    <t>Custo</t>
  </si>
  <si>
    <t>4973-4</t>
  </si>
  <si>
    <t>3489-12</t>
  </si>
  <si>
    <t>10869-6</t>
  </si>
  <si>
    <t>5000-24</t>
  </si>
  <si>
    <t>4974-4</t>
  </si>
  <si>
    <t>3490-12</t>
  </si>
  <si>
    <t>10870-6</t>
  </si>
  <si>
    <t>5001-24</t>
  </si>
  <si>
    <t>3491-12</t>
  </si>
  <si>
    <t>4975-4</t>
  </si>
  <si>
    <t>Supridor</t>
  </si>
  <si>
    <t>Mês</t>
  </si>
  <si>
    <t>Petrobras</t>
  </si>
  <si>
    <t>10497-6</t>
  </si>
  <si>
    <t>4820-24</t>
  </si>
  <si>
    <t>10499-6</t>
  </si>
  <si>
    <t>3401-12</t>
  </si>
  <si>
    <t>4758-4</t>
  </si>
  <si>
    <t>430266-2</t>
  </si>
  <si>
    <t>3193-28</t>
  </si>
  <si>
    <t>3992-4</t>
  </si>
  <si>
    <t>10498-6</t>
  </si>
  <si>
    <t>4821-24</t>
  </si>
  <si>
    <t>3402-12</t>
  </si>
  <si>
    <t>4759-4</t>
  </si>
  <si>
    <t>430267-2</t>
  </si>
  <si>
    <t>10500-6</t>
  </si>
  <si>
    <t>14-1</t>
  </si>
  <si>
    <t>Shell</t>
  </si>
  <si>
    <t>9-1</t>
  </si>
  <si>
    <t>3-1</t>
  </si>
  <si>
    <t>New Fortress (Garanhuns)</t>
  </si>
  <si>
    <t>New Fortress (Petrolina)</t>
  </si>
  <si>
    <t>Total</t>
  </si>
  <si>
    <t>4879-24</t>
  </si>
  <si>
    <t>3432-12</t>
  </si>
  <si>
    <t>10595-6</t>
  </si>
  <si>
    <t>4813-4</t>
  </si>
  <si>
    <t>3245-28</t>
  </si>
  <si>
    <t>430396-2</t>
  </si>
  <si>
    <t>10593-6</t>
  </si>
  <si>
    <t>430397-2</t>
  </si>
  <si>
    <t>4880-24</t>
  </si>
  <si>
    <t>4814-4</t>
  </si>
  <si>
    <t>10596-6</t>
  </si>
  <si>
    <t>3246-2</t>
  </si>
  <si>
    <t>10594-6</t>
  </si>
  <si>
    <t>4815-4</t>
  </si>
  <si>
    <t>30-1</t>
  </si>
  <si>
    <t>10-1</t>
  </si>
  <si>
    <t>4874-4</t>
  </si>
  <si>
    <t>10723-6</t>
  </si>
  <si>
    <t>3457-12</t>
  </si>
  <si>
    <t>4-9</t>
  </si>
  <si>
    <t>4011-4</t>
  </si>
  <si>
    <t>10720-6</t>
  </si>
  <si>
    <t>4936-24</t>
  </si>
  <si>
    <t>4875-4</t>
  </si>
  <si>
    <t>3456-12</t>
  </si>
  <si>
    <t>10725-6</t>
  </si>
  <si>
    <t>10726-6</t>
  </si>
  <si>
    <t>5-9</t>
  </si>
  <si>
    <t>10721-6</t>
  </si>
  <si>
    <t>4012-4</t>
  </si>
  <si>
    <t>4937-24</t>
  </si>
  <si>
    <t>3458-12</t>
  </si>
  <si>
    <t>4876-4</t>
  </si>
  <si>
    <t>10724-6</t>
  </si>
  <si>
    <t>4938-24</t>
  </si>
  <si>
    <t>10722-6</t>
  </si>
  <si>
    <t>39-1</t>
  </si>
  <si>
    <t>11-1</t>
  </si>
  <si>
    <t>4946-24</t>
  </si>
  <si>
    <t>10774-6</t>
  </si>
  <si>
    <t>10776-6</t>
  </si>
  <si>
    <t>3288-28</t>
  </si>
  <si>
    <t>4914-4</t>
  </si>
  <si>
    <t>61-9</t>
  </si>
  <si>
    <t>10775-6</t>
  </si>
  <si>
    <t>3289-28</t>
  </si>
  <si>
    <t>4947-24</t>
  </si>
  <si>
    <t>62-9</t>
  </si>
  <si>
    <t>10777-6</t>
  </si>
  <si>
    <t>4915-4</t>
  </si>
  <si>
    <t>4916-4</t>
  </si>
  <si>
    <t>10778-6</t>
  </si>
  <si>
    <t>63-9</t>
  </si>
  <si>
    <t>4948-24</t>
  </si>
  <si>
    <t>54-1</t>
  </si>
  <si>
    <t>13-1</t>
  </si>
  <si>
    <t>74-1</t>
  </si>
  <si>
    <t>16-1</t>
  </si>
  <si>
    <t>PIS</t>
  </si>
  <si>
    <t>COFINS</t>
  </si>
  <si>
    <t>Nota Fiscal</t>
  </si>
  <si>
    <t>CONFORME XML DA NOTA</t>
  </si>
  <si>
    <t>3351-28</t>
  </si>
  <si>
    <t>3350-28</t>
  </si>
  <si>
    <t>5030-4</t>
  </si>
  <si>
    <t>3518-12</t>
  </si>
  <si>
    <t>5031-24</t>
  </si>
  <si>
    <t>10927-6</t>
  </si>
  <si>
    <t>5027-4</t>
  </si>
  <si>
    <t>5029-4</t>
  </si>
  <si>
    <t>5030-24</t>
  </si>
  <si>
    <t>10926-6</t>
  </si>
  <si>
    <t>10928-6</t>
  </si>
  <si>
    <t>3516-12</t>
  </si>
  <si>
    <t>3352-28</t>
  </si>
  <si>
    <t>3517-12</t>
  </si>
  <si>
    <t>5031-4</t>
  </si>
  <si>
    <t>10929-6</t>
  </si>
  <si>
    <t>5028-4</t>
  </si>
  <si>
    <t>3521-12</t>
  </si>
  <si>
    <t>3519-12</t>
  </si>
  <si>
    <t>3520-12</t>
  </si>
  <si>
    <t>5032-24</t>
  </si>
  <si>
    <t>5033-24</t>
  </si>
  <si>
    <t>80-1</t>
  </si>
  <si>
    <t>17-1</t>
  </si>
  <si>
    <t>RELATÓRIO MENSAL DE ACOMPANHAMENTO DO CUSTO DO GÁS</t>
  </si>
  <si>
    <t>NFE</t>
  </si>
  <si>
    <t>Poderação QDC</t>
  </si>
  <si>
    <t>Poderação QDR</t>
  </si>
  <si>
    <t>Custo Médio Ponderado real</t>
  </si>
  <si>
    <t>Volume de vendas</t>
  </si>
  <si>
    <t>Observações Relevantes:</t>
  </si>
  <si>
    <t>Custo Médio Ponderado tarifa</t>
  </si>
  <si>
    <t>z</t>
  </si>
  <si>
    <t>18-1</t>
  </si>
  <si>
    <t>19-1</t>
  </si>
  <si>
    <t>Observações Relevantes: Publicação da Lei Complementar 194/2022, no DOU de 23.06.2022, Edição Extra, prevendo, até 31.12.2022, redução a zero da alíquota de PIS/COFINS incidente sobre a receita ou o faturamento na venda de gás natural veicular classificado nos códigos 2711.11.00 ou 2711.21.00 da NCM.
"Art. 9º-B Até 31 de dezembro de 2022, ficam reduzidas a 0 (zero) as alíquotas das contribuições de que tratam o caput e o § 1º do art. 9º desta Lei Complementar incidentes sobre a receita ou o faturamento na venda ou sobre a importação de gás natural veicular classificado nos códigos 2711.11.00 ou 2711.21.00 da NCM."
Dessa forma, a Copergás informou a Petrobras todo o volume de GNV e GNC veicular comercializado a partir do dia 23/06/2022, o qual foi sensibilizado nas notas do supridor e, consequentemente, foram emitidas com alíquotas zero de PIS/Cofins</t>
  </si>
  <si>
    <t>Observações Relevantes: 
Publicação da Lei Complementar 194/2022, no DOU de 23.06.2022, Edição Extra, prevendo, até 31.12.2022, redução a zero da alíquota de PIS/COFINS incidente sobre a receita ou o faturamento na venda de gás natural veicular classificado nos códigos 2711.11.00 ou 2711.21.00 da NCM.
"Art. 9º-B Até 31 de dezembro de 2022, ficam reduzidas a 0 (zero) as alíquotas das contribuições de que tratam o caput e o § 1º do art. 9º desta Lei Complementar incidentes sobre a receita ou o faturamento na venda ou sobre a importação de gás natural veicular classificado nos códigos 2711.11.00 ou 2711.21.00 da NCM."
Dessa forma, a Copergás informou a Petrobras todo o volume de GNV e GNC veicular comercializado durante o mês de julho/22, o qual foi sensibilizado nas notas do supridor e, consequentemente, foram emitidas com alíquotas zero de PIS/Cofins
Além disso, houve a necessidade de emissão por parte da Copergás da emissão de 2 notas de devolução para regularização das notas fiscais emitidas pela Shell em abril e maio/22.</t>
  </si>
  <si>
    <t>Observações Relevantes: 
Publicação da Lei Complementar 194/2022, no DOU de 23.06.2022, Edição Extra, prevendo, até 31.12.2022, redução a zero da alíquota de PIS/COFINS incidente sobre a receita ou o faturamento na venda de gás natural veicular classificado nos códigos 2711.11.00 ou 2711.21.00 da NCM.
"Art. 9º-B Até 31 de dezembro de 2022, ficam reduzidas a 0 (zero) as alíquotas das contribuições de que tratam o caput e o § 1º do art. 9º desta Lei Complementar incidentes sobre a receita ou o faturamento na venda ou sobre a importação de gás natural veicular classificado nos códigos 2711.11.00 ou 2711.21.00 da NCM."
Dessa forma, a Copergás informou a Petrobras todo o volume de GNV e GNC veicular comercializado durante o mês de julho/22, o qual foi sensibilizado nas notas do supridor e, consequentemente, foram emitidas com alíquotas zero de PIS/Cofins
NewFortress - GARANHUNS: Desconto de 5% do Preço do Gás, sobre o volume de 15.393 m³, pelo não cumprimento da estocagem mínima prevista em contrato (cláusula 6.2.4.).
NewFortress - PETROLINA: Desconto de 5% do Preço do Gás, sobre o volume de 153.041m³, pelo não cumprimento da estocagem mínima prevista em contrato (cláusula 6.2.4.).</t>
  </si>
  <si>
    <t>430938-2</t>
  </si>
  <si>
    <t>11063-6</t>
  </si>
  <si>
    <t>3611-12</t>
  </si>
  <si>
    <t>3609-12</t>
  </si>
  <si>
    <t>11064-6</t>
  </si>
  <si>
    <t>5175-4</t>
  </si>
  <si>
    <t>430939-2</t>
  </si>
  <si>
    <t>3612-12</t>
  </si>
  <si>
    <t>5174-4</t>
  </si>
  <si>
    <t>3610-12</t>
  </si>
  <si>
    <t>5176-4</t>
  </si>
  <si>
    <t>11065-6</t>
  </si>
  <si>
    <t>5177-4</t>
  </si>
  <si>
    <t>11066-6</t>
  </si>
  <si>
    <t>21-1</t>
  </si>
  <si>
    <t>221-1</t>
  </si>
  <si>
    <t>Observações Relevantes: 
Publicação da Lei Complementar 194/2022, no DOU de 23.06.2022, Edição Extra, prevendo, até 31.12.2022, redução a zero da alíquota de PIS/COFINS incidente sobre a receita ou o faturamento na venda de gás natural veicular classificado nos códigos 2711.11.00 ou 2711.21.00 da NCM.
"Art. 9º-B Até 31 de dezembro de 2022, ficam reduzidas a 0 (zero) as alíquotas das contribuições de que tratam o caput e o § 1º do art. 9º desta Lei Complementar incidentes sobre a receita ou o faturamento na venda ou sobre a importação de gás natural veicular classificado nos códigos 2711.11.00 ou 2711.21.00 da NCM."
Dessa forma, a Copergás informou a Petrobras todo o volume de GNV e GNC veicular comercializado durante o mês de julho/22, o qual foi sensibilizado nas notas do supridor e, consequentemente, foram emitidas com alíquotas zero de PIS/Cofins</t>
  </si>
  <si>
    <t>22-1</t>
  </si>
  <si>
    <t>5257-4</t>
  </si>
  <si>
    <t>5258-4</t>
  </si>
  <si>
    <t>GNV</t>
  </si>
  <si>
    <t>PGU1</t>
  </si>
  <si>
    <t>5163-24</t>
  </si>
  <si>
    <t>PGU1 GNV</t>
  </si>
  <si>
    <t>431037-2</t>
  </si>
  <si>
    <t>431036-2</t>
  </si>
  <si>
    <t>11183-6</t>
  </si>
  <si>
    <t>11181-6</t>
  </si>
  <si>
    <t>5162-24</t>
  </si>
  <si>
    <t>431035-2</t>
  </si>
  <si>
    <t>431038-2</t>
  </si>
  <si>
    <t>5164-24</t>
  </si>
  <si>
    <t>3427-28</t>
  </si>
  <si>
    <t>5161-24</t>
  </si>
  <si>
    <t>5255-4</t>
  </si>
  <si>
    <t>11184-6</t>
  </si>
  <si>
    <t>5256-4</t>
  </si>
  <si>
    <t>431034-2</t>
  </si>
  <si>
    <t>3429-28</t>
  </si>
  <si>
    <t>11182-6</t>
  </si>
  <si>
    <t>3430-28</t>
  </si>
  <si>
    <t>3428-28</t>
  </si>
  <si>
    <t>224-1</t>
  </si>
  <si>
    <t>Conta Gráfica</t>
  </si>
  <si>
    <t>Preço de venda</t>
  </si>
  <si>
    <t>Volume Total Firme (m³)</t>
  </si>
  <si>
    <t>Volume Shell (m³)</t>
  </si>
  <si>
    <t>Custo Shell sem impostos (R$)</t>
  </si>
  <si>
    <t>Volume Petrobras (m³)</t>
  </si>
  <si>
    <t>Custo Petrobras sem impostos (R$)</t>
  </si>
  <si>
    <t>Volume NFE Petrolina (m³)</t>
  </si>
  <si>
    <t>Custo NFE Petrolina sem impostos (R$)</t>
  </si>
  <si>
    <t>Volume NFE Garanhuns (m³)</t>
  </si>
  <si>
    <t>Custo NFE Garanhuns sem impostos (R$)</t>
  </si>
  <si>
    <t>Custo do Gás Realizado (CGR)</t>
  </si>
  <si>
    <t>Check volume</t>
  </si>
  <si>
    <t>Check custo</t>
  </si>
  <si>
    <t>Volume Faturado (VF)</t>
  </si>
  <si>
    <t>Preço médio ponderado de venda (PMPV)</t>
  </si>
  <si>
    <t>Custo do gás faturado (CGF)</t>
  </si>
  <si>
    <t>Recuperação de preço de venda (RPV)</t>
  </si>
  <si>
    <t>Encargos de Transporte</t>
  </si>
  <si>
    <t xml:space="preserve">Encargo de Capacidade </t>
  </si>
  <si>
    <t>Encargo de Transporte (EAT)</t>
  </si>
  <si>
    <t>Saldo Encargos de Transporte</t>
  </si>
  <si>
    <t>Penalidades</t>
  </si>
  <si>
    <t>Receitas</t>
  </si>
  <si>
    <t>PFP</t>
  </si>
  <si>
    <t>TOP não recuperável</t>
  </si>
  <si>
    <t>NFE Petrolina</t>
  </si>
  <si>
    <t>NFE Garanhuns</t>
  </si>
  <si>
    <t>Total receitas</t>
  </si>
  <si>
    <t>Despesas</t>
  </si>
  <si>
    <t>Total despesas</t>
  </si>
  <si>
    <t>Saldo de penalidade</t>
  </si>
  <si>
    <t>Saldo Conta Gráfica mês</t>
  </si>
  <si>
    <t>IGP-DI (%)
Variação mensal</t>
  </si>
  <si>
    <t>Índice</t>
  </si>
  <si>
    <t>Variação (%)</t>
  </si>
  <si>
    <t>No mês</t>
  </si>
  <si>
    <t>No ano</t>
  </si>
  <si>
    <t>12 meses</t>
  </si>
  <si>
    <t>...</t>
  </si>
  <si>
    <t>Fonte: FGV</t>
  </si>
  <si>
    <t>Saldo Conta Gráfica atualizado</t>
  </si>
  <si>
    <t xml:space="preserve">     </t>
  </si>
  <si>
    <t>Saldo na RTO nov/22</t>
  </si>
  <si>
    <t>-0,0135 (R$/m3)</t>
  </si>
  <si>
    <t>5182-24</t>
  </si>
  <si>
    <t>11226-6</t>
  </si>
  <si>
    <t>5289-4</t>
  </si>
  <si>
    <t>5184-24</t>
  </si>
  <si>
    <t>3433-28</t>
  </si>
  <si>
    <t>431127-2</t>
  </si>
  <si>
    <t>5185-24</t>
  </si>
  <si>
    <t>4068-4</t>
  </si>
  <si>
    <t>5286-4</t>
  </si>
  <si>
    <t>431128-2</t>
  </si>
  <si>
    <t>4069-4</t>
  </si>
  <si>
    <t>431130-2</t>
  </si>
  <si>
    <t>11228-6</t>
  </si>
  <si>
    <t>11229-6</t>
  </si>
  <si>
    <t>5183-24</t>
  </si>
  <si>
    <t>5287-4</t>
  </si>
  <si>
    <t>11227-6</t>
  </si>
  <si>
    <t>5288-4</t>
  </si>
  <si>
    <t>431129-2</t>
  </si>
  <si>
    <t>25-1</t>
  </si>
  <si>
    <t>23-1</t>
  </si>
  <si>
    <t>290-1</t>
  </si>
  <si>
    <t>Dias</t>
  </si>
  <si>
    <t>Petrolina</t>
  </si>
  <si>
    <t>Garanhuns</t>
  </si>
  <si>
    <t>Total QDC (m³)</t>
  </si>
  <si>
    <t>Quantidade Contratada mensal</t>
  </si>
  <si>
    <t>A</t>
  </si>
  <si>
    <t>Quantidade total m³
(9 meses)</t>
  </si>
  <si>
    <t>B</t>
  </si>
  <si>
    <t>Saldo da Conta Gráfica (R$)</t>
  </si>
  <si>
    <t>C = B ÷ A</t>
  </si>
  <si>
    <t>Parcela de Recuperação (R$/m³)</t>
  </si>
  <si>
    <t>New Fortress Energy</t>
  </si>
  <si>
    <t>5205-24</t>
  </si>
  <si>
    <t>5305-4</t>
  </si>
  <si>
    <t>5207-24</t>
  </si>
  <si>
    <t>431220-2</t>
  </si>
  <si>
    <t>PGU2</t>
  </si>
  <si>
    <t>431222-2</t>
  </si>
  <si>
    <t>11254-6</t>
  </si>
  <si>
    <t>3442-28</t>
  </si>
  <si>
    <t>431223-2</t>
  </si>
  <si>
    <t>3631-12</t>
  </si>
  <si>
    <t>3635-12</t>
  </si>
  <si>
    <t>11253-6</t>
  </si>
  <si>
    <t>5306-4</t>
  </si>
  <si>
    <t>5204-24</t>
  </si>
  <si>
    <t>3632-12</t>
  </si>
  <si>
    <t>3636-12</t>
  </si>
  <si>
    <t>431221-2</t>
  </si>
  <si>
    <t>3443-28</t>
  </si>
  <si>
    <t>3634-12</t>
  </si>
  <si>
    <t>PGU2 GNV</t>
  </si>
  <si>
    <t>3633-12</t>
  </si>
  <si>
    <t>5206-24</t>
  </si>
  <si>
    <t>26-1</t>
  </si>
  <si>
    <t>24-1</t>
  </si>
  <si>
    <t>344-1</t>
  </si>
  <si>
    <t>Acompanhamento Conta Gráfica</t>
  </si>
  <si>
    <t>Valor compensado (R$)</t>
  </si>
  <si>
    <t>Volume Faturado (m³)</t>
  </si>
  <si>
    <t>Saldo a compensar</t>
  </si>
  <si>
    <t>28-1</t>
  </si>
  <si>
    <t>460-1</t>
  </si>
  <si>
    <t>GNV PGU1</t>
  </si>
  <si>
    <t>GNV PGU2</t>
  </si>
  <si>
    <t>5241-24</t>
  </si>
  <si>
    <t>431309-2</t>
  </si>
  <si>
    <t>5353-4</t>
  </si>
  <si>
    <t>3685-12</t>
  </si>
  <si>
    <t>3686-12</t>
  </si>
  <si>
    <t>431310-2</t>
  </si>
  <si>
    <t>5354-4</t>
  </si>
  <si>
    <t>5242-24</t>
  </si>
  <si>
    <t>3687-12</t>
  </si>
  <si>
    <t>5243-24</t>
  </si>
  <si>
    <t>5355-4</t>
  </si>
  <si>
    <t>5238-24</t>
  </si>
  <si>
    <t>431307-2</t>
  </si>
  <si>
    <t>3688-12</t>
  </si>
  <si>
    <t>5350-4</t>
  </si>
  <si>
    <t>431308-2</t>
  </si>
  <si>
    <t>5351-4</t>
  </si>
  <si>
    <t>3684-12</t>
  </si>
  <si>
    <t>5239-24</t>
  </si>
  <si>
    <t>3689-12</t>
  </si>
  <si>
    <t>5352-4</t>
  </si>
  <si>
    <t>5240-24</t>
  </si>
  <si>
    <t>Saldo acumulado de out/22 a dez/22</t>
  </si>
  <si>
    <t>Saldo Remanescente</t>
  </si>
  <si>
    <t>Saldo Remanescente (nov/22 a dez/22)</t>
  </si>
  <si>
    <t>Volume Prospectivo - Volume Faturado</t>
  </si>
  <si>
    <t>Quantidade total m³
(3 meses)</t>
  </si>
  <si>
    <t>27-1</t>
  </si>
  <si>
    <t>5280-24</t>
  </si>
  <si>
    <t>3461-28</t>
  </si>
  <si>
    <t>431394-2</t>
  </si>
  <si>
    <t>11364-6</t>
  </si>
  <si>
    <t>11362-6</t>
  </si>
  <si>
    <t>3460-28</t>
  </si>
  <si>
    <t>431395-2</t>
  </si>
  <si>
    <t>11363-6</t>
  </si>
  <si>
    <t>5279-24</t>
  </si>
  <si>
    <t>431393-2</t>
  </si>
  <si>
    <t>431392-2</t>
  </si>
  <si>
    <t>966-1</t>
  </si>
  <si>
    <t>998-1</t>
  </si>
  <si>
    <t>966-1 e 998-1</t>
  </si>
  <si>
    <t>Observações Relevantes: 
Publicação da Lei Complementar 194/2022, no DOU de 23.06.2022, Edição Extra, prevendo, até 31.12.2022, redução a zero da alíquota de PIS/COFINS incidente sobre a receita ou o faturamento na venda de gás natural veicular classificado nos códigos 2711.11.00 ou 2711.21.00 da NCM.
"Art. 9º-B Até 31 de dezembro de 2022, ficam reduzidas a 0 (zero) as alíquotas das contribuições de que tratam o caput e o § 1º do art. 9º desta Lei Complementar incidentes sobre a receita ou o faturamento na venda ou sobre a importação de gás natural veicular classificado nos códigos 2711.11.00 ou 2711.21.00 da NCM."
Dessa forma, a Copergás informou a Petrobras todo o volume de GNV e GNC veicular comercializado durante o mês de janeiro/23, o qual foi sensibilizado nas notas do supridor e, consequentemente, foram emitidas com alíquotas zero de PIS/Cofins.
O Supridor Shell emitiu Nota de Complemento de preço (com volume zero) para ajustar a tarifa na NFe 966-1.</t>
  </si>
  <si>
    <t>Saldo Remanescente (jan/23 a mar/23) 
Apuração jan/22 a set/22</t>
  </si>
  <si>
    <t>Saldo Remanescente (fev/23 a mar/23)
Apuração out/22 a dez/22</t>
  </si>
  <si>
    <t>32-1</t>
  </si>
  <si>
    <t>Observações Relevantes: 
Publicação da Lei Complementar 194/2022, no DOU de 23.06.2022, Edição Extra, prevendo, até 31.12.2022, redução a zero da alíquota de PIS/COFINS incidente sobre a receita ou o faturamento na venda de gás natural veicular classificado nos códigos 2711.11.00 ou 2711.21.00 da NCM.
"Art. 9º-B Até 31 de dezembro de 2022, ficam reduzidas a 0 (zero) as alíquotas das contribuições de que tratam o caput e o § 1º do art. 9º desta Lei Complementar incidentes sobre a receita ou o faturamento na venda ou sobre a importação de gás natural veicular classificado nos códigos 2711.11.00 ou 2711.21.00 da NCM."
Dessa forma, a Copergás informou a Petrobras todo o volume de GNV e GNC veicular comercializado durante o mês de fevereiro/23, o qual foi sensibilizado nas notas do supridor e, consequentemente, foram emitidas com alíquotas zero de PIS/Cofins.</t>
  </si>
  <si>
    <t>1366-1</t>
  </si>
  <si>
    <t>431499-2</t>
  </si>
  <si>
    <t>5318-24</t>
  </si>
  <si>
    <t>431500-2</t>
  </si>
  <si>
    <t>5319-24</t>
  </si>
  <si>
    <t>431501-2</t>
  </si>
  <si>
    <t>431505-2</t>
  </si>
  <si>
    <t>431506-2</t>
  </si>
  <si>
    <t>3474-28</t>
  </si>
  <si>
    <t>5316-24</t>
  </si>
  <si>
    <t>431497-2</t>
  </si>
  <si>
    <t>5317-24</t>
  </si>
  <si>
    <t>431498-2</t>
  </si>
  <si>
    <t>1479-1</t>
  </si>
  <si>
    <t>Valor calculado</t>
  </si>
  <si>
    <t>Valor (PMPV)</t>
  </si>
  <si>
    <t>Valor recuperado</t>
  </si>
  <si>
    <t>Valor que deveria ser recuperado</t>
  </si>
  <si>
    <t>Saldo remanescente</t>
  </si>
  <si>
    <t>Diferença</t>
  </si>
  <si>
    <t>33-1</t>
  </si>
  <si>
    <t>1848-1</t>
  </si>
  <si>
    <t>11475-6</t>
  </si>
  <si>
    <t>431581-2</t>
  </si>
  <si>
    <t>5342-24</t>
  </si>
  <si>
    <t>5343-24</t>
  </si>
  <si>
    <t>5341-24</t>
  </si>
  <si>
    <t>3486-28</t>
  </si>
  <si>
    <t>3483-28</t>
  </si>
  <si>
    <t>431580-2</t>
  </si>
  <si>
    <t>3485-28</t>
  </si>
  <si>
    <t>431578-2</t>
  </si>
  <si>
    <t>11477-6</t>
  </si>
  <si>
    <t>11474-6</t>
  </si>
  <si>
    <t>3484-28</t>
  </si>
  <si>
    <t>11476-6</t>
  </si>
  <si>
    <t>5340-24</t>
  </si>
  <si>
    <t>431579-2</t>
  </si>
  <si>
    <t>Compensação PMPV (fev/23 a mar/23)</t>
  </si>
  <si>
    <t>35-1</t>
  </si>
  <si>
    <t>Informar a contabilidade</t>
  </si>
  <si>
    <t>431599-2</t>
  </si>
  <si>
    <t>5371-4</t>
  </si>
  <si>
    <t>11491-6</t>
  </si>
  <si>
    <t>3701-12</t>
  </si>
  <si>
    <t>5351-24</t>
  </si>
  <si>
    <t>3702-12</t>
  </si>
  <si>
    <t>431600-2</t>
  </si>
  <si>
    <t>11492-6</t>
  </si>
  <si>
    <t>5352-24</t>
  </si>
  <si>
    <t>5372-4</t>
  </si>
  <si>
    <t>3703-12</t>
  </si>
  <si>
    <t>5373-4</t>
  </si>
  <si>
    <t>Observações Relevantes: 
Publicação da Lei Complementar 194/2022, no DOU de 23.06.2022, Edição Extra, prevendo, até 31.12.2022, redução a zero da alíquota de PIS/COFINS incidente sobre a receita ou o faturamento na venda de gás natural veicular classificado nos códigos 2711.11.00 ou 2711.21.00 da NCM.
"Art. 9º-B Até 31 de dezembro de 2022, ficam reduzidas a 0 (zero) as alíquotas das contribuições de que tratam o caput e o § 1º do art. 9º desta Lei Complementar incidentes sobre a receita ou o faturamento na venda ou sobre a importação de gás natural veicular classificado nos códigos 2711.11.00 ou 2711.21.00 da NCM."
Dessa forma, a Copergás informou a Petrobras todo o volume de GNV e GNC veicular comercializado durante o mês de março/23, o qual foi sensibilizado nas notas do supridor e, consequentemente, foram emitidas com alíquotas zero de PIS/Cofins.</t>
  </si>
  <si>
    <t>2368-1</t>
  </si>
  <si>
    <t>37-1</t>
  </si>
  <si>
    <t>34-1</t>
  </si>
  <si>
    <t>Observações Relevantes: 
Publicação da Lei Complementar 194/2022, no DOU de 23.06.2022, Edição Extra, prevendo, até 31.12.2022, redução a zero da alíquota de PIS/COFINS incidente sobre a receita ou o faturamento na venda de gás natural veicular classificado nos códigos 2711.11.00 ou 2711.21.00 da NCM.
"Art. 9º-B Até 31 de dezembro de 2022, ficam reduzidas a 0 (zero) as alíquotas das contribuições de que tratam o caput e o § 1º do art. 9º desta Lei Complementar incidentes sobre a receita ou o faturamento na venda ou sobre a importação de gás natural veicular classificado nos códigos 2711.11.00 ou 2711.21.00 da NCM."
Dessa forma, a Copergás informou a Petrobras todo o volume de GNV e GNC veicular comercializado durante o mês de abril/23, o qual foi sensibilizado nas notas do supridor e, consequentemente, foram emitidas com alíquotas zero de PIS/Cofins.
NewFortress - GARANHUNS: Desconto de 5% do Preço do Gás, sobre o volume de 29.028 m³, pelo não cumprimento da estocagem mínima prevista em contrato (cláusula 6.2.4.).
NewFortress - PETROLINA: Desconto de 5% do Preço do Gás, sobre o volume de 252.760 m³, pelo não cumprimento da estocagem mínima prevista em contrato (cláusula 6.2.4.).</t>
  </si>
  <si>
    <t>Saldo Remanescente (abr/23 a jun/23) 
Apuração jan/22 a set/22</t>
  </si>
  <si>
    <t>Saldo Remanescente (abr/23)
Apuração out/22 a dez/22</t>
  </si>
  <si>
    <t>Saldo Remanescente (mai/23 e jun/23)
Apuração jan/23 a mar/23</t>
  </si>
  <si>
    <t>Mastergás</t>
  </si>
  <si>
    <t>5426-4</t>
  </si>
  <si>
    <t>3723-12</t>
  </si>
  <si>
    <t>11566-6</t>
  </si>
  <si>
    <t>5401-24</t>
  </si>
  <si>
    <t>431692-2</t>
  </si>
  <si>
    <t>5427-4</t>
  </si>
  <si>
    <t>3722-12</t>
  </si>
  <si>
    <t>11568-6</t>
  </si>
  <si>
    <t>5403-24</t>
  </si>
  <si>
    <t>431693-2</t>
  </si>
  <si>
    <t>5404-24</t>
  </si>
  <si>
    <t>11569-6</t>
  </si>
  <si>
    <t>11567-6</t>
  </si>
  <si>
    <t>5402-24</t>
  </si>
  <si>
    <t>NFE Fortress</t>
  </si>
  <si>
    <t>59 Notas</t>
  </si>
  <si>
    <t>2821-1</t>
  </si>
  <si>
    <t>Observações Relevantes: 
As tarifas de fornecimento para o segmento de uso Veicular (GNV/GNC) incidem impostos de 12% de ICMS conforme Lei 14.956/2013 e 0% de PIS/COFINS, conforme Medida Provisória Nº 1.163, de 28 de fevereiro de 2023.
Dessa forma, a Copergás informou a Petrobras todo o volume de GNV e GNC veicular comercializado durante o mês de maio/23, o qual foi sensibilizado nas notas do supridor e, consequentemente, foram emitidas com alíquotas zero de PIS/Cofins.
NewFortress - GARANHUNS: Desconto de 5% do Preço do Gás, sobre o volume de 43.238 m³, pelo não cumprimento da estocagem mínima prevista em contrato (cláusula 6.2.4.).
NewFortress - PETROLINA: Desconto de 5% do Preço do Gás, sobre o volume de 292.562 m³, pelo não cumprimento da estocagem mínima prevista em contrato (cláusula 6.2.4.).
59 Emissões de Conhecimento de Transporte de GNL pela Mastergás para abastecimento de parte da Rede Local.</t>
  </si>
  <si>
    <t>REDE LOCAL</t>
  </si>
  <si>
    <t>Contingência Rede Local (Vector)</t>
  </si>
  <si>
    <t>Contingência Rede Local (Mastergás)</t>
  </si>
  <si>
    <t>431733-2</t>
  </si>
  <si>
    <t>5456-4</t>
  </si>
  <si>
    <t>3748-12</t>
  </si>
  <si>
    <t>11604-6</t>
  </si>
  <si>
    <t>3749-12</t>
  </si>
  <si>
    <t>5457-4</t>
  </si>
  <si>
    <t>11605-6</t>
  </si>
  <si>
    <t>3747-12</t>
  </si>
  <si>
    <t>5459-4</t>
  </si>
  <si>
    <t>11607-6</t>
  </si>
  <si>
    <t>3746-12</t>
  </si>
  <si>
    <t>5458-4</t>
  </si>
  <si>
    <t>431734-2</t>
  </si>
  <si>
    <t>11606-6</t>
  </si>
  <si>
    <t>18 Notas</t>
  </si>
  <si>
    <t>Observações Relevantes: 
As tarifas de fornecimento para o segmento de uso Veicular (GNV/GNC) incidem impostos de 12% de ICMS conforme Lei 14.956/2013 e 0% de PIS/COFINS, conforme Medida Provisória Nº 1.163, de 28 de fevereiro de 2023.
Dessa forma, a Copergás informou a Petrobras todo o volume de GNV e GNC veicular comercializado durante o período de 01/06/2023 a 28/06/2023, o qual foi sensibilizado nas notas do supridor e, consequentemente, foram emitidas com alíquotas zero de PIS/Cofins.
18 Emissões de Conhecimento de Transporte de GNL pela Mastergás para abastecimento de parte da Rede Local.</t>
  </si>
  <si>
    <t>Galp</t>
  </si>
  <si>
    <t>PetroRecôncavo</t>
  </si>
  <si>
    <t>Saldo Remanescente (jul/23) 
Apuração jan/22 a set/22</t>
  </si>
  <si>
    <t>Saldo Remanescente (jul/23)
Apuração jan/23 a mar/23</t>
  </si>
  <si>
    <t>Saldo Remanescente (ago/23 e set/23)
Apuração abr/23 a jun/23</t>
  </si>
  <si>
    <t>3715-1</t>
  </si>
  <si>
    <t>11652-6</t>
  </si>
  <si>
    <t>5489-4</t>
  </si>
  <si>
    <t>11651-6</t>
  </si>
  <si>
    <t>431830-2</t>
  </si>
  <si>
    <t>5436-24</t>
  </si>
  <si>
    <t>3754-12</t>
  </si>
  <si>
    <t>44-1</t>
  </si>
  <si>
    <t>42-1</t>
  </si>
  <si>
    <t>47 Notas</t>
  </si>
  <si>
    <t>Observações Relevantes: 
As tarifas de fornecimento para o segmento de uso Veicular (GNV/GNC) incidem impostos de 12% de ICMS conforme Lei 14.956/2013.
47 Emissões de Conhecimento de Transporte de GNL pela Mastergás.
1 Emissão de Locação de Unidade de redutora de pressão pela ICTUS Engenharia para Rede Local.</t>
  </si>
  <si>
    <t>3498-28</t>
  </si>
  <si>
    <t>11699-6</t>
  </si>
  <si>
    <t>5469-24</t>
  </si>
  <si>
    <t>11700-6</t>
  </si>
  <si>
    <t>5513-4</t>
  </si>
  <si>
    <t>4071-1</t>
  </si>
  <si>
    <t>4117-4</t>
  </si>
  <si>
    <t>431878-2</t>
  </si>
  <si>
    <t>431877-2</t>
  </si>
  <si>
    <t>46-1</t>
  </si>
  <si>
    <t>43-1</t>
  </si>
  <si>
    <t>132 Notas</t>
  </si>
  <si>
    <t>Observações Relevantes: 
As tarifas de fornecimento para o segmento de uso Veicular (GNV/GNC) incidem impostos de 12% de ICMS conforme Lei 14.956/2013.
132 Emissões de Conhecimento de Transporte de GNL pela Mastergás.
1 Emissão de Locação de Unidade de redutora de pressão pela ICTUS Engenharia para Rede Local.</t>
  </si>
  <si>
    <t>2 Notas</t>
  </si>
  <si>
    <t>5527-4</t>
  </si>
  <si>
    <t>11739-6</t>
  </si>
  <si>
    <t>3521-28</t>
  </si>
  <si>
    <t>5518-24</t>
  </si>
  <si>
    <t>3762-12</t>
  </si>
  <si>
    <t>431950-2</t>
  </si>
  <si>
    <t>11740-6</t>
  </si>
  <si>
    <t>4499-1</t>
  </si>
  <si>
    <t>Mastergás/Vector</t>
  </si>
  <si>
    <t>109 Notas</t>
  </si>
  <si>
    <t>Observações Relevantes: 
As tarifas de fornecimento para o segmento de uso Veicular (GNV/GNC) incidem impostos de 12% de ICMS conforme Lei 14.956/2013.
109 Emissões de Conhecimento de Transporte de GNL pela Mastergás.
2 Emissões de Locação de Unidade de redutora de pressão pela ICTUS Engenharia para Rede Local.</t>
  </si>
  <si>
    <t>Saldo Remanescente (out/23)
Apuração abr/23 a jun/23</t>
  </si>
  <si>
    <t>Saldo Remanescente (nov/23 a dez/23)
Apuração jul a set23</t>
  </si>
  <si>
    <t>2 Notas Vector</t>
  </si>
  <si>
    <t>2 Notas Mastergás</t>
  </si>
  <si>
    <t>11772-6</t>
  </si>
  <si>
    <t>11773-6</t>
  </si>
  <si>
    <t>5547-24</t>
  </si>
  <si>
    <t>3775-12</t>
  </si>
  <si>
    <t>11774-6</t>
  </si>
  <si>
    <t>11775-6</t>
  </si>
  <si>
    <t>Petrorecôncavo</t>
  </si>
  <si>
    <t>Volume PetroRecôncavo (m³)</t>
  </si>
  <si>
    <t>Custo PetroRecôncavo sem impostos (R$)</t>
  </si>
  <si>
    <t>Volume Galp (m³)</t>
  </si>
  <si>
    <t>Custo Galp sem impostos (R$)</t>
  </si>
  <si>
    <t>Observações Relevantes: 
As tarifas de fornecimento para o segmento de uso Veicular (GNV/GNC) incidem impostos de 12% de ICMS conforme Lei 14.956/2013.
2 Emissões de Conhecimento de Transporte de GNL pela Mastergás.
2 Emissões de Locação de Unidade de redutora de pressão pela ICTUS Engenharia para Rede Local.
Início do fornecimento GALP e PetroRecôncavo</t>
  </si>
  <si>
    <t>5549-4</t>
  </si>
  <si>
    <t>3536-28</t>
  </si>
  <si>
    <t>432036-2</t>
  </si>
  <si>
    <t>5573-24</t>
  </si>
  <si>
    <t>11816-6</t>
  </si>
  <si>
    <t>11815-6</t>
  </si>
  <si>
    <t>5417-1</t>
  </si>
  <si>
    <t>129-2</t>
  </si>
  <si>
    <t>Observações Relevantes: 
As tarifas de fornecimento para o segmento de uso Veicular (GNV/GNC) incidem impostos de 12% de ICMS conforme Lei 14.956/2013.
2 Emissões de Conhecimento de Transporte de GNL pela Mastergás.
1 Emissão de Locação de Unidade de redutora de pressão pela ICTUS Engenharia para Rede Local.</t>
  </si>
  <si>
    <t>5627-24</t>
  </si>
  <si>
    <t>11858-6</t>
  </si>
  <si>
    <t>432107-2</t>
  </si>
  <si>
    <t>11859-6</t>
  </si>
  <si>
    <t>11860-6</t>
  </si>
  <si>
    <t>3548-28</t>
  </si>
  <si>
    <t>5563-4</t>
  </si>
  <si>
    <t>3808-12</t>
  </si>
  <si>
    <t>5846-1</t>
  </si>
  <si>
    <t>154-1</t>
  </si>
  <si>
    <t>Saldo Remanescente (jan/24)
Apuração jul a set23</t>
  </si>
  <si>
    <t>Saldo Remanescente (fev/24 a mar/24)
Apuração out/23 a dez/23</t>
  </si>
  <si>
    <t>Observações Relevantes: 
As tarifas de fornecimento para o segmento de uso Veicular (GNV/GNC) incidem impostos de 12% de ICMS conforme Lei 14.956/2013.
2 Emissões de Conhecimento de Transporte de GNL pela Mastergás.
2 Emissões de Locação de Unidade de redutora de pressão pela ICTUS Engenharia para Rede Local.</t>
  </si>
  <si>
    <t>3 Notas Fiscais</t>
  </si>
  <si>
    <t>Observações Relevantes: 
As tarifas de fornecimento para o segmento de uso Veicular (GNV/GNC) incidem impostos de 12% de ICMS conforme Lei 14.956/2013.
3 Emissões de Conhecimento de Transporte de GNL pela Mastergás.
3 Emissões de Locação de Unidade de redutora de pressão pela ICTUS Engenharia para Rede Local.</t>
  </si>
  <si>
    <t>NF-e 44 e 45</t>
  </si>
  <si>
    <t>NF-e 49</t>
  </si>
  <si>
    <t>147-2</t>
  </si>
  <si>
    <t>777-1</t>
  </si>
  <si>
    <t>3564-28</t>
  </si>
  <si>
    <t>4175-4</t>
  </si>
  <si>
    <t>5618-4</t>
  </si>
  <si>
    <t>5690-24</t>
  </si>
  <si>
    <t>11919-6</t>
  </si>
  <si>
    <t>11920-6</t>
  </si>
  <si>
    <t>11921-6</t>
  </si>
  <si>
    <t>432214-2</t>
  </si>
  <si>
    <t>TAG</t>
  </si>
  <si>
    <t>GasLocal</t>
  </si>
  <si>
    <t>Volume Gás Local (m³)</t>
  </si>
  <si>
    <t>Custo Gás Local sem impostos (R$)</t>
  </si>
  <si>
    <t>CSLL</t>
  </si>
  <si>
    <t>4185-4</t>
  </si>
  <si>
    <t>5632-4</t>
  </si>
  <si>
    <t>11935-6</t>
  </si>
  <si>
    <t>11936-6</t>
  </si>
  <si>
    <t>11937-6</t>
  </si>
  <si>
    <t>47-1</t>
  </si>
  <si>
    <t>GasLocal e NewFortress</t>
  </si>
  <si>
    <t>3339-1</t>
  </si>
  <si>
    <t>3340-1</t>
  </si>
  <si>
    <t>3341-1</t>
  </si>
  <si>
    <t>3342-1</t>
  </si>
  <si>
    <t>3343-1</t>
  </si>
  <si>
    <t>3344-1</t>
  </si>
  <si>
    <t>3345-1</t>
  </si>
  <si>
    <t>3346-1</t>
  </si>
  <si>
    <t>3347-1</t>
  </si>
  <si>
    <t>3348-1</t>
  </si>
  <si>
    <t>57-1</t>
  </si>
  <si>
    <t>1 Nota Fiscal</t>
  </si>
  <si>
    <t>ok</t>
  </si>
  <si>
    <t xml:space="preserve">Observações Relevantes: 
As tarifas de fornecimento para o segmento de uso Veicular (GNV/GNC) incidem impostos de 12% de ICMS conforme Lei 14.956/2013.
3 Emissões de Conhecimento de Transporte de GNL pela Mastergás.
1 Emissão de Locação de Unidade de redutora de pressão pela ICTUS Engenharia para Rede Local.
</t>
  </si>
  <si>
    <t>3350-1</t>
  </si>
  <si>
    <t>3351-1</t>
  </si>
  <si>
    <t>3927-1</t>
  </si>
  <si>
    <t>3928-1</t>
  </si>
  <si>
    <t>14282-1</t>
  </si>
  <si>
    <t>14283-1</t>
  </si>
  <si>
    <t>3929-1</t>
  </si>
  <si>
    <t>3930-1</t>
  </si>
  <si>
    <t>3931-1</t>
  </si>
  <si>
    <t>3932-1</t>
  </si>
  <si>
    <t>3933-1</t>
  </si>
  <si>
    <t>3934-1</t>
  </si>
  <si>
    <t>14284-1</t>
  </si>
  <si>
    <t>14285-1</t>
  </si>
  <si>
    <t>14286-1</t>
  </si>
  <si>
    <t>14287-1</t>
  </si>
  <si>
    <t>14288-1</t>
  </si>
  <si>
    <t>14289-1</t>
  </si>
  <si>
    <t xml:space="preserve">Observações Relevantes: 
As tarifas de fornecimento para o segmento de uso Veicular (GNV/GNC) incidem impostos de 12% de ICMS conforme Lei 14.956/2013.
Início da Operação Gás Local
</t>
  </si>
  <si>
    <t>5744-24</t>
  </si>
  <si>
    <t>432313-2</t>
  </si>
  <si>
    <t>11999-6</t>
  </si>
  <si>
    <t>11975-6</t>
  </si>
  <si>
    <t>5655-4</t>
  </si>
  <si>
    <t>5654-4</t>
  </si>
  <si>
    <t>Saldo Remanescente (mai/24 e jun/24)
Apuração jan a mar24</t>
  </si>
  <si>
    <t>Saldo Remanescente (abr/24)
Apuração out/23 a dez/23</t>
  </si>
  <si>
    <t xml:space="preserve">Observações Relevantes: 
As tarifas de fornecimento para o segmento de uso Veicular (GNV/GNC) incidem impostos de 12% de ICMS conforme Lei 14.956/2013.
</t>
  </si>
  <si>
    <t>4075-1</t>
  </si>
  <si>
    <t>4076-1</t>
  </si>
  <si>
    <t>14789-1</t>
  </si>
  <si>
    <t>14790-1</t>
  </si>
  <si>
    <t>4060-1</t>
  </si>
  <si>
    <t>4061-1</t>
  </si>
  <si>
    <t>4062-1</t>
  </si>
  <si>
    <t>4077-1</t>
  </si>
  <si>
    <t>4078-1</t>
  </si>
  <si>
    <t>4079-1</t>
  </si>
  <si>
    <t>14791-1</t>
  </si>
  <si>
    <t>14792-1</t>
  </si>
  <si>
    <t>14811-1</t>
  </si>
  <si>
    <t>14812-1</t>
  </si>
  <si>
    <t>14813-1</t>
  </si>
  <si>
    <t>14814-1</t>
  </si>
  <si>
    <t>50-1</t>
  </si>
  <si>
    <t>60-1</t>
  </si>
  <si>
    <t>1805-1</t>
  </si>
  <si>
    <t>238-2</t>
  </si>
  <si>
    <t>432399-2</t>
  </si>
  <si>
    <t>5781-24</t>
  </si>
  <si>
    <t>5693-4</t>
  </si>
  <si>
    <t>91314-47</t>
  </si>
  <si>
    <t>91324-47</t>
  </si>
  <si>
    <t>91342-47</t>
  </si>
  <si>
    <t>91362-47</t>
  </si>
  <si>
    <t>91363-47</t>
  </si>
  <si>
    <t>91364-47</t>
  </si>
  <si>
    <t>91365-47</t>
  </si>
  <si>
    <t>91371-47</t>
  </si>
  <si>
    <t>91374-47</t>
  </si>
  <si>
    <t>91388-47</t>
  </si>
  <si>
    <t>91391-47</t>
  </si>
  <si>
    <t>91395-47</t>
  </si>
  <si>
    <t>91403-47</t>
  </si>
  <si>
    <t>91423-47</t>
  </si>
  <si>
    <t>91432-47</t>
  </si>
  <si>
    <t>91447-47</t>
  </si>
  <si>
    <t>91452-47</t>
  </si>
  <si>
    <t>91459-47</t>
  </si>
  <si>
    <t>91460-47</t>
  </si>
  <si>
    <t>91461-47</t>
  </si>
  <si>
    <t>91466-47</t>
  </si>
  <si>
    <t>91475-47</t>
  </si>
  <si>
    <t>91482-47</t>
  </si>
  <si>
    <t>91502-47</t>
  </si>
  <si>
    <t>91515-47</t>
  </si>
  <si>
    <t>91546-47</t>
  </si>
  <si>
    <t>91551-47</t>
  </si>
  <si>
    <t>91567-47</t>
  </si>
  <si>
    <t>91568-47</t>
  </si>
  <si>
    <t>91569-47</t>
  </si>
  <si>
    <t>91585-47</t>
  </si>
  <si>
    <t>91586-47</t>
  </si>
  <si>
    <t>91593-47</t>
  </si>
  <si>
    <t>91598-47</t>
  </si>
  <si>
    <t>91628-47</t>
  </si>
  <si>
    <t>91629-47</t>
  </si>
  <si>
    <t>91644-47</t>
  </si>
  <si>
    <t>91657-47</t>
  </si>
  <si>
    <t>91658-47</t>
  </si>
  <si>
    <t>5833-24</t>
  </si>
  <si>
    <t>5739-4</t>
  </si>
  <si>
    <t>3620-28</t>
  </si>
  <si>
    <t>12053-6</t>
  </si>
  <si>
    <t>432464-2</t>
  </si>
  <si>
    <t>5738-4</t>
  </si>
  <si>
    <t>259-2</t>
  </si>
  <si>
    <t>2191-1</t>
  </si>
  <si>
    <t>2192-1</t>
  </si>
  <si>
    <t>5006-1</t>
  </si>
  <si>
    <t>91196-47</t>
  </si>
  <si>
    <t>91197-47</t>
  </si>
  <si>
    <t>91220-47</t>
  </si>
  <si>
    <t>91250-47</t>
  </si>
  <si>
    <t>91251-47</t>
  </si>
  <si>
    <t>91252-47</t>
  </si>
  <si>
    <t>91253-47</t>
  </si>
  <si>
    <t>91254-47</t>
  </si>
  <si>
    <t>91255-47</t>
  </si>
  <si>
    <t>91256-47</t>
  </si>
  <si>
    <t>91264-47</t>
  </si>
  <si>
    <t>91265-47</t>
  </si>
  <si>
    <t>91266-47</t>
  </si>
  <si>
    <t>91311-47</t>
  </si>
  <si>
    <t>91312-47</t>
  </si>
  <si>
    <t>91257-47</t>
  </si>
  <si>
    <t>91258-47</t>
  </si>
  <si>
    <t>91259-47</t>
  </si>
  <si>
    <t>91260-47</t>
  </si>
  <si>
    <t>91261-47</t>
  </si>
  <si>
    <t>91262-47</t>
  </si>
  <si>
    <t>91263-47</t>
  </si>
  <si>
    <t>5780-4</t>
  </si>
  <si>
    <t>5898-24</t>
  </si>
  <si>
    <t>12095-6</t>
  </si>
  <si>
    <t>432585-2</t>
  </si>
  <si>
    <t>273-2</t>
  </si>
  <si>
    <t>2495-1</t>
  </si>
  <si>
    <t>5225-1</t>
  </si>
  <si>
    <t>2512-1</t>
  </si>
  <si>
    <t>Cegás</t>
  </si>
  <si>
    <t>Sergás</t>
  </si>
  <si>
    <t>Custo TAG e ações de balanceamento sem impostos</t>
  </si>
  <si>
    <t>9491-2</t>
  </si>
  <si>
    <t>9492-2</t>
  </si>
  <si>
    <t>Saldo Remanescente (jul/24)
Apuração jan a mar24</t>
  </si>
  <si>
    <t>Saldo Remanescente (ago/24 e set/24)
Apuração abr a jun/24</t>
  </si>
  <si>
    <t>Orizon</t>
  </si>
  <si>
    <t>Petrolina / Garanhuns</t>
  </si>
  <si>
    <t>5923-24</t>
  </si>
  <si>
    <t>5790-4</t>
  </si>
  <si>
    <t>5789-4</t>
  </si>
  <si>
    <t>432622-2</t>
  </si>
  <si>
    <t>313-2</t>
  </si>
  <si>
    <t>2906-1</t>
  </si>
  <si>
    <t>5493-1</t>
  </si>
  <si>
    <t>92601-47</t>
  </si>
  <si>
    <t>92622-47</t>
  </si>
  <si>
    <t>92651-47</t>
  </si>
  <si>
    <t>92751-47</t>
  </si>
  <si>
    <t>92750-47</t>
  </si>
  <si>
    <t>92866-47</t>
  </si>
  <si>
    <t>92735-47</t>
  </si>
  <si>
    <t>92780-47</t>
  </si>
  <si>
    <t>92876-47</t>
  </si>
  <si>
    <t>92779-47</t>
  </si>
  <si>
    <t>92837-47</t>
  </si>
  <si>
    <t>92791-47</t>
  </si>
  <si>
    <t>92806-47</t>
  </si>
  <si>
    <t>92883-47</t>
  </si>
  <si>
    <t>92988-47</t>
  </si>
  <si>
    <t>92959-47</t>
  </si>
  <si>
    <t>93028-47</t>
  </si>
  <si>
    <t>92983-47</t>
  </si>
  <si>
    <t>92887-47</t>
  </si>
  <si>
    <t>92960-47</t>
  </si>
  <si>
    <t>92958-47</t>
  </si>
  <si>
    <t>93027-47</t>
  </si>
  <si>
    <t>92993-47</t>
  </si>
  <si>
    <t>93041-47</t>
  </si>
  <si>
    <t>93043-47</t>
  </si>
  <si>
    <t>93082-47</t>
  </si>
  <si>
    <t>3169-1</t>
  </si>
  <si>
    <t>3168-1</t>
  </si>
  <si>
    <t>5698-1</t>
  </si>
  <si>
    <t>5855-4</t>
  </si>
  <si>
    <t>432728-2</t>
  </si>
  <si>
    <t>432729-2</t>
  </si>
  <si>
    <t>6004-24</t>
  </si>
  <si>
    <t>5857-4</t>
  </si>
  <si>
    <t>5856-4</t>
  </si>
  <si>
    <t>12136-6</t>
  </si>
  <si>
    <t>12135-6</t>
  </si>
  <si>
    <t>6005-24</t>
  </si>
  <si>
    <t>402.504-1</t>
  </si>
  <si>
    <t>000000334-02</t>
  </si>
  <si>
    <t>92674-47</t>
  </si>
  <si>
    <t>92695-47</t>
  </si>
  <si>
    <t>92696-47</t>
  </si>
  <si>
    <t>92697-47</t>
  </si>
  <si>
    <t>92716-47</t>
  </si>
  <si>
    <t>92718-47</t>
  </si>
  <si>
    <t>92271-47</t>
  </si>
  <si>
    <t>Volume Petrolina (m³)</t>
  </si>
  <si>
    <t>Custo Petrolina sem impostos (R$)</t>
  </si>
  <si>
    <t>Volume Garanhuns (m³)</t>
  </si>
  <si>
    <t>Custo Garanhuns sem impostos (R$)</t>
  </si>
  <si>
    <t>Eneva (Petrolina)</t>
  </si>
  <si>
    <t>Eneva (Garanhuns)</t>
  </si>
  <si>
    <t>2-1</t>
  </si>
  <si>
    <t>373-1</t>
  </si>
  <si>
    <t>3416-1</t>
  </si>
  <si>
    <t>5897-4</t>
  </si>
  <si>
    <t>12170-6</t>
  </si>
  <si>
    <t>5898-4</t>
  </si>
  <si>
    <t>9-46</t>
  </si>
  <si>
    <t>8-46</t>
  </si>
  <si>
    <t>12171-6</t>
  </si>
  <si>
    <t>3R</t>
  </si>
  <si>
    <t>93191-47</t>
  </si>
  <si>
    <t>Saldo Remanescente (out/24)
Apuração abr a jun24</t>
  </si>
  <si>
    <t>Saldo Remanescente (nov/24 e dez/24)
Apuração jul a set/24</t>
  </si>
  <si>
    <t>31-46</t>
  </si>
  <si>
    <t>32-46</t>
  </si>
  <si>
    <t>5979-4</t>
  </si>
  <si>
    <t>5980-4</t>
  </si>
  <si>
    <t>6132-24</t>
  </si>
  <si>
    <t>6133-24</t>
  </si>
  <si>
    <t>432891-2</t>
  </si>
  <si>
    <t>432892-2</t>
  </si>
  <si>
    <t>406-2</t>
  </si>
  <si>
    <t>6033-4</t>
  </si>
  <si>
    <t>12250-6</t>
  </si>
  <si>
    <t>432980-2</t>
  </si>
  <si>
    <t>6034-4</t>
  </si>
  <si>
    <t>432979-2</t>
  </si>
  <si>
    <t>12249-6</t>
  </si>
  <si>
    <t>41-46</t>
  </si>
  <si>
    <t>40-46</t>
  </si>
  <si>
    <t>432981-2</t>
  </si>
  <si>
    <t>4065-1</t>
  </si>
  <si>
    <t>415-1</t>
  </si>
  <si>
    <t xml:space="preserve">Observações Relevantes: 
As tarifas de fornecimento para o segmento de uso Veicular (GNV/GNC) incidem impostos de 12% de ICMS conforme Lei 14.956/2013.
1 Emissão de Conhecimento de Transporte de GNC pela Mastergás.
</t>
  </si>
  <si>
    <t>GNC Mastergás</t>
  </si>
  <si>
    <t>06-1</t>
  </si>
  <si>
    <t>448-2</t>
  </si>
  <si>
    <t xml:space="preserve">Observações Relevantes: 
As tarifas de fornecimento para o segmento de uso Veicular (GNV/GNC) incidem impostos de 12% de ICMS conforme Lei 14.956/2013.
</t>
  </si>
  <si>
    <t>45-46</t>
  </si>
  <si>
    <t>47-46</t>
  </si>
  <si>
    <t>6106-4</t>
  </si>
  <si>
    <t>6107-4</t>
  </si>
  <si>
    <t>6228-24</t>
  </si>
  <si>
    <t>6229-24</t>
  </si>
  <si>
    <t>12274-6</t>
  </si>
  <si>
    <t>12275-6</t>
  </si>
  <si>
    <t>433117-2</t>
  </si>
  <si>
    <t>433118-2</t>
  </si>
  <si>
    <t>29-1</t>
  </si>
  <si>
    <t>262341-1</t>
  </si>
  <si>
    <t>262340-1</t>
  </si>
  <si>
    <t>487-1</t>
  </si>
  <si>
    <t>Saldo Remanescente (jan/25)
Apuração jul a set/24</t>
  </si>
  <si>
    <t>Saldo Remanescente (fev/25 e mar/25)
Apuração out a dez/24</t>
  </si>
  <si>
    <t>417-1</t>
  </si>
  <si>
    <t>6140-4</t>
  </si>
  <si>
    <t>433226-2</t>
  </si>
  <si>
    <t>6260-24</t>
  </si>
  <si>
    <t>52-46</t>
  </si>
  <si>
    <t>50-46</t>
  </si>
  <si>
    <t>51-46</t>
  </si>
  <si>
    <t>433228-2</t>
  </si>
  <si>
    <t>6142-4</t>
  </si>
  <si>
    <t>6261-24</t>
  </si>
  <si>
    <t>6141-4</t>
  </si>
  <si>
    <t>433225-2</t>
  </si>
  <si>
    <t>6262-24</t>
  </si>
  <si>
    <t>4615-1</t>
  </si>
  <si>
    <t>515-2</t>
  </si>
  <si>
    <t>12-1</t>
  </si>
  <si>
    <t>38-1</t>
  </si>
  <si>
    <t>Custo 3R BRAVA sem impostos (R$)</t>
  </si>
  <si>
    <t>3R BRAVA</t>
  </si>
  <si>
    <t>583-2</t>
  </si>
  <si>
    <t>316-2</t>
  </si>
  <si>
    <t>18-16</t>
  </si>
  <si>
    <t>19-26</t>
  </si>
  <si>
    <t>847-64</t>
  </si>
  <si>
    <t>6325-24</t>
  </si>
  <si>
    <t>6379-24</t>
  </si>
  <si>
    <t>433389-2</t>
  </si>
  <si>
    <t>12302-6</t>
  </si>
  <si>
    <t>12303-6</t>
  </si>
  <si>
    <t>433388-2</t>
  </si>
  <si>
    <t>12301-6</t>
  </si>
  <si>
    <t>433387-2</t>
  </si>
  <si>
    <t>57-46</t>
  </si>
  <si>
    <t>6247-4</t>
  </si>
  <si>
    <t>6377-24</t>
  </si>
  <si>
    <t>59-46</t>
  </si>
  <si>
    <t>58-46</t>
  </si>
  <si>
    <t>6248-4</t>
  </si>
  <si>
    <t>6378-24</t>
  </si>
  <si>
    <t>6246-4</t>
  </si>
  <si>
    <t>40-1</t>
  </si>
  <si>
    <t>337-2</t>
  </si>
  <si>
    <t>610-2</t>
  </si>
  <si>
    <t>4874-1</t>
  </si>
  <si>
    <t>588-2</t>
  </si>
  <si>
    <t>Volume 3R Brava (m³)</t>
  </si>
  <si>
    <t>121709-1</t>
  </si>
  <si>
    <t>121710-1</t>
  </si>
  <si>
    <t>414173-1</t>
  </si>
  <si>
    <t>Observações Relevantes: 
Emissão de 4 Notas de complemento de preço (PT) da Petrobrás, referente as notas de Janeiro/25;
As tarifas de fornecimento para o segmento de uso Veicular (GNV/GNC) incidem impostos de 12% de ICMS conforme Lei 14.956/2013.
Ações de balanceamento realizadas através de compra de gás junto à Cegás e Sergás</t>
  </si>
  <si>
    <t>6466-24</t>
  </si>
  <si>
    <t>6465-24</t>
  </si>
  <si>
    <t>6464-24</t>
  </si>
  <si>
    <t>21-16</t>
  </si>
  <si>
    <t>856-64</t>
  </si>
  <si>
    <t>20-26</t>
  </si>
  <si>
    <t>855-64</t>
  </si>
  <si>
    <t>23-16</t>
  </si>
  <si>
    <t>22-26</t>
  </si>
  <si>
    <t>854-64</t>
  </si>
  <si>
    <t>21-26</t>
  </si>
  <si>
    <t>22-16</t>
  </si>
  <si>
    <t>6480-24</t>
  </si>
  <si>
    <t>6286-4</t>
  </si>
  <si>
    <t>6284-4</t>
  </si>
  <si>
    <t>65-46</t>
  </si>
  <si>
    <t>64-46</t>
  </si>
  <si>
    <t>66-46</t>
  </si>
  <si>
    <t>6285-4</t>
  </si>
  <si>
    <t>433519-2</t>
  </si>
  <si>
    <t>433521-2</t>
  </si>
  <si>
    <t>12309-6</t>
  </si>
  <si>
    <t>12307-6</t>
  </si>
  <si>
    <t>6482-24</t>
  </si>
  <si>
    <t>6481-24</t>
  </si>
  <si>
    <t>433520-2</t>
  </si>
  <si>
    <t>12308-6</t>
  </si>
  <si>
    <t xml:space="preserve">Observações Relevantes: 
As tarifas de fornecimento para o segmento de uso Veicular (GNV/GNC) incidem impostos de 12% de ICMS conforme Lei 14.956/2013;
Emissão de 12 Notas de complemento de preço (PT) da Petrobrás.
</t>
  </si>
  <si>
    <t>360-2</t>
  </si>
  <si>
    <t>646-2</t>
  </si>
  <si>
    <t>5172-1</t>
  </si>
  <si>
    <t>631-2</t>
  </si>
  <si>
    <t>016-1</t>
  </si>
  <si>
    <t>047-1</t>
  </si>
  <si>
    <t>419-1</t>
  </si>
  <si>
    <t>Saldo Remanescente (abr/25)
Apuração out a dez/24</t>
  </si>
  <si>
    <t>Saldo Remanescente (mai/25 e jun/25)
Apuração jan a mar/25</t>
  </si>
  <si>
    <t>Sempre deslocar fórmula da variação acumulada - Exemplo ($BQ$64:$BS$64) na linha 73, conforme Art 11 da Resolução</t>
  </si>
  <si>
    <t>420-1</t>
  </si>
  <si>
    <t>421-1</t>
  </si>
  <si>
    <t>12315-6</t>
  </si>
  <si>
    <t>6580-24</t>
  </si>
  <si>
    <t>6581-24</t>
  </si>
  <si>
    <t>12316-6</t>
  </si>
  <si>
    <t>433744-2</t>
  </si>
  <si>
    <t>6579-24</t>
  </si>
  <si>
    <t>71-46</t>
  </si>
  <si>
    <t>73-46</t>
  </si>
  <si>
    <t>12317-6</t>
  </si>
  <si>
    <t>72-46</t>
  </si>
  <si>
    <t>433746-2</t>
  </si>
  <si>
    <t>433745-2</t>
  </si>
  <si>
    <t>680-2</t>
  </si>
  <si>
    <t>681-2</t>
  </si>
  <si>
    <t>49-1</t>
  </si>
  <si>
    <t>5451-1</t>
  </si>
  <si>
    <t xml:space="preserve">Observações Relevantes: 
Nota de Crédito de ECNU da Petroreconcavo, referente ao ECNU cobrado em janeiro/2025 (ND 90000433);
Nota Fiscal da Shell referente a operação de gás flexivel de curto prazo;
As tarifas de fornecimento para o segmento de uso Veicular (GNV/GNC) incidem impostos de 12% de ICMS conforme Lei 14.956/2013.
</t>
  </si>
  <si>
    <t>Volume TAG (m³) e ações de balancamento e Gás flexível</t>
  </si>
  <si>
    <t>705-2</t>
  </si>
  <si>
    <t>13.715-1</t>
  </si>
  <si>
    <t>13.716-1</t>
  </si>
  <si>
    <t>385-2</t>
  </si>
  <si>
    <t>81-46</t>
  </si>
  <si>
    <t>82-46</t>
  </si>
  <si>
    <t>83-46</t>
  </si>
  <si>
    <t>6693-24</t>
  </si>
  <si>
    <t>6694-24</t>
  </si>
  <si>
    <t>6695-24</t>
  </si>
  <si>
    <t>12327-6</t>
  </si>
  <si>
    <t>12328-6</t>
  </si>
  <si>
    <t>12329-6</t>
  </si>
  <si>
    <t>12330-6</t>
  </si>
  <si>
    <t>12331-6</t>
  </si>
  <si>
    <t>12338-6</t>
  </si>
  <si>
    <t>12339-6</t>
  </si>
  <si>
    <t>433874-2</t>
  </si>
  <si>
    <t>433875-2</t>
  </si>
  <si>
    <t>433876-2</t>
  </si>
  <si>
    <t>14253-1</t>
  </si>
  <si>
    <t xml:space="preserve">Observações Relevantes: 
Nota Fiscal da Shell referente a operação de gás flexivel de curto prazo;
As tarifas de fornecimento para o segmento de uso Veicular (GNV/GNC) incidem impostos de 12% de ICMS conforme Lei 14.956/2013.
</t>
  </si>
  <si>
    <t>5740-1</t>
  </si>
  <si>
    <t>400-2</t>
  </si>
  <si>
    <t>708-2</t>
  </si>
  <si>
    <t>709-2</t>
  </si>
  <si>
    <t>726-2</t>
  </si>
  <si>
    <t>53-1</t>
  </si>
  <si>
    <t>422-1</t>
  </si>
  <si>
    <t>88-46</t>
  </si>
  <si>
    <t>89-46</t>
  </si>
  <si>
    <t>6815-24</t>
  </si>
  <si>
    <t>6817-24</t>
  </si>
  <si>
    <t>6818-24</t>
  </si>
  <si>
    <t>12361-6</t>
  </si>
  <si>
    <t>12362-6</t>
  </si>
  <si>
    <t>12365-6</t>
  </si>
  <si>
    <t>12366-6</t>
  </si>
  <si>
    <t>12371-6</t>
  </si>
  <si>
    <t>12372-6</t>
  </si>
  <si>
    <t>433970-2</t>
  </si>
  <si>
    <t>12367-6</t>
  </si>
  <si>
    <t>000000797-2</t>
  </si>
  <si>
    <t>6006-1</t>
  </si>
  <si>
    <t>445-2</t>
  </si>
  <si>
    <t>00.000.057-1</t>
  </si>
  <si>
    <t>000.000.022-1</t>
  </si>
  <si>
    <t>Saldo Remanescente (jul/25)
Apuração jan/25 a mar/25</t>
  </si>
  <si>
    <t>Saldo Remanescente (ago/25 e set/25)
Apuração abr a jun/25</t>
  </si>
  <si>
    <t>106-46</t>
  </si>
  <si>
    <t>107-46</t>
  </si>
  <si>
    <t>108-46</t>
  </si>
  <si>
    <t>6939-24</t>
  </si>
  <si>
    <t>6940-24</t>
  </si>
  <si>
    <t>6944-24</t>
  </si>
  <si>
    <t>12406-6</t>
  </si>
  <si>
    <t>12407-6</t>
  </si>
  <si>
    <t>12409-6</t>
  </si>
  <si>
    <t>12410-6</t>
  </si>
  <si>
    <t>12411-6</t>
  </si>
  <si>
    <t>12413-6</t>
  </si>
  <si>
    <t>12412-6</t>
  </si>
  <si>
    <t>434175-2</t>
  </si>
  <si>
    <t>434176-2</t>
  </si>
  <si>
    <t>434177-2</t>
  </si>
  <si>
    <t>467-2</t>
  </si>
  <si>
    <t>769-2</t>
  </si>
  <si>
    <t>862-2</t>
  </si>
  <si>
    <t>58-1</t>
  </si>
  <si>
    <t>6401-1</t>
  </si>
  <si>
    <t>904-2</t>
  </si>
  <si>
    <t>798-2</t>
  </si>
  <si>
    <t>000.000.060-1</t>
  </si>
  <si>
    <t>000.000.024-1</t>
  </si>
  <si>
    <t>424-1</t>
  </si>
  <si>
    <r>
      <t xml:space="preserve">IGP-DI (%) / </t>
    </r>
    <r>
      <rPr>
        <b/>
        <sz val="11"/>
        <color rgb="FFC00000"/>
        <rFont val="Calibri"/>
        <family val="2"/>
        <scheme val="minor"/>
      </rPr>
      <t>SELIC a partir de julho/25 (Resolução ARPE 304)</t>
    </r>
    <r>
      <rPr>
        <b/>
        <sz val="11"/>
        <color theme="1"/>
        <rFont val="Calibri"/>
        <family val="2"/>
        <scheme val="minor"/>
      </rPr>
      <t xml:space="preserve">
Variação mensal</t>
    </r>
  </si>
  <si>
    <t>6735-1</t>
  </si>
  <si>
    <t>7132-24</t>
  </si>
  <si>
    <t>7131-24</t>
  </si>
  <si>
    <t>7130-24</t>
  </si>
  <si>
    <t>12445-6</t>
  </si>
  <si>
    <t>12444-6</t>
  </si>
  <si>
    <t>12443-6</t>
  </si>
  <si>
    <t>12446-6</t>
  </si>
  <si>
    <t>12447-6</t>
  </si>
  <si>
    <t>12448-6</t>
  </si>
  <si>
    <t>434396-2</t>
  </si>
  <si>
    <t>434397-2</t>
  </si>
  <si>
    <t>434399-2</t>
  </si>
  <si>
    <t>423-1</t>
  </si>
  <si>
    <t>GNC Vector</t>
  </si>
  <si>
    <t>425-1</t>
  </si>
  <si>
    <t>Data</t>
  </si>
  <si>
    <t>Taxa (% a.a.)</t>
  </si>
  <si>
    <t>Fator diário</t>
  </si>
  <si>
    <t>Acumulado</t>
  </si>
  <si>
    <t>Mês/ano</t>
  </si>
  <si>
    <t>Link de acesso à informação:https://www.bcb.gov.br/acessoinformacao/legado?url=https:%2F%2Fwww.bcb.gov.br%2Fhtms%2Fselic%2Fselicdiarios.asp</t>
  </si>
  <si>
    <t xml:space="preserve">Observações Relevantes: 
As tarifas de fornecimento para o segmento de uso Veicular (GNV/GNC) incidem impostos de 12% de ICMS conforme Lei 14.956/2013.
Emissão de Conhecimento de Transporte de GNL pela Mastergás.
Emissão de Locação de Unidade de redutora de pressão pela ICTUS Engenharia.
</t>
  </si>
  <si>
    <t>504-2</t>
  </si>
  <si>
    <t>829-2</t>
  </si>
  <si>
    <t>025-1</t>
  </si>
  <si>
    <t>062-1</t>
  </si>
  <si>
    <t>7318-24</t>
  </si>
  <si>
    <t>7319-24</t>
  </si>
  <si>
    <t>7320-24</t>
  </si>
  <si>
    <t>12508-6</t>
  </si>
  <si>
    <t>12509-6</t>
  </si>
  <si>
    <t>12511-6</t>
  </si>
  <si>
    <t>12512-6</t>
  </si>
  <si>
    <t>12513-6</t>
  </si>
  <si>
    <t>12514-6</t>
  </si>
  <si>
    <t>12515-6</t>
  </si>
  <si>
    <t>12516-6</t>
  </si>
  <si>
    <t>12510-6</t>
  </si>
  <si>
    <t>7079-1</t>
  </si>
  <si>
    <t>960-2</t>
  </si>
  <si>
    <t>Saldo Remanescente (out/25)
Apuração abr a jun/25</t>
  </si>
  <si>
    <t>Saldo Remanescente (nov/25 e dez/25)
Apuração jul a set/25</t>
  </si>
  <si>
    <t>426-1</t>
  </si>
  <si>
    <t>63-1</t>
  </si>
  <si>
    <t>7449-24</t>
  </si>
  <si>
    <t>7450-24</t>
  </si>
  <si>
    <t>7451-24</t>
  </si>
  <si>
    <t>12543-6</t>
  </si>
  <si>
    <t>12544-6</t>
  </si>
  <si>
    <t>12545-6</t>
  </si>
  <si>
    <t>12546-6</t>
  </si>
  <si>
    <t>12547-6</t>
  </si>
  <si>
    <t>12548-6</t>
  </si>
  <si>
    <t>12549-6</t>
  </si>
  <si>
    <t>434819-2</t>
  </si>
  <si>
    <t>434820-2</t>
  </si>
  <si>
    <t>434821-2</t>
  </si>
  <si>
    <t>857-2</t>
  </si>
  <si>
    <t>1032-2</t>
  </si>
  <si>
    <t>7490-1</t>
  </si>
  <si>
    <t>523-2</t>
  </si>
  <si>
    <t>Observações Relevantes: 
As tarifas de fornecimento para o segmento de uso Veicular (GNV/GNC) incidem impostos de 12% de ICMS conforme Lei 14.956/2013.
Petrobras emitiu duas Nfe's sem a parcela de saída do transporte. Comunicamos e a mesma deve emitir NFe de complemento de preço em Novembro/25.</t>
  </si>
  <si>
    <t>428-1</t>
  </si>
  <si>
    <t>Observações Relevantes: 
As tarifas de fornecimento para o segmento de uso Veicular (GNV/GNC) incidem impostos de 12% de ICMS conforme Lei 14.956/2013.</t>
  </si>
  <si>
    <t>427-1</t>
  </si>
  <si>
    <t>429-1</t>
  </si>
  <si>
    <t>430-1</t>
  </si>
  <si>
    <t>64-1</t>
  </si>
  <si>
    <t>7587-24</t>
  </si>
  <si>
    <t>7595-24</t>
  </si>
  <si>
    <t>6386-4</t>
  </si>
  <si>
    <t>6387-4</t>
  </si>
  <si>
    <t>6392-4</t>
  </si>
  <si>
    <t>12572-6</t>
  </si>
  <si>
    <t>12559-6</t>
  </si>
  <si>
    <t>12560-6</t>
  </si>
  <si>
    <t>12561-6</t>
  </si>
  <si>
    <t>12562-6</t>
  </si>
  <si>
    <t>12570-6</t>
  </si>
  <si>
    <t>7596-6</t>
  </si>
  <si>
    <t>541-2</t>
  </si>
  <si>
    <t>883-2</t>
  </si>
  <si>
    <t>1098-2</t>
  </si>
  <si>
    <t>9454-1</t>
  </si>
  <si>
    <t>7904-1</t>
  </si>
  <si>
    <t>Orizon Biomentano</t>
  </si>
  <si>
    <t>Observações Relevantes: 
As tarifas de fornecimento para o segmento de uso Veicular (GNV/GNC) incidem impostos de 12% de ICMS conforme Lei 14.956/2013.
Primeiro faturamento de biomentano.</t>
  </si>
  <si>
    <t>144-1</t>
  </si>
  <si>
    <r>
      <t xml:space="preserve">Volume GNC e </t>
    </r>
    <r>
      <rPr>
        <b/>
        <sz val="11"/>
        <color theme="9"/>
        <rFont val="Calibri"/>
        <family val="2"/>
        <scheme val="minor"/>
      </rPr>
      <t>Biometano</t>
    </r>
    <r>
      <rPr>
        <sz val="11"/>
        <rFont val="Calibri"/>
        <family val="2"/>
        <scheme val="minor"/>
      </rPr>
      <t xml:space="preserve"> (m³)</t>
    </r>
  </si>
  <si>
    <r>
      <t xml:space="preserve">Custo GNC e </t>
    </r>
    <r>
      <rPr>
        <b/>
        <sz val="11"/>
        <color theme="9"/>
        <rFont val="Calibri"/>
        <family val="2"/>
        <scheme val="minor"/>
      </rPr>
      <t>Biometano</t>
    </r>
    <r>
      <rPr>
        <sz val="11"/>
        <rFont val="Calibri"/>
        <family val="2"/>
        <scheme val="minor"/>
      </rPr>
      <t xml:space="preserve"> sem impostos (R$)</t>
    </r>
  </si>
  <si>
    <t>440-1</t>
  </si>
  <si>
    <t>145-46</t>
  </si>
  <si>
    <t>150-46</t>
  </si>
  <si>
    <t>151-46</t>
  </si>
  <si>
    <t>6449-4</t>
  </si>
  <si>
    <t>6450-4</t>
  </si>
  <si>
    <t>6451-4</t>
  </si>
  <si>
    <t>7740-24</t>
  </si>
  <si>
    <t>7741-24</t>
  </si>
  <si>
    <t>7753-24</t>
  </si>
  <si>
    <t>12602-6</t>
  </si>
  <si>
    <t>12603-6</t>
  </si>
  <si>
    <t>12604-6</t>
  </si>
  <si>
    <t>12605-6</t>
  </si>
  <si>
    <t>12609-6</t>
  </si>
  <si>
    <t>12610-6</t>
  </si>
  <si>
    <t>435162-2</t>
  </si>
  <si>
    <t>435174-2</t>
  </si>
  <si>
    <t>435175-2</t>
  </si>
  <si>
    <t>8240-1</t>
  </si>
  <si>
    <t>576-2</t>
  </si>
  <si>
    <t>1151-2</t>
  </si>
  <si>
    <t>000.000.065-1</t>
  </si>
  <si>
    <t>000.000.028-1</t>
  </si>
  <si>
    <t>146-1</t>
  </si>
  <si>
    <t>Check</t>
  </si>
  <si>
    <t>Saldo Remanescente (jan/26)
Apuração jul a set/25</t>
  </si>
  <si>
    <t>Saldo Remanescente (fev/26 e mar/26)
Apuração out a dez/25</t>
  </si>
  <si>
    <t>000132893-55</t>
  </si>
  <si>
    <t>000434541-1</t>
  </si>
  <si>
    <t>Observações Relevantes: 
As tarifas de fornecimento para o segmento de uso Veicular (GNV/GNC) incidem impostos de 12% de ICMS conforme Lei 14.956/2013.
Operação de Compra de Gás com a Cegás e Sergás.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</si>
</sst>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\ * #,##0.0000_-;\-&quot;R$&quot;\ * #,##0.0000_-;_-&quot;R$&quot;\ * &quot;-&quot;??_-;_-@_-"/>
    <numFmt numFmtId="166" formatCode="[$-416]mmm\-yy;@"/>
    <numFmt numFmtId="167" formatCode="_-&quot;R$&quot;\ * #,##0.0_-;\-&quot;R$&quot;\ * #,##0.0_-;_-&quot;R$&quot;\ * &quot;-&quot;????_-;_-@_-"/>
    <numFmt numFmtId="168" formatCode="0.000"/>
    <numFmt numFmtId="169" formatCode="_-&quot;R$&quot;\ * #,##0.000_-;\-&quot;R$&quot;\ * #,##0.000_-;_-&quot;R$&quot;\ * &quot;-&quot;??_-;_-@_-"/>
    <numFmt numFmtId="170" formatCode="_-&quot;R$&quot;\ * #,##0_-;\-&quot;R$&quot;\ * #,##0_-;_-&quot;R$&quot;\ * &quot;-&quot;??_-;_-@_-"/>
    <numFmt numFmtId="171" formatCode="0.0000"/>
    <numFmt numFmtId="172" formatCode="#,##0.0000"/>
    <numFmt numFmtId="173" formatCode="_-* #,##0.0000_-;\-* #,##0.0000_-;_-* &quot;-&quot;??_-;_-@_-"/>
    <numFmt numFmtId="174" formatCode="0.0"/>
    <numFmt numFmtId="175" formatCode="_-* #,##0.0000_-;\-* #,##0.0000_-;_-* &quot;-&quot;????_-;_-@_-"/>
    <numFmt numFmtId="176" formatCode="0.000000"/>
    <numFmt numFmtId="177" formatCode="0.0000%"/>
    <numFmt numFmtId="178" formatCode="_-&quot;R$&quot;\ * #,##0.0000_-;\-&quot;R$&quot;\ * #,##0.0000_-;_-&quot;R$&quot;\ * &quot;-&quot;????_-;_-@_-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name val="Calibri"/>
      <family val="2"/>
    </font>
    <font>
      <b/>
      <i/>
      <u/>
      <sz val="11"/>
      <color rgb="FF0070C0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Gotham-Light"/>
    </font>
    <font>
      <b/>
      <sz val="14"/>
      <color theme="1"/>
      <name val="Gotham-Light"/>
    </font>
    <font>
      <b/>
      <sz val="12"/>
      <color theme="1"/>
      <name val="Gotham-Light"/>
    </font>
    <font>
      <sz val="12"/>
      <color theme="1"/>
      <name val="Gotham-Light"/>
    </font>
    <font>
      <b/>
      <sz val="11"/>
      <color theme="1"/>
      <name val="Gotham-Light"/>
    </font>
    <font>
      <b/>
      <sz val="20"/>
      <name val="Gotham-Light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Gotham-Light"/>
    </font>
    <font>
      <b/>
      <sz val="12"/>
      <color rgb="FFFF0000"/>
      <name val="Gotham-Light"/>
    </font>
    <font>
      <b/>
      <sz val="11"/>
      <name val="Gotham-Light"/>
    </font>
    <font>
      <b/>
      <sz val="12"/>
      <name val="Gotham-Light"/>
    </font>
    <font>
      <sz val="12"/>
      <color rgb="FFFF0000"/>
      <name val="Gotham-Light"/>
    </font>
    <font>
      <b/>
      <sz val="11"/>
      <color rgb="FFFF0000"/>
      <name val="Gotham-Light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</font>
    <font>
      <sz val="11"/>
      <color theme="9" tint="-0.249977111117893"/>
      <name val="Calibri"/>
      <family val="2"/>
    </font>
    <font>
      <sz val="11"/>
      <color theme="4" tint="-0.249977111117893"/>
      <name val="Calibri"/>
      <family val="2"/>
    </font>
    <font>
      <sz val="11"/>
      <color theme="5"/>
      <name val="Calibri"/>
      <family val="2"/>
    </font>
    <font>
      <sz val="11"/>
      <color theme="5" tint="-0.249977111117893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92">
    <xf numFmtId="0" fontId="0" fillId="0" borderId="0" xfId="0"/>
    <xf numFmtId="164" fontId="4" fillId="4" borderId="0" xfId="1" applyNumberFormat="1" applyFont="1" applyFill="1" applyBorder="1"/>
    <xf numFmtId="44" fontId="4" fillId="4" borderId="0" xfId="2" applyFont="1" applyFill="1" applyBorder="1"/>
    <xf numFmtId="44" fontId="4" fillId="2" borderId="0" xfId="2" applyFont="1" applyFill="1" applyBorder="1"/>
    <xf numFmtId="165" fontId="4" fillId="4" borderId="0" xfId="2" applyNumberFormat="1" applyFont="1" applyFill="1" applyBorder="1"/>
    <xf numFmtId="166" fontId="4" fillId="4" borderId="0" xfId="1" applyNumberFormat="1" applyFont="1" applyFill="1" applyBorder="1"/>
    <xf numFmtId="0" fontId="4" fillId="3" borderId="0" xfId="0" applyFont="1" applyFill="1"/>
    <xf numFmtId="10" fontId="4" fillId="4" borderId="0" xfId="3" applyNumberFormat="1" applyFont="1" applyFill="1" applyBorder="1"/>
    <xf numFmtId="44" fontId="5" fillId="5" borderId="0" xfId="2" applyFont="1" applyFill="1" applyBorder="1"/>
    <xf numFmtId="10" fontId="4" fillId="7" borderId="0" xfId="3" applyNumberFormat="1" applyFont="1" applyFill="1" applyBorder="1"/>
    <xf numFmtId="16" fontId="4" fillId="3" borderId="0" xfId="0" quotePrefix="1" applyNumberFormat="1" applyFont="1" applyFill="1"/>
    <xf numFmtId="44" fontId="4" fillId="5" borderId="0" xfId="2" applyFont="1" applyFill="1" applyBorder="1"/>
    <xf numFmtId="44" fontId="4" fillId="8" borderId="0" xfId="2" applyFont="1" applyFill="1" applyBorder="1"/>
    <xf numFmtId="17" fontId="9" fillId="0" borderId="0" xfId="0" applyNumberFormat="1" applyFont="1" applyAlignment="1">
      <alignment horizontal="center" vertical="center" wrapText="1"/>
    </xf>
    <xf numFmtId="165" fontId="0" fillId="0" borderId="0" xfId="2" applyNumberFormat="1" applyFont="1"/>
    <xf numFmtId="0" fontId="6" fillId="9" borderId="6" xfId="0" applyFont="1" applyFill="1" applyBorder="1" applyAlignment="1">
      <alignment horizontal="center"/>
    </xf>
    <xf numFmtId="0" fontId="0" fillId="0" borderId="6" xfId="0" applyBorder="1" applyAlignment="1">
      <alignment horizontal="right"/>
    </xf>
    <xf numFmtId="10" fontId="0" fillId="0" borderId="6" xfId="3" applyNumberFormat="1" applyFont="1" applyBorder="1"/>
    <xf numFmtId="10" fontId="0" fillId="0" borderId="7" xfId="3" applyNumberFormat="1" applyFont="1" applyBorder="1"/>
    <xf numFmtId="164" fontId="0" fillId="0" borderId="0" xfId="1" applyNumberFormat="1" applyFont="1"/>
    <xf numFmtId="0" fontId="6" fillId="0" borderId="6" xfId="0" applyFont="1" applyBorder="1" applyAlignment="1">
      <alignment horizontal="right"/>
    </xf>
    <xf numFmtId="9" fontId="6" fillId="0" borderId="6" xfId="0" applyNumberFormat="1" applyFont="1" applyBorder="1"/>
    <xf numFmtId="167" fontId="0" fillId="0" borderId="0" xfId="0" applyNumberFormat="1"/>
    <xf numFmtId="0" fontId="0" fillId="0" borderId="0" xfId="0" applyAlignment="1">
      <alignment wrapText="1"/>
    </xf>
    <xf numFmtId="10" fontId="0" fillId="0" borderId="0" xfId="3" applyNumberFormat="1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10" fontId="2" fillId="2" borderId="0" xfId="3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6" fillId="0" borderId="0" xfId="0" applyNumberFormat="1" applyFont="1"/>
    <xf numFmtId="44" fontId="6" fillId="0" borderId="0" xfId="0" applyNumberFormat="1" applyFont="1"/>
    <xf numFmtId="0" fontId="10" fillId="10" borderId="0" xfId="0" applyFont="1" applyFill="1"/>
    <xf numFmtId="165" fontId="10" fillId="10" borderId="0" xfId="2" applyNumberFormat="1" applyFont="1" applyFill="1"/>
    <xf numFmtId="9" fontId="0" fillId="0" borderId="0" xfId="3" applyFont="1"/>
    <xf numFmtId="166" fontId="4" fillId="4" borderId="11" xfId="1" applyNumberFormat="1" applyFont="1" applyFill="1" applyBorder="1"/>
    <xf numFmtId="164" fontId="4" fillId="4" borderId="11" xfId="1" applyNumberFormat="1" applyFont="1" applyFill="1" applyBorder="1"/>
    <xf numFmtId="0" fontId="4" fillId="3" borderId="11" xfId="0" applyFont="1" applyFill="1" applyBorder="1"/>
    <xf numFmtId="44" fontId="4" fillId="4" borderId="11" xfId="2" applyFont="1" applyFill="1" applyBorder="1"/>
    <xf numFmtId="44" fontId="4" fillId="2" borderId="11" xfId="2" applyFont="1" applyFill="1" applyBorder="1"/>
    <xf numFmtId="165" fontId="4" fillId="4" borderId="11" xfId="2" applyNumberFormat="1" applyFont="1" applyFill="1" applyBorder="1"/>
    <xf numFmtId="10" fontId="4" fillId="4" borderId="11" xfId="3" applyNumberFormat="1" applyFont="1" applyFill="1" applyBorder="1"/>
    <xf numFmtId="44" fontId="5" fillId="5" borderId="11" xfId="2" applyFont="1" applyFill="1" applyBorder="1"/>
    <xf numFmtId="44" fontId="0" fillId="0" borderId="0" xfId="2" applyFont="1"/>
    <xf numFmtId="168" fontId="0" fillId="0" borderId="0" xfId="0" applyNumberFormat="1"/>
    <xf numFmtId="169" fontId="4" fillId="4" borderId="0" xfId="2" applyNumberFormat="1" applyFont="1" applyFill="1" applyBorder="1"/>
    <xf numFmtId="0" fontId="0" fillId="0" borderId="0" xfId="0" applyAlignment="1">
      <alignment horizontal="right"/>
    </xf>
    <xf numFmtId="4" fontId="0" fillId="0" borderId="0" xfId="0" applyNumberFormat="1"/>
    <xf numFmtId="0" fontId="4" fillId="3" borderId="0" xfId="0" quotePrefix="1" applyFont="1" applyFill="1"/>
    <xf numFmtId="0" fontId="11" fillId="0" borderId="0" xfId="0" applyFont="1"/>
    <xf numFmtId="0" fontId="12" fillId="0" borderId="11" xfId="0" applyFont="1" applyBorder="1"/>
    <xf numFmtId="17" fontId="13" fillId="0" borderId="11" xfId="0" applyNumberFormat="1" applyFont="1" applyBorder="1" applyAlignment="1">
      <alignment horizontal="center"/>
    </xf>
    <xf numFmtId="0" fontId="13" fillId="11" borderId="12" xfId="0" applyFont="1" applyFill="1" applyBorder="1"/>
    <xf numFmtId="0" fontId="14" fillId="11" borderId="12" xfId="0" applyFont="1" applyFill="1" applyBorder="1"/>
    <xf numFmtId="0" fontId="15" fillId="0" borderId="11" xfId="0" applyFont="1" applyBorder="1"/>
    <xf numFmtId="164" fontId="15" fillId="0" borderId="11" xfId="1" applyNumberFormat="1" applyFont="1" applyBorder="1"/>
    <xf numFmtId="0" fontId="11" fillId="0" borderId="13" xfId="0" applyFont="1" applyBorder="1"/>
    <xf numFmtId="0" fontId="11" fillId="0" borderId="11" xfId="0" applyFont="1" applyBorder="1"/>
    <xf numFmtId="0" fontId="11" fillId="0" borderId="4" xfId="0" applyFont="1" applyBorder="1"/>
    <xf numFmtId="164" fontId="11" fillId="0" borderId="0" xfId="1" applyNumberFormat="1" applyFont="1"/>
    <xf numFmtId="44" fontId="11" fillId="0" borderId="0" xfId="0" applyNumberFormat="1" applyFont="1"/>
    <xf numFmtId="0" fontId="15" fillId="0" borderId="0" xfId="0" applyFont="1"/>
    <xf numFmtId="44" fontId="11" fillId="0" borderId="0" xfId="2" applyFont="1"/>
    <xf numFmtId="44" fontId="15" fillId="0" borderId="11" xfId="2" applyFont="1" applyBorder="1"/>
    <xf numFmtId="170" fontId="11" fillId="0" borderId="0" xfId="0" applyNumberFormat="1" applyFont="1"/>
    <xf numFmtId="0" fontId="15" fillId="0" borderId="11" xfId="0" applyFont="1" applyBorder="1" applyAlignment="1">
      <alignment horizontal="left" vertical="center" wrapText="1"/>
    </xf>
    <xf numFmtId="17" fontId="11" fillId="0" borderId="0" xfId="0" applyNumberFormat="1" applyFont="1"/>
    <xf numFmtId="10" fontId="11" fillId="0" borderId="0" xfId="3" applyNumberFormat="1" applyFont="1"/>
    <xf numFmtId="0" fontId="15" fillId="7" borderId="6" xfId="0" applyFont="1" applyFill="1" applyBorder="1" applyAlignment="1">
      <alignment horizontal="center"/>
    </xf>
    <xf numFmtId="10" fontId="11" fillId="0" borderId="0" xfId="0" applyNumberFormat="1" applyFont="1"/>
    <xf numFmtId="4" fontId="11" fillId="0" borderId="0" xfId="0" applyNumberFormat="1" applyFont="1"/>
    <xf numFmtId="17" fontId="13" fillId="7" borderId="6" xfId="0" applyNumberFormat="1" applyFont="1" applyFill="1" applyBorder="1" applyAlignment="1">
      <alignment horizontal="center"/>
    </xf>
    <xf numFmtId="169" fontId="11" fillId="0" borderId="0" xfId="0" applyNumberFormat="1" applyFont="1"/>
    <xf numFmtId="172" fontId="11" fillId="0" borderId="0" xfId="0" applyNumberFormat="1" applyFont="1"/>
    <xf numFmtId="173" fontId="11" fillId="0" borderId="0" xfId="0" applyNumberFormat="1" applyFont="1"/>
    <xf numFmtId="170" fontId="11" fillId="0" borderId="0" xfId="0" quotePrefix="1" applyNumberFormat="1" applyFont="1" applyAlignment="1">
      <alignment horizontal="center"/>
    </xf>
    <xf numFmtId="0" fontId="11" fillId="0" borderId="0" xfId="0" applyFont="1" applyAlignment="1">
      <alignment horizontal="center"/>
    </xf>
    <xf numFmtId="170" fontId="15" fillId="7" borderId="14" xfId="2" applyNumberFormat="1" applyFont="1" applyFill="1" applyBorder="1"/>
    <xf numFmtId="0" fontId="11" fillId="7" borderId="0" xfId="0" applyFont="1" applyFill="1"/>
    <xf numFmtId="170" fontId="15" fillId="7" borderId="0" xfId="2" applyNumberFormat="1" applyFont="1" applyFill="1"/>
    <xf numFmtId="0" fontId="21" fillId="0" borderId="0" xfId="0" applyFont="1"/>
    <xf numFmtId="0" fontId="15" fillId="7" borderId="11" xfId="0" applyFont="1" applyFill="1" applyBorder="1"/>
    <xf numFmtId="44" fontId="15" fillId="7" borderId="11" xfId="2" applyFont="1" applyFill="1" applyBorder="1"/>
    <xf numFmtId="170" fontId="22" fillId="11" borderId="11" xfId="2" applyNumberFormat="1" applyFont="1" applyFill="1" applyBorder="1"/>
    <xf numFmtId="164" fontId="15" fillId="13" borderId="11" xfId="1" applyNumberFormat="1" applyFont="1" applyFill="1" applyBorder="1"/>
    <xf numFmtId="164" fontId="11" fillId="13" borderId="13" xfId="1" applyNumberFormat="1" applyFont="1" applyFill="1" applyBorder="1"/>
    <xf numFmtId="170" fontId="11" fillId="13" borderId="11" xfId="2" applyNumberFormat="1" applyFont="1" applyFill="1" applyBorder="1"/>
    <xf numFmtId="170" fontId="11" fillId="13" borderId="4" xfId="2" applyNumberFormat="1" applyFont="1" applyFill="1" applyBorder="1"/>
    <xf numFmtId="44" fontId="15" fillId="0" borderId="14" xfId="2" applyFont="1" applyBorder="1"/>
    <xf numFmtId="170" fontId="15" fillId="0" borderId="14" xfId="2" applyNumberFormat="1" applyFont="1" applyBorder="1"/>
    <xf numFmtId="164" fontId="11" fillId="13" borderId="0" xfId="1" applyNumberFormat="1" applyFont="1" applyFill="1"/>
    <xf numFmtId="43" fontId="11" fillId="13" borderId="0" xfId="1" applyFont="1" applyFill="1"/>
    <xf numFmtId="171" fontId="11" fillId="13" borderId="0" xfId="0" applyNumberFormat="1" applyFont="1" applyFill="1"/>
    <xf numFmtId="0" fontId="11" fillId="13" borderId="0" xfId="0" applyFont="1" applyFill="1"/>
    <xf numFmtId="170" fontId="15" fillId="0" borderId="0" xfId="2" applyNumberFormat="1" applyFont="1"/>
    <xf numFmtId="44" fontId="11" fillId="13" borderId="0" xfId="2" applyFont="1" applyFill="1"/>
    <xf numFmtId="170" fontId="11" fillId="13" borderId="0" xfId="2" applyNumberFormat="1" applyFont="1" applyFill="1"/>
    <xf numFmtId="44" fontId="15" fillId="13" borderId="11" xfId="2" applyFont="1" applyFill="1" applyBorder="1"/>
    <xf numFmtId="0" fontId="15" fillId="13" borderId="11" xfId="0" applyFont="1" applyFill="1" applyBorder="1"/>
    <xf numFmtId="170" fontId="11" fillId="13" borderId="0" xfId="0" applyNumberFormat="1" applyFont="1" applyFill="1"/>
    <xf numFmtId="44" fontId="13" fillId="11" borderId="11" xfId="2" applyFont="1" applyFill="1" applyBorder="1"/>
    <xf numFmtId="10" fontId="15" fillId="14" borderId="11" xfId="3" applyNumberFormat="1" applyFont="1" applyFill="1" applyBorder="1" applyAlignment="1">
      <alignment horizontal="center" vertical="center"/>
    </xf>
    <xf numFmtId="0" fontId="11" fillId="0" borderId="6" xfId="0" applyFont="1" applyBorder="1"/>
    <xf numFmtId="17" fontId="11" fillId="0" borderId="6" xfId="0" applyNumberFormat="1" applyFont="1" applyBorder="1"/>
    <xf numFmtId="164" fontId="11" fillId="0" borderId="6" xfId="1" applyNumberFormat="1" applyFont="1" applyBorder="1"/>
    <xf numFmtId="164" fontId="11" fillId="0" borderId="6" xfId="1" applyNumberFormat="1" applyFont="1" applyFill="1" applyBorder="1"/>
    <xf numFmtId="0" fontId="15" fillId="0" borderId="6" xfId="0" applyFont="1" applyBorder="1"/>
    <xf numFmtId="164" fontId="15" fillId="0" borderId="6" xfId="1" applyNumberFormat="1" applyFont="1" applyBorder="1"/>
    <xf numFmtId="164" fontId="11" fillId="0" borderId="11" xfId="1" applyNumberFormat="1" applyFont="1" applyBorder="1"/>
    <xf numFmtId="0" fontId="11" fillId="0" borderId="11" xfId="0" applyFont="1" applyBorder="1" applyAlignment="1">
      <alignment horizontal="center" vertical="center" wrapText="1"/>
    </xf>
    <xf numFmtId="164" fontId="11" fillId="0" borderId="11" xfId="1" applyNumberFormat="1" applyFont="1" applyBorder="1" applyAlignment="1">
      <alignment horizontal="center" vertical="center"/>
    </xf>
    <xf numFmtId="43" fontId="11" fillId="0" borderId="11" xfId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173" fontId="15" fillId="0" borderId="11" xfId="1" applyNumberFormat="1" applyFont="1" applyBorder="1" applyAlignment="1">
      <alignment horizontal="center" vertical="center"/>
    </xf>
    <xf numFmtId="0" fontId="14" fillId="7" borderId="12" xfId="0" applyFont="1" applyFill="1" applyBorder="1"/>
    <xf numFmtId="170" fontId="11" fillId="7" borderId="0" xfId="0" applyNumberFormat="1" applyFont="1" applyFill="1"/>
    <xf numFmtId="170" fontId="22" fillId="7" borderId="11" xfId="2" applyNumberFormat="1" applyFont="1" applyFill="1" applyBorder="1"/>
    <xf numFmtId="17" fontId="15" fillId="0" borderId="6" xfId="0" applyNumberFormat="1" applyFont="1" applyBorder="1"/>
    <xf numFmtId="44" fontId="15" fillId="0" borderId="6" xfId="2" applyFont="1" applyBorder="1"/>
    <xf numFmtId="44" fontId="15" fillId="14" borderId="6" xfId="2" applyFont="1" applyFill="1" applyBorder="1"/>
    <xf numFmtId="164" fontId="4" fillId="4" borderId="0" xfId="1" applyNumberFormat="1" applyFont="1" applyFill="1" applyBorder="1" applyAlignment="1">
      <alignment wrapText="1"/>
    </xf>
    <xf numFmtId="0" fontId="15" fillId="11" borderId="14" xfId="0" applyFont="1" applyFill="1" applyBorder="1"/>
    <xf numFmtId="0" fontId="15" fillId="11" borderId="0" xfId="0" applyFont="1" applyFill="1"/>
    <xf numFmtId="0" fontId="15" fillId="11" borderId="11" xfId="0" applyFont="1" applyFill="1" applyBorder="1"/>
    <xf numFmtId="0" fontId="13" fillId="11" borderId="11" xfId="0" applyFont="1" applyFill="1" applyBorder="1"/>
    <xf numFmtId="0" fontId="15" fillId="11" borderId="0" xfId="0" applyFont="1" applyFill="1" applyAlignment="1">
      <alignment horizontal="center"/>
    </xf>
    <xf numFmtId="170" fontId="15" fillId="11" borderId="0" xfId="0" applyNumberFormat="1" applyFont="1" applyFill="1"/>
    <xf numFmtId="44" fontId="15" fillId="11" borderId="11" xfId="2" applyFont="1" applyFill="1" applyBorder="1"/>
    <xf numFmtId="170" fontId="13" fillId="11" borderId="11" xfId="2" applyNumberFormat="1" applyFont="1" applyFill="1" applyBorder="1"/>
    <xf numFmtId="170" fontId="11" fillId="11" borderId="11" xfId="0" applyNumberFormat="1" applyFont="1" applyFill="1" applyBorder="1"/>
    <xf numFmtId="44" fontId="11" fillId="11" borderId="11" xfId="0" applyNumberFormat="1" applyFont="1" applyFill="1" applyBorder="1"/>
    <xf numFmtId="0" fontId="23" fillId="11" borderId="11" xfId="0" applyFont="1" applyFill="1" applyBorder="1"/>
    <xf numFmtId="0" fontId="24" fillId="11" borderId="11" xfId="0" applyFont="1" applyFill="1" applyBorder="1"/>
    <xf numFmtId="170" fontId="21" fillId="11" borderId="11" xfId="0" applyNumberFormat="1" applyFont="1" applyFill="1" applyBorder="1"/>
    <xf numFmtId="44" fontId="11" fillId="11" borderId="11" xfId="2" applyFont="1" applyFill="1" applyBorder="1"/>
    <xf numFmtId="44" fontId="0" fillId="0" borderId="0" xfId="0" applyNumberFormat="1"/>
    <xf numFmtId="0" fontId="15" fillId="14" borderId="6" xfId="0" applyFont="1" applyFill="1" applyBorder="1"/>
    <xf numFmtId="44" fontId="15" fillId="0" borderId="6" xfId="2" applyFont="1" applyFill="1" applyBorder="1"/>
    <xf numFmtId="44" fontId="15" fillId="7" borderId="6" xfId="2" applyFont="1" applyFill="1" applyBorder="1"/>
    <xf numFmtId="164" fontId="0" fillId="0" borderId="0" xfId="0" applyNumberFormat="1"/>
    <xf numFmtId="17" fontId="22" fillId="0" borderId="11" xfId="0" applyNumberFormat="1" applyFont="1" applyBorder="1" applyAlignment="1">
      <alignment horizontal="center"/>
    </xf>
    <xf numFmtId="0" fontId="25" fillId="11" borderId="12" xfId="0" applyFont="1" applyFill="1" applyBorder="1"/>
    <xf numFmtId="164" fontId="26" fillId="13" borderId="11" xfId="1" applyNumberFormat="1" applyFont="1" applyFill="1" applyBorder="1"/>
    <xf numFmtId="164" fontId="21" fillId="13" borderId="13" xfId="1" applyNumberFormat="1" applyFont="1" applyFill="1" applyBorder="1"/>
    <xf numFmtId="170" fontId="21" fillId="13" borderId="11" xfId="2" applyNumberFormat="1" applyFont="1" applyFill="1" applyBorder="1"/>
    <xf numFmtId="170" fontId="21" fillId="13" borderId="4" xfId="2" applyNumberFormat="1" applyFont="1" applyFill="1" applyBorder="1"/>
    <xf numFmtId="170" fontId="26" fillId="0" borderId="14" xfId="2" applyNumberFormat="1" applyFont="1" applyBorder="1"/>
    <xf numFmtId="164" fontId="21" fillId="0" borderId="0" xfId="1" applyNumberFormat="1" applyFont="1"/>
    <xf numFmtId="44" fontId="21" fillId="0" borderId="0" xfId="0" applyNumberFormat="1" applyFont="1"/>
    <xf numFmtId="164" fontId="21" fillId="13" borderId="0" xfId="1" applyNumberFormat="1" applyFont="1" applyFill="1"/>
    <xf numFmtId="0" fontId="21" fillId="13" borderId="0" xfId="0" applyFont="1" applyFill="1"/>
    <xf numFmtId="170" fontId="26" fillId="0" borderId="0" xfId="2" applyNumberFormat="1" applyFont="1"/>
    <xf numFmtId="44" fontId="21" fillId="13" borderId="0" xfId="2" applyFont="1" applyFill="1"/>
    <xf numFmtId="0" fontId="26" fillId="0" borderId="11" xfId="0" applyFont="1" applyBorder="1"/>
    <xf numFmtId="44" fontId="26" fillId="13" borderId="11" xfId="2" applyFont="1" applyFill="1" applyBorder="1"/>
    <xf numFmtId="0" fontId="26" fillId="13" borderId="11" xfId="0" applyFont="1" applyFill="1" applyBorder="1"/>
    <xf numFmtId="170" fontId="21" fillId="13" borderId="0" xfId="2" applyNumberFormat="1" applyFont="1" applyFill="1"/>
    <xf numFmtId="44" fontId="26" fillId="11" borderId="11" xfId="2" applyFont="1" applyFill="1" applyBorder="1"/>
    <xf numFmtId="170" fontId="21" fillId="0" borderId="0" xfId="0" applyNumberFormat="1" applyFont="1"/>
    <xf numFmtId="44" fontId="22" fillId="11" borderId="11" xfId="2" applyFont="1" applyFill="1" applyBorder="1"/>
    <xf numFmtId="10" fontId="26" fillId="14" borderId="11" xfId="3" applyNumberFormat="1" applyFont="1" applyFill="1" applyBorder="1" applyAlignment="1">
      <alignment horizontal="center" vertical="center"/>
    </xf>
    <xf numFmtId="0" fontId="27" fillId="0" borderId="0" xfId="0" applyFont="1"/>
    <xf numFmtId="0" fontId="16" fillId="12" borderId="15" xfId="0" applyFont="1" applyFill="1" applyBorder="1" applyAlignment="1">
      <alignment vertical="center"/>
    </xf>
    <xf numFmtId="0" fontId="16" fillId="12" borderId="13" xfId="0" applyFont="1" applyFill="1" applyBorder="1" applyAlignment="1">
      <alignment vertical="center"/>
    </xf>
    <xf numFmtId="0" fontId="16" fillId="12" borderId="16" xfId="0" applyFont="1" applyFill="1" applyBorder="1" applyAlignment="1">
      <alignment vertical="center"/>
    </xf>
    <xf numFmtId="0" fontId="16" fillId="12" borderId="17" xfId="0" applyFont="1" applyFill="1" applyBorder="1" applyAlignment="1">
      <alignment vertical="center"/>
    </xf>
    <xf numFmtId="0" fontId="16" fillId="12" borderId="0" xfId="0" applyFont="1" applyFill="1" applyAlignment="1">
      <alignment vertical="center"/>
    </xf>
    <xf numFmtId="0" fontId="16" fillId="12" borderId="18" xfId="0" applyFont="1" applyFill="1" applyBorder="1" applyAlignment="1">
      <alignment vertical="center"/>
    </xf>
    <xf numFmtId="0" fontId="16" fillId="12" borderId="19" xfId="0" applyFont="1" applyFill="1" applyBorder="1" applyAlignment="1">
      <alignment vertical="center"/>
    </xf>
    <xf numFmtId="0" fontId="16" fillId="12" borderId="11" xfId="0" applyFont="1" applyFill="1" applyBorder="1" applyAlignment="1">
      <alignment vertical="center"/>
    </xf>
    <xf numFmtId="0" fontId="16" fillId="12" borderId="20" xfId="0" applyFont="1" applyFill="1" applyBorder="1" applyAlignment="1">
      <alignment vertical="center"/>
    </xf>
    <xf numFmtId="173" fontId="15" fillId="0" borderId="6" xfId="0" applyNumberFormat="1" applyFont="1" applyBorder="1"/>
    <xf numFmtId="44" fontId="15" fillId="0" borderId="6" xfId="2" applyFont="1" applyFill="1" applyBorder="1" applyAlignment="1">
      <alignment horizontal="center" vertical="center" wrapText="1"/>
    </xf>
    <xf numFmtId="44" fontId="15" fillId="7" borderId="6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4" fontId="11" fillId="0" borderId="0" xfId="0" applyNumberFormat="1" applyFont="1"/>
    <xf numFmtId="175" fontId="0" fillId="0" borderId="0" xfId="0" applyNumberFormat="1"/>
    <xf numFmtId="170" fontId="15" fillId="0" borderId="6" xfId="2" applyNumberFormat="1" applyFont="1" applyBorder="1"/>
    <xf numFmtId="44" fontId="15" fillId="6" borderId="6" xfId="2" applyFont="1" applyFill="1" applyBorder="1"/>
    <xf numFmtId="164" fontId="15" fillId="6" borderId="6" xfId="1" applyNumberFormat="1" applyFont="1" applyFill="1" applyBorder="1"/>
    <xf numFmtId="44" fontId="15" fillId="0" borderId="7" xfId="2" applyFont="1" applyBorder="1"/>
    <xf numFmtId="0" fontId="15" fillId="6" borderId="6" xfId="0" applyFont="1" applyFill="1" applyBorder="1"/>
    <xf numFmtId="0" fontId="26" fillId="0" borderId="6" xfId="0" applyFont="1" applyBorder="1"/>
    <xf numFmtId="44" fontId="26" fillId="0" borderId="7" xfId="2" applyFont="1" applyBorder="1"/>
    <xf numFmtId="173" fontId="0" fillId="0" borderId="0" xfId="1" applyNumberFormat="1" applyFont="1"/>
    <xf numFmtId="173" fontId="0" fillId="0" borderId="0" xfId="0" applyNumberFormat="1"/>
    <xf numFmtId="171" fontId="0" fillId="0" borderId="0" xfId="0" applyNumberFormat="1"/>
    <xf numFmtId="164" fontId="4" fillId="4" borderId="0" xfId="1" applyNumberFormat="1" applyFont="1" applyFill="1"/>
    <xf numFmtId="164" fontId="4" fillId="15" borderId="0" xfId="1" applyNumberFormat="1" applyFont="1" applyFill="1" applyBorder="1"/>
    <xf numFmtId="165" fontId="4" fillId="15" borderId="0" xfId="2" applyNumberFormat="1" applyFont="1" applyFill="1" applyBorder="1"/>
    <xf numFmtId="9" fontId="0" fillId="0" borderId="7" xfId="3" applyFont="1" applyBorder="1"/>
    <xf numFmtId="164" fontId="0" fillId="0" borderId="7" xfId="3" applyNumberFormat="1" applyFont="1" applyBorder="1"/>
    <xf numFmtId="164" fontId="0" fillId="0" borderId="6" xfId="3" applyNumberFormat="1" applyFont="1" applyBorder="1"/>
    <xf numFmtId="0" fontId="0" fillId="0" borderId="7" xfId="3" applyNumberFormat="1" applyFont="1" applyBorder="1"/>
    <xf numFmtId="0" fontId="0" fillId="0" borderId="6" xfId="3" applyNumberFormat="1" applyFont="1" applyBorder="1"/>
    <xf numFmtId="10" fontId="4" fillId="16" borderId="0" xfId="3" applyNumberFormat="1" applyFont="1" applyFill="1" applyBorder="1"/>
    <xf numFmtId="0" fontId="4" fillId="3" borderId="0" xfId="0" applyFont="1" applyFill="1" applyAlignment="1">
      <alignment horizontal="right"/>
    </xf>
    <xf numFmtId="0" fontId="4" fillId="3" borderId="0" xfId="0" quotePrefix="1" applyFont="1" applyFill="1" applyAlignment="1">
      <alignment horizontal="right"/>
    </xf>
    <xf numFmtId="4" fontId="4" fillId="3" borderId="0" xfId="0" applyNumberFormat="1" applyFont="1" applyFill="1" applyAlignment="1">
      <alignment horizontal="right"/>
    </xf>
    <xf numFmtId="10" fontId="6" fillId="0" borderId="6" xfId="3" applyNumberFormat="1" applyFont="1" applyBorder="1"/>
    <xf numFmtId="43" fontId="0" fillId="0" borderId="0" xfId="0" applyNumberFormat="1"/>
    <xf numFmtId="164" fontId="15" fillId="0" borderId="6" xfId="1" applyNumberFormat="1" applyFont="1" applyFill="1" applyBorder="1"/>
    <xf numFmtId="10" fontId="4" fillId="0" borderId="0" xfId="3" applyNumberFormat="1" applyFont="1" applyFill="1" applyBorder="1"/>
    <xf numFmtId="165" fontId="4" fillId="7" borderId="0" xfId="2" applyNumberFormat="1" applyFont="1" applyFill="1" applyBorder="1"/>
    <xf numFmtId="165" fontId="4" fillId="0" borderId="0" xfId="2" applyNumberFormat="1" applyFont="1" applyFill="1" applyBorder="1"/>
    <xf numFmtId="44" fontId="15" fillId="13" borderId="6" xfId="2" applyFont="1" applyFill="1" applyBorder="1"/>
    <xf numFmtId="44" fontId="15" fillId="13" borderId="6" xfId="2" applyFont="1" applyFill="1" applyBorder="1" applyAlignment="1">
      <alignment horizontal="center" vertical="center"/>
    </xf>
    <xf numFmtId="14" fontId="0" fillId="0" borderId="0" xfId="0" applyNumberFormat="1"/>
    <xf numFmtId="0" fontId="11" fillId="0" borderId="22" xfId="0" applyFont="1" applyBorder="1"/>
    <xf numFmtId="164" fontId="29" fillId="4" borderId="0" xfId="1" applyNumberFormat="1" applyFont="1" applyFill="1" applyBorder="1" applyAlignment="1">
      <alignment wrapText="1"/>
    </xf>
    <xf numFmtId="44" fontId="29" fillId="4" borderId="0" xfId="2" applyFont="1" applyFill="1" applyBorder="1"/>
    <xf numFmtId="44" fontId="29" fillId="2" borderId="0" xfId="2" applyFont="1" applyFill="1" applyBorder="1"/>
    <xf numFmtId="0" fontId="29" fillId="3" borderId="0" xfId="0" quotePrefix="1" applyFont="1" applyFill="1" applyAlignment="1">
      <alignment horizontal="right"/>
    </xf>
    <xf numFmtId="165" fontId="29" fillId="0" borderId="0" xfId="2" applyNumberFormat="1" applyFont="1" applyFill="1" applyBorder="1"/>
    <xf numFmtId="16" fontId="4" fillId="3" borderId="0" xfId="0" quotePrefix="1" applyNumberFormat="1" applyFont="1" applyFill="1" applyAlignment="1">
      <alignment horizontal="right"/>
    </xf>
    <xf numFmtId="8" fontId="4" fillId="4" borderId="0" xfId="2" applyNumberFormat="1" applyFont="1" applyFill="1"/>
    <xf numFmtId="17" fontId="4" fillId="3" borderId="0" xfId="0" quotePrefix="1" applyNumberFormat="1" applyFont="1" applyFill="1" applyAlignment="1">
      <alignment horizontal="right"/>
    </xf>
    <xf numFmtId="164" fontId="21" fillId="6" borderId="22" xfId="1" applyNumberFormat="1" applyFont="1" applyFill="1" applyBorder="1"/>
    <xf numFmtId="16" fontId="4" fillId="3" borderId="0" xfId="0" applyNumberFormat="1" applyFont="1" applyFill="1" applyAlignment="1">
      <alignment horizontal="right"/>
    </xf>
    <xf numFmtId="164" fontId="30" fillId="4" borderId="0" xfId="1" applyNumberFormat="1" applyFont="1" applyFill="1" applyBorder="1"/>
    <xf numFmtId="164" fontId="31" fillId="4" borderId="0" xfId="1" applyNumberFormat="1" applyFont="1" applyFill="1" applyBorder="1"/>
    <xf numFmtId="164" fontId="32" fillId="4" borderId="0" xfId="1" applyNumberFormat="1" applyFont="1" applyFill="1" applyBorder="1"/>
    <xf numFmtId="164" fontId="33" fillId="4" borderId="0" xfId="1" applyNumberFormat="1" applyFont="1" applyFill="1" applyBorder="1"/>
    <xf numFmtId="164" fontId="29" fillId="4" borderId="0" xfId="1" applyNumberFormat="1" applyFont="1" applyFill="1" applyBorder="1"/>
    <xf numFmtId="171" fontId="11" fillId="0" borderId="0" xfId="0" applyNumberFormat="1" applyFont="1"/>
    <xf numFmtId="0" fontId="6" fillId="0" borderId="6" xfId="0" applyFont="1" applyBorder="1"/>
    <xf numFmtId="17" fontId="6" fillId="0" borderId="6" xfId="0" applyNumberFormat="1" applyFont="1" applyBorder="1"/>
    <xf numFmtId="164" fontId="6" fillId="0" borderId="6" xfId="1" applyNumberFormat="1" applyFont="1" applyBorder="1"/>
    <xf numFmtId="173" fontId="6" fillId="0" borderId="6" xfId="0" applyNumberFormat="1" applyFont="1" applyBorder="1"/>
    <xf numFmtId="44" fontId="6" fillId="0" borderId="6" xfId="2" applyFont="1" applyBorder="1"/>
    <xf numFmtId="44" fontId="6" fillId="14" borderId="6" xfId="2" applyFont="1" applyFill="1" applyBorder="1"/>
    <xf numFmtId="164" fontId="6" fillId="0" borderId="6" xfId="1" applyNumberFormat="1" applyFont="1" applyFill="1" applyBorder="1"/>
    <xf numFmtId="0" fontId="6" fillId="14" borderId="6" xfId="0" applyFont="1" applyFill="1" applyBorder="1"/>
    <xf numFmtId="0" fontId="0" fillId="0" borderId="6" xfId="0" applyBorder="1"/>
    <xf numFmtId="17" fontId="0" fillId="0" borderId="6" xfId="0" applyNumberFormat="1" applyBorder="1"/>
    <xf numFmtId="164" fontId="0" fillId="0" borderId="6" xfId="1" applyNumberFormat="1" applyFont="1" applyBorder="1"/>
    <xf numFmtId="164" fontId="0" fillId="0" borderId="6" xfId="1" applyNumberFormat="1" applyFont="1" applyFill="1" applyBorder="1"/>
    <xf numFmtId="0" fontId="0" fillId="0" borderId="22" xfId="0" applyBorder="1"/>
    <xf numFmtId="0" fontId="0" fillId="6" borderId="0" xfId="0" applyFill="1"/>
    <xf numFmtId="164" fontId="27" fillId="6" borderId="22" xfId="1" applyNumberFormat="1" applyFont="1" applyFill="1" applyBorder="1"/>
    <xf numFmtId="0" fontId="0" fillId="0" borderId="11" xfId="0" applyBorder="1"/>
    <xf numFmtId="164" fontId="0" fillId="0" borderId="11" xfId="1" applyNumberFormat="1" applyFont="1" applyBorder="1"/>
    <xf numFmtId="0" fontId="0" fillId="0" borderId="11" xfId="0" applyBorder="1" applyAlignment="1">
      <alignment horizontal="center" vertical="center" wrapText="1"/>
    </xf>
    <xf numFmtId="164" fontId="0" fillId="0" borderId="11" xfId="1" applyNumberFormat="1" applyFont="1" applyBorder="1" applyAlignment="1">
      <alignment horizontal="center" vertical="center"/>
    </xf>
    <xf numFmtId="43" fontId="0" fillId="0" borderId="11" xfId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73" fontId="6" fillId="0" borderId="11" xfId="1" applyNumberFormat="1" applyFont="1" applyBorder="1" applyAlignment="1">
      <alignment horizontal="center" vertical="center"/>
    </xf>
    <xf numFmtId="44" fontId="6" fillId="0" borderId="6" xfId="2" applyFont="1" applyFill="1" applyBorder="1" applyAlignment="1">
      <alignment horizontal="center" vertical="center" wrapText="1"/>
    </xf>
    <xf numFmtId="44" fontId="6" fillId="13" borderId="6" xfId="2" applyFont="1" applyFill="1" applyBorder="1"/>
    <xf numFmtId="44" fontId="6" fillId="13" borderId="6" xfId="2" applyFont="1" applyFill="1" applyBorder="1" applyAlignment="1">
      <alignment horizontal="center" vertical="center"/>
    </xf>
    <xf numFmtId="0" fontId="0" fillId="7" borderId="0" xfId="0" applyFill="1"/>
    <xf numFmtId="164" fontId="27" fillId="7" borderId="22" xfId="1" applyNumberFormat="1" applyFont="1" applyFill="1" applyBorder="1"/>
    <xf numFmtId="164" fontId="6" fillId="7" borderId="6" xfId="1" applyNumberFormat="1" applyFont="1" applyFill="1" applyBorder="1"/>
    <xf numFmtId="44" fontId="6" fillId="7" borderId="6" xfId="2" applyFont="1" applyFill="1" applyBorder="1"/>
    <xf numFmtId="10" fontId="0" fillId="0" borderId="0" xfId="3" applyNumberFormat="1" applyFont="1"/>
    <xf numFmtId="0" fontId="34" fillId="0" borderId="11" xfId="0" applyFont="1" applyBorder="1"/>
    <xf numFmtId="17" fontId="35" fillId="0" borderId="11" xfId="0" applyNumberFormat="1" applyFont="1" applyBorder="1" applyAlignment="1">
      <alignment horizontal="center"/>
    </xf>
    <xf numFmtId="17" fontId="36" fillId="0" borderId="11" xfId="0" applyNumberFormat="1" applyFont="1" applyBorder="1" applyAlignment="1">
      <alignment horizontal="center"/>
    </xf>
    <xf numFmtId="0" fontId="35" fillId="11" borderId="12" xfId="0" applyFont="1" applyFill="1" applyBorder="1"/>
    <xf numFmtId="0" fontId="37" fillId="11" borderId="12" xfId="0" applyFont="1" applyFill="1" applyBorder="1"/>
    <xf numFmtId="0" fontId="38" fillId="11" borderId="12" xfId="0" applyFont="1" applyFill="1" applyBorder="1"/>
    <xf numFmtId="0" fontId="39" fillId="11" borderId="12" xfId="0" applyFont="1" applyFill="1" applyBorder="1"/>
    <xf numFmtId="0" fontId="6" fillId="0" borderId="11" xfId="0" applyFont="1" applyBorder="1"/>
    <xf numFmtId="164" fontId="6" fillId="13" borderId="11" xfId="1" applyNumberFormat="1" applyFont="1" applyFill="1" applyBorder="1"/>
    <xf numFmtId="164" fontId="10" fillId="13" borderId="11" xfId="1" applyNumberFormat="1" applyFont="1" applyFill="1" applyBorder="1"/>
    <xf numFmtId="164" fontId="6" fillId="0" borderId="11" xfId="1" applyNumberFormat="1" applyFont="1" applyBorder="1"/>
    <xf numFmtId="0" fontId="0" fillId="0" borderId="13" xfId="0" applyBorder="1"/>
    <xf numFmtId="164" fontId="0" fillId="13" borderId="13" xfId="1" applyNumberFormat="1" applyFont="1" applyFill="1" applyBorder="1"/>
    <xf numFmtId="164" fontId="40" fillId="13" borderId="13" xfId="1" applyNumberFormat="1" applyFont="1" applyFill="1" applyBorder="1"/>
    <xf numFmtId="164" fontId="40" fillId="0" borderId="13" xfId="1" applyNumberFormat="1" applyFont="1" applyFill="1" applyBorder="1"/>
    <xf numFmtId="170" fontId="0" fillId="13" borderId="11" xfId="2" applyNumberFormat="1" applyFont="1" applyFill="1" applyBorder="1"/>
    <xf numFmtId="170" fontId="40" fillId="13" borderId="11" xfId="2" applyNumberFormat="1" applyFont="1" applyFill="1" applyBorder="1"/>
    <xf numFmtId="170" fontId="40" fillId="0" borderId="11" xfId="2" applyNumberFormat="1" applyFont="1" applyFill="1" applyBorder="1"/>
    <xf numFmtId="170" fontId="0" fillId="13" borderId="0" xfId="2" applyNumberFormat="1" applyFont="1" applyFill="1" applyBorder="1"/>
    <xf numFmtId="170" fontId="40" fillId="13" borderId="0" xfId="2" applyNumberFormat="1" applyFont="1" applyFill="1" applyBorder="1"/>
    <xf numFmtId="164" fontId="40" fillId="13" borderId="0" xfId="1" applyNumberFormat="1" applyFont="1" applyFill="1" applyBorder="1"/>
    <xf numFmtId="164" fontId="40" fillId="0" borderId="0" xfId="1" applyNumberFormat="1" applyFont="1" applyFill="1" applyBorder="1"/>
    <xf numFmtId="170" fontId="0" fillId="13" borderId="13" xfId="2" applyNumberFormat="1" applyFont="1" applyFill="1" applyBorder="1"/>
    <xf numFmtId="170" fontId="40" fillId="13" borderId="13" xfId="2" applyNumberFormat="1" applyFont="1" applyFill="1" applyBorder="1"/>
    <xf numFmtId="0" fontId="40" fillId="0" borderId="0" xfId="0" applyFont="1"/>
    <xf numFmtId="164" fontId="0" fillId="0" borderId="0" xfId="1" applyNumberFormat="1" applyFont="1" applyFill="1" applyBorder="1"/>
    <xf numFmtId="0" fontId="40" fillId="0" borderId="11" xfId="0" applyFont="1" applyBorder="1"/>
    <xf numFmtId="170" fontId="0" fillId="0" borderId="11" xfId="2" applyNumberFormat="1" applyFont="1" applyFill="1" applyBorder="1"/>
    <xf numFmtId="170" fontId="0" fillId="0" borderId="0" xfId="2" applyNumberFormat="1" applyFont="1" applyFill="1" applyBorder="1"/>
    <xf numFmtId="170" fontId="40" fillId="0" borderId="0" xfId="2" applyNumberFormat="1" applyFont="1" applyFill="1" applyBorder="1"/>
    <xf numFmtId="0" fontId="0" fillId="0" borderId="21" xfId="0" applyBorder="1"/>
    <xf numFmtId="0" fontId="6" fillId="11" borderId="21" xfId="0" applyFont="1" applyFill="1" applyBorder="1"/>
    <xf numFmtId="44" fontId="6" fillId="0" borderId="4" xfId="2" applyFont="1" applyBorder="1"/>
    <xf numFmtId="170" fontId="6" fillId="0" borderId="4" xfId="2" applyNumberFormat="1" applyFont="1" applyBorder="1"/>
    <xf numFmtId="170" fontId="10" fillId="0" borderId="4" xfId="2" applyNumberFormat="1" applyFont="1" applyBorder="1"/>
    <xf numFmtId="170" fontId="10" fillId="0" borderId="4" xfId="2" applyNumberFormat="1" applyFont="1" applyFill="1" applyBorder="1"/>
    <xf numFmtId="170" fontId="6" fillId="7" borderId="4" xfId="2" applyNumberFormat="1" applyFont="1" applyFill="1" applyBorder="1"/>
    <xf numFmtId="169" fontId="0" fillId="0" borderId="0" xfId="0" applyNumberFormat="1"/>
    <xf numFmtId="172" fontId="0" fillId="0" borderId="0" xfId="0" applyNumberFormat="1"/>
    <xf numFmtId="164" fontId="40" fillId="0" borderId="0" xfId="1" applyNumberFormat="1" applyFont="1"/>
    <xf numFmtId="44" fontId="40" fillId="0" borderId="0" xfId="0" applyNumberFormat="1" applyFont="1"/>
    <xf numFmtId="164" fontId="0" fillId="13" borderId="0" xfId="1" applyNumberFormat="1" applyFont="1" applyFill="1"/>
    <xf numFmtId="43" fontId="0" fillId="13" borderId="0" xfId="1" applyFont="1" applyFill="1"/>
    <xf numFmtId="164" fontId="40" fillId="13" borderId="0" xfId="1" applyNumberFormat="1" applyFont="1" applyFill="1"/>
    <xf numFmtId="171" fontId="0" fillId="13" borderId="0" xfId="0" applyNumberFormat="1" applyFill="1"/>
    <xf numFmtId="0" fontId="0" fillId="13" borderId="0" xfId="0" applyFill="1"/>
    <xf numFmtId="0" fontId="27" fillId="13" borderId="0" xfId="0" applyFont="1" applyFill="1"/>
    <xf numFmtId="0" fontId="40" fillId="13" borderId="0" xfId="0" applyFont="1" applyFill="1"/>
    <xf numFmtId="0" fontId="6" fillId="11" borderId="0" xfId="0" applyFont="1" applyFill="1"/>
    <xf numFmtId="170" fontId="6" fillId="0" borderId="0" xfId="2" applyNumberFormat="1" applyFont="1"/>
    <xf numFmtId="170" fontId="10" fillId="0" borderId="0" xfId="2" applyNumberFormat="1" applyFont="1"/>
    <xf numFmtId="170" fontId="6" fillId="7" borderId="0" xfId="2" applyNumberFormat="1" applyFont="1" applyFill="1"/>
    <xf numFmtId="0" fontId="10" fillId="11" borderId="11" xfId="0" applyFont="1" applyFill="1" applyBorder="1"/>
    <xf numFmtId="44" fontId="0" fillId="11" borderId="11" xfId="0" applyNumberFormat="1" applyFill="1" applyBorder="1"/>
    <xf numFmtId="170" fontId="0" fillId="11" borderId="11" xfId="0" applyNumberFormat="1" applyFill="1" applyBorder="1"/>
    <xf numFmtId="170" fontId="40" fillId="11" borderId="11" xfId="0" applyNumberFormat="1" applyFont="1" applyFill="1" applyBorder="1"/>
    <xf numFmtId="170" fontId="27" fillId="11" borderId="11" xfId="0" applyNumberFormat="1" applyFont="1" applyFill="1" applyBorder="1"/>
    <xf numFmtId="44" fontId="0" fillId="13" borderId="0" xfId="2" applyFont="1" applyFill="1"/>
    <xf numFmtId="44" fontId="40" fillId="13" borderId="0" xfId="2" applyFont="1" applyFill="1"/>
    <xf numFmtId="44" fontId="40" fillId="18" borderId="0" xfId="2" applyFont="1" applyFill="1"/>
    <xf numFmtId="0" fontId="6" fillId="11" borderId="11" xfId="0" applyFont="1" applyFill="1" applyBorder="1"/>
    <xf numFmtId="44" fontId="0" fillId="11" borderId="11" xfId="2" applyFont="1" applyFill="1" applyBorder="1"/>
    <xf numFmtId="170" fontId="0" fillId="0" borderId="0" xfId="0" applyNumberFormat="1"/>
    <xf numFmtId="44" fontId="6" fillId="0" borderId="11" xfId="2" applyFont="1" applyBorder="1"/>
    <xf numFmtId="0" fontId="10" fillId="0" borderId="11" xfId="0" applyFont="1" applyBorder="1"/>
    <xf numFmtId="0" fontId="41" fillId="0" borderId="11" xfId="0" applyFont="1" applyBorder="1"/>
    <xf numFmtId="170" fontId="0" fillId="13" borderId="0" xfId="2" applyNumberFormat="1" applyFont="1" applyFill="1"/>
    <xf numFmtId="0" fontId="0" fillId="17" borderId="0" xfId="0" applyFill="1"/>
    <xf numFmtId="44" fontId="6" fillId="13" borderId="11" xfId="2" applyFont="1" applyFill="1" applyBorder="1"/>
    <xf numFmtId="44" fontId="10" fillId="13" borderId="11" xfId="2" applyFont="1" applyFill="1" applyBorder="1"/>
    <xf numFmtId="44" fontId="6" fillId="17" borderId="11" xfId="2" applyFont="1" applyFill="1" applyBorder="1"/>
    <xf numFmtId="0" fontId="6" fillId="13" borderId="11" xfId="0" applyFont="1" applyFill="1" applyBorder="1"/>
    <xf numFmtId="0" fontId="10" fillId="13" borderId="11" xfId="0" applyFont="1" applyFill="1" applyBorder="1"/>
    <xf numFmtId="0" fontId="6" fillId="17" borderId="11" xfId="0" applyFont="1" applyFill="1" applyBorder="1"/>
    <xf numFmtId="170" fontId="0" fillId="13" borderId="0" xfId="0" applyNumberFormat="1" applyFill="1"/>
    <xf numFmtId="170" fontId="40" fillId="13" borderId="0" xfId="2" applyNumberFormat="1" applyFont="1" applyFill="1"/>
    <xf numFmtId="44" fontId="6" fillId="11" borderId="11" xfId="2" applyFont="1" applyFill="1" applyBorder="1"/>
    <xf numFmtId="44" fontId="10" fillId="11" borderId="11" xfId="2" applyFont="1" applyFill="1" applyBorder="1"/>
    <xf numFmtId="170" fontId="40" fillId="0" borderId="0" xfId="0" applyNumberFormat="1" applyFont="1"/>
    <xf numFmtId="170" fontId="27" fillId="0" borderId="0" xfId="0" applyNumberFormat="1" applyFont="1"/>
    <xf numFmtId="0" fontId="36" fillId="11" borderId="11" xfId="0" applyFont="1" applyFill="1" applyBorder="1"/>
    <xf numFmtId="44" fontId="35" fillId="11" borderId="11" xfId="2" applyFont="1" applyFill="1" applyBorder="1"/>
    <xf numFmtId="44" fontId="36" fillId="11" borderId="11" xfId="2" applyFont="1" applyFill="1" applyBorder="1"/>
    <xf numFmtId="170" fontId="36" fillId="11" borderId="11" xfId="2" applyNumberFormat="1" applyFont="1" applyFill="1" applyBorder="1"/>
    <xf numFmtId="0" fontId="6" fillId="0" borderId="11" xfId="0" applyFont="1" applyBorder="1" applyAlignment="1">
      <alignment horizontal="left" vertical="center" wrapText="1"/>
    </xf>
    <xf numFmtId="10" fontId="6" fillId="14" borderId="11" xfId="3" applyNumberFormat="1" applyFont="1" applyFill="1" applyBorder="1" applyAlignment="1">
      <alignment horizontal="center" vertical="center"/>
    </xf>
    <xf numFmtId="10" fontId="10" fillId="14" borderId="11" xfId="3" applyNumberFormat="1" applyFont="1" applyFill="1" applyBorder="1" applyAlignment="1">
      <alignment horizontal="center" vertical="center"/>
    </xf>
    <xf numFmtId="177" fontId="10" fillId="14" borderId="11" xfId="3" applyNumberFormat="1" applyFont="1" applyFill="1" applyBorder="1" applyAlignment="1">
      <alignment horizontal="center" vertical="center"/>
    </xf>
    <xf numFmtId="0" fontId="35" fillId="11" borderId="11" xfId="0" applyFont="1" applyFill="1" applyBorder="1"/>
    <xf numFmtId="170" fontId="35" fillId="11" borderId="11" xfId="2" applyNumberFormat="1" applyFont="1" applyFill="1" applyBorder="1"/>
    <xf numFmtId="0" fontId="6" fillId="11" borderId="0" xfId="0" applyFont="1" applyFill="1" applyAlignment="1">
      <alignment horizontal="center"/>
    </xf>
    <xf numFmtId="170" fontId="6" fillId="11" borderId="0" xfId="0" applyNumberFormat="1" applyFont="1" applyFill="1"/>
    <xf numFmtId="0" fontId="42" fillId="12" borderId="15" xfId="0" applyFont="1" applyFill="1" applyBorder="1" applyAlignment="1">
      <alignment vertical="center"/>
    </xf>
    <xf numFmtId="0" fontId="42" fillId="12" borderId="13" xfId="0" applyFont="1" applyFill="1" applyBorder="1" applyAlignment="1">
      <alignment vertical="center"/>
    </xf>
    <xf numFmtId="0" fontId="42" fillId="12" borderId="16" xfId="0" applyFont="1" applyFill="1" applyBorder="1" applyAlignment="1">
      <alignment vertical="center"/>
    </xf>
    <xf numFmtId="176" fontId="0" fillId="0" borderId="0" xfId="0" applyNumberFormat="1"/>
    <xf numFmtId="0" fontId="42" fillId="12" borderId="17" xfId="0" applyFont="1" applyFill="1" applyBorder="1" applyAlignment="1">
      <alignment vertical="center"/>
    </xf>
    <xf numFmtId="0" fontId="42" fillId="12" borderId="0" xfId="0" applyFont="1" applyFill="1" applyAlignment="1">
      <alignment vertical="center"/>
    </xf>
    <xf numFmtId="0" fontId="42" fillId="12" borderId="18" xfId="0" applyFont="1" applyFill="1" applyBorder="1" applyAlignment="1">
      <alignment vertical="center"/>
    </xf>
    <xf numFmtId="0" fontId="42" fillId="12" borderId="19" xfId="0" applyFont="1" applyFill="1" applyBorder="1" applyAlignment="1">
      <alignment vertical="center"/>
    </xf>
    <xf numFmtId="0" fontId="42" fillId="12" borderId="11" xfId="0" applyFont="1" applyFill="1" applyBorder="1" applyAlignment="1">
      <alignment vertical="center"/>
    </xf>
    <xf numFmtId="0" fontId="42" fillId="12" borderId="20" xfId="0" applyFont="1" applyFill="1" applyBorder="1" applyAlignment="1">
      <alignment vertical="center"/>
    </xf>
    <xf numFmtId="0" fontId="6" fillId="0" borderId="0" xfId="0" applyFont="1"/>
    <xf numFmtId="0" fontId="0" fillId="14" borderId="0" xfId="0" applyFill="1"/>
    <xf numFmtId="164" fontId="27" fillId="14" borderId="22" xfId="1" applyNumberFormat="1" applyFont="1" applyFill="1" applyBorder="1"/>
    <xf numFmtId="44" fontId="40" fillId="0" borderId="0" xfId="2" applyFont="1" applyFill="1"/>
    <xf numFmtId="44" fontId="10" fillId="0" borderId="11" xfId="2" applyFont="1" applyFill="1" applyBorder="1"/>
    <xf numFmtId="10" fontId="10" fillId="7" borderId="11" xfId="3" applyNumberFormat="1" applyFont="1" applyFill="1" applyBorder="1" applyAlignment="1">
      <alignment horizontal="center" vertical="center"/>
    </xf>
    <xf numFmtId="3" fontId="4" fillId="3" borderId="0" xfId="0" quotePrefix="1" applyNumberFormat="1" applyFont="1" applyFill="1" applyAlignment="1">
      <alignment horizontal="right"/>
    </xf>
    <xf numFmtId="17" fontId="0" fillId="10" borderId="0" xfId="0" applyNumberFormat="1" applyFill="1" applyAlignment="1">
      <alignment horizontal="center"/>
    </xf>
    <xf numFmtId="10" fontId="0" fillId="10" borderId="0" xfId="3" applyNumberFormat="1" applyFont="1" applyFill="1" applyAlignment="1">
      <alignment horizontal="center"/>
    </xf>
    <xf numFmtId="17" fontId="0" fillId="0" borderId="0" xfId="0" applyNumberFormat="1" applyAlignment="1">
      <alignment horizontal="center"/>
    </xf>
    <xf numFmtId="165" fontId="0" fillId="0" borderId="0" xfId="0" applyNumberFormat="1" applyAlignment="1">
      <alignment wrapText="1"/>
    </xf>
    <xf numFmtId="164" fontId="1" fillId="0" borderId="6" xfId="1" applyNumberFormat="1" applyFont="1" applyBorder="1"/>
    <xf numFmtId="164" fontId="1" fillId="0" borderId="6" xfId="1" applyNumberFormat="1" applyFont="1" applyFill="1" applyBorder="1"/>
    <xf numFmtId="164" fontId="1" fillId="0" borderId="11" xfId="1" applyNumberFormat="1" applyFont="1" applyBorder="1"/>
    <xf numFmtId="0" fontId="1" fillId="19" borderId="0" xfId="0" applyFont="1" applyFill="1"/>
    <xf numFmtId="164" fontId="1" fillId="19" borderId="22" xfId="1" applyNumberFormat="1" applyFont="1" applyFill="1" applyBorder="1"/>
    <xf numFmtId="165" fontId="6" fillId="7" borderId="0" xfId="2" applyNumberFormat="1" applyFont="1" applyFill="1"/>
    <xf numFmtId="178" fontId="0" fillId="0" borderId="0" xfId="0" applyNumberFormat="1"/>
    <xf numFmtId="44" fontId="0" fillId="7" borderId="0" xfId="2" applyFont="1" applyFill="1"/>
    <xf numFmtId="164" fontId="40" fillId="0" borderId="6" xfId="1" applyNumberFormat="1" applyFont="1" applyBorder="1"/>
    <xf numFmtId="164" fontId="40" fillId="0" borderId="6" xfId="1" applyNumberFormat="1" applyFont="1" applyFill="1" applyBorder="1"/>
    <xf numFmtId="164" fontId="40" fillId="0" borderId="11" xfId="1" applyNumberFormat="1" applyFont="1" applyBorder="1"/>
    <xf numFmtId="0" fontId="6" fillId="0" borderId="0" xfId="0" applyFont="1" applyAlignment="1">
      <alignment horizontal="center"/>
    </xf>
    <xf numFmtId="43" fontId="6" fillId="0" borderId="0" xfId="1" applyFont="1" applyAlignment="1">
      <alignment horizontal="center"/>
    </xf>
    <xf numFmtId="43" fontId="6" fillId="7" borderId="0" xfId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</cellXfs>
  <cellStyles count="5">
    <cellStyle name="Moeda" xfId="2" builtinId="4"/>
    <cellStyle name="Normal" xfId="0" builtinId="0"/>
    <cellStyle name="Porcentagem" xfId="3" builtinId="5"/>
    <cellStyle name="Vírgula" xfId="1" builtinId="3"/>
    <cellStyle name="Vírgula 2" xfId="4" xr:uid="{00000000-0005-0000-0000-000004000000}"/>
  </cellStyles>
  <dxfs count="1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externalLink" Target="externalLinks/externalLink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3.xml"/><Relationship Id="rId78" Type="http://schemas.openxmlformats.org/officeDocument/2006/relationships/externalLink" Target="externalLinks/externalLink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36AF33-6283-479D-A464-5778C98DF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8928100" y="66675"/>
          <a:ext cx="1491840" cy="117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5DE153-20D4-417B-9BD7-CF51F8247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0610850" y="66675"/>
          <a:ext cx="1580740" cy="117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C0B43C-C11D-4A04-BF83-C1253A202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0610850" y="66675"/>
          <a:ext cx="1580740" cy="117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8A796-8B32-4CD5-B0D7-EB3B3969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0610850" y="66675"/>
          <a:ext cx="1580740" cy="117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898021-98BC-451A-99FD-01FED1062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0610850" y="66675"/>
          <a:ext cx="1580740" cy="117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0FA19D-0837-46F4-BC56-07FFCE904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0680700" y="66675"/>
          <a:ext cx="1580740" cy="117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B91E1C-4D29-4623-BDD5-7CC3FD629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0245725" y="66675"/>
          <a:ext cx="147279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2DDD88-9AE0-43EC-AEFD-14980F809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0579100" y="66675"/>
          <a:ext cx="151089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BB118A-ECE2-4A40-8795-9DB2DAE07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0798175" y="66675"/>
          <a:ext cx="151089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B80F74-B9DF-4627-B97C-0D0C69A80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0941050" y="66675"/>
          <a:ext cx="162519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F198F4-AB1A-436F-8A22-2AD3FD5BD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0941050" y="66675"/>
          <a:ext cx="162519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BA87C0-8ECE-49C8-BCC8-C356180AF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1226800" y="66675"/>
          <a:ext cx="168996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D1E62E-E10E-47E5-89E8-77932334C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1226800" y="66675"/>
          <a:ext cx="168996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912EAF-4D8D-4E8D-A078-1D3113BC7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0941050" y="66675"/>
          <a:ext cx="162519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FC48C2-0FCD-4B4A-B303-20B4F2344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0941050" y="66675"/>
          <a:ext cx="162519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6A668F-EF2D-4FED-A77B-127582EB5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1131550" y="66675"/>
          <a:ext cx="162519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259940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3A33BF-715A-40A4-85AE-50F77FC68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1131550" y="66675"/>
          <a:ext cx="162519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107156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013D53-7062-444E-B686-F66241657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1438731" y="66675"/>
          <a:ext cx="1467644" cy="1195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107156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1C6355-20E3-4057-A304-DBAC867AF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1998325" y="66675"/>
          <a:ext cx="1472406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107156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A31116-4E3D-4DBB-B945-43917FCDA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1998325" y="66675"/>
          <a:ext cx="1472406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107156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82AE9B-BC49-4623-9358-BBDDFEAD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1998325" y="66675"/>
          <a:ext cx="1472406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107156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7D4813-331F-4AC1-8DA5-82722766D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1998325" y="66675"/>
          <a:ext cx="1472406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107156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6C3F82-CB84-4057-A27A-B86B326E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2245975" y="66675"/>
          <a:ext cx="1472406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107156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F190FC-AB9C-4B5E-B316-8FB544A47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2245975" y="66675"/>
          <a:ext cx="1472406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901700</xdr:colOff>
      <xdr:row>0</xdr:row>
      <xdr:rowOff>66675</xdr:rowOff>
    </xdr:from>
    <xdr:to>
      <xdr:col>13</xdr:col>
      <xdr:colOff>107156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FE0FF2-17FE-49C0-8D11-FE9476C2E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2776200" y="66675"/>
          <a:ext cx="1580356" cy="117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14F08D-81EE-4B59-BCFC-FB09CDA5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4802970" y="66675"/>
          <a:ext cx="1339803" cy="1182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960950-FD50-4AB0-BBF7-D9F5AE3C4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43026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625E3F-19DD-4BCD-9750-B735E1E7B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321802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AF97EE-A336-45C8-AE96-1729E542F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4087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CE8ED0-1BBC-4E44-BC7E-4679F512B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4087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2247F2-439B-4960-80EE-ADB046E99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6277477" y="63500"/>
          <a:ext cx="1400128" cy="1165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F7E7BE-CEFA-4CD4-837B-6AF2E45FD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4087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AEE8B2-C4C0-4C29-B07D-1734A1B00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6277477" y="63500"/>
          <a:ext cx="1400128" cy="1165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81D626-581C-4B9A-A438-D5C4DAD72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4087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AF7620-A8A6-472A-9FCA-22AE341C8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4087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02FCBB-1B22-4D43-BD5A-8C4299C34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D52967-3022-47AA-B14C-9394E07BF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6334627" y="63500"/>
          <a:ext cx="1400128" cy="1165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FE60FD-438A-4118-A6C0-CEC6AF87D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17536C-CBE2-4446-A68D-AD2F73F61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8E0474-C957-43E4-9EBE-39B5C7C2C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7E706A-B0AC-48C3-A101-E2315588A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4E9976-5163-44DE-BE23-C95364841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47EDF9-1FC7-440F-88E7-C86E4AD7D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542468-4570-4601-9F07-95E173CF1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F5707B-59C6-443D-B459-13E282AC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7C2608-D47D-4E5B-ADEA-AAE10C71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E0E629-6150-4737-9256-0AD448BCD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77354E-F4EB-49D4-9FC2-55EC0A748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0</xdr:row>
      <xdr:rowOff>66675</xdr:rowOff>
    </xdr:from>
    <xdr:to>
      <xdr:col>14</xdr:col>
      <xdr:colOff>107155</xdr:colOff>
      <xdr:row>5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C96012-4271-4D4A-9968-9F58D970F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2" b="6892"/>
        <a:stretch>
          <a:fillRect/>
        </a:stretch>
      </xdr:blipFill>
      <xdr:spPr bwMode="auto">
        <a:xfrm>
          <a:off x="15598027" y="66675"/>
          <a:ext cx="13398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35721</xdr:colOff>
      <xdr:row>46</xdr:row>
      <xdr:rowOff>12321</xdr:rowOff>
    </xdr:from>
    <xdr:to>
      <xdr:col>43</xdr:col>
      <xdr:colOff>1435100</xdr:colOff>
      <xdr:row>55</xdr:row>
      <xdr:rowOff>35653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90746" y="8156196"/>
          <a:ext cx="11813379" cy="1372328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35722</xdr:colOff>
      <xdr:row>33</xdr:row>
      <xdr:rowOff>140442</xdr:rowOff>
    </xdr:from>
    <xdr:to>
      <xdr:col>50</xdr:col>
      <xdr:colOff>53976</xdr:colOff>
      <xdr:row>41</xdr:row>
      <xdr:rowOff>95249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AFDE41-5505-4693-A232-96F5D942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74597" y="5912592"/>
          <a:ext cx="11886404" cy="14026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coper005\ADAF_ADTC_Relatorios$\2022\Compra%20e%20venda%20de%20g&#225;s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coper005\ADAF_ADTC_Relatorios$\2023\Compra%20e%20venda%20de%20g&#225;s%202023.xlsx" TargetMode="External"/><Relationship Id="rId1" Type="http://schemas.openxmlformats.org/officeDocument/2006/relationships/externalLinkPath" Target="file:///\\srvcoper005\ADAF_ADTC_Relatorios$\2023\Compra%20e%20venda%20de%20g&#225;s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coper005\ADAF_ADTC_Relatorios$\2024\Compra%20e%20venda%20de%20g&#225;s2024.xlsx" TargetMode="External"/><Relationship Id="rId1" Type="http://schemas.openxmlformats.org/officeDocument/2006/relationships/externalLinkPath" Target="file:///\\srvcoper005\ADAF_ADTC_Relatorios$\2024\Compra%20e%20venda%20de%20g&#225;s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AF_ADTC\Relat&#243;rios\2025\Compra%20e%20venda%20de%20g&#225;s2025.xlsx" TargetMode="External"/><Relationship Id="rId1" Type="http://schemas.openxmlformats.org/officeDocument/2006/relationships/externalLinkPath" Target="file:///Z:\ADAF_ADTC\Relat&#243;rios\2025\Compra%20e%20venda%20de%20g&#225;s20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AF\GFIN\Tesouraria\Relat&#243;rios\Rela&#231;&#227;o%20de%20Penalidades\Rela&#231;&#227;o%20de%20Penalidades.xlsx" TargetMode="External"/><Relationship Id="rId1" Type="http://schemas.openxmlformats.org/officeDocument/2006/relationships/externalLinkPath" Target="file:///Z:\DAF\GFIN\Tesouraria\Relat&#243;rios\Rela&#231;&#227;o%20de%20Penalidades\Rela&#231;&#227;o%20de%20Penalidad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F\GFIN\PE\Regulatorio\ARPE\Pleitos\Pedido%202022%2011%20-%20Repasse%20de%20custo\Documentos\Clientes%20-%20Rede%20Loca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AF\GERO\PE\Regulatorio\ARPE\Pleitos\Pedido%202026%2002%20-%20Repasse%20de%20custo\Mem&#243;ria%20de%20C&#225;lculo%20-%20Custo%20M&#233;dio%20Ponderado.xlsx" TargetMode="External"/><Relationship Id="rId1" Type="http://schemas.openxmlformats.org/officeDocument/2006/relationships/externalLinkPath" Target="file:///Z:\DAF\GERO\PE\Regulatorio\ARPE\Pleitos\Pedido%202026%2002%20-%20Repasse%20de%20custo\Mem&#243;ria%20de%20C&#225;lculo%20-%20Custo%20M&#233;dio%20Ponderad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F\GERO\PE\Regulatorio\ARPE\Pleitos\Pedido%202026%2005%20-%20Repasse%20de%20custo\Mem&#243;ria%20de%20C&#225;lculo%20-%20Custo%20M&#233;dio%20Ponder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ES"/>
      <sheetName val="Dados Unigás"/>
      <sheetName val="Resumo TM Unigás"/>
      <sheetName val="Resumo TM GGás"/>
      <sheetName val="Resumo TM"/>
      <sheetName val="Unigás e GGás"/>
      <sheetName val="check BI 11.22"/>
      <sheetName val="check BI 10.22"/>
      <sheetName val="check BI 09.22"/>
      <sheetName val="check BI 08.22"/>
      <sheetName val="comp. Unigás e GGás falta"/>
      <sheetName val="comp. Unigás e GGás (KPI)"/>
      <sheetName val="check BI 12.22"/>
      <sheetName val="Compra"/>
      <sheetName val="Comparativo custo"/>
      <sheetName val="Ganho e Perda"/>
      <sheetName val="EC"/>
      <sheetName val="Compra 08 2021 (2)"/>
      <sheetName val="Compra 08 2021 sem complemento"/>
      <sheetName val="PGU"/>
      <sheetName val="Conta Gráfica"/>
      <sheetName val="Compra 01 2022"/>
      <sheetName val="Compra 02 2022"/>
      <sheetName val="Compra 03 2022"/>
      <sheetName val="Compra 04 2022"/>
      <sheetName val="Compra 05 2022"/>
      <sheetName val="Compra 05 2022 (antigo)"/>
      <sheetName val="Compra 06 2022"/>
      <sheetName val="Compra 07 2022"/>
      <sheetName val="Compra 08 2022"/>
      <sheetName val="Compra 09 2022"/>
      <sheetName val="Compra 10 2022"/>
      <sheetName val="Compra 11 2022"/>
      <sheetName val="Compra 12 2022"/>
    </sheetNames>
    <sheetDataSet>
      <sheetData sheetId="0">
        <row r="5">
          <cell r="B5">
            <v>1</v>
          </cell>
        </row>
      </sheetData>
      <sheetData sheetId="1" refreshError="1"/>
      <sheetData sheetId="2">
        <row r="65">
          <cell r="U65"/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P7">
            <v>48255601</v>
          </cell>
        </row>
        <row r="16">
          <cell r="C16">
            <v>52283426.392000005</v>
          </cell>
          <cell r="D16">
            <v>48822586.794814646</v>
          </cell>
          <cell r="E16">
            <v>54539154.124132246</v>
          </cell>
          <cell r="F16">
            <v>52424997.251474768</v>
          </cell>
          <cell r="G16">
            <v>53833411.612000056</v>
          </cell>
          <cell r="H16">
            <v>52335788.546073273</v>
          </cell>
          <cell r="I16">
            <v>51544765.509828441</v>
          </cell>
          <cell r="J16">
            <v>49548351.465792149</v>
          </cell>
          <cell r="K16">
            <v>53997153.128999993</v>
          </cell>
          <cell r="L16">
            <v>54709167.033999994</v>
          </cell>
          <cell r="M16">
            <v>50225945.735999994</v>
          </cell>
          <cell r="N16">
            <v>47635714.031482354</v>
          </cell>
        </row>
        <row r="20">
          <cell r="C20">
            <v>51235311.235210001</v>
          </cell>
          <cell r="D20">
            <v>47584516</v>
          </cell>
          <cell r="E20">
            <v>53085048</v>
          </cell>
          <cell r="F20">
            <v>51281315</v>
          </cell>
          <cell r="G20">
            <v>52964161</v>
          </cell>
          <cell r="H20">
            <v>51923544</v>
          </cell>
          <cell r="I20">
            <v>51051841</v>
          </cell>
          <cell r="J20">
            <v>49323507</v>
          </cell>
          <cell r="K20">
            <v>52436099</v>
          </cell>
          <cell r="L20">
            <v>54048080</v>
          </cell>
          <cell r="M20">
            <v>49549904</v>
          </cell>
          <cell r="N20">
            <v>48255601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25">
          <cell r="C25">
            <v>54546983.124132246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SES"/>
      <sheetName val="Dados Unigás"/>
      <sheetName val="Resumo TM Unigás"/>
      <sheetName val="Resumo TM GGás"/>
      <sheetName val="Resumo TM"/>
      <sheetName val="Unigás e GGás"/>
      <sheetName val="check BI 01.23"/>
      <sheetName val="check BI 02.23"/>
      <sheetName val="check BI 04.23"/>
      <sheetName val="check BI 03.23"/>
      <sheetName val="check BI 05.23"/>
      <sheetName val="check BI 06.23"/>
      <sheetName val="check BI 07.23"/>
      <sheetName val="check BI 09.23"/>
      <sheetName val="check BI 08.23"/>
      <sheetName val="check BI 10.23"/>
      <sheetName val="check BI 11.23"/>
      <sheetName val="check BI 12.23"/>
      <sheetName val="Compra"/>
      <sheetName val="EAT"/>
      <sheetName val="Ganho e Perda"/>
      <sheetName val="PGU"/>
      <sheetName val="Compra 01 2023"/>
      <sheetName val="Compra 02 2023"/>
      <sheetName val="Compra 03 2023"/>
      <sheetName val="Compra 04 2023"/>
      <sheetName val="Compra 05 2023"/>
      <sheetName val="Compra 06 2023"/>
      <sheetName val="Compra 07 2023"/>
      <sheetName val="Compra 08 2023"/>
      <sheetName val="Compra 09 2023"/>
      <sheetName val="Compra 10 2023"/>
      <sheetName val="Compra 11 2023"/>
      <sheetName val="Compra 12 2023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6">
          <cell r="C16">
            <v>44625467.967178933</v>
          </cell>
          <cell r="D16">
            <v>45807977.101466507</v>
          </cell>
          <cell r="E16">
            <v>50590613.600520179</v>
          </cell>
          <cell r="F16">
            <v>47035107.992234387</v>
          </cell>
          <cell r="G16">
            <v>48690985.094970107</v>
          </cell>
          <cell r="H16">
            <v>46679825.717563868</v>
          </cell>
          <cell r="I16">
            <v>47058004.159373805</v>
          </cell>
          <cell r="J16">
            <v>46934659.49469953</v>
          </cell>
          <cell r="K16">
            <v>47974226.92729333</v>
          </cell>
          <cell r="L16">
            <v>50040227.96375072</v>
          </cell>
          <cell r="M16">
            <v>46206084.606439471</v>
          </cell>
          <cell r="N16">
            <v>46609448.798096083</v>
          </cell>
        </row>
        <row r="20">
          <cell r="C20">
            <v>44009944</v>
          </cell>
          <cell r="D20">
            <v>44641552</v>
          </cell>
          <cell r="E20">
            <v>49320186</v>
          </cell>
          <cell r="F20">
            <v>46355337</v>
          </cell>
          <cell r="G20">
            <v>48479236.342</v>
          </cell>
          <cell r="H20">
            <v>46798584</v>
          </cell>
          <cell r="I20">
            <v>46927828.036300004</v>
          </cell>
          <cell r="J20">
            <v>46866572</v>
          </cell>
          <cell r="K20">
            <v>47663796</v>
          </cell>
          <cell r="L20">
            <v>51009064</v>
          </cell>
          <cell r="M20">
            <v>45060079.5</v>
          </cell>
          <cell r="N20">
            <v>46452468</v>
          </cell>
        </row>
      </sheetData>
      <sheetData sheetId="19"/>
      <sheetData sheetId="20"/>
      <sheetData sheetId="21"/>
      <sheetData sheetId="22"/>
      <sheetData sheetId="23"/>
      <sheetData sheetId="24">
        <row r="60">
          <cell r="E60">
            <v>37567896.72025001</v>
          </cell>
        </row>
      </sheetData>
      <sheetData sheetId="25">
        <row r="60">
          <cell r="C60">
            <v>12167453</v>
          </cell>
        </row>
      </sheetData>
      <sheetData sheetId="26">
        <row r="60">
          <cell r="C60">
            <v>15746242</v>
          </cell>
        </row>
      </sheetData>
      <sheetData sheetId="27">
        <row r="5">
          <cell r="E5">
            <v>433968.37</v>
          </cell>
        </row>
      </sheetData>
      <sheetData sheetId="28">
        <row r="60">
          <cell r="C60">
            <v>14511278</v>
          </cell>
        </row>
      </sheetData>
      <sheetData sheetId="29">
        <row r="60">
          <cell r="C60">
            <v>9199397</v>
          </cell>
        </row>
      </sheetData>
      <sheetData sheetId="30">
        <row r="5">
          <cell r="D5">
            <v>8917925.1999999993</v>
          </cell>
        </row>
      </sheetData>
      <sheetData sheetId="31">
        <row r="5">
          <cell r="D5">
            <v>540273.48999999976</v>
          </cell>
        </row>
      </sheetData>
      <sheetData sheetId="32">
        <row r="5">
          <cell r="D5">
            <v>2753513.96</v>
          </cell>
        </row>
      </sheetData>
      <sheetData sheetId="33">
        <row r="35">
          <cell r="G35">
            <v>2.2281000014463617</v>
          </cell>
        </row>
      </sheetData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SES"/>
      <sheetName val="Dados Unigás"/>
      <sheetName val="Resumo TM Unigás"/>
      <sheetName val="Resumo TM GGás"/>
      <sheetName val="Resumo TM"/>
      <sheetName val="Unigás e GGás"/>
      <sheetName val="check BI 01.23"/>
      <sheetName val="check BI 02.23"/>
      <sheetName val="check BI 04.23"/>
      <sheetName val="check BI 03.23"/>
      <sheetName val="check BI 05.23"/>
      <sheetName val="check BI 06.23"/>
      <sheetName val="check BI 07.23"/>
      <sheetName val="check BI 09.23"/>
      <sheetName val="check BI 08.23"/>
      <sheetName val="check BI 10.23"/>
      <sheetName val="check BI 11.23"/>
      <sheetName val="check BI 01.24"/>
      <sheetName val="check BI 02.24"/>
      <sheetName val="check BI 03.24"/>
      <sheetName val="check BI 05.24"/>
      <sheetName val="check BI 04.24"/>
      <sheetName val="check BI 06.24"/>
      <sheetName val="check BI 07.24"/>
      <sheetName val="check BI 08.24"/>
      <sheetName val="check BI 09.24"/>
      <sheetName val="check BI 10.24"/>
      <sheetName val="check BI 11.24"/>
      <sheetName val="check BI 12.24"/>
      <sheetName val="Compra"/>
      <sheetName val="Ganho e Perda"/>
      <sheetName val="PGU"/>
      <sheetName val="Compra 01 2024"/>
      <sheetName val="Compra 02 2024"/>
      <sheetName val="Compra 03 2024"/>
      <sheetName val="Compra 04 2024"/>
      <sheetName val="Compra 05 2024"/>
      <sheetName val="Compra 06 2024"/>
      <sheetName val="Compra 07 2024"/>
      <sheetName val="Compra 08 2024"/>
      <sheetName val="Compra 09 2024"/>
      <sheetName val="Compra 10 2024"/>
      <sheetName val="Compra 11 2024"/>
      <sheetName val="Compra 12 20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16">
          <cell r="C16">
            <v>43492066.357703455</v>
          </cell>
          <cell r="D16">
            <v>44385402.506097071</v>
          </cell>
          <cell r="E16">
            <v>46252723.057225518</v>
          </cell>
          <cell r="F16">
            <v>47385474.189430818</v>
          </cell>
          <cell r="G16">
            <v>49678581.611064829</v>
          </cell>
          <cell r="H16">
            <v>49140560.207181774</v>
          </cell>
          <cell r="I16">
            <v>48935230.302703351</v>
          </cell>
          <cell r="J16">
            <v>49257904.162114553</v>
          </cell>
          <cell r="K16">
            <v>43755409.012200668</v>
          </cell>
          <cell r="L16">
            <v>48867674</v>
          </cell>
          <cell r="M16">
            <v>46845384.34726169</v>
          </cell>
          <cell r="N16">
            <v>45533428.267430425</v>
          </cell>
        </row>
        <row r="20">
          <cell r="C20">
            <v>43094408</v>
          </cell>
          <cell r="D20">
            <v>44372393.793999992</v>
          </cell>
          <cell r="E20">
            <v>45603526.255900003</v>
          </cell>
          <cell r="F20">
            <v>47599127.3675</v>
          </cell>
          <cell r="G20">
            <v>49376568.5427</v>
          </cell>
          <cell r="H20">
            <v>48982226.816699997</v>
          </cell>
          <cell r="I20">
            <v>48819772.442499995</v>
          </cell>
          <cell r="J20">
            <v>48914192.417799994</v>
          </cell>
          <cell r="K20">
            <v>44482045.218999997</v>
          </cell>
          <cell r="L20">
            <v>47407026.880000003</v>
          </cell>
          <cell r="M20">
            <v>46560039.049999997</v>
          </cell>
          <cell r="N20">
            <v>46138694.089999996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SES"/>
      <sheetName val="Dados Unigás"/>
      <sheetName val="Resumo TM Unigás"/>
      <sheetName val="Resumo TM GGás"/>
      <sheetName val="Resumo TM"/>
      <sheetName val="Unigás e GGás"/>
      <sheetName val="check BI 01.23"/>
      <sheetName val="check BI 02.23"/>
      <sheetName val="check BI 04.23"/>
      <sheetName val="check BI 03.23"/>
      <sheetName val="check BI 05.23"/>
      <sheetName val="check BI 06.23"/>
      <sheetName val="check BI 07.23"/>
      <sheetName val="check BI 09.23"/>
      <sheetName val="check BI 08.23"/>
      <sheetName val="check BI 10.23"/>
      <sheetName val="check BI 11.23"/>
      <sheetName val="check BI 01.24"/>
      <sheetName val="check BI 02.24"/>
      <sheetName val="check BI 03.24"/>
      <sheetName val="check BI 05.24"/>
      <sheetName val="check BI 04.24"/>
      <sheetName val="check BI 06.24"/>
      <sheetName val="check BI 07.24"/>
      <sheetName val="check BI 08.24"/>
      <sheetName val="check BI 09.24"/>
      <sheetName val="check BI 10.24"/>
      <sheetName val="check BI 11.24"/>
      <sheetName val="check BI 12.24"/>
      <sheetName val="check BI 01.25"/>
      <sheetName val="check BI 02.25"/>
      <sheetName val="check BI 03.25"/>
      <sheetName val="check BI 04.25"/>
      <sheetName val="check BI 05.25"/>
      <sheetName val="Compra"/>
      <sheetName val="check BI 06.25"/>
      <sheetName val="check BI 07.25"/>
      <sheetName val="check BI 08.25"/>
      <sheetName val="check BI 09.25"/>
      <sheetName val="check BI 12.25"/>
      <sheetName val="check BI 11.25"/>
      <sheetName val="check BI 10.25"/>
      <sheetName val="Ganho e Perda"/>
      <sheetName val="PGU"/>
      <sheetName val="Planilha1"/>
      <sheetName val="Compra 01 2025"/>
      <sheetName val="Compra 02 2025"/>
      <sheetName val="Compra 03 2025"/>
      <sheetName val="Compra 04 2025"/>
      <sheetName val="Compra 05 2025"/>
      <sheetName val="Compra 06 2025"/>
      <sheetName val="Compra 07 2025"/>
      <sheetName val="Compra 08 2025"/>
      <sheetName val="Compra 09 2025"/>
      <sheetName val="Compra 10 2025"/>
      <sheetName val="Compra 11 2025"/>
      <sheetName val="Compra 12 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6">
          <cell r="C16">
            <v>41426799.980594367</v>
          </cell>
          <cell r="D16">
            <v>41491948.298103809</v>
          </cell>
          <cell r="E16">
            <v>44229904.232182942</v>
          </cell>
          <cell r="F16">
            <v>44256891</v>
          </cell>
          <cell r="G16">
            <v>43024675</v>
          </cell>
          <cell r="H16">
            <v>40380756.730000004</v>
          </cell>
          <cell r="I16">
            <v>46297579.052581415</v>
          </cell>
          <cell r="J16">
            <v>46389185</v>
          </cell>
          <cell r="K16">
            <v>44711162</v>
          </cell>
          <cell r="L16">
            <v>46239260</v>
          </cell>
          <cell r="M16">
            <v>44854755</v>
          </cell>
          <cell r="N16">
            <v>42801236</v>
          </cell>
        </row>
        <row r="20">
          <cell r="C20">
            <v>41183207.560000002</v>
          </cell>
          <cell r="D20">
            <v>41080237.939999998</v>
          </cell>
          <cell r="E20">
            <v>43805960.410000004</v>
          </cell>
          <cell r="F20">
            <v>43955288.099999994</v>
          </cell>
          <cell r="G20">
            <v>42682638.210000001</v>
          </cell>
          <cell r="H20">
            <v>40086417.329999998</v>
          </cell>
          <cell r="I20">
            <v>46165543.689999998</v>
          </cell>
          <cell r="J20">
            <v>46040001.68</v>
          </cell>
          <cell r="K20">
            <v>44425807.614000008</v>
          </cell>
          <cell r="L20">
            <v>45921192.118000001</v>
          </cell>
          <cell r="M20">
            <v>44249720.068999998</v>
          </cell>
          <cell r="N20">
            <v>42441219.93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17"/>
      <sheetName val="Fev.17"/>
      <sheetName val="Mar.17"/>
      <sheetName val="Abr.17"/>
      <sheetName val="Mai.17"/>
      <sheetName val="Jun.17"/>
      <sheetName val="Jul.17"/>
      <sheetName val="Ago.17"/>
      <sheetName val="Set.17"/>
      <sheetName val="Out.17"/>
      <sheetName val="Nov.17"/>
      <sheetName val="Dez.17"/>
      <sheetName val="Plan1"/>
      <sheetName val="Jan.18"/>
      <sheetName val="Fev.18 "/>
      <sheetName val="Mar.18"/>
      <sheetName val="Abr.18 "/>
      <sheetName val="Maio.18 "/>
      <sheetName val="Junho.18  "/>
      <sheetName val="Julho.18"/>
      <sheetName val="Agosto.18"/>
      <sheetName val="Setembro.18"/>
      <sheetName val="Outubro.18"/>
      <sheetName val="Novembro.18"/>
      <sheetName val="Dezembro.18"/>
      <sheetName val="Janeiro.19"/>
      <sheetName val="Fevereiro.19"/>
      <sheetName val="Março.19"/>
      <sheetName val="Abril.19"/>
      <sheetName val="Maio.19"/>
      <sheetName val="Junho.19"/>
      <sheetName val="Julho.19"/>
      <sheetName val="Agosto.19"/>
      <sheetName val="Setembro.19"/>
      <sheetName val="Outubro.19"/>
      <sheetName val="Novembro.19"/>
      <sheetName val="Dezembro.19"/>
      <sheetName val="Janeiro.20"/>
      <sheetName val="Fevereiro.20"/>
      <sheetName val="Março.20"/>
      <sheetName val="Abril.20"/>
      <sheetName val="Maio.20"/>
      <sheetName val="Junho.20"/>
      <sheetName val="Julho.20"/>
      <sheetName val="Agosto.20"/>
      <sheetName val="Setembro.20"/>
      <sheetName val="Outubro.20"/>
      <sheetName val="Novembro.20"/>
      <sheetName val="Dezembro.20"/>
      <sheetName val="Janeiro.21 "/>
      <sheetName val="Fevereiro.21"/>
      <sheetName val="Março.21"/>
      <sheetName val="Abril.21"/>
      <sheetName val="Maio.21"/>
      <sheetName val="Junho.21"/>
      <sheetName val="Julho.21"/>
      <sheetName val="Agosto.21"/>
      <sheetName val="Setembro.21"/>
      <sheetName val="Outubro.21"/>
      <sheetName val="Novembro.21"/>
      <sheetName val="Dezembro.21"/>
      <sheetName val="Janeiro.22"/>
      <sheetName val="Fevereiro.22"/>
      <sheetName val="Março.22"/>
      <sheetName val="Abril.22"/>
      <sheetName val="Maio.22"/>
      <sheetName val="Junho.22"/>
      <sheetName val="Julho.22"/>
      <sheetName val="Agosto.22"/>
      <sheetName val="Setembro.22"/>
      <sheetName val="Outubro.22"/>
      <sheetName val="Novembro.22"/>
      <sheetName val="Dezembro.22"/>
      <sheetName val="Janeiro.23"/>
      <sheetName val="Fevereiro.23"/>
      <sheetName val="Março.23"/>
      <sheetName val="Abril.23"/>
      <sheetName val="Maio.23"/>
      <sheetName val="Junho.23"/>
      <sheetName val="Julho.23"/>
      <sheetName val="Agosto.23"/>
      <sheetName val="Setembro.23"/>
      <sheetName val="Outubro.23"/>
      <sheetName val="Novembro.23"/>
      <sheetName val="Dezembro.23"/>
      <sheetName val="Janeiro.24"/>
      <sheetName val="Fevereiro.24"/>
      <sheetName val="Março.24"/>
      <sheetName val="Abril.24"/>
      <sheetName val="Maio.24"/>
      <sheetName val="Junho.24"/>
      <sheetName val="Julho.24"/>
      <sheetName val="Agosto.24"/>
      <sheetName val="Setembro.24"/>
      <sheetName val="Outubro.24"/>
      <sheetName val="Novembro.24"/>
      <sheetName val="Dezembro.24"/>
      <sheetName val="Janeiro.25"/>
      <sheetName val="Fevereiro.25"/>
      <sheetName val="Março.25"/>
      <sheetName val="Abril.25"/>
      <sheetName val="Maio.25"/>
      <sheetName val="Junho.25"/>
      <sheetName val="Julho.25"/>
      <sheetName val="Agosto.25"/>
      <sheetName val="Setembro.25"/>
      <sheetName val="Outubro.25"/>
      <sheetName val="Novembro.25"/>
      <sheetName val="Dezembro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9">
          <cell r="H9">
            <v>4839.46</v>
          </cell>
        </row>
        <row r="10">
          <cell r="H10">
            <v>14906.37</v>
          </cell>
        </row>
        <row r="11">
          <cell r="H11">
            <v>14047.45</v>
          </cell>
        </row>
        <row r="12">
          <cell r="H12">
            <v>34307.300000000003</v>
          </cell>
        </row>
        <row r="13">
          <cell r="H13">
            <v>141638.93</v>
          </cell>
        </row>
        <row r="14">
          <cell r="H14">
            <v>152659.67000000001</v>
          </cell>
        </row>
        <row r="15">
          <cell r="H15">
            <v>28373.8</v>
          </cell>
        </row>
        <row r="16">
          <cell r="H16">
            <v>22211.03</v>
          </cell>
        </row>
        <row r="17">
          <cell r="H17">
            <v>3416.6</v>
          </cell>
        </row>
        <row r="18">
          <cell r="H18">
            <v>36316.15</v>
          </cell>
        </row>
        <row r="19">
          <cell r="H19">
            <v>1195.3800000000001</v>
          </cell>
        </row>
        <row r="20">
          <cell r="H20">
            <v>143882.03</v>
          </cell>
        </row>
        <row r="21">
          <cell r="H21">
            <v>103867.44</v>
          </cell>
        </row>
        <row r="22">
          <cell r="H22">
            <v>64589.43</v>
          </cell>
        </row>
        <row r="23">
          <cell r="H23">
            <v>5419.5</v>
          </cell>
        </row>
        <row r="24">
          <cell r="H24">
            <v>41894.61</v>
          </cell>
        </row>
      </sheetData>
      <sheetData sheetId="62">
        <row r="31">
          <cell r="H31">
            <v>436242.15</v>
          </cell>
        </row>
        <row r="32">
          <cell r="H32">
            <v>60136.91</v>
          </cell>
        </row>
      </sheetData>
      <sheetData sheetId="63">
        <row r="31">
          <cell r="H31">
            <v>357402.20999999996</v>
          </cell>
        </row>
        <row r="32">
          <cell r="H32">
            <v>172871.38</v>
          </cell>
        </row>
      </sheetData>
      <sheetData sheetId="64">
        <row r="33">
          <cell r="H33">
            <v>706317.24999999988</v>
          </cell>
        </row>
        <row r="34">
          <cell r="H34">
            <v>266615.14</v>
          </cell>
        </row>
      </sheetData>
      <sheetData sheetId="65">
        <row r="34">
          <cell r="H34">
            <v>931917.04</v>
          </cell>
        </row>
        <row r="35">
          <cell r="H35">
            <v>541773.65999999992</v>
          </cell>
        </row>
      </sheetData>
      <sheetData sheetId="66">
        <row r="39">
          <cell r="H39">
            <v>1746766.77</v>
          </cell>
        </row>
        <row r="40">
          <cell r="H40">
            <v>173113.73</v>
          </cell>
        </row>
      </sheetData>
      <sheetData sheetId="67">
        <row r="31">
          <cell r="H31">
            <v>1772731.6400000004</v>
          </cell>
        </row>
        <row r="32">
          <cell r="H32">
            <v>376631.5</v>
          </cell>
        </row>
      </sheetData>
      <sheetData sheetId="68">
        <row r="31">
          <cell r="H31">
            <v>978100.39</v>
          </cell>
        </row>
        <row r="32">
          <cell r="H32">
            <v>829016.6</v>
          </cell>
        </row>
      </sheetData>
      <sheetData sheetId="69">
        <row r="35">
          <cell r="H35">
            <v>907352.00000000012</v>
          </cell>
        </row>
        <row r="36">
          <cell r="H36">
            <v>2198394.4500000002</v>
          </cell>
        </row>
      </sheetData>
      <sheetData sheetId="70">
        <row r="33">
          <cell r="H33">
            <v>2037874.52</v>
          </cell>
        </row>
        <row r="34">
          <cell r="H34">
            <v>126057.41</v>
          </cell>
        </row>
      </sheetData>
      <sheetData sheetId="71">
        <row r="35">
          <cell r="D35">
            <v>1943565.3900000004</v>
          </cell>
        </row>
        <row r="36">
          <cell r="D36">
            <v>127178.59</v>
          </cell>
        </row>
      </sheetData>
      <sheetData sheetId="72">
        <row r="33">
          <cell r="D33">
            <v>1710525.7499999998</v>
          </cell>
        </row>
        <row r="34">
          <cell r="D34">
            <v>616142.77</v>
          </cell>
        </row>
      </sheetData>
      <sheetData sheetId="73">
        <row r="41">
          <cell r="D41">
            <v>802042.5399999998</v>
          </cell>
        </row>
        <row r="42">
          <cell r="D42">
            <v>4524250.41</v>
          </cell>
        </row>
      </sheetData>
      <sheetData sheetId="74">
        <row r="38">
          <cell r="D38">
            <v>709878.76</v>
          </cell>
        </row>
        <row r="39">
          <cell r="D39">
            <v>3741170.8</v>
          </cell>
        </row>
      </sheetData>
      <sheetData sheetId="75">
        <row r="33">
          <cell r="D33">
            <v>956752.28999999992</v>
          </cell>
        </row>
        <row r="34">
          <cell r="D34">
            <v>181794.1</v>
          </cell>
        </row>
      </sheetData>
      <sheetData sheetId="76">
        <row r="38">
          <cell r="D38">
            <v>741428.60000000009</v>
          </cell>
        </row>
        <row r="39">
          <cell r="D39">
            <v>697518.97000000009</v>
          </cell>
        </row>
      </sheetData>
      <sheetData sheetId="77">
        <row r="41">
          <cell r="D41">
            <v>570225.64</v>
          </cell>
        </row>
        <row r="42">
          <cell r="D42">
            <v>599650.65999999992</v>
          </cell>
        </row>
      </sheetData>
      <sheetData sheetId="78">
        <row r="36">
          <cell r="D36">
            <v>690354.91</v>
          </cell>
        </row>
        <row r="37">
          <cell r="D37">
            <v>1010673.3300000001</v>
          </cell>
        </row>
      </sheetData>
      <sheetData sheetId="79">
        <row r="37">
          <cell r="D37">
            <v>446377.05</v>
          </cell>
        </row>
        <row r="38">
          <cell r="D38">
            <v>314655.33</v>
          </cell>
        </row>
      </sheetData>
      <sheetData sheetId="80">
        <row r="39">
          <cell r="D39">
            <v>1134025.9300000002</v>
          </cell>
        </row>
        <row r="40">
          <cell r="D40">
            <v>1094121.6100000001</v>
          </cell>
        </row>
      </sheetData>
      <sheetData sheetId="81">
        <row r="40">
          <cell r="D40">
            <v>1102451.3599999999</v>
          </cell>
        </row>
        <row r="41">
          <cell r="D41">
            <v>1283274.0999999999</v>
          </cell>
        </row>
      </sheetData>
      <sheetData sheetId="82">
        <row r="42">
          <cell r="D42">
            <v>1400152.7300000002</v>
          </cell>
        </row>
        <row r="43">
          <cell r="D43">
            <v>596004.76</v>
          </cell>
        </row>
      </sheetData>
      <sheetData sheetId="83">
        <row r="39">
          <cell r="D39">
            <v>1545405.39</v>
          </cell>
        </row>
        <row r="40">
          <cell r="D40">
            <v>611919.96</v>
          </cell>
        </row>
      </sheetData>
      <sheetData sheetId="84">
        <row r="39">
          <cell r="D39">
            <v>1445905.9799999997</v>
          </cell>
        </row>
        <row r="40">
          <cell r="D40">
            <v>610927.7699999999</v>
          </cell>
        </row>
      </sheetData>
      <sheetData sheetId="85">
        <row r="45">
          <cell r="D45">
            <v>1573287.2099999997</v>
          </cell>
        </row>
        <row r="46">
          <cell r="D46">
            <v>1580396.3399999999</v>
          </cell>
        </row>
      </sheetData>
      <sheetData sheetId="86">
        <row r="49">
          <cell r="D49">
            <v>1513573.79</v>
          </cell>
        </row>
        <row r="50">
          <cell r="D50">
            <v>7318106.540000001</v>
          </cell>
        </row>
      </sheetData>
      <sheetData sheetId="87">
        <row r="35">
          <cell r="D35">
            <v>725382.25</v>
          </cell>
        </row>
        <row r="36">
          <cell r="D36">
            <v>339424.64</v>
          </cell>
        </row>
      </sheetData>
      <sheetData sheetId="88">
        <row r="37">
          <cell r="D37">
            <v>745626.65999999992</v>
          </cell>
        </row>
        <row r="38">
          <cell r="D38">
            <v>904383.39</v>
          </cell>
        </row>
      </sheetData>
      <sheetData sheetId="89">
        <row r="33">
          <cell r="D33">
            <v>830810.66999999981</v>
          </cell>
        </row>
        <row r="34">
          <cell r="D34">
            <v>119359.45</v>
          </cell>
        </row>
      </sheetData>
      <sheetData sheetId="90">
        <row r="33">
          <cell r="D33">
            <v>584015.86999999988</v>
          </cell>
        </row>
        <row r="34">
          <cell r="D34">
            <v>123704.54</v>
          </cell>
        </row>
      </sheetData>
      <sheetData sheetId="91">
        <row r="33">
          <cell r="D33">
            <v>1416314.48</v>
          </cell>
        </row>
        <row r="34">
          <cell r="D34">
            <v>6791807.9000000004</v>
          </cell>
        </row>
      </sheetData>
      <sheetData sheetId="92">
        <row r="31">
          <cell r="D31">
            <v>1172454.3500000001</v>
          </cell>
        </row>
        <row r="32">
          <cell r="D32">
            <v>268815.46999999997</v>
          </cell>
        </row>
      </sheetData>
      <sheetData sheetId="93">
        <row r="35">
          <cell r="D35">
            <v>578249.57000000007</v>
          </cell>
        </row>
        <row r="36">
          <cell r="D36">
            <v>1077294.3799999999</v>
          </cell>
        </row>
      </sheetData>
      <sheetData sheetId="94">
        <row r="36">
          <cell r="D36">
            <v>757863.69</v>
          </cell>
        </row>
        <row r="37">
          <cell r="D37">
            <v>950235.45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41">
          <cell r="D41">
            <v>1457569.5599999998</v>
          </cell>
        </row>
        <row r="42">
          <cell r="D42">
            <v>327240.95999999996</v>
          </cell>
        </row>
      </sheetData>
      <sheetData sheetId="104">
        <row r="35">
          <cell r="D35">
            <v>830041.50000000012</v>
          </cell>
        </row>
        <row r="36">
          <cell r="D36">
            <v>0</v>
          </cell>
        </row>
      </sheetData>
      <sheetData sheetId="105">
        <row r="38">
          <cell r="D38">
            <v>596616.32999999996</v>
          </cell>
        </row>
        <row r="39">
          <cell r="D39">
            <v>365845.4</v>
          </cell>
        </row>
      </sheetData>
      <sheetData sheetId="106">
        <row r="36">
          <cell r="D36">
            <v>819264.35999999987</v>
          </cell>
        </row>
        <row r="39">
          <cell r="D39">
            <v>0</v>
          </cell>
        </row>
      </sheetData>
      <sheetData sheetId="107">
        <row r="35">
          <cell r="D35">
            <v>332436.89</v>
          </cell>
        </row>
        <row r="36">
          <cell r="D36">
            <v>68309.8</v>
          </cell>
        </row>
      </sheetData>
      <sheetData sheetId="108">
        <row r="32">
          <cell r="D32">
            <v>475844.56</v>
          </cell>
        </row>
        <row r="33">
          <cell r="D33">
            <v>244428.25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</sheetNames>
    <sheetDataSet>
      <sheetData sheetId="0">
        <row r="9">
          <cell r="C9">
            <v>0.89368832619623906</v>
          </cell>
        </row>
        <row r="10">
          <cell r="C10">
            <v>0.10631167380376094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osição"/>
      <sheetName val="PMPV"/>
      <sheetName val="Efeito biometano"/>
      <sheetName val="Efeito Rede Local"/>
      <sheetName val="Molécula"/>
      <sheetName val="Logística"/>
      <sheetName val="Impacto tarifa média"/>
      <sheetName val="Impacto Tarifário "/>
    </sheetNames>
    <sheetDataSet>
      <sheetData sheetId="0" refreshError="1"/>
      <sheetData sheetId="1">
        <row r="90">
          <cell r="D90">
            <v>28</v>
          </cell>
          <cell r="E90">
            <v>31</v>
          </cell>
          <cell r="F90">
            <v>30</v>
          </cell>
        </row>
        <row r="101">
          <cell r="D101">
            <v>1508000</v>
          </cell>
          <cell r="E101">
            <v>1508000</v>
          </cell>
          <cell r="F101">
            <v>1433000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PV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1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2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53"/>
  <sheetViews>
    <sheetView showGridLines="0" topLeftCell="A4" zoomScale="80" zoomScaleNormal="80" workbookViewId="0">
      <selection activeCell="E41" sqref="E41"/>
    </sheetView>
  </sheetViews>
  <sheetFormatPr defaultColWidth="8.7109375" defaultRowHeight="15"/>
  <cols>
    <col min="2" max="2" width="7.140625" bestFit="1" customWidth="1"/>
    <col min="3" max="3" width="31" bestFit="1" customWidth="1"/>
    <col min="4" max="4" width="15.85546875" bestFit="1" customWidth="1"/>
    <col min="5" max="5" width="12.28515625" bestFit="1" customWidth="1"/>
    <col min="6" max="7" width="21" bestFit="1" customWidth="1"/>
    <col min="8" max="8" width="11.42578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4" width="17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44562</v>
      </c>
    </row>
    <row r="5" spans="2:14">
      <c r="C5" t="s">
        <v>17</v>
      </c>
      <c r="D5" s="14">
        <f ca="1">SUMIF($C$18:$G$40,$C$5:$C$7,$G$18:$G$40)/SUMIF($C$18:$G$40,$C$5:$C$7,$E$18:$E$40)</f>
        <v>2.0108288827872571</v>
      </c>
    </row>
    <row r="6" spans="2:14">
      <c r="C6" t="s">
        <v>33</v>
      </c>
      <c r="D6" s="14">
        <f ca="1">SUMIF($C$18:$G$40,$C$5:$C$7,$G$18:$G$40)/SUMIF($C$18:$G$40,$C$5:$C$7,$E$18:$E$40)</f>
        <v>2.0556510263412786</v>
      </c>
    </row>
    <row r="7" spans="2:14">
      <c r="C7" t="s">
        <v>126</v>
      </c>
      <c r="D7" s="14">
        <f>SUM(G33:G34)/SUM(E33:E34)</f>
        <v>3.1718472006132838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+G45/E45</f>
        <v>2.045240619464356</v>
      </c>
      <c r="E9" s="14"/>
      <c r="L9" s="16" t="str">
        <f>+C5</f>
        <v>Petrobras</v>
      </c>
      <c r="M9" s="17">
        <f>790000/1580000</f>
        <v>0.5</v>
      </c>
      <c r="N9" s="17">
        <f>+SUM(E18:E31)/E45</f>
        <v>0.46550278362727399</v>
      </c>
    </row>
    <row r="10" spans="2:14">
      <c r="L10" s="16" t="str">
        <f>+C6</f>
        <v>Shell</v>
      </c>
      <c r="M10" s="17">
        <v>0.47468354430379744</v>
      </c>
      <c r="N10" s="17">
        <f>+E32/E45</f>
        <v>0.5251310978027226</v>
      </c>
    </row>
    <row r="11" spans="2:14">
      <c r="C11" t="s">
        <v>132</v>
      </c>
      <c r="D11" s="14">
        <v>2.0249999999999999</v>
      </c>
      <c r="L11" s="16" t="str">
        <f>+C7</f>
        <v>NFE</v>
      </c>
      <c r="M11" s="18">
        <v>2.5316455696202531E-2</v>
      </c>
      <c r="N11" s="18">
        <f>+SUM(E33:E34)/E45</f>
        <v>9.3661185700033168E-3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1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2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2:14">
      <c r="B18" s="5">
        <v>44562</v>
      </c>
      <c r="C18" s="1" t="s">
        <v>17</v>
      </c>
      <c r="D18" s="6" t="s">
        <v>18</v>
      </c>
      <c r="E18" s="1">
        <v>30483</v>
      </c>
      <c r="F18" s="2">
        <v>77719.070001212996</v>
      </c>
      <c r="G18" s="3">
        <f>F18-SUM(L18:N18)</f>
        <v>61203.767625955239</v>
      </c>
      <c r="H18" s="4">
        <f t="shared" ref="H18:H34" si="0">+IF(G18=0,0,G18/E18)</f>
        <v>2.0078000074125</v>
      </c>
      <c r="I18" s="7">
        <v>0.12</v>
      </c>
      <c r="J18" s="7">
        <v>1.6500000000000001E-2</v>
      </c>
      <c r="K18" s="7">
        <v>7.5999999999999998E-2</v>
      </c>
      <c r="L18" s="8">
        <f t="shared" ref="L18:L34" si="1">+I18*F18</f>
        <v>9326.2884001455586</v>
      </c>
      <c r="M18" s="8">
        <f>+F18*J18</f>
        <v>1282.3646550200144</v>
      </c>
      <c r="N18" s="8">
        <f>K18*F18</f>
        <v>5906.6493200921877</v>
      </c>
    </row>
    <row r="19" spans="2:14">
      <c r="B19" s="5">
        <v>44562</v>
      </c>
      <c r="C19" s="1" t="s">
        <v>17</v>
      </c>
      <c r="D19" s="6" t="s">
        <v>19</v>
      </c>
      <c r="E19" s="1">
        <v>3484310</v>
      </c>
      <c r="F19" s="2">
        <v>8883552.5301410332</v>
      </c>
      <c r="G19" s="3">
        <f t="shared" ref="G19:G34" si="2">F19-SUM(L19:N19)</f>
        <v>6995797.6174860634</v>
      </c>
      <c r="H19" s="4">
        <f t="shared" si="0"/>
        <v>2.0077999998524998</v>
      </c>
      <c r="I19" s="7">
        <v>0.12</v>
      </c>
      <c r="J19" s="7">
        <v>1.6500000000000001E-2</v>
      </c>
      <c r="K19" s="7">
        <v>7.5999999999999998E-2</v>
      </c>
      <c r="L19" s="8">
        <f t="shared" si="1"/>
        <v>1066026.303616924</v>
      </c>
      <c r="M19" s="8">
        <f t="shared" ref="M19:M31" si="3">+F19*J19</f>
        <v>146578.61674732706</v>
      </c>
      <c r="N19" s="8">
        <f t="shared" ref="N19:N31" si="4">K19*F19</f>
        <v>675149.99229071848</v>
      </c>
    </row>
    <row r="20" spans="2:14">
      <c r="B20" s="5">
        <v>44562</v>
      </c>
      <c r="C20" s="1" t="s">
        <v>17</v>
      </c>
      <c r="D20" s="6" t="s">
        <v>20</v>
      </c>
      <c r="E20" s="1">
        <v>3507754</v>
      </c>
      <c r="F20" s="2">
        <v>8943325.0499241985</v>
      </c>
      <c r="G20" s="3">
        <f t="shared" si="2"/>
        <v>7042868.4768153066</v>
      </c>
      <c r="H20" s="4">
        <f t="shared" si="0"/>
        <v>2.0077999987499999</v>
      </c>
      <c r="I20" s="7">
        <v>0.12</v>
      </c>
      <c r="J20" s="7">
        <v>1.6500000000000001E-2</v>
      </c>
      <c r="K20" s="7">
        <v>7.5999999999999998E-2</v>
      </c>
      <c r="L20" s="8">
        <f t="shared" si="1"/>
        <v>1073199.0059909038</v>
      </c>
      <c r="M20" s="8">
        <f t="shared" si="3"/>
        <v>147564.86332374928</v>
      </c>
      <c r="N20" s="8">
        <f t="shared" si="4"/>
        <v>679692.70379423909</v>
      </c>
    </row>
    <row r="21" spans="2:14">
      <c r="B21" s="5">
        <v>44562</v>
      </c>
      <c r="C21" s="1" t="s">
        <v>17</v>
      </c>
      <c r="D21" s="6" t="s">
        <v>21</v>
      </c>
      <c r="E21" s="1">
        <v>3129545</v>
      </c>
      <c r="F21" s="2">
        <v>7979048.1899080444</v>
      </c>
      <c r="G21" s="3">
        <f t="shared" si="2"/>
        <v>6283500.4495525844</v>
      </c>
      <c r="H21" s="4">
        <f t="shared" si="0"/>
        <v>2.0077999995374998</v>
      </c>
      <c r="I21" s="7">
        <v>0.12</v>
      </c>
      <c r="J21" s="7">
        <v>1.6500000000000001E-2</v>
      </c>
      <c r="K21" s="7">
        <v>7.5999999999999998E-2</v>
      </c>
      <c r="L21" s="8">
        <f t="shared" si="1"/>
        <v>957485.78278896527</v>
      </c>
      <c r="M21" s="8">
        <f t="shared" si="3"/>
        <v>131654.29513348275</v>
      </c>
      <c r="N21" s="8">
        <f t="shared" si="4"/>
        <v>606407.66243301134</v>
      </c>
    </row>
    <row r="22" spans="2:14">
      <c r="B22" s="5">
        <v>44562</v>
      </c>
      <c r="C22" s="1" t="s">
        <v>17</v>
      </c>
      <c r="D22" s="6" t="s">
        <v>22</v>
      </c>
      <c r="E22" s="1">
        <v>9448559</v>
      </c>
      <c r="F22" s="2">
        <v>24089926.040094115</v>
      </c>
      <c r="G22" s="3">
        <f t="shared" si="2"/>
        <v>18970816.756574117</v>
      </c>
      <c r="H22" s="4">
        <f t="shared" si="0"/>
        <v>2.0077999996162501</v>
      </c>
      <c r="I22" s="7">
        <v>0.12</v>
      </c>
      <c r="J22" s="7">
        <v>1.6500000000000001E-2</v>
      </c>
      <c r="K22" s="7">
        <v>7.5999999999999998E-2</v>
      </c>
      <c r="L22" s="8">
        <f t="shared" si="1"/>
        <v>2890791.1248112936</v>
      </c>
      <c r="M22" s="8">
        <f>+F22*J22</f>
        <v>397483.77966155292</v>
      </c>
      <c r="N22" s="8">
        <f t="shared" si="4"/>
        <v>1830834.3790471526</v>
      </c>
    </row>
    <row r="23" spans="2:14">
      <c r="B23" s="5">
        <v>44562</v>
      </c>
      <c r="C23" s="1" t="s">
        <v>17</v>
      </c>
      <c r="D23" s="6" t="s">
        <v>23</v>
      </c>
      <c r="E23" s="1">
        <v>3889558</v>
      </c>
      <c r="F23" s="2">
        <v>9324721.8500010371</v>
      </c>
      <c r="G23" s="3">
        <f t="shared" si="2"/>
        <v>7809454.5493758684</v>
      </c>
      <c r="H23" s="4">
        <f t="shared" si="0"/>
        <v>2.0077999992224997</v>
      </c>
      <c r="I23" s="7">
        <v>7.0000000000000007E-2</v>
      </c>
      <c r="J23" s="7">
        <v>1.6500000000000001E-2</v>
      </c>
      <c r="K23" s="7">
        <v>7.5999999999999998E-2</v>
      </c>
      <c r="L23" s="8">
        <f>+I23*F23</f>
        <v>652730.52950007271</v>
      </c>
      <c r="M23" s="8">
        <f>+F23*J23</f>
        <v>153857.91052501713</v>
      </c>
      <c r="N23" s="8">
        <f>K23*F23</f>
        <v>708678.86060007883</v>
      </c>
    </row>
    <row r="24" spans="2:14">
      <c r="B24" s="5">
        <v>44562</v>
      </c>
      <c r="C24" s="1" t="s">
        <v>17</v>
      </c>
      <c r="D24" s="6" t="s">
        <v>24</v>
      </c>
      <c r="E24" s="1">
        <v>232008</v>
      </c>
      <c r="F24" s="2">
        <v>591524.64999678964</v>
      </c>
      <c r="G24" s="3">
        <f t="shared" si="2"/>
        <v>465825.66187247186</v>
      </c>
      <c r="H24" s="4">
        <f t="shared" si="0"/>
        <v>2.0077999977262504</v>
      </c>
      <c r="I24" s="7">
        <v>0.12</v>
      </c>
      <c r="J24" s="7">
        <v>1.6500000000000001E-2</v>
      </c>
      <c r="K24" s="7">
        <v>7.5999999999999998E-2</v>
      </c>
      <c r="L24" s="8">
        <f t="shared" si="1"/>
        <v>70982.957999614751</v>
      </c>
      <c r="M24" s="8">
        <f t="shared" si="3"/>
        <v>9760.1567249470299</v>
      </c>
      <c r="N24" s="8">
        <f t="shared" si="4"/>
        <v>44955.873399756012</v>
      </c>
    </row>
    <row r="25" spans="2:14">
      <c r="B25" s="5">
        <v>44562</v>
      </c>
      <c r="C25" s="1" t="s">
        <v>17</v>
      </c>
      <c r="D25" s="6" t="s">
        <v>25</v>
      </c>
      <c r="E25" s="1">
        <v>41095</v>
      </c>
      <c r="F25" s="2">
        <v>104775.28999898151</v>
      </c>
      <c r="G25" s="3">
        <f t="shared" si="2"/>
        <v>82510.540874197934</v>
      </c>
      <c r="H25" s="4">
        <f t="shared" si="0"/>
        <v>2.0077999969387501</v>
      </c>
      <c r="I25" s="7">
        <v>0.12</v>
      </c>
      <c r="J25" s="7">
        <v>1.6500000000000001E-2</v>
      </c>
      <c r="K25" s="7">
        <v>7.5999999999999998E-2</v>
      </c>
      <c r="L25" s="8">
        <f t="shared" si="1"/>
        <v>12573.03479987778</v>
      </c>
      <c r="M25" s="8">
        <f t="shared" si="3"/>
        <v>1728.7922849831948</v>
      </c>
      <c r="N25" s="8">
        <f t="shared" si="4"/>
        <v>7962.9220399225942</v>
      </c>
    </row>
    <row r="26" spans="2:14">
      <c r="B26" s="5">
        <v>44562</v>
      </c>
      <c r="C26" s="1" t="s">
        <v>17</v>
      </c>
      <c r="D26" s="6" t="s">
        <v>26</v>
      </c>
      <c r="E26" s="1">
        <v>786</v>
      </c>
      <c r="F26" s="2">
        <v>2833.9899999762001</v>
      </c>
      <c r="G26" s="3">
        <f t="shared" si="2"/>
        <v>2231.7671249812574</v>
      </c>
      <c r="H26" s="4">
        <f t="shared" si="0"/>
        <v>2.8393983778387497</v>
      </c>
      <c r="I26" s="7">
        <v>0.12</v>
      </c>
      <c r="J26" s="7">
        <v>1.6500000000000001E-2</v>
      </c>
      <c r="K26" s="7">
        <v>7.5999999999999998E-2</v>
      </c>
      <c r="L26" s="8">
        <f t="shared" si="1"/>
        <v>340.07879999714402</v>
      </c>
      <c r="M26" s="8">
        <f t="shared" si="3"/>
        <v>46.760834999607304</v>
      </c>
      <c r="N26" s="8">
        <f t="shared" si="4"/>
        <v>215.38323999819121</v>
      </c>
    </row>
    <row r="27" spans="2:14">
      <c r="B27" s="5">
        <v>44562</v>
      </c>
      <c r="C27" s="1" t="s">
        <v>17</v>
      </c>
      <c r="D27" s="6" t="s">
        <v>27</v>
      </c>
      <c r="E27" s="1">
        <v>15676</v>
      </c>
      <c r="F27" s="2">
        <v>56521.179999854401</v>
      </c>
      <c r="G27" s="3">
        <f t="shared" si="2"/>
        <v>44510.429249885339</v>
      </c>
      <c r="H27" s="4">
        <f t="shared" si="0"/>
        <v>2.8393996714649998</v>
      </c>
      <c r="I27" s="7">
        <v>0.12</v>
      </c>
      <c r="J27" s="7">
        <v>1.6500000000000001E-2</v>
      </c>
      <c r="K27" s="7">
        <v>7.5999999999999998E-2</v>
      </c>
      <c r="L27" s="8">
        <f t="shared" si="1"/>
        <v>6782.5415999825282</v>
      </c>
      <c r="M27" s="8">
        <f t="shared" si="3"/>
        <v>932.59946999759768</v>
      </c>
      <c r="N27" s="8">
        <f t="shared" si="4"/>
        <v>4295.6096799889347</v>
      </c>
    </row>
    <row r="28" spans="2:14">
      <c r="B28" s="5">
        <v>44562</v>
      </c>
      <c r="C28" s="1" t="s">
        <v>17</v>
      </c>
      <c r="D28" s="6" t="s">
        <v>28</v>
      </c>
      <c r="E28" s="1">
        <v>4810</v>
      </c>
      <c r="F28" s="2">
        <v>17342.870000065999</v>
      </c>
      <c r="G28" s="3">
        <f t="shared" si="2"/>
        <v>13657.510125051975</v>
      </c>
      <c r="H28" s="4">
        <f t="shared" si="0"/>
        <v>2.8393991943975001</v>
      </c>
      <c r="I28" s="7">
        <v>0.12</v>
      </c>
      <c r="J28" s="7">
        <v>1.6500000000000001E-2</v>
      </c>
      <c r="K28" s="7">
        <v>7.5999999999999998E-2</v>
      </c>
      <c r="L28" s="8">
        <f t="shared" si="1"/>
        <v>2081.14440000792</v>
      </c>
      <c r="M28" s="8">
        <f t="shared" si="3"/>
        <v>286.157355001089</v>
      </c>
      <c r="N28" s="8">
        <f t="shared" si="4"/>
        <v>1318.058120005016</v>
      </c>
    </row>
    <row r="29" spans="2:14">
      <c r="B29" s="5">
        <v>44562</v>
      </c>
      <c r="C29" s="1" t="s">
        <v>17</v>
      </c>
      <c r="D29" s="6" t="s">
        <v>29</v>
      </c>
      <c r="E29" s="1">
        <v>12211</v>
      </c>
      <c r="F29" s="2">
        <v>44027.819999626001</v>
      </c>
      <c r="G29" s="3">
        <f t="shared" si="2"/>
        <v>34671.908249705477</v>
      </c>
      <c r="H29" s="4">
        <f t="shared" si="0"/>
        <v>2.8393995782250001</v>
      </c>
      <c r="I29" s="7">
        <v>0.12</v>
      </c>
      <c r="J29" s="7">
        <v>1.6500000000000001E-2</v>
      </c>
      <c r="K29" s="7">
        <v>7.5999999999999998E-2</v>
      </c>
      <c r="L29" s="8">
        <f t="shared" si="1"/>
        <v>5283.3383999551197</v>
      </c>
      <c r="M29" s="8">
        <f t="shared" si="3"/>
        <v>726.45902999382906</v>
      </c>
      <c r="N29" s="8">
        <f t="shared" si="4"/>
        <v>3346.1143199715762</v>
      </c>
    </row>
    <row r="30" spans="2:14">
      <c r="B30" s="5">
        <v>44562</v>
      </c>
      <c r="C30" s="1" t="s">
        <v>17</v>
      </c>
      <c r="D30" s="6" t="s">
        <v>30</v>
      </c>
      <c r="E30" s="1">
        <v>34381</v>
      </c>
      <c r="F30" s="2">
        <v>116562.879998399</v>
      </c>
      <c r="G30" s="3">
        <f t="shared" si="2"/>
        <v>97621.411998659169</v>
      </c>
      <c r="H30" s="4">
        <f t="shared" si="0"/>
        <v>2.8394000174125003</v>
      </c>
      <c r="I30" s="7">
        <v>7.0000000000000007E-2</v>
      </c>
      <c r="J30" s="7">
        <v>1.6500000000000001E-2</v>
      </c>
      <c r="K30" s="7">
        <v>7.5999999999999998E-2</v>
      </c>
      <c r="L30" s="8">
        <f t="shared" si="1"/>
        <v>8159.4015998879313</v>
      </c>
      <c r="M30" s="8">
        <f t="shared" si="3"/>
        <v>1923.2875199735836</v>
      </c>
      <c r="N30" s="8">
        <f t="shared" si="4"/>
        <v>8858.778879878324</v>
      </c>
    </row>
    <row r="31" spans="2:14">
      <c r="B31" s="5">
        <v>44562</v>
      </c>
      <c r="C31" s="1" t="s">
        <v>17</v>
      </c>
      <c r="D31" s="6" t="s">
        <v>31</v>
      </c>
      <c r="E31" s="1">
        <v>19004</v>
      </c>
      <c r="F31" s="2">
        <v>68520.580000179209</v>
      </c>
      <c r="G31" s="3">
        <f t="shared" si="2"/>
        <v>53959.956750141122</v>
      </c>
      <c r="H31" s="4">
        <f t="shared" si="0"/>
        <v>2.8393999552800002</v>
      </c>
      <c r="I31" s="7">
        <v>0.12</v>
      </c>
      <c r="J31" s="7">
        <v>1.6500000000000001E-2</v>
      </c>
      <c r="K31" s="7">
        <v>7.5999999999999998E-2</v>
      </c>
      <c r="L31" s="8">
        <f t="shared" si="1"/>
        <v>8222.4696000215044</v>
      </c>
      <c r="M31" s="8">
        <f t="shared" si="3"/>
        <v>1130.5895700029571</v>
      </c>
      <c r="N31" s="8">
        <f t="shared" si="4"/>
        <v>5207.5640800136198</v>
      </c>
    </row>
    <row r="32" spans="2:14">
      <c r="B32" s="5">
        <v>44562</v>
      </c>
      <c r="C32" s="1" t="s">
        <v>33</v>
      </c>
      <c r="D32" s="6" t="s">
        <v>32</v>
      </c>
      <c r="E32" s="1">
        <v>26905255.235209998</v>
      </c>
      <c r="F32" s="2">
        <v>65532528.259999998</v>
      </c>
      <c r="G32" s="3">
        <f t="shared" si="2"/>
        <v>55307815.538233496</v>
      </c>
      <c r="H32" s="4">
        <f t="shared" si="0"/>
        <v>2.0556510263412786</v>
      </c>
      <c r="I32" s="7">
        <v>7.0000000000000007E-2</v>
      </c>
      <c r="J32" s="7">
        <v>1.6500000000000001E-2</v>
      </c>
      <c r="K32" s="7">
        <v>7.5999999999999998E-2</v>
      </c>
      <c r="L32" s="8">
        <f t="shared" si="1"/>
        <v>4587276.9782000007</v>
      </c>
      <c r="M32" s="8">
        <f>+(F32-L32)*J32</f>
        <v>1005596.6461496999</v>
      </c>
      <c r="N32" s="8">
        <f>+(F32-L32)*K32</f>
        <v>4631839.0974167995</v>
      </c>
    </row>
    <row r="33" spans="2:14">
      <c r="B33" s="5">
        <v>44562</v>
      </c>
      <c r="C33" s="1" t="s">
        <v>37</v>
      </c>
      <c r="D33" s="6" t="s">
        <v>34</v>
      </c>
      <c r="E33" s="1">
        <v>453796</v>
      </c>
      <c r="F33" s="2">
        <v>1937391.26</v>
      </c>
      <c r="G33" s="3">
        <f t="shared" si="2"/>
        <v>1441709.7061290001</v>
      </c>
      <c r="H33" s="4">
        <f t="shared" si="0"/>
        <v>3.1769995904084656</v>
      </c>
      <c r="I33" s="7">
        <v>0.18</v>
      </c>
      <c r="J33" s="7">
        <v>1.6500000000000001E-2</v>
      </c>
      <c r="K33" s="7">
        <v>7.5999999999999998E-2</v>
      </c>
      <c r="L33" s="8">
        <f t="shared" si="1"/>
        <v>348730.42680000002</v>
      </c>
      <c r="M33" s="8">
        <f>+(F33-L33)*J33</f>
        <v>26212.903747800003</v>
      </c>
      <c r="N33" s="8">
        <f>+(F33-L33)*K33</f>
        <v>120738.2233232</v>
      </c>
    </row>
    <row r="34" spans="2:14">
      <c r="B34" s="33">
        <v>44562</v>
      </c>
      <c r="C34" s="34" t="s">
        <v>36</v>
      </c>
      <c r="D34" s="35" t="s">
        <v>35</v>
      </c>
      <c r="E34" s="34">
        <v>26080</v>
      </c>
      <c r="F34" s="36">
        <v>108020.75</v>
      </c>
      <c r="G34" s="37">
        <f t="shared" si="2"/>
        <v>80383.641112500001</v>
      </c>
      <c r="H34" s="38">
        <f t="shared" si="0"/>
        <v>3.0821948279332823</v>
      </c>
      <c r="I34" s="39">
        <v>0.18</v>
      </c>
      <c r="J34" s="39">
        <v>1.6500000000000001E-2</v>
      </c>
      <c r="K34" s="39">
        <v>7.5999999999999998E-2</v>
      </c>
      <c r="L34" s="40">
        <f t="shared" si="1"/>
        <v>19443.735000000001</v>
      </c>
      <c r="M34" s="40">
        <f>+(F34-L34)*J34</f>
        <v>1461.5207475</v>
      </c>
      <c r="N34" s="40">
        <f>+(F34-L34)*K34</f>
        <v>6731.8531400000002</v>
      </c>
    </row>
    <row r="35" spans="2:14" hidden="1">
      <c r="B35" s="5"/>
      <c r="C35" s="1"/>
      <c r="D35" s="6"/>
      <c r="E35" s="1"/>
      <c r="F35" s="2"/>
      <c r="G35" s="3"/>
      <c r="H35" s="4"/>
      <c r="I35" s="7"/>
      <c r="J35" s="7"/>
      <c r="K35" s="7"/>
      <c r="L35" s="8"/>
      <c r="M35" s="8"/>
      <c r="N35" s="8"/>
    </row>
    <row r="36" spans="2:14" hidden="1">
      <c r="B36" s="5"/>
      <c r="C36" s="1"/>
      <c r="D36" s="6"/>
      <c r="E36" s="1"/>
      <c r="F36" s="2"/>
      <c r="G36" s="3"/>
      <c r="H36" s="4"/>
      <c r="I36" s="7"/>
      <c r="J36" s="7"/>
      <c r="K36" s="7"/>
      <c r="L36" s="8"/>
      <c r="M36" s="8"/>
      <c r="N36" s="8"/>
    </row>
    <row r="37" spans="2:14" hidden="1">
      <c r="B37" s="5"/>
      <c r="C37" s="1"/>
      <c r="D37" s="6"/>
      <c r="E37" s="1"/>
      <c r="F37" s="2"/>
      <c r="G37" s="3"/>
      <c r="H37" s="4"/>
      <c r="I37" s="7"/>
      <c r="J37" s="7"/>
      <c r="K37" s="7"/>
      <c r="L37" s="8"/>
      <c r="M37" s="8"/>
      <c r="N37" s="8"/>
    </row>
    <row r="38" spans="2:14" hidden="1">
      <c r="B38" s="5"/>
      <c r="C38" s="1"/>
      <c r="D38" s="6"/>
      <c r="E38" s="1"/>
      <c r="F38" s="2"/>
      <c r="G38" s="3"/>
      <c r="H38" s="4"/>
      <c r="I38" s="7"/>
      <c r="J38" s="7"/>
      <c r="K38" s="7"/>
      <c r="L38" s="8"/>
      <c r="M38" s="8"/>
      <c r="N38" s="8"/>
    </row>
    <row r="39" spans="2:14" hidden="1">
      <c r="B39" s="5"/>
      <c r="C39" s="1"/>
      <c r="D39" s="6"/>
      <c r="E39" s="1"/>
      <c r="F39" s="2"/>
      <c r="G39" s="3"/>
      <c r="H39" s="4"/>
      <c r="I39" s="7"/>
      <c r="J39" s="7"/>
      <c r="K39" s="7"/>
      <c r="L39" s="8"/>
      <c r="M39" s="8"/>
      <c r="N39" s="8"/>
    </row>
    <row r="40" spans="2:14" hidden="1">
      <c r="B40" s="5"/>
      <c r="C40" s="1"/>
      <c r="D40" s="6"/>
      <c r="E40" s="1"/>
      <c r="F40" s="2"/>
      <c r="G40" s="3"/>
      <c r="H40" s="4"/>
      <c r="I40" s="7"/>
      <c r="J40" s="7"/>
      <c r="K40" s="7"/>
      <c r="L40" s="8"/>
      <c r="M40" s="8"/>
      <c r="N40" s="8"/>
    </row>
    <row r="41" spans="2:14" hidden="1">
      <c r="B41" s="5"/>
      <c r="C41" s="1"/>
      <c r="D41" s="6"/>
      <c r="E41" s="1"/>
      <c r="F41" s="2"/>
      <c r="G41" s="3"/>
      <c r="H41" s="4"/>
      <c r="I41" s="7"/>
      <c r="J41" s="7"/>
      <c r="K41" s="7"/>
      <c r="L41" s="8"/>
      <c r="M41" s="8"/>
      <c r="N41" s="8"/>
    </row>
    <row r="42" spans="2:14" hidden="1">
      <c r="B42" s="5"/>
      <c r="C42" s="1"/>
      <c r="D42" s="6"/>
      <c r="E42" s="1"/>
      <c r="F42" s="2"/>
      <c r="G42" s="3"/>
      <c r="H42" s="4"/>
      <c r="I42" s="7"/>
      <c r="J42" s="7"/>
      <c r="K42" s="7"/>
      <c r="L42" s="8"/>
      <c r="M42" s="8"/>
      <c r="N42" s="8"/>
    </row>
    <row r="43" spans="2:14" hidden="1">
      <c r="B43" s="5"/>
      <c r="C43" s="1"/>
      <c r="D43" s="6"/>
      <c r="E43" s="1"/>
      <c r="F43" s="2"/>
      <c r="G43" s="3"/>
      <c r="H43" s="4"/>
      <c r="I43" s="7"/>
      <c r="J43" s="7"/>
      <c r="K43" s="7"/>
      <c r="L43" s="8"/>
      <c r="M43" s="8"/>
      <c r="N43" s="8"/>
    </row>
    <row r="44" spans="2:14" hidden="1">
      <c r="B44" s="5"/>
      <c r="C44" s="1"/>
      <c r="D44" s="6"/>
      <c r="E44" s="1"/>
      <c r="F44" s="2"/>
      <c r="G44" s="3"/>
      <c r="H44" s="4"/>
      <c r="I44" s="7"/>
      <c r="J44" s="7"/>
      <c r="K44" s="7"/>
      <c r="L44" s="8"/>
      <c r="M44" s="8"/>
      <c r="N44" s="8"/>
    </row>
    <row r="45" spans="2:14">
      <c r="E45" s="28">
        <f>SUM(E18:E34)</f>
        <v>51235311.235210001</v>
      </c>
      <c r="G45" s="29">
        <f>SUM(G18:G34)</f>
        <v>104788539.68914999</v>
      </c>
    </row>
    <row r="47" spans="2:14" ht="15.75" thickBot="1"/>
    <row r="48" spans="2:14">
      <c r="B48" s="382" t="s">
        <v>131</v>
      </c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4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>
      <c r="B52" s="385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</row>
    <row r="53" spans="2:14" ht="15.75" thickBot="1">
      <c r="B53" s="388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90"/>
    </row>
  </sheetData>
  <mergeCells count="3">
    <mergeCell ref="C2:L2"/>
    <mergeCell ref="L16:N16"/>
    <mergeCell ref="B48:N53"/>
  </mergeCells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N53"/>
  <sheetViews>
    <sheetView showGridLines="0" zoomScale="80" zoomScaleNormal="80" workbookViewId="0">
      <selection activeCell="E41" sqref="E41"/>
    </sheetView>
  </sheetViews>
  <sheetFormatPr defaultColWidth="8.7109375" defaultRowHeight="15"/>
  <cols>
    <col min="2" max="2" width="6.140625" bestFit="1" customWidth="1"/>
    <col min="3" max="3" width="26.5703125" bestFit="1" customWidth="1"/>
    <col min="4" max="4" width="14.85546875" bestFit="1" customWidth="1"/>
    <col min="5" max="5" width="12.28515625" bestFit="1" customWidth="1"/>
    <col min="6" max="7" width="21" bestFit="1" customWidth="1"/>
    <col min="8" max="8" width="11.42578125" bestFit="1" customWidth="1"/>
    <col min="9" max="9" width="7" bestFit="1" customWidth="1"/>
    <col min="10" max="10" width="6" bestFit="1" customWidth="1"/>
    <col min="11" max="11" width="7.85546875" bestFit="1" customWidth="1"/>
    <col min="12" max="14" width="15.8554687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44593</v>
      </c>
    </row>
    <row r="5" spans="2:14">
      <c r="C5" t="s">
        <v>17</v>
      </c>
      <c r="D5" s="14">
        <f ca="1">SUMIF($C$18:$G$40,$C$5:$C$7,$G$18:$G$40)/SUMIF($C$18:$G$40,$C$5:$C$7,$E$18:$E$40)</f>
        <v>2.3132458922230925</v>
      </c>
    </row>
    <row r="6" spans="2:14">
      <c r="C6" t="s">
        <v>33</v>
      </c>
      <c r="D6" s="14">
        <f ca="1">SUMIF($C$18:$G$40,$C$5:$C$7,$G$18:$G$40)/SUMIF($C$18:$G$40,$C$5:$C$7,$E$18:$E$40)</f>
        <v>1.7200041703401898</v>
      </c>
    </row>
    <row r="7" spans="2:14">
      <c r="C7" t="s">
        <v>126</v>
      </c>
      <c r="D7" s="14">
        <f>SUM(G33:G34)/SUM(E33:E34)</f>
        <v>3.4477245294222816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+G45/E45</f>
        <v>2.0428354178307342</v>
      </c>
      <c r="E9" s="14"/>
      <c r="L9" s="16" t="str">
        <f>+C5</f>
        <v>Petrobras</v>
      </c>
      <c r="M9" s="17">
        <f>790000/1580000</f>
        <v>0.5</v>
      </c>
      <c r="N9" s="17">
        <f>+SUM(E18:E31)/E45</f>
        <v>0.50481328842348638</v>
      </c>
    </row>
    <row r="10" spans="2:14">
      <c r="L10" s="16" t="str">
        <f>+C6</f>
        <v>Shell</v>
      </c>
      <c r="M10" s="17">
        <v>0.47468354430379744</v>
      </c>
      <c r="N10" s="17">
        <f>+E32/E45</f>
        <v>0.48166893196938265</v>
      </c>
    </row>
    <row r="11" spans="2:14">
      <c r="C11" t="s">
        <v>132</v>
      </c>
      <c r="D11" s="14">
        <v>2.0249999999999999</v>
      </c>
      <c r="L11" s="16" t="str">
        <f>+C7</f>
        <v>NFE</v>
      </c>
      <c r="M11" s="18">
        <v>2.5316455696202531E-2</v>
      </c>
      <c r="N11" s="18">
        <f>+SUM(E33:E34)/E45</f>
        <v>1.3517779607131025E-2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1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2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2:14">
      <c r="B18" s="5">
        <v>44593</v>
      </c>
      <c r="C18" s="1" t="s">
        <v>17</v>
      </c>
      <c r="D18" s="6" t="s">
        <v>39</v>
      </c>
      <c r="E18" s="1">
        <v>768484</v>
      </c>
      <c r="F18" s="2">
        <v>2217625.2599999998</v>
      </c>
      <c r="G18" s="3">
        <f t="shared" ref="G18:G34" si="0">F18-SUM(L18:N18)</f>
        <v>1746379.8922499998</v>
      </c>
      <c r="H18" s="4">
        <f t="shared" ref="H18:H34" si="1">+IF(G18=0,0,G18/E18)</f>
        <v>2.2725000029278419</v>
      </c>
      <c r="I18" s="7">
        <v>0.12</v>
      </c>
      <c r="J18" s="7">
        <v>1.6500000000000001E-2</v>
      </c>
      <c r="K18" s="7">
        <v>7.5999999999999998E-2</v>
      </c>
      <c r="L18" s="8">
        <f t="shared" ref="L18:L34" si="2">+I18*F18</f>
        <v>266115.03119999997</v>
      </c>
      <c r="M18" s="8">
        <f t="shared" ref="M18:M31" si="3">+F18*J18</f>
        <v>36590.816789999997</v>
      </c>
      <c r="N18" s="8">
        <f t="shared" ref="N18:N31" si="4">K18*F18</f>
        <v>168539.51975999997</v>
      </c>
    </row>
    <row r="19" spans="2:14">
      <c r="B19" s="5">
        <v>44593</v>
      </c>
      <c r="C19" s="1" t="s">
        <v>17</v>
      </c>
      <c r="D19" s="6" t="s">
        <v>40</v>
      </c>
      <c r="E19" s="1">
        <v>245003</v>
      </c>
      <c r="F19" s="2">
        <v>707008.66</v>
      </c>
      <c r="G19" s="3">
        <f t="shared" si="0"/>
        <v>556769.31975000002</v>
      </c>
      <c r="H19" s="4">
        <f t="shared" si="1"/>
        <v>2.272500009183561</v>
      </c>
      <c r="I19" s="7">
        <v>0.12</v>
      </c>
      <c r="J19" s="7">
        <v>1.6500000000000001E-2</v>
      </c>
      <c r="K19" s="7">
        <v>7.5999999999999998E-2</v>
      </c>
      <c r="L19" s="8">
        <f t="shared" si="2"/>
        <v>84841.039199999999</v>
      </c>
      <c r="M19" s="8">
        <f t="shared" si="3"/>
        <v>11665.642890000001</v>
      </c>
      <c r="N19" s="8">
        <f t="shared" si="4"/>
        <v>53732.658159999999</v>
      </c>
    </row>
    <row r="20" spans="2:14">
      <c r="B20" s="5">
        <v>44593</v>
      </c>
      <c r="C20" s="1" t="s">
        <v>17</v>
      </c>
      <c r="D20" s="6" t="s">
        <v>41</v>
      </c>
      <c r="E20" s="1">
        <v>1145411</v>
      </c>
      <c r="F20" s="2">
        <v>3305328.89</v>
      </c>
      <c r="G20" s="3">
        <f t="shared" si="0"/>
        <v>2602946.5008749999</v>
      </c>
      <c r="H20" s="4">
        <f t="shared" si="1"/>
        <v>2.2725000029465403</v>
      </c>
      <c r="I20" s="7">
        <v>0.12</v>
      </c>
      <c r="J20" s="7">
        <v>1.6500000000000001E-2</v>
      </c>
      <c r="K20" s="7">
        <v>7.5999999999999998E-2</v>
      </c>
      <c r="L20" s="8">
        <f t="shared" si="2"/>
        <v>396639.46679999999</v>
      </c>
      <c r="M20" s="8">
        <f t="shared" si="3"/>
        <v>54537.926685000006</v>
      </c>
      <c r="N20" s="8">
        <f t="shared" si="4"/>
        <v>251204.99564000001</v>
      </c>
    </row>
    <row r="21" spans="2:14">
      <c r="B21" s="5">
        <v>44593</v>
      </c>
      <c r="C21" s="1" t="s">
        <v>17</v>
      </c>
      <c r="D21" s="6" t="s">
        <v>42</v>
      </c>
      <c r="E21" s="1">
        <v>10273133</v>
      </c>
      <c r="F21" s="2">
        <v>29645326.649999999</v>
      </c>
      <c r="G21" s="3">
        <f t="shared" si="0"/>
        <v>23345694.736874998</v>
      </c>
      <c r="H21" s="4">
        <f t="shared" si="1"/>
        <v>2.2724999994524548</v>
      </c>
      <c r="I21" s="7">
        <v>0.12</v>
      </c>
      <c r="J21" s="7">
        <v>1.6500000000000001E-2</v>
      </c>
      <c r="K21" s="7">
        <v>7.5999999999999998E-2</v>
      </c>
      <c r="L21" s="8">
        <f t="shared" si="2"/>
        <v>3557439.1979999999</v>
      </c>
      <c r="M21" s="8">
        <f t="shared" si="3"/>
        <v>489147.88972500002</v>
      </c>
      <c r="N21" s="8">
        <f t="shared" si="4"/>
        <v>2253044.8254</v>
      </c>
    </row>
    <row r="22" spans="2:14">
      <c r="B22" s="5">
        <v>44593</v>
      </c>
      <c r="C22" s="1" t="s">
        <v>17</v>
      </c>
      <c r="D22" s="6" t="s">
        <v>43</v>
      </c>
      <c r="E22" s="1">
        <v>23935</v>
      </c>
      <c r="F22" s="2">
        <v>69069.570000000007</v>
      </c>
      <c r="G22" s="3">
        <f t="shared" si="0"/>
        <v>54392.286375000011</v>
      </c>
      <c r="H22" s="4">
        <f t="shared" si="1"/>
        <v>2.2724999529977024</v>
      </c>
      <c r="I22" s="7">
        <v>0.12</v>
      </c>
      <c r="J22" s="7">
        <v>1.6500000000000001E-2</v>
      </c>
      <c r="K22" s="7">
        <v>7.5999999999999998E-2</v>
      </c>
      <c r="L22" s="8">
        <f t="shared" si="2"/>
        <v>8288.3484000000008</v>
      </c>
      <c r="M22" s="8">
        <f t="shared" si="3"/>
        <v>1139.6479050000003</v>
      </c>
      <c r="N22" s="8">
        <f t="shared" si="4"/>
        <v>5249.2873200000004</v>
      </c>
    </row>
    <row r="23" spans="2:14">
      <c r="B23" s="5">
        <v>44593</v>
      </c>
      <c r="C23" s="1" t="s">
        <v>17</v>
      </c>
      <c r="D23" s="6" t="s">
        <v>44</v>
      </c>
      <c r="E23" s="1">
        <v>10337821</v>
      </c>
      <c r="F23" s="2">
        <v>28050982.949999999</v>
      </c>
      <c r="G23" s="3">
        <f t="shared" si="0"/>
        <v>23492698.220624998</v>
      </c>
      <c r="H23" s="4">
        <f t="shared" si="1"/>
        <v>2.2724999998186268</v>
      </c>
      <c r="I23" s="7">
        <v>7.0000000000000007E-2</v>
      </c>
      <c r="J23" s="7">
        <v>1.6500000000000001E-2</v>
      </c>
      <c r="K23" s="7">
        <v>7.5999999999999998E-2</v>
      </c>
      <c r="L23" s="8">
        <f t="shared" si="2"/>
        <v>1963568.8065000002</v>
      </c>
      <c r="M23" s="8">
        <f t="shared" si="3"/>
        <v>462841.21867500001</v>
      </c>
      <c r="N23" s="8">
        <f t="shared" si="4"/>
        <v>2131874.7042</v>
      </c>
    </row>
    <row r="24" spans="2:14">
      <c r="B24" s="5">
        <v>44593</v>
      </c>
      <c r="C24" s="1" t="s">
        <v>17</v>
      </c>
      <c r="D24" s="6" t="s">
        <v>45</v>
      </c>
      <c r="E24" s="1">
        <v>218638</v>
      </c>
      <c r="F24" s="2">
        <v>630926.81000000006</v>
      </c>
      <c r="G24" s="3">
        <f t="shared" si="0"/>
        <v>496854.86287500005</v>
      </c>
      <c r="H24" s="4">
        <f t="shared" si="1"/>
        <v>2.2725000360184415</v>
      </c>
      <c r="I24" s="7">
        <v>0.12</v>
      </c>
      <c r="J24" s="7">
        <v>1.6500000000000001E-2</v>
      </c>
      <c r="K24" s="7">
        <v>7.5999999999999998E-2</v>
      </c>
      <c r="L24" s="8">
        <f t="shared" si="2"/>
        <v>75711.217199999999</v>
      </c>
      <c r="M24" s="8">
        <f t="shared" si="3"/>
        <v>10410.292365000001</v>
      </c>
      <c r="N24" s="8">
        <f t="shared" si="4"/>
        <v>47950.437560000006</v>
      </c>
    </row>
    <row r="25" spans="2:14">
      <c r="B25" s="5">
        <v>44593</v>
      </c>
      <c r="C25" s="1" t="s">
        <v>17</v>
      </c>
      <c r="D25" s="6" t="s">
        <v>46</v>
      </c>
      <c r="E25" s="1">
        <v>530835</v>
      </c>
      <c r="F25" s="2">
        <v>2051336.59</v>
      </c>
      <c r="G25" s="3">
        <f t="shared" si="0"/>
        <v>1717994.3941250001</v>
      </c>
      <c r="H25" s="4">
        <f t="shared" si="1"/>
        <v>3.2364000002354785</v>
      </c>
      <c r="I25" s="7">
        <v>7.0000000000000007E-2</v>
      </c>
      <c r="J25" s="7">
        <v>1.6500000000000001E-2</v>
      </c>
      <c r="K25" s="7">
        <v>7.5999999999999998E-2</v>
      </c>
      <c r="L25" s="8">
        <f t="shared" si="2"/>
        <v>143593.56130000003</v>
      </c>
      <c r="M25" s="8">
        <f t="shared" si="3"/>
        <v>33847.053735000001</v>
      </c>
      <c r="N25" s="8">
        <f t="shared" si="4"/>
        <v>155901.58084000001</v>
      </c>
    </row>
    <row r="26" spans="2:14">
      <c r="B26" s="5">
        <v>44593</v>
      </c>
      <c r="C26" s="1" t="s">
        <v>17</v>
      </c>
      <c r="D26" s="6" t="s">
        <v>47</v>
      </c>
      <c r="E26" s="1">
        <v>33870</v>
      </c>
      <c r="F26" s="2">
        <v>139196.03</v>
      </c>
      <c r="G26" s="3">
        <f t="shared" si="0"/>
        <v>109616.87362500001</v>
      </c>
      <c r="H26" s="4">
        <f t="shared" si="1"/>
        <v>3.2364001660761739</v>
      </c>
      <c r="I26" s="7">
        <v>0.12</v>
      </c>
      <c r="J26" s="7">
        <v>1.6500000000000001E-2</v>
      </c>
      <c r="K26" s="7">
        <v>7.5999999999999998E-2</v>
      </c>
      <c r="L26" s="8">
        <f t="shared" si="2"/>
        <v>16703.5236</v>
      </c>
      <c r="M26" s="8">
        <f t="shared" si="3"/>
        <v>2296.7344950000002</v>
      </c>
      <c r="N26" s="8">
        <f t="shared" si="4"/>
        <v>10578.898279999999</v>
      </c>
    </row>
    <row r="27" spans="2:14">
      <c r="B27" s="5">
        <v>44593</v>
      </c>
      <c r="C27" s="1" t="s">
        <v>17</v>
      </c>
      <c r="D27" s="6" t="s">
        <v>48</v>
      </c>
      <c r="E27" s="1">
        <v>379365</v>
      </c>
      <c r="F27" s="2">
        <v>1559081.77</v>
      </c>
      <c r="G27" s="3">
        <f t="shared" si="0"/>
        <v>1227776.8938750001</v>
      </c>
      <c r="H27" s="4">
        <f t="shared" si="1"/>
        <v>3.2364000207583725</v>
      </c>
      <c r="I27" s="7">
        <v>0.12</v>
      </c>
      <c r="J27" s="7">
        <v>1.6500000000000001E-2</v>
      </c>
      <c r="K27" s="7">
        <v>7.5999999999999998E-2</v>
      </c>
      <c r="L27" s="8">
        <f t="shared" si="2"/>
        <v>187089.8124</v>
      </c>
      <c r="M27" s="8">
        <f t="shared" si="3"/>
        <v>25724.849205000002</v>
      </c>
      <c r="N27" s="8">
        <f t="shared" si="4"/>
        <v>118490.21451999999</v>
      </c>
    </row>
    <row r="28" spans="2:14">
      <c r="B28" s="5">
        <v>44593</v>
      </c>
      <c r="C28" s="1" t="s">
        <v>17</v>
      </c>
      <c r="D28" s="6" t="s">
        <v>49</v>
      </c>
      <c r="E28" s="1">
        <v>52112</v>
      </c>
      <c r="F28" s="2">
        <v>214165.43</v>
      </c>
      <c r="G28" s="3">
        <f t="shared" si="0"/>
        <v>168655.276125</v>
      </c>
      <c r="H28" s="4">
        <f t="shared" si="1"/>
        <v>3.2363999870471294</v>
      </c>
      <c r="I28" s="7">
        <v>0.12</v>
      </c>
      <c r="J28" s="7">
        <v>1.6500000000000001E-2</v>
      </c>
      <c r="K28" s="7">
        <v>7.5999999999999998E-2</v>
      </c>
      <c r="L28" s="8">
        <f t="shared" si="2"/>
        <v>25699.851599999998</v>
      </c>
      <c r="M28" s="8">
        <f t="shared" si="3"/>
        <v>3533.7295950000002</v>
      </c>
      <c r="N28" s="8">
        <f t="shared" si="4"/>
        <v>16276.572679999999</v>
      </c>
    </row>
    <row r="29" spans="2:14">
      <c r="B29" s="5">
        <v>44593</v>
      </c>
      <c r="C29" s="1" t="s">
        <v>17</v>
      </c>
      <c r="D29" s="6" t="s">
        <v>50</v>
      </c>
      <c r="E29" s="1">
        <v>874</v>
      </c>
      <c r="F29" s="2">
        <v>3591.89</v>
      </c>
      <c r="G29" s="3">
        <f t="shared" si="0"/>
        <v>2828.6133749999999</v>
      </c>
      <c r="H29" s="4">
        <f t="shared" si="1"/>
        <v>3.2363997425629289</v>
      </c>
      <c r="I29" s="7">
        <v>0.12</v>
      </c>
      <c r="J29" s="7">
        <v>1.6500000000000001E-2</v>
      </c>
      <c r="K29" s="7">
        <v>7.5999999999999998E-2</v>
      </c>
      <c r="L29" s="8">
        <f t="shared" si="2"/>
        <v>431.02679999999998</v>
      </c>
      <c r="M29" s="8">
        <f t="shared" si="3"/>
        <v>59.266185</v>
      </c>
      <c r="N29" s="8">
        <f t="shared" si="4"/>
        <v>272.98363999999998</v>
      </c>
    </row>
    <row r="30" spans="2:14">
      <c r="B30" s="5">
        <v>44593</v>
      </c>
      <c r="C30" s="1" t="s">
        <v>17</v>
      </c>
      <c r="D30" s="6" t="s">
        <v>51</v>
      </c>
      <c r="E30" s="1">
        <v>5260</v>
      </c>
      <c r="F30" s="2">
        <v>21617.09</v>
      </c>
      <c r="G30" s="3">
        <f t="shared" si="0"/>
        <v>17023.458375000002</v>
      </c>
      <c r="H30" s="4">
        <f t="shared" si="1"/>
        <v>3.2363989306083654</v>
      </c>
      <c r="I30" s="7">
        <v>0.12</v>
      </c>
      <c r="J30" s="7">
        <v>1.6500000000000001E-2</v>
      </c>
      <c r="K30" s="7">
        <v>7.5999999999999998E-2</v>
      </c>
      <c r="L30" s="8">
        <f t="shared" si="2"/>
        <v>2594.0508</v>
      </c>
      <c r="M30" s="8">
        <f t="shared" si="3"/>
        <v>356.681985</v>
      </c>
      <c r="N30" s="8">
        <f t="shared" si="4"/>
        <v>1642.8988400000001</v>
      </c>
    </row>
    <row r="31" spans="2:14">
      <c r="B31" s="5">
        <v>44593</v>
      </c>
      <c r="C31" s="1" t="s">
        <v>17</v>
      </c>
      <c r="D31" s="6" t="s">
        <v>52</v>
      </c>
      <c r="E31" s="1">
        <v>6555</v>
      </c>
      <c r="F31" s="2">
        <v>34962.5</v>
      </c>
      <c r="G31" s="3">
        <f t="shared" si="0"/>
        <v>27532.96875</v>
      </c>
      <c r="H31" s="4">
        <f t="shared" si="1"/>
        <v>4.2003003432494284</v>
      </c>
      <c r="I31" s="7">
        <v>0.12</v>
      </c>
      <c r="J31" s="7">
        <v>1.6500000000000001E-2</v>
      </c>
      <c r="K31" s="7">
        <v>7.5999999999999998E-2</v>
      </c>
      <c r="L31" s="8">
        <f t="shared" si="2"/>
        <v>4195.5</v>
      </c>
      <c r="M31" s="8">
        <f t="shared" si="3"/>
        <v>576.88125000000002</v>
      </c>
      <c r="N31" s="8">
        <f t="shared" si="4"/>
        <v>2657.15</v>
      </c>
    </row>
    <row r="32" spans="2:14">
      <c r="B32" s="5">
        <v>44593</v>
      </c>
      <c r="C32" s="1" t="s">
        <v>33</v>
      </c>
      <c r="D32" s="6" t="s">
        <v>53</v>
      </c>
      <c r="E32" s="1">
        <v>22919983</v>
      </c>
      <c r="F32" s="2">
        <v>46710466.950000003</v>
      </c>
      <c r="G32" s="3">
        <f t="shared" si="0"/>
        <v>39422466.344126254</v>
      </c>
      <c r="H32" s="4">
        <f t="shared" si="1"/>
        <v>1.7200041703401898</v>
      </c>
      <c r="I32" s="7">
        <v>7.0000000000000007E-2</v>
      </c>
      <c r="J32" s="7">
        <v>1.6500000000000001E-2</v>
      </c>
      <c r="K32" s="7">
        <v>7.5999999999999998E-2</v>
      </c>
      <c r="L32" s="8">
        <f t="shared" si="2"/>
        <v>3269732.6865000003</v>
      </c>
      <c r="M32" s="8">
        <f>+(F32-L32)*J32</f>
        <v>716772.11534775014</v>
      </c>
      <c r="N32" s="8">
        <f>+(F32-L32)*K32</f>
        <v>3301495.8040260002</v>
      </c>
    </row>
    <row r="33" spans="2:14">
      <c r="B33" s="5">
        <v>44593</v>
      </c>
      <c r="C33" s="1" t="s">
        <v>37</v>
      </c>
      <c r="D33" s="6" t="s">
        <v>54</v>
      </c>
      <c r="E33" s="1">
        <v>581205</v>
      </c>
      <c r="F33" s="2">
        <v>2699929.71</v>
      </c>
      <c r="G33" s="3">
        <f t="shared" si="0"/>
        <v>2009152.6936965</v>
      </c>
      <c r="H33" s="4">
        <f t="shared" si="1"/>
        <v>3.4568744138410716</v>
      </c>
      <c r="I33" s="7">
        <v>0.18</v>
      </c>
      <c r="J33" s="7">
        <v>1.6500000000000001E-2</v>
      </c>
      <c r="K33" s="7">
        <v>7.5999999999999998E-2</v>
      </c>
      <c r="L33" s="8">
        <f t="shared" si="2"/>
        <v>485987.34779999999</v>
      </c>
      <c r="M33" s="8">
        <f t="shared" ref="M33:M34" si="5">+(F33-L33)*J33</f>
        <v>36530.048976300001</v>
      </c>
      <c r="N33" s="8">
        <f t="shared" ref="N33:N34" si="6">+(F33-L33)*K33</f>
        <v>168259.61952719997</v>
      </c>
    </row>
    <row r="34" spans="2:14">
      <c r="B34" s="5">
        <v>44593</v>
      </c>
      <c r="C34" s="1" t="s">
        <v>36</v>
      </c>
      <c r="D34" s="6" t="s">
        <v>34</v>
      </c>
      <c r="E34" s="1">
        <v>62032</v>
      </c>
      <c r="F34" s="2">
        <v>280254.37</v>
      </c>
      <c r="G34" s="3">
        <f t="shared" si="0"/>
        <v>208551.28943549999</v>
      </c>
      <c r="H34" s="4">
        <f t="shared" si="1"/>
        <v>3.361995251410562</v>
      </c>
      <c r="I34" s="7">
        <v>0.18</v>
      </c>
      <c r="J34" s="7">
        <v>1.6500000000000001E-2</v>
      </c>
      <c r="K34" s="7">
        <v>7.5999999999999998E-2</v>
      </c>
      <c r="L34" s="8">
        <f t="shared" si="2"/>
        <v>50445.786599999999</v>
      </c>
      <c r="M34" s="8">
        <f t="shared" si="5"/>
        <v>3791.8416261000002</v>
      </c>
      <c r="N34" s="8">
        <f t="shared" si="6"/>
        <v>17465.452338399999</v>
      </c>
    </row>
    <row r="35" spans="2:14" hidden="1">
      <c r="B35" s="5"/>
      <c r="C35" s="1"/>
      <c r="D35" s="6"/>
      <c r="E35" s="1"/>
      <c r="F35" s="2"/>
      <c r="G35" s="3"/>
      <c r="H35" s="4"/>
      <c r="I35" s="7"/>
      <c r="J35" s="7"/>
      <c r="K35" s="7"/>
      <c r="L35" s="8"/>
      <c r="M35" s="8"/>
      <c r="N35" s="8"/>
    </row>
    <row r="36" spans="2:14" hidden="1">
      <c r="B36" s="5"/>
      <c r="C36" s="1"/>
      <c r="D36" s="6"/>
      <c r="E36" s="1"/>
      <c r="F36" s="2"/>
      <c r="G36" s="3"/>
      <c r="H36" s="4"/>
      <c r="I36" s="7"/>
      <c r="J36" s="7"/>
      <c r="K36" s="7"/>
      <c r="L36" s="8"/>
      <c r="M36" s="8"/>
      <c r="N36" s="8"/>
    </row>
    <row r="37" spans="2:14" hidden="1">
      <c r="B37" s="5"/>
      <c r="C37" s="1"/>
      <c r="D37" s="6"/>
      <c r="E37" s="1"/>
      <c r="F37" s="2"/>
      <c r="G37" s="3"/>
      <c r="H37" s="4"/>
      <c r="I37" s="7"/>
      <c r="J37" s="7"/>
      <c r="K37" s="7"/>
      <c r="L37" s="8"/>
      <c r="M37" s="8"/>
      <c r="N37" s="8"/>
    </row>
    <row r="38" spans="2:14" hidden="1">
      <c r="B38" s="5"/>
      <c r="C38" s="1"/>
      <c r="D38" s="6"/>
      <c r="E38" s="1"/>
      <c r="F38" s="2"/>
      <c r="G38" s="3"/>
      <c r="H38" s="4"/>
      <c r="I38" s="7"/>
      <c r="J38" s="7"/>
      <c r="K38" s="7"/>
      <c r="L38" s="8"/>
      <c r="M38" s="8"/>
      <c r="N38" s="8"/>
    </row>
    <row r="39" spans="2:14" hidden="1">
      <c r="B39" s="5"/>
      <c r="C39" s="1"/>
      <c r="D39" s="6"/>
      <c r="E39" s="1"/>
      <c r="F39" s="2"/>
      <c r="G39" s="3"/>
      <c r="H39" s="4"/>
      <c r="I39" s="7"/>
      <c r="J39" s="7"/>
      <c r="K39" s="7"/>
      <c r="L39" s="8"/>
      <c r="M39" s="8"/>
      <c r="N39" s="8"/>
    </row>
    <row r="40" spans="2:14" hidden="1">
      <c r="B40" s="5"/>
      <c r="C40" s="1"/>
      <c r="D40" s="6"/>
      <c r="E40" s="1"/>
      <c r="F40" s="2"/>
      <c r="G40" s="3"/>
      <c r="H40" s="4"/>
      <c r="I40" s="7"/>
      <c r="J40" s="7"/>
      <c r="K40" s="7"/>
      <c r="L40" s="8"/>
      <c r="M40" s="8"/>
      <c r="N40" s="8"/>
    </row>
    <row r="41" spans="2:14" hidden="1">
      <c r="B41" s="5"/>
      <c r="C41" s="1"/>
      <c r="D41" s="6"/>
      <c r="E41" s="1"/>
      <c r="F41" s="2"/>
      <c r="G41" s="3"/>
      <c r="H41" s="4"/>
      <c r="I41" s="7"/>
      <c r="J41" s="7"/>
      <c r="K41" s="7"/>
      <c r="L41" s="8"/>
      <c r="M41" s="8"/>
      <c r="N41" s="8"/>
    </row>
    <row r="42" spans="2:14" hidden="1">
      <c r="B42" s="5"/>
      <c r="C42" s="1"/>
      <c r="D42" s="6"/>
      <c r="E42" s="1"/>
      <c r="F42" s="2"/>
      <c r="G42" s="3"/>
      <c r="H42" s="4"/>
      <c r="I42" s="7"/>
      <c r="J42" s="7"/>
      <c r="K42" s="7"/>
      <c r="L42" s="8"/>
      <c r="M42" s="8"/>
      <c r="N42" s="8"/>
    </row>
    <row r="43" spans="2:14" hidden="1">
      <c r="B43" s="5"/>
      <c r="C43" s="1"/>
      <c r="D43" s="6"/>
      <c r="E43" s="1"/>
      <c r="F43" s="2"/>
      <c r="G43" s="3"/>
      <c r="H43" s="4"/>
      <c r="I43" s="7"/>
      <c r="J43" s="7"/>
      <c r="K43" s="7"/>
      <c r="L43" s="8"/>
      <c r="M43" s="8"/>
      <c r="N43" s="8"/>
    </row>
    <row r="44" spans="2:14" hidden="1">
      <c r="B44" s="5"/>
      <c r="C44" s="1"/>
      <c r="D44" s="6"/>
      <c r="E44" s="1"/>
      <c r="F44" s="2"/>
      <c r="G44" s="3"/>
      <c r="H44" s="4"/>
      <c r="I44" s="7"/>
      <c r="J44" s="7"/>
      <c r="K44" s="7"/>
      <c r="L44" s="8"/>
      <c r="M44" s="8"/>
      <c r="N44" s="8"/>
    </row>
    <row r="45" spans="2:14">
      <c r="E45" s="28">
        <f>SUM(E18:E34)</f>
        <v>47584516</v>
      </c>
      <c r="G45" s="29">
        <f>SUM(G18:G34)</f>
        <v>97207334.625133261</v>
      </c>
    </row>
    <row r="47" spans="2:14" ht="15.75" thickBot="1"/>
    <row r="48" spans="2:14">
      <c r="B48" s="382" t="s">
        <v>131</v>
      </c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4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>
      <c r="B52" s="385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</row>
    <row r="53" spans="2:14" ht="15.75" thickBot="1">
      <c r="B53" s="388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90"/>
    </row>
  </sheetData>
  <mergeCells count="3">
    <mergeCell ref="C2:L2"/>
    <mergeCell ref="L16:N16"/>
    <mergeCell ref="B48:N53"/>
  </mergeCells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N53"/>
  <sheetViews>
    <sheetView showGridLines="0" topLeftCell="A10" zoomScale="80" zoomScaleNormal="80" workbookViewId="0">
      <selection activeCell="E41" sqref="E41"/>
    </sheetView>
  </sheetViews>
  <sheetFormatPr defaultColWidth="8.7109375" defaultRowHeight="15"/>
  <cols>
    <col min="2" max="2" width="7" bestFit="1" customWidth="1"/>
    <col min="3" max="3" width="26.5703125" bestFit="1" customWidth="1"/>
    <col min="4" max="4" width="14.85546875" bestFit="1" customWidth="1"/>
    <col min="5" max="5" width="12.28515625" bestFit="1" customWidth="1"/>
    <col min="6" max="7" width="19.85546875" bestFit="1" customWidth="1"/>
    <col min="8" max="8" width="10.5703125" bestFit="1" customWidth="1"/>
    <col min="9" max="9" width="7" bestFit="1" customWidth="1"/>
    <col min="10" max="10" width="6" bestFit="1" customWidth="1"/>
    <col min="11" max="11" width="7.85546875" bestFit="1" customWidth="1"/>
    <col min="12" max="14" width="15.8554687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44621</v>
      </c>
    </row>
    <row r="5" spans="2:14">
      <c r="C5" t="s">
        <v>17</v>
      </c>
      <c r="D5" s="14">
        <f ca="1">SUMIF($C$18:$G$40,$C$5:$C$7,$G$18:$G$40)/SUMIF($C$18:$G$40,$C$5:$C$7,$E$18:$E$40)</f>
        <v>2.3201778234719792</v>
      </c>
    </row>
    <row r="6" spans="2:14">
      <c r="C6" t="s">
        <v>33</v>
      </c>
      <c r="D6" s="14">
        <f ca="1">SUMIF($C$18:$G$40,$C$5:$C$7,$G$18:$G$40)/SUMIF($C$18:$G$40,$C$5:$C$7,$E$18:$E$40)</f>
        <v>1.7200041704880769</v>
      </c>
    </row>
    <row r="7" spans="2:14">
      <c r="C7" t="s">
        <v>126</v>
      </c>
      <c r="D7" s="14">
        <f>SUM(G39:G40)/SUM(E39:E40)</f>
        <v>3.4481454234930458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+G45/E45</f>
        <v>2.048298446078376</v>
      </c>
      <c r="E9" s="14"/>
      <c r="L9" s="16" t="str">
        <f>+C5</f>
        <v>Petrobras</v>
      </c>
      <c r="M9" s="17">
        <f>790000/1580000</f>
        <v>0.5</v>
      </c>
      <c r="N9" s="17">
        <f>+SUM(E18:E37)/E45</f>
        <v>0.50557782296815479</v>
      </c>
    </row>
    <row r="10" spans="2:14">
      <c r="L10" s="16" t="str">
        <f>+C6</f>
        <v>Shell</v>
      </c>
      <c r="M10" s="17">
        <v>0.47468354430379744</v>
      </c>
      <c r="N10" s="17">
        <f>+E38/E45</f>
        <v>0.48003690229309015</v>
      </c>
    </row>
    <row r="11" spans="2:14">
      <c r="C11" t="s">
        <v>132</v>
      </c>
      <c r="D11" s="14">
        <v>2.0249999999999999</v>
      </c>
      <c r="L11" s="16" t="str">
        <f>+C7</f>
        <v>NFE</v>
      </c>
      <c r="M11" s="18">
        <v>2.5316455696202531E-2</v>
      </c>
      <c r="N11" s="18">
        <f>+SUM(E39:E40)/E45</f>
        <v>1.4385274738755064E-2</v>
      </c>
    </row>
    <row r="12" spans="2:14">
      <c r="C12" t="s">
        <v>130</v>
      </c>
      <c r="D12" s="19">
        <f>'[1]Compra 03 2022'!$C$25</f>
        <v>54546983.124132246</v>
      </c>
      <c r="L12" s="20" t="s">
        <v>38</v>
      </c>
      <c r="M12" s="21">
        <f>SUM(M9:M11)</f>
        <v>1</v>
      </c>
      <c r="N12" s="21">
        <f>SUM(N9:N11)</f>
        <v>1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2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2:14">
      <c r="B18" s="5">
        <v>44621</v>
      </c>
      <c r="C18" s="1" t="s">
        <v>17</v>
      </c>
      <c r="D18" s="6" t="s">
        <v>55</v>
      </c>
      <c r="E18" s="1">
        <v>9254960</v>
      </c>
      <c r="F18" s="2">
        <v>26707170.289999999</v>
      </c>
      <c r="G18" s="3">
        <f t="shared" ref="G18:G40" si="0">F18-SUM(L18:N18)</f>
        <v>21031896.603374999</v>
      </c>
      <c r="H18" s="4">
        <f t="shared" ref="H18:H40" si="1">+IF(G18=0,0,G18/E18)</f>
        <v>2.2725000003646691</v>
      </c>
      <c r="I18" s="7">
        <v>0.12</v>
      </c>
      <c r="J18" s="7">
        <v>1.6500000000000001E-2</v>
      </c>
      <c r="K18" s="7">
        <v>7.5999999999999998E-2</v>
      </c>
      <c r="L18" s="8">
        <f t="shared" ref="L18:L40" si="2">+I18*F18</f>
        <v>3204860.4347999999</v>
      </c>
      <c r="M18" s="8">
        <f t="shared" ref="M18:M37" si="3">+F18*J18</f>
        <v>440668.30978499999</v>
      </c>
      <c r="N18" s="8">
        <f t="shared" ref="N18:N37" si="4">K18*F18</f>
        <v>2029744.9420399999</v>
      </c>
    </row>
    <row r="19" spans="2:14">
      <c r="B19" s="5">
        <v>44621</v>
      </c>
      <c r="C19" s="1" t="s">
        <v>17</v>
      </c>
      <c r="D19" s="6" t="s">
        <v>56</v>
      </c>
      <c r="E19" s="1">
        <v>6114653</v>
      </c>
      <c r="F19" s="2">
        <v>17645141.510000002</v>
      </c>
      <c r="G19" s="3">
        <f t="shared" si="0"/>
        <v>13895548.939125001</v>
      </c>
      <c r="H19" s="4">
        <f t="shared" si="1"/>
        <v>2.2724999994480473</v>
      </c>
      <c r="I19" s="7">
        <v>0.12</v>
      </c>
      <c r="J19" s="7">
        <v>1.6500000000000001E-2</v>
      </c>
      <c r="K19" s="7">
        <v>7.5999999999999998E-2</v>
      </c>
      <c r="L19" s="8">
        <f t="shared" si="2"/>
        <v>2117416.9812000003</v>
      </c>
      <c r="M19" s="8">
        <f t="shared" si="3"/>
        <v>291144.83491500001</v>
      </c>
      <c r="N19" s="8">
        <f t="shared" si="4"/>
        <v>1341030.7547600002</v>
      </c>
    </row>
    <row r="20" spans="2:14">
      <c r="B20" s="5">
        <v>44621</v>
      </c>
      <c r="C20" s="1" t="s">
        <v>17</v>
      </c>
      <c r="D20" s="6" t="s">
        <v>57</v>
      </c>
      <c r="E20" s="1">
        <v>6603143</v>
      </c>
      <c r="F20" s="2">
        <v>19054784.09</v>
      </c>
      <c r="G20" s="3">
        <f t="shared" si="0"/>
        <v>15005642.470874999</v>
      </c>
      <c r="H20" s="4">
        <f t="shared" si="1"/>
        <v>2.27250000051112</v>
      </c>
      <c r="I20" s="7">
        <v>0.12</v>
      </c>
      <c r="J20" s="7">
        <v>1.6500000000000001E-2</v>
      </c>
      <c r="K20" s="7">
        <v>7.5999999999999998E-2</v>
      </c>
      <c r="L20" s="8">
        <f t="shared" si="2"/>
        <v>2286574.0907999999</v>
      </c>
      <c r="M20" s="8">
        <f t="shared" si="3"/>
        <v>314403.937485</v>
      </c>
      <c r="N20" s="8">
        <f t="shared" si="4"/>
        <v>1448163.59084</v>
      </c>
    </row>
    <row r="21" spans="2:14">
      <c r="B21" s="5">
        <v>44621</v>
      </c>
      <c r="C21" s="1" t="s">
        <v>17</v>
      </c>
      <c r="D21" s="6" t="s">
        <v>58</v>
      </c>
      <c r="E21" s="1">
        <v>2013407</v>
      </c>
      <c r="F21" s="2">
        <v>5463244.6699999999</v>
      </c>
      <c r="G21" s="3">
        <f t="shared" si="0"/>
        <v>4575467.4111249996</v>
      </c>
      <c r="H21" s="4">
        <f t="shared" si="1"/>
        <v>2.2725000018004304</v>
      </c>
      <c r="I21" s="7">
        <v>7.0000000000000007E-2</v>
      </c>
      <c r="J21" s="7">
        <v>1.6500000000000001E-2</v>
      </c>
      <c r="K21" s="7">
        <v>7.5999999999999998E-2</v>
      </c>
      <c r="L21" s="8">
        <f t="shared" si="2"/>
        <v>382427.12690000003</v>
      </c>
      <c r="M21" s="8">
        <f t="shared" si="3"/>
        <v>90143.537055000008</v>
      </c>
      <c r="N21" s="8">
        <f t="shared" si="4"/>
        <v>415206.59492</v>
      </c>
    </row>
    <row r="22" spans="2:14">
      <c r="B22" s="5">
        <v>44621</v>
      </c>
      <c r="C22" s="1" t="s">
        <v>17</v>
      </c>
      <c r="D22" s="6" t="s">
        <v>59</v>
      </c>
      <c r="E22" s="1">
        <v>842191</v>
      </c>
      <c r="F22" s="2">
        <v>2430322.6</v>
      </c>
      <c r="G22" s="3">
        <f t="shared" si="0"/>
        <v>1913879.0475000001</v>
      </c>
      <c r="H22" s="4">
        <f t="shared" si="1"/>
        <v>2.2725</v>
      </c>
      <c r="I22" s="7">
        <v>0.12</v>
      </c>
      <c r="J22" s="7">
        <v>1.6500000000000001E-2</v>
      </c>
      <c r="K22" s="7">
        <v>7.5999999999999998E-2</v>
      </c>
      <c r="L22" s="8">
        <f t="shared" si="2"/>
        <v>291638.712</v>
      </c>
      <c r="M22" s="8">
        <f t="shared" si="3"/>
        <v>40100.322900000006</v>
      </c>
      <c r="N22" s="8">
        <f t="shared" si="4"/>
        <v>184704.51759999999</v>
      </c>
    </row>
    <row r="23" spans="2:14">
      <c r="B23" s="5">
        <v>44621</v>
      </c>
      <c r="C23" s="1" t="s">
        <v>17</v>
      </c>
      <c r="D23" s="6" t="s">
        <v>60</v>
      </c>
      <c r="E23" s="1">
        <v>413670</v>
      </c>
      <c r="F23" s="2">
        <v>1193733.43</v>
      </c>
      <c r="G23" s="3">
        <f t="shared" si="0"/>
        <v>940065.07612499991</v>
      </c>
      <c r="H23" s="4">
        <f t="shared" si="1"/>
        <v>2.2725000027195588</v>
      </c>
      <c r="I23" s="7">
        <v>0.12</v>
      </c>
      <c r="J23" s="7">
        <v>1.6500000000000001E-2</v>
      </c>
      <c r="K23" s="7">
        <v>7.5999999999999998E-2</v>
      </c>
      <c r="L23" s="8">
        <f t="shared" si="2"/>
        <v>143248.0116</v>
      </c>
      <c r="M23" s="8">
        <f t="shared" si="3"/>
        <v>19696.601595</v>
      </c>
      <c r="N23" s="8">
        <f t="shared" si="4"/>
        <v>90723.740679999988</v>
      </c>
    </row>
    <row r="24" spans="2:14">
      <c r="B24" s="5">
        <v>44621</v>
      </c>
      <c r="C24" s="1" t="s">
        <v>17</v>
      </c>
      <c r="D24" s="6" t="s">
        <v>61</v>
      </c>
      <c r="E24" s="1">
        <v>290491</v>
      </c>
      <c r="F24" s="2">
        <v>838274.03</v>
      </c>
      <c r="G24" s="3">
        <f t="shared" si="0"/>
        <v>660140.79862500005</v>
      </c>
      <c r="H24" s="4">
        <f t="shared" si="1"/>
        <v>2.2725000038727536</v>
      </c>
      <c r="I24" s="7">
        <v>0.12</v>
      </c>
      <c r="J24" s="7">
        <v>1.6500000000000001E-2</v>
      </c>
      <c r="K24" s="7">
        <v>7.5999999999999998E-2</v>
      </c>
      <c r="L24" s="8">
        <f t="shared" si="2"/>
        <v>100592.8836</v>
      </c>
      <c r="M24" s="8">
        <f t="shared" si="3"/>
        <v>13831.521495000001</v>
      </c>
      <c r="N24" s="8">
        <f t="shared" si="4"/>
        <v>63708.826280000001</v>
      </c>
    </row>
    <row r="25" spans="2:14">
      <c r="B25" s="5">
        <v>44621</v>
      </c>
      <c r="C25" s="1" t="s">
        <v>17</v>
      </c>
      <c r="D25" s="6" t="s">
        <v>62</v>
      </c>
      <c r="E25" s="1">
        <v>493489</v>
      </c>
      <c r="F25" s="2">
        <v>2028098.79</v>
      </c>
      <c r="G25" s="3">
        <f t="shared" si="0"/>
        <v>1597127.797125</v>
      </c>
      <c r="H25" s="4">
        <f t="shared" si="1"/>
        <v>3.2363999949846907</v>
      </c>
      <c r="I25" s="7">
        <v>0.12</v>
      </c>
      <c r="J25" s="7">
        <v>1.6500000000000001E-2</v>
      </c>
      <c r="K25" s="7">
        <v>7.5999999999999998E-2</v>
      </c>
      <c r="L25" s="8">
        <f t="shared" si="2"/>
        <v>243371.8548</v>
      </c>
      <c r="M25" s="8">
        <f t="shared" si="3"/>
        <v>33463.630035000002</v>
      </c>
      <c r="N25" s="8">
        <f t="shared" si="4"/>
        <v>154135.50803999999</v>
      </c>
    </row>
    <row r="26" spans="2:14">
      <c r="B26" s="5">
        <v>44621</v>
      </c>
      <c r="C26" s="1" t="s">
        <v>17</v>
      </c>
      <c r="D26" s="6" t="s">
        <v>63</v>
      </c>
      <c r="E26" s="1">
        <v>318441</v>
      </c>
      <c r="F26" s="2">
        <v>1308701.52</v>
      </c>
      <c r="G26" s="3">
        <f t="shared" si="0"/>
        <v>1030602.447</v>
      </c>
      <c r="H26" s="4">
        <f t="shared" si="1"/>
        <v>3.2363999830423849</v>
      </c>
      <c r="I26" s="7">
        <v>0.12</v>
      </c>
      <c r="J26" s="7">
        <v>1.6500000000000001E-2</v>
      </c>
      <c r="K26" s="7">
        <v>7.5999999999999998E-2</v>
      </c>
      <c r="L26" s="8">
        <f t="shared" si="2"/>
        <v>157044.18239999999</v>
      </c>
      <c r="M26" s="8">
        <f t="shared" si="3"/>
        <v>21593.575080000002</v>
      </c>
      <c r="N26" s="8">
        <f t="shared" si="4"/>
        <v>99461.315520000004</v>
      </c>
    </row>
    <row r="27" spans="2:14">
      <c r="B27" s="5">
        <v>44621</v>
      </c>
      <c r="C27" s="1" t="s">
        <v>17</v>
      </c>
      <c r="D27" s="6" t="s">
        <v>64</v>
      </c>
      <c r="E27" s="1">
        <v>210891.97099999999</v>
      </c>
      <c r="F27" s="2">
        <v>866705.74</v>
      </c>
      <c r="G27" s="3">
        <f t="shared" si="0"/>
        <v>682530.77025000006</v>
      </c>
      <c r="H27" s="4">
        <f t="shared" si="1"/>
        <v>3.2363999777402626</v>
      </c>
      <c r="I27" s="7">
        <v>0.12</v>
      </c>
      <c r="J27" s="7">
        <v>1.6500000000000001E-2</v>
      </c>
      <c r="K27" s="7">
        <v>7.5999999999999998E-2</v>
      </c>
      <c r="L27" s="8">
        <f t="shared" si="2"/>
        <v>104004.68879999999</v>
      </c>
      <c r="M27" s="8">
        <f t="shared" si="3"/>
        <v>14300.64471</v>
      </c>
      <c r="N27" s="8">
        <f t="shared" si="4"/>
        <v>65869.636239999993</v>
      </c>
    </row>
    <row r="28" spans="2:14">
      <c r="B28" s="5">
        <v>44621</v>
      </c>
      <c r="C28" s="1" t="s">
        <v>17</v>
      </c>
      <c r="D28" s="6" t="s">
        <v>65</v>
      </c>
      <c r="E28" s="1">
        <v>116219.02899999999</v>
      </c>
      <c r="F28" s="2">
        <v>477627.01</v>
      </c>
      <c r="G28" s="3">
        <f t="shared" si="0"/>
        <v>376131.27037500002</v>
      </c>
      <c r="H28" s="4">
        <f t="shared" si="1"/>
        <v>3.2364000423286967</v>
      </c>
      <c r="I28" s="7">
        <v>0.12</v>
      </c>
      <c r="J28" s="7">
        <v>1.6500000000000001E-2</v>
      </c>
      <c r="K28" s="7">
        <v>7.5999999999999998E-2</v>
      </c>
      <c r="L28" s="8">
        <f t="shared" si="2"/>
        <v>57315.241199999997</v>
      </c>
      <c r="M28" s="8">
        <f t="shared" si="3"/>
        <v>7880.8456650000007</v>
      </c>
      <c r="N28" s="8">
        <f t="shared" si="4"/>
        <v>36299.652759999997</v>
      </c>
    </row>
    <row r="29" spans="2:14">
      <c r="B29" s="5">
        <v>44621</v>
      </c>
      <c r="C29" s="1" t="s">
        <v>17</v>
      </c>
      <c r="D29" s="6" t="s">
        <v>66</v>
      </c>
      <c r="E29" s="1">
        <v>86428</v>
      </c>
      <c r="F29" s="2">
        <v>333988.75</v>
      </c>
      <c r="G29" s="3">
        <f t="shared" si="0"/>
        <v>279715.578125</v>
      </c>
      <c r="H29" s="4">
        <f t="shared" si="1"/>
        <v>3.2363999875619012</v>
      </c>
      <c r="I29" s="7">
        <v>7.0000000000000007E-2</v>
      </c>
      <c r="J29" s="7">
        <v>1.6500000000000001E-2</v>
      </c>
      <c r="K29" s="7">
        <v>7.5999999999999998E-2</v>
      </c>
      <c r="L29" s="8">
        <f t="shared" si="2"/>
        <v>23379.212500000001</v>
      </c>
      <c r="M29" s="8">
        <f t="shared" si="3"/>
        <v>5510.8143749999999</v>
      </c>
      <c r="N29" s="8">
        <f t="shared" si="4"/>
        <v>25383.145</v>
      </c>
    </row>
    <row r="30" spans="2:14">
      <c r="B30" s="5">
        <v>44621</v>
      </c>
      <c r="C30" s="1" t="s">
        <v>17</v>
      </c>
      <c r="D30" s="6" t="s">
        <v>67</v>
      </c>
      <c r="E30" s="1">
        <v>31839</v>
      </c>
      <c r="F30" s="2">
        <v>130849.19</v>
      </c>
      <c r="G30" s="3">
        <f t="shared" si="0"/>
        <v>103043.737125</v>
      </c>
      <c r="H30" s="4">
        <f t="shared" si="1"/>
        <v>3.2363999222651465</v>
      </c>
      <c r="I30" s="7">
        <v>0.12</v>
      </c>
      <c r="J30" s="7">
        <v>1.6500000000000001E-2</v>
      </c>
      <c r="K30" s="7">
        <v>7.5999999999999998E-2</v>
      </c>
      <c r="L30" s="8">
        <f t="shared" si="2"/>
        <v>15701.9028</v>
      </c>
      <c r="M30" s="8">
        <f t="shared" si="3"/>
        <v>2159.0116350000003</v>
      </c>
      <c r="N30" s="8">
        <f t="shared" si="4"/>
        <v>9944.5384400000003</v>
      </c>
    </row>
    <row r="31" spans="2:14">
      <c r="B31" s="5">
        <v>44621</v>
      </c>
      <c r="C31" s="1" t="s">
        <v>17</v>
      </c>
      <c r="D31" s="6" t="s">
        <v>68</v>
      </c>
      <c r="E31" s="1">
        <v>14250</v>
      </c>
      <c r="F31" s="2">
        <v>58563.43</v>
      </c>
      <c r="G31" s="3">
        <f t="shared" si="0"/>
        <v>46118.701125</v>
      </c>
      <c r="H31" s="4">
        <f t="shared" si="1"/>
        <v>3.2364000789473684</v>
      </c>
      <c r="I31" s="7">
        <v>0.12</v>
      </c>
      <c r="J31" s="7">
        <v>1.6500000000000001E-2</v>
      </c>
      <c r="K31" s="7">
        <v>7.5999999999999998E-2</v>
      </c>
      <c r="L31" s="8">
        <f t="shared" si="2"/>
        <v>7027.6116000000002</v>
      </c>
      <c r="M31" s="8">
        <f t="shared" si="3"/>
        <v>966.29659500000002</v>
      </c>
      <c r="N31" s="8">
        <f t="shared" si="4"/>
        <v>4450.8206799999998</v>
      </c>
    </row>
    <row r="32" spans="2:14">
      <c r="B32" s="5">
        <v>44621</v>
      </c>
      <c r="C32" s="1" t="s">
        <v>17</v>
      </c>
      <c r="D32" s="6" t="s">
        <v>69</v>
      </c>
      <c r="E32" s="1">
        <v>13127</v>
      </c>
      <c r="F32" s="2">
        <v>53948.22</v>
      </c>
      <c r="G32" s="3">
        <f t="shared" si="0"/>
        <v>42484.223250000003</v>
      </c>
      <c r="H32" s="4">
        <f t="shared" si="1"/>
        <v>3.2364000342804906</v>
      </c>
      <c r="I32" s="7">
        <v>0.12</v>
      </c>
      <c r="J32" s="7">
        <v>1.6500000000000001E-2</v>
      </c>
      <c r="K32" s="7">
        <v>7.5999999999999998E-2</v>
      </c>
      <c r="L32" s="8">
        <f t="shared" si="2"/>
        <v>6473.7864</v>
      </c>
      <c r="M32" s="8">
        <f t="shared" si="3"/>
        <v>890.1456300000001</v>
      </c>
      <c r="N32" s="8">
        <f t="shared" si="4"/>
        <v>4100.0647200000003</v>
      </c>
    </row>
    <row r="33" spans="2:14">
      <c r="B33" s="5">
        <v>44621</v>
      </c>
      <c r="C33" s="1" t="s">
        <v>17</v>
      </c>
      <c r="D33" s="6" t="s">
        <v>70</v>
      </c>
      <c r="E33" s="1">
        <v>14014</v>
      </c>
      <c r="F33" s="2">
        <v>74746.67</v>
      </c>
      <c r="G33" s="3">
        <f t="shared" si="0"/>
        <v>58863.002625000001</v>
      </c>
      <c r="H33" s="4">
        <f t="shared" si="1"/>
        <v>4.2002998876123874</v>
      </c>
      <c r="I33" s="7">
        <v>0.12</v>
      </c>
      <c r="J33" s="7">
        <v>1.6500000000000001E-2</v>
      </c>
      <c r="K33" s="7">
        <v>7.5999999999999998E-2</v>
      </c>
      <c r="L33" s="8">
        <f t="shared" si="2"/>
        <v>8969.6003999999994</v>
      </c>
      <c r="M33" s="8">
        <f t="shared" si="3"/>
        <v>1233.3200550000001</v>
      </c>
      <c r="N33" s="8">
        <f t="shared" si="4"/>
        <v>5680.7469199999996</v>
      </c>
    </row>
    <row r="34" spans="2:14">
      <c r="B34" s="5">
        <v>44621</v>
      </c>
      <c r="C34" s="1" t="s">
        <v>17</v>
      </c>
      <c r="D34" s="6" t="s">
        <v>71</v>
      </c>
      <c r="E34" s="1">
        <v>5899</v>
      </c>
      <c r="F34" s="2">
        <v>31463.58</v>
      </c>
      <c r="G34" s="3">
        <f t="shared" si="0"/>
        <v>24777.56925</v>
      </c>
      <c r="H34" s="4">
        <f t="shared" si="1"/>
        <v>4.2002999237158845</v>
      </c>
      <c r="I34" s="7">
        <v>0.12</v>
      </c>
      <c r="J34" s="7">
        <v>1.6500000000000001E-2</v>
      </c>
      <c r="K34" s="7">
        <v>7.5999999999999998E-2</v>
      </c>
      <c r="L34" s="8">
        <f t="shared" si="2"/>
        <v>3775.6296000000002</v>
      </c>
      <c r="M34" s="8">
        <f t="shared" si="3"/>
        <v>519.14907000000005</v>
      </c>
      <c r="N34" s="8">
        <f t="shared" si="4"/>
        <v>2391.2320800000002</v>
      </c>
    </row>
    <row r="35" spans="2:14">
      <c r="B35" s="5">
        <v>44621</v>
      </c>
      <c r="C35" s="1" t="s">
        <v>17</v>
      </c>
      <c r="D35" s="6" t="s">
        <v>72</v>
      </c>
      <c r="E35" s="1">
        <v>1056</v>
      </c>
      <c r="F35" s="2">
        <v>5632.41</v>
      </c>
      <c r="G35" s="3">
        <f t="shared" si="0"/>
        <v>4435.5228749999997</v>
      </c>
      <c r="H35" s="4">
        <f t="shared" si="1"/>
        <v>4.2003057528409089</v>
      </c>
      <c r="I35" s="7">
        <v>0.12</v>
      </c>
      <c r="J35" s="7">
        <v>1.6500000000000001E-2</v>
      </c>
      <c r="K35" s="7">
        <v>7.5999999999999998E-2</v>
      </c>
      <c r="L35" s="8">
        <f t="shared" si="2"/>
        <v>675.88919999999996</v>
      </c>
      <c r="M35" s="8">
        <f t="shared" si="3"/>
        <v>92.934764999999999</v>
      </c>
      <c r="N35" s="8">
        <f t="shared" si="4"/>
        <v>428.06315999999998</v>
      </c>
    </row>
    <row r="36" spans="2:14">
      <c r="B36" s="5">
        <v>44621</v>
      </c>
      <c r="C36" s="1" t="s">
        <v>17</v>
      </c>
      <c r="D36" s="6" t="s">
        <v>73</v>
      </c>
      <c r="E36" s="1">
        <v>416</v>
      </c>
      <c r="F36" s="2">
        <v>2218.8200000000002</v>
      </c>
      <c r="G36" s="3">
        <f t="shared" si="0"/>
        <v>1747.3207500000003</v>
      </c>
      <c r="H36" s="4">
        <f t="shared" si="1"/>
        <v>4.200290264423078</v>
      </c>
      <c r="I36" s="7">
        <v>0.12</v>
      </c>
      <c r="J36" s="7">
        <v>1.6500000000000001E-2</v>
      </c>
      <c r="K36" s="7">
        <v>7.5999999999999998E-2</v>
      </c>
      <c r="L36" s="8">
        <f t="shared" si="2"/>
        <v>266.25839999999999</v>
      </c>
      <c r="M36" s="8">
        <f t="shared" si="3"/>
        <v>36.610530000000004</v>
      </c>
      <c r="N36" s="8">
        <f t="shared" si="4"/>
        <v>168.63032000000001</v>
      </c>
    </row>
    <row r="37" spans="2:14">
      <c r="B37" s="5">
        <v>44621</v>
      </c>
      <c r="C37" s="1" t="s">
        <v>17</v>
      </c>
      <c r="D37" s="6" t="s">
        <v>74</v>
      </c>
      <c r="E37" s="1">
        <v>38</v>
      </c>
      <c r="F37" s="2">
        <v>202.68</v>
      </c>
      <c r="G37" s="3">
        <f t="shared" si="0"/>
        <v>159.6105</v>
      </c>
      <c r="H37" s="4">
        <f t="shared" si="1"/>
        <v>4.2002763157894734</v>
      </c>
      <c r="I37" s="7">
        <v>0.12</v>
      </c>
      <c r="J37" s="7">
        <v>1.6500000000000001E-2</v>
      </c>
      <c r="K37" s="7">
        <v>7.5999999999999998E-2</v>
      </c>
      <c r="L37" s="8">
        <f t="shared" si="2"/>
        <v>24.3216</v>
      </c>
      <c r="M37" s="8">
        <f t="shared" si="3"/>
        <v>3.3442200000000004</v>
      </c>
      <c r="N37" s="8">
        <f t="shared" si="4"/>
        <v>15.40368</v>
      </c>
    </row>
    <row r="38" spans="2:14">
      <c r="B38" s="5">
        <v>44621</v>
      </c>
      <c r="C38" s="1" t="s">
        <v>33</v>
      </c>
      <c r="D38" s="6" t="s">
        <v>75</v>
      </c>
      <c r="E38" s="1">
        <v>25482782</v>
      </c>
      <c r="F38" s="2">
        <v>51933400.060000002</v>
      </c>
      <c r="G38" s="3">
        <f t="shared" si="0"/>
        <v>43830491.315638497</v>
      </c>
      <c r="H38" s="4">
        <f t="shared" si="1"/>
        <v>1.7200041704880769</v>
      </c>
      <c r="I38" s="7">
        <v>7.0000000000000007E-2</v>
      </c>
      <c r="J38" s="7">
        <v>1.6500000000000001E-2</v>
      </c>
      <c r="K38" s="7">
        <v>7.5999999999999998E-2</v>
      </c>
      <c r="L38" s="8">
        <f t="shared" si="2"/>
        <v>3635338.0042000003</v>
      </c>
      <c r="M38" s="8">
        <f>+(F38-L38)*J38</f>
        <v>796918.02392070019</v>
      </c>
      <c r="N38" s="8">
        <f>+(F38-L38)*K38</f>
        <v>3670652.7162408005</v>
      </c>
    </row>
    <row r="39" spans="2:14">
      <c r="B39" s="5">
        <v>44621</v>
      </c>
      <c r="C39" s="1" t="s">
        <v>37</v>
      </c>
      <c r="D39" s="6" t="s">
        <v>76</v>
      </c>
      <c r="E39" s="1">
        <v>693387</v>
      </c>
      <c r="F39" s="2">
        <v>3221059.97</v>
      </c>
      <c r="G39" s="3">
        <f t="shared" si="0"/>
        <v>2396951.7766755</v>
      </c>
      <c r="H39" s="4">
        <f t="shared" si="1"/>
        <v>3.4568744102146418</v>
      </c>
      <c r="I39" s="7">
        <v>0.18</v>
      </c>
      <c r="J39" s="7">
        <v>1.6500000000000001E-2</v>
      </c>
      <c r="K39" s="7">
        <v>7.5999999999999998E-2</v>
      </c>
      <c r="L39" s="8">
        <f t="shared" si="2"/>
        <v>579790.79460000002</v>
      </c>
      <c r="M39" s="8">
        <f t="shared" ref="M39:M40" si="5">+(F39-L39)*J39</f>
        <v>43580.941394100002</v>
      </c>
      <c r="N39" s="8">
        <f t="shared" ref="N39:N40" si="6">+(F39-L39)*K39</f>
        <v>200736.45733040001</v>
      </c>
    </row>
    <row r="40" spans="2:14">
      <c r="B40" s="5">
        <v>44621</v>
      </c>
      <c r="C40" s="1" t="s">
        <v>36</v>
      </c>
      <c r="D40" s="6" t="s">
        <v>54</v>
      </c>
      <c r="E40" s="1">
        <v>70256</v>
      </c>
      <c r="F40" s="2">
        <v>317409.58</v>
      </c>
      <c r="G40" s="3">
        <f t="shared" si="0"/>
        <v>236200.338957</v>
      </c>
      <c r="H40" s="4">
        <f t="shared" si="1"/>
        <v>3.361995259579253</v>
      </c>
      <c r="I40" s="7">
        <v>0.18</v>
      </c>
      <c r="J40" s="7">
        <v>1.6500000000000001E-2</v>
      </c>
      <c r="K40" s="7">
        <v>7.5999999999999998E-2</v>
      </c>
      <c r="L40" s="8">
        <f t="shared" si="2"/>
        <v>57133.724399999999</v>
      </c>
      <c r="M40" s="8">
        <f t="shared" si="5"/>
        <v>4294.5516174000004</v>
      </c>
      <c r="N40" s="8">
        <f t="shared" si="6"/>
        <v>19780.965025599999</v>
      </c>
    </row>
    <row r="41" spans="2:14" hidden="1">
      <c r="B41" s="5"/>
      <c r="C41" s="1"/>
      <c r="D41" s="6"/>
      <c r="E41" s="1"/>
      <c r="F41" s="2"/>
      <c r="G41" s="3"/>
      <c r="H41" s="4"/>
      <c r="I41" s="7"/>
      <c r="J41" s="7"/>
      <c r="K41" s="7"/>
      <c r="L41" s="8"/>
      <c r="M41" s="8"/>
      <c r="N41" s="8"/>
    </row>
    <row r="42" spans="2:14" hidden="1">
      <c r="B42" s="5"/>
      <c r="C42" s="1"/>
      <c r="D42" s="6"/>
      <c r="E42" s="1"/>
      <c r="F42" s="2"/>
      <c r="G42" s="3"/>
      <c r="H42" s="4"/>
      <c r="I42" s="7"/>
      <c r="J42" s="7"/>
      <c r="K42" s="7"/>
      <c r="L42" s="8"/>
      <c r="M42" s="8"/>
      <c r="N42" s="8"/>
    </row>
    <row r="43" spans="2:14" hidden="1">
      <c r="B43" s="5"/>
      <c r="C43" s="1"/>
      <c r="D43" s="6"/>
      <c r="E43" s="1"/>
      <c r="F43" s="2"/>
      <c r="G43" s="3"/>
      <c r="H43" s="4"/>
      <c r="I43" s="7"/>
      <c r="J43" s="7"/>
      <c r="K43" s="7"/>
      <c r="L43" s="8"/>
      <c r="M43" s="8"/>
      <c r="N43" s="8"/>
    </row>
    <row r="44" spans="2:14" hidden="1">
      <c r="B44" s="5"/>
      <c r="C44" s="1"/>
      <c r="D44" s="6"/>
      <c r="E44" s="1"/>
      <c r="F44" s="2"/>
      <c r="G44" s="3"/>
      <c r="H44" s="4"/>
      <c r="I44" s="7"/>
      <c r="J44" s="7"/>
      <c r="K44" s="7"/>
      <c r="L44" s="8"/>
      <c r="M44" s="8"/>
      <c r="N44" s="8"/>
    </row>
    <row r="45" spans="2:14">
      <c r="E45" s="28">
        <f>SUM(E18:E40)</f>
        <v>53085048</v>
      </c>
      <c r="G45" s="29">
        <f>SUM(G18:G40)</f>
        <v>108734021.32839601</v>
      </c>
    </row>
    <row r="47" spans="2:14" ht="15.75" thickBot="1"/>
    <row r="48" spans="2:14">
      <c r="B48" s="382" t="s">
        <v>131</v>
      </c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4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>
      <c r="B52" s="385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</row>
    <row r="53" spans="2:14" ht="15.75" thickBot="1">
      <c r="B53" s="388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90"/>
    </row>
  </sheetData>
  <mergeCells count="3">
    <mergeCell ref="C2:L2"/>
    <mergeCell ref="L16:N16"/>
    <mergeCell ref="B48:N53"/>
  </mergeCells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N53"/>
  <sheetViews>
    <sheetView showGridLines="0" topLeftCell="A13" zoomScale="80" zoomScaleNormal="80" workbookViewId="0">
      <selection activeCell="E41" sqref="E41"/>
    </sheetView>
  </sheetViews>
  <sheetFormatPr defaultColWidth="8.7109375" defaultRowHeight="15"/>
  <cols>
    <col min="2" max="2" width="6.140625" bestFit="1" customWidth="1"/>
    <col min="3" max="3" width="26.5703125" bestFit="1" customWidth="1"/>
    <col min="4" max="4" width="14.85546875" bestFit="1" customWidth="1"/>
    <col min="5" max="5" width="11.7109375" bestFit="1" customWidth="1"/>
    <col min="6" max="7" width="19.85546875" bestFit="1" customWidth="1"/>
    <col min="8" max="8" width="10.5703125" bestFit="1" customWidth="1"/>
    <col min="9" max="9" width="7" bestFit="1" customWidth="1"/>
    <col min="10" max="10" width="6" bestFit="1" customWidth="1"/>
    <col min="11" max="11" width="7.85546875" bestFit="1" customWidth="1"/>
    <col min="12" max="14" width="15.8554687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44652</v>
      </c>
    </row>
    <row r="5" spans="2:14">
      <c r="C5" t="s">
        <v>17</v>
      </c>
      <c r="D5" s="14">
        <f ca="1">SUMIF($C$18:$G$40,$C$5:$C$7,$G$18:$G$40)/SUMIF($C$18:$G$40,$C$5:$C$7,$E$18:$E$40)</f>
        <v>2.3200881210806941</v>
      </c>
    </row>
    <row r="6" spans="2:14">
      <c r="C6" t="s">
        <v>33</v>
      </c>
      <c r="D6" s="14">
        <f ca="1">SUMIF($C$18:$G$40,$C$5:$C$7,$G$18:$G$40)/SUMIF($C$18:$G$40,$C$5:$C$7,$E$18:$E$40)</f>
        <v>1.7200210498636737</v>
      </c>
    </row>
    <row r="7" spans="2:14">
      <c r="C7" t="s">
        <v>126</v>
      </c>
      <c r="D7" s="14">
        <f>SUM(G35:G36)/SUM(E35:E36)</f>
        <v>3.442149912396721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+G45/E45</f>
        <v>2.0403834557427007</v>
      </c>
      <c r="E9" s="14"/>
      <c r="L9" s="16" t="str">
        <f>+C5</f>
        <v>Petrobras</v>
      </c>
      <c r="M9" s="17">
        <f>790000/1580000</f>
        <v>0.5</v>
      </c>
      <c r="N9" s="17">
        <f>+SUM(E18:E33)/E45</f>
        <v>0.50813882210313832</v>
      </c>
    </row>
    <row r="10" spans="2:14">
      <c r="L10" s="16" t="str">
        <f>+C6</f>
        <v>Shell</v>
      </c>
      <c r="M10" s="17">
        <v>0.47468354430379744</v>
      </c>
      <c r="N10" s="17">
        <f>+E34/E45</f>
        <v>0.48289260913063559</v>
      </c>
    </row>
    <row r="11" spans="2:14">
      <c r="C11" t="s">
        <v>132</v>
      </c>
      <c r="D11" s="14">
        <v>2.0249999999999999</v>
      </c>
      <c r="L11" s="16" t="str">
        <f>+C7</f>
        <v>NFE</v>
      </c>
      <c r="M11" s="18">
        <v>2.5316455696202531E-2</v>
      </c>
      <c r="N11" s="18">
        <f>+SUM(E35:E36)/E45</f>
        <v>8.9685687662260614E-3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1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2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2:14">
      <c r="B18" s="5">
        <v>44652</v>
      </c>
      <c r="C18" s="1" t="s">
        <v>17</v>
      </c>
      <c r="D18" s="6" t="s">
        <v>77</v>
      </c>
      <c r="E18" s="1">
        <v>2640756</v>
      </c>
      <c r="F18" s="2">
        <v>7620467.3099999996</v>
      </c>
      <c r="G18" s="3">
        <f t="shared" ref="G18:G36" si="0">F18-SUM(L18:N18)</f>
        <v>6001118.0066249995</v>
      </c>
      <c r="H18" s="4">
        <f t="shared" ref="H18:H36" si="1">+IF(G18=0,0,G18/E18)</f>
        <v>2.2724999987219565</v>
      </c>
      <c r="I18" s="7">
        <v>0.12</v>
      </c>
      <c r="J18" s="7">
        <v>1.6500000000000001E-2</v>
      </c>
      <c r="K18" s="7">
        <v>7.5999999999999998E-2</v>
      </c>
      <c r="L18" s="8">
        <f t="shared" ref="L18:L36" si="2">+I18*F18</f>
        <v>914456.07719999994</v>
      </c>
      <c r="M18" s="8">
        <f t="shared" ref="M18:M33" si="3">+F18*J18</f>
        <v>125737.710615</v>
      </c>
      <c r="N18" s="8">
        <f t="shared" ref="N18:N33" si="4">K18*F18</f>
        <v>579155.51555999997</v>
      </c>
    </row>
    <row r="19" spans="2:14">
      <c r="B19" s="5">
        <v>44652</v>
      </c>
      <c r="C19" s="1" t="s">
        <v>17</v>
      </c>
      <c r="D19" s="6" t="s">
        <v>78</v>
      </c>
      <c r="E19" s="1">
        <v>165324</v>
      </c>
      <c r="F19" s="2">
        <v>477077.83</v>
      </c>
      <c r="G19" s="3">
        <f t="shared" si="0"/>
        <v>375698.79112499999</v>
      </c>
      <c r="H19" s="4">
        <f t="shared" si="1"/>
        <v>2.2725000068048193</v>
      </c>
      <c r="I19" s="7">
        <v>0.12</v>
      </c>
      <c r="J19" s="7">
        <v>1.6500000000000001E-2</v>
      </c>
      <c r="K19" s="7">
        <v>7.5999999999999998E-2</v>
      </c>
      <c r="L19" s="8">
        <f t="shared" si="2"/>
        <v>57249.339599999999</v>
      </c>
      <c r="M19" s="8">
        <f t="shared" si="3"/>
        <v>7871.7841950000011</v>
      </c>
      <c r="N19" s="8">
        <f t="shared" si="4"/>
        <v>36257.915079999999</v>
      </c>
    </row>
    <row r="20" spans="2:14">
      <c r="B20" s="5">
        <v>44652</v>
      </c>
      <c r="C20" s="1" t="s">
        <v>17</v>
      </c>
      <c r="D20" s="6" t="s">
        <v>79</v>
      </c>
      <c r="E20" s="1">
        <v>4839057</v>
      </c>
      <c r="F20" s="2">
        <v>13964135.91</v>
      </c>
      <c r="G20" s="3">
        <f t="shared" si="0"/>
        <v>10996757.029125001</v>
      </c>
      <c r="H20" s="4">
        <f t="shared" si="1"/>
        <v>2.2724999993025503</v>
      </c>
      <c r="I20" s="7">
        <v>0.12</v>
      </c>
      <c r="J20" s="7">
        <v>1.6500000000000001E-2</v>
      </c>
      <c r="K20" s="7">
        <v>7.5999999999999998E-2</v>
      </c>
      <c r="L20" s="8">
        <f t="shared" si="2"/>
        <v>1675696.3092</v>
      </c>
      <c r="M20" s="8">
        <f t="shared" si="3"/>
        <v>230408.24251500002</v>
      </c>
      <c r="N20" s="8">
        <f t="shared" si="4"/>
        <v>1061274.32916</v>
      </c>
    </row>
    <row r="21" spans="2:14">
      <c r="B21" s="5">
        <v>44652</v>
      </c>
      <c r="C21" s="1" t="s">
        <v>17</v>
      </c>
      <c r="D21" s="6" t="s">
        <v>80</v>
      </c>
      <c r="E21" s="1">
        <v>142068</v>
      </c>
      <c r="F21" s="2">
        <v>409967.66</v>
      </c>
      <c r="G21" s="3">
        <f t="shared" si="0"/>
        <v>322849.53224999999</v>
      </c>
      <c r="H21" s="4">
        <f t="shared" si="1"/>
        <v>2.2725000158374864</v>
      </c>
      <c r="I21" s="7">
        <v>0.12</v>
      </c>
      <c r="J21" s="7">
        <v>1.6500000000000001E-2</v>
      </c>
      <c r="K21" s="7">
        <v>7.5999999999999998E-2</v>
      </c>
      <c r="L21" s="8">
        <f t="shared" si="2"/>
        <v>49196.119199999994</v>
      </c>
      <c r="M21" s="8">
        <f t="shared" si="3"/>
        <v>6764.4663899999996</v>
      </c>
      <c r="N21" s="8">
        <f t="shared" si="4"/>
        <v>31157.542159999997</v>
      </c>
    </row>
    <row r="22" spans="2:14">
      <c r="B22" s="5">
        <v>44652</v>
      </c>
      <c r="C22" s="1" t="s">
        <v>17</v>
      </c>
      <c r="D22" s="6" t="s">
        <v>81</v>
      </c>
      <c r="E22" s="1">
        <v>4593055</v>
      </c>
      <c r="F22" s="2">
        <v>13254244.43</v>
      </c>
      <c r="G22" s="3">
        <f t="shared" si="0"/>
        <v>10437717.488624999</v>
      </c>
      <c r="H22" s="4">
        <f t="shared" si="1"/>
        <v>2.2725000002449347</v>
      </c>
      <c r="I22" s="7">
        <v>0.12</v>
      </c>
      <c r="J22" s="7">
        <v>1.6500000000000001E-2</v>
      </c>
      <c r="K22" s="7">
        <v>7.5999999999999998E-2</v>
      </c>
      <c r="L22" s="8">
        <f t="shared" si="2"/>
        <v>1590509.3315999999</v>
      </c>
      <c r="M22" s="8">
        <f t="shared" si="3"/>
        <v>218695.03309499999</v>
      </c>
      <c r="N22" s="8">
        <f t="shared" si="4"/>
        <v>1007322.5766799999</v>
      </c>
    </row>
    <row r="23" spans="2:14">
      <c r="B23" s="5">
        <v>44652</v>
      </c>
      <c r="C23" s="1" t="s">
        <v>17</v>
      </c>
      <c r="D23" s="6" t="s">
        <v>82</v>
      </c>
      <c r="E23" s="1">
        <v>12439043</v>
      </c>
      <c r="F23" s="2">
        <v>33752507.729999997</v>
      </c>
      <c r="G23" s="3">
        <f t="shared" si="0"/>
        <v>28267725.223874997</v>
      </c>
      <c r="H23" s="4">
        <f t="shared" si="1"/>
        <v>2.2725000005124989</v>
      </c>
      <c r="I23" s="7">
        <v>7.0000000000000007E-2</v>
      </c>
      <c r="J23" s="7">
        <v>1.6500000000000001E-2</v>
      </c>
      <c r="K23" s="7">
        <v>7.5999999999999998E-2</v>
      </c>
      <c r="L23" s="8">
        <f t="shared" si="2"/>
        <v>2362675.5411</v>
      </c>
      <c r="M23" s="8">
        <f t="shared" si="3"/>
        <v>556916.37754499994</v>
      </c>
      <c r="N23" s="8">
        <f t="shared" si="4"/>
        <v>2565190.5874799998</v>
      </c>
    </row>
    <row r="24" spans="2:14">
      <c r="B24" s="5">
        <v>44652</v>
      </c>
      <c r="C24" s="1" t="s">
        <v>17</v>
      </c>
      <c r="D24" s="6" t="s">
        <v>83</v>
      </c>
      <c r="E24" s="1">
        <v>588</v>
      </c>
      <c r="F24" s="2">
        <v>2416.5100000000002</v>
      </c>
      <c r="G24" s="3">
        <f t="shared" si="0"/>
        <v>1903.0016250000003</v>
      </c>
      <c r="H24" s="4">
        <f t="shared" si="1"/>
        <v>3.2363973214285719</v>
      </c>
      <c r="I24" s="7">
        <v>0.12</v>
      </c>
      <c r="J24" s="7">
        <v>1.6500000000000001E-2</v>
      </c>
      <c r="K24" s="7">
        <v>7.5999999999999998E-2</v>
      </c>
      <c r="L24" s="8">
        <f t="shared" si="2"/>
        <v>289.9812</v>
      </c>
      <c r="M24" s="8">
        <f t="shared" si="3"/>
        <v>39.872415000000004</v>
      </c>
      <c r="N24" s="8">
        <f t="shared" si="4"/>
        <v>183.65476000000001</v>
      </c>
    </row>
    <row r="25" spans="2:14">
      <c r="B25" s="5">
        <v>44652</v>
      </c>
      <c r="C25" s="1" t="s">
        <v>17</v>
      </c>
      <c r="D25" s="6" t="s">
        <v>84</v>
      </c>
      <c r="E25" s="1">
        <v>10908</v>
      </c>
      <c r="F25" s="2">
        <v>44828.76</v>
      </c>
      <c r="G25" s="3">
        <f t="shared" si="0"/>
        <v>35302.648500000003</v>
      </c>
      <c r="H25" s="4">
        <f t="shared" si="1"/>
        <v>3.2363997524752479</v>
      </c>
      <c r="I25" s="7">
        <v>0.12</v>
      </c>
      <c r="J25" s="7">
        <v>1.6500000000000001E-2</v>
      </c>
      <c r="K25" s="7">
        <v>7.5999999999999998E-2</v>
      </c>
      <c r="L25" s="8">
        <f t="shared" si="2"/>
        <v>5379.4512000000004</v>
      </c>
      <c r="M25" s="8">
        <f t="shared" si="3"/>
        <v>739.67454000000009</v>
      </c>
      <c r="N25" s="8">
        <f t="shared" si="4"/>
        <v>3406.98576</v>
      </c>
    </row>
    <row r="26" spans="2:14">
      <c r="B26" s="5">
        <v>44652</v>
      </c>
      <c r="C26" s="1" t="s">
        <v>17</v>
      </c>
      <c r="D26" s="6" t="s">
        <v>85</v>
      </c>
      <c r="E26" s="1">
        <v>116437</v>
      </c>
      <c r="F26" s="2">
        <v>478522.81</v>
      </c>
      <c r="G26" s="3">
        <f t="shared" si="0"/>
        <v>376836.71287499997</v>
      </c>
      <c r="H26" s="4">
        <f t="shared" si="1"/>
        <v>3.2364000521741367</v>
      </c>
      <c r="I26" s="7">
        <v>0.12</v>
      </c>
      <c r="J26" s="7">
        <v>1.6500000000000001E-2</v>
      </c>
      <c r="K26" s="7">
        <v>7.5999999999999998E-2</v>
      </c>
      <c r="L26" s="8">
        <f t="shared" si="2"/>
        <v>57422.737199999996</v>
      </c>
      <c r="M26" s="8">
        <f t="shared" si="3"/>
        <v>7895.6263650000001</v>
      </c>
      <c r="N26" s="8">
        <f t="shared" si="4"/>
        <v>36367.733560000001</v>
      </c>
    </row>
    <row r="27" spans="2:14">
      <c r="B27" s="5">
        <v>44652</v>
      </c>
      <c r="C27" s="1" t="s">
        <v>17</v>
      </c>
      <c r="D27" s="6" t="s">
        <v>86</v>
      </c>
      <c r="E27" s="1">
        <v>657365</v>
      </c>
      <c r="F27" s="2">
        <v>2540293.84</v>
      </c>
      <c r="G27" s="3">
        <f t="shared" si="0"/>
        <v>2127496.091</v>
      </c>
      <c r="H27" s="4">
        <f t="shared" si="1"/>
        <v>3.2364000076061243</v>
      </c>
      <c r="I27" s="7">
        <v>7.0000000000000007E-2</v>
      </c>
      <c r="J27" s="7">
        <v>1.6500000000000001E-2</v>
      </c>
      <c r="K27" s="7">
        <v>7.5999999999999998E-2</v>
      </c>
      <c r="L27" s="8">
        <f t="shared" si="2"/>
        <v>177820.56880000001</v>
      </c>
      <c r="M27" s="8">
        <f t="shared" si="3"/>
        <v>41914.848359999996</v>
      </c>
      <c r="N27" s="8">
        <f t="shared" si="4"/>
        <v>193062.33183999997</v>
      </c>
    </row>
    <row r="28" spans="2:14">
      <c r="B28" s="5">
        <v>44652</v>
      </c>
      <c r="C28" s="1" t="s">
        <v>17</v>
      </c>
      <c r="D28" s="6" t="s">
        <v>87</v>
      </c>
      <c r="E28" s="1">
        <v>200808</v>
      </c>
      <c r="F28" s="2">
        <v>825263.5</v>
      </c>
      <c r="G28" s="3">
        <f t="shared" si="0"/>
        <v>649895.00624999998</v>
      </c>
      <c r="H28" s="4">
        <f t="shared" si="1"/>
        <v>3.2363999753495873</v>
      </c>
      <c r="I28" s="7">
        <v>0.12</v>
      </c>
      <c r="J28" s="7">
        <v>1.6500000000000001E-2</v>
      </c>
      <c r="K28" s="7">
        <v>7.5999999999999998E-2</v>
      </c>
      <c r="L28" s="8">
        <f t="shared" si="2"/>
        <v>99031.62</v>
      </c>
      <c r="M28" s="8">
        <f t="shared" si="3"/>
        <v>13616.847750000001</v>
      </c>
      <c r="N28" s="8">
        <f t="shared" si="4"/>
        <v>62720.025999999998</v>
      </c>
    </row>
    <row r="29" spans="2:14">
      <c r="B29" s="5">
        <v>44652</v>
      </c>
      <c r="C29" s="1" t="s">
        <v>17</v>
      </c>
      <c r="D29" s="6" t="s">
        <v>88</v>
      </c>
      <c r="E29" s="1">
        <v>204847</v>
      </c>
      <c r="F29" s="2">
        <v>841862.64</v>
      </c>
      <c r="G29" s="3">
        <f t="shared" si="0"/>
        <v>662966.82900000003</v>
      </c>
      <c r="H29" s="4">
        <f t="shared" si="1"/>
        <v>3.2363999912129544</v>
      </c>
      <c r="I29" s="7">
        <v>0.12</v>
      </c>
      <c r="J29" s="7">
        <v>1.6500000000000001E-2</v>
      </c>
      <c r="K29" s="7">
        <v>7.5999999999999998E-2</v>
      </c>
      <c r="L29" s="8">
        <f t="shared" si="2"/>
        <v>101023.5168</v>
      </c>
      <c r="M29" s="8">
        <f t="shared" si="3"/>
        <v>13890.733560000001</v>
      </c>
      <c r="N29" s="8">
        <f t="shared" si="4"/>
        <v>63981.560639999996</v>
      </c>
    </row>
    <row r="30" spans="2:14">
      <c r="B30" s="5">
        <v>44652</v>
      </c>
      <c r="C30" s="1" t="s">
        <v>17</v>
      </c>
      <c r="D30" s="6" t="s">
        <v>89</v>
      </c>
      <c r="E30" s="1">
        <v>18000</v>
      </c>
      <c r="F30" s="2">
        <v>96006.86</v>
      </c>
      <c r="G30" s="3">
        <f t="shared" si="0"/>
        <v>75605.402249999999</v>
      </c>
      <c r="H30" s="4">
        <f t="shared" si="1"/>
        <v>4.2003001250000001</v>
      </c>
      <c r="I30" s="7">
        <v>0.12</v>
      </c>
      <c r="J30" s="7">
        <v>1.6500000000000001E-2</v>
      </c>
      <c r="K30" s="7">
        <v>7.5999999999999998E-2</v>
      </c>
      <c r="L30" s="8">
        <f t="shared" si="2"/>
        <v>11520.823199999999</v>
      </c>
      <c r="M30" s="8">
        <f t="shared" si="3"/>
        <v>1584.11319</v>
      </c>
      <c r="N30" s="8">
        <f t="shared" si="4"/>
        <v>7296.5213599999997</v>
      </c>
    </row>
    <row r="31" spans="2:14">
      <c r="B31" s="5">
        <v>44652</v>
      </c>
      <c r="C31" s="1" t="s">
        <v>17</v>
      </c>
      <c r="D31" s="6" t="s">
        <v>90</v>
      </c>
      <c r="E31" s="1">
        <v>964</v>
      </c>
      <c r="F31" s="2">
        <v>5141.7</v>
      </c>
      <c r="G31" s="3">
        <f t="shared" si="0"/>
        <v>4049.0887499999999</v>
      </c>
      <c r="H31" s="4">
        <f t="shared" si="1"/>
        <v>4.2002995331950208</v>
      </c>
      <c r="I31" s="7">
        <v>0.12</v>
      </c>
      <c r="J31" s="7">
        <v>1.6500000000000001E-2</v>
      </c>
      <c r="K31" s="7">
        <v>7.5999999999999998E-2</v>
      </c>
      <c r="L31" s="8">
        <f t="shared" si="2"/>
        <v>617.00399999999991</v>
      </c>
      <c r="M31" s="8">
        <f t="shared" si="3"/>
        <v>84.838049999999996</v>
      </c>
      <c r="N31" s="8">
        <f t="shared" si="4"/>
        <v>390.76919999999996</v>
      </c>
    </row>
    <row r="32" spans="2:14">
      <c r="B32" s="5">
        <v>44652</v>
      </c>
      <c r="C32" s="1" t="s">
        <v>17</v>
      </c>
      <c r="D32" s="6" t="s">
        <v>91</v>
      </c>
      <c r="E32" s="1">
        <v>10752</v>
      </c>
      <c r="F32" s="2">
        <v>53924.33</v>
      </c>
      <c r="G32" s="3">
        <f t="shared" si="0"/>
        <v>45161.626375</v>
      </c>
      <c r="H32" s="4">
        <f t="shared" si="1"/>
        <v>4.2003000720796129</v>
      </c>
      <c r="I32" s="7">
        <v>7.0000000000000007E-2</v>
      </c>
      <c r="J32" s="7">
        <v>1.6500000000000001E-2</v>
      </c>
      <c r="K32" s="7">
        <v>7.5999999999999998E-2</v>
      </c>
      <c r="L32" s="8">
        <f t="shared" si="2"/>
        <v>3774.7031000000006</v>
      </c>
      <c r="M32" s="8">
        <f t="shared" si="3"/>
        <v>889.7514450000001</v>
      </c>
      <c r="N32" s="8">
        <f t="shared" si="4"/>
        <v>4098.2490799999996</v>
      </c>
    </row>
    <row r="33" spans="2:14">
      <c r="B33" s="5">
        <v>44652</v>
      </c>
      <c r="C33" s="1" t="s">
        <v>17</v>
      </c>
      <c r="D33" s="6" t="s">
        <v>92</v>
      </c>
      <c r="E33" s="1">
        <v>18055</v>
      </c>
      <c r="F33" s="2">
        <v>96300.22</v>
      </c>
      <c r="G33" s="3">
        <f t="shared" si="0"/>
        <v>75836.423250000007</v>
      </c>
      <c r="H33" s="4">
        <f t="shared" si="1"/>
        <v>4.2003003738576572</v>
      </c>
      <c r="I33" s="7">
        <v>0.12</v>
      </c>
      <c r="J33" s="7">
        <v>1.6500000000000001E-2</v>
      </c>
      <c r="K33" s="7">
        <v>7.5999999999999998E-2</v>
      </c>
      <c r="L33" s="8">
        <f t="shared" si="2"/>
        <v>11556.026399999999</v>
      </c>
      <c r="M33" s="8">
        <f t="shared" si="3"/>
        <v>1588.9536300000002</v>
      </c>
      <c r="N33" s="8">
        <f t="shared" si="4"/>
        <v>7318.8167199999998</v>
      </c>
    </row>
    <row r="34" spans="2:14">
      <c r="B34" s="5">
        <v>44652</v>
      </c>
      <c r="C34" s="1" t="s">
        <v>33</v>
      </c>
      <c r="D34" s="6" t="s">
        <v>93</v>
      </c>
      <c r="E34" s="1">
        <v>24763368</v>
      </c>
      <c r="F34" s="2">
        <v>50467743.979999997</v>
      </c>
      <c r="G34" s="3">
        <f t="shared" si="0"/>
        <v>42593514.225520499</v>
      </c>
      <c r="H34" s="4">
        <f t="shared" si="1"/>
        <v>1.7200210498636737</v>
      </c>
      <c r="I34" s="7">
        <v>7.0000000000000007E-2</v>
      </c>
      <c r="J34" s="7">
        <v>1.6500000000000001E-2</v>
      </c>
      <c r="K34" s="7">
        <v>7.5999999999999998E-2</v>
      </c>
      <c r="L34" s="8">
        <f t="shared" si="2"/>
        <v>3532742.0786000001</v>
      </c>
      <c r="M34" s="8">
        <f>+(F34-L34)*J34</f>
        <v>774427.53137310001</v>
      </c>
      <c r="N34" s="8">
        <f>+(F34-L34)*K34</f>
        <v>3567060.1445064</v>
      </c>
    </row>
    <row r="35" spans="2:14">
      <c r="B35" s="5">
        <v>44652</v>
      </c>
      <c r="C35" s="1" t="s">
        <v>37</v>
      </c>
      <c r="D35" s="6" t="s">
        <v>94</v>
      </c>
      <c r="E35" s="1">
        <v>388544</v>
      </c>
      <c r="F35" s="2">
        <v>1804942.3</v>
      </c>
      <c r="G35" s="3">
        <f t="shared" si="0"/>
        <v>1343147.8125450001</v>
      </c>
      <c r="H35" s="4">
        <f t="shared" si="1"/>
        <v>3.4568744145965455</v>
      </c>
      <c r="I35" s="7">
        <v>0.18</v>
      </c>
      <c r="J35" s="7">
        <v>1.6500000000000001E-2</v>
      </c>
      <c r="K35" s="7">
        <v>7.5999999999999998E-2</v>
      </c>
      <c r="L35" s="8">
        <f t="shared" si="2"/>
        <v>324889.614</v>
      </c>
      <c r="M35" s="8">
        <f t="shared" ref="M35:M36" si="5">+(F35-L35)*J35</f>
        <v>24420.869319000001</v>
      </c>
      <c r="N35" s="8">
        <f t="shared" ref="N35:N36" si="6">+(F35-L35)*K35</f>
        <v>112484.004136</v>
      </c>
    </row>
    <row r="36" spans="2:14">
      <c r="B36" s="5">
        <v>44652</v>
      </c>
      <c r="C36" s="1" t="s">
        <v>36</v>
      </c>
      <c r="D36" s="6" t="s">
        <v>76</v>
      </c>
      <c r="E36" s="1">
        <v>71376</v>
      </c>
      <c r="F36" s="2">
        <v>322469.63</v>
      </c>
      <c r="G36" s="3">
        <f t="shared" si="0"/>
        <v>239965.7751645</v>
      </c>
      <c r="H36" s="4">
        <f t="shared" si="1"/>
        <v>3.3619952808296905</v>
      </c>
      <c r="I36" s="7">
        <v>0.18</v>
      </c>
      <c r="J36" s="7">
        <v>1.6500000000000001E-2</v>
      </c>
      <c r="K36" s="7">
        <v>7.5999999999999998E-2</v>
      </c>
      <c r="L36" s="8">
        <f t="shared" si="2"/>
        <v>58044.5334</v>
      </c>
      <c r="M36" s="8">
        <f t="shared" si="5"/>
        <v>4363.0140939000003</v>
      </c>
      <c r="N36" s="8">
        <f t="shared" si="6"/>
        <v>20096.307341599997</v>
      </c>
    </row>
    <row r="37" spans="2:14" hidden="1">
      <c r="B37" s="5"/>
      <c r="C37" s="1"/>
      <c r="D37" s="6"/>
      <c r="E37" s="1"/>
      <c r="F37" s="2"/>
      <c r="G37" s="3"/>
      <c r="H37" s="4"/>
      <c r="I37" s="7"/>
      <c r="J37" s="7"/>
      <c r="K37" s="7"/>
      <c r="L37" s="8"/>
      <c r="M37" s="8"/>
      <c r="N37" s="8"/>
    </row>
    <row r="38" spans="2:14" hidden="1">
      <c r="B38" s="5"/>
      <c r="C38" s="1"/>
      <c r="D38" s="6"/>
      <c r="E38" s="1"/>
      <c r="F38" s="2"/>
      <c r="G38" s="3"/>
      <c r="H38" s="4"/>
      <c r="I38" s="7"/>
      <c r="J38" s="7"/>
      <c r="K38" s="7"/>
      <c r="L38" s="8"/>
      <c r="M38" s="8"/>
      <c r="N38" s="8"/>
    </row>
    <row r="39" spans="2:14" hidden="1">
      <c r="B39" s="5"/>
      <c r="C39" s="1"/>
      <c r="D39" s="6"/>
      <c r="E39" s="1"/>
      <c r="F39" s="2"/>
      <c r="G39" s="3"/>
      <c r="H39" s="4"/>
      <c r="I39" s="7"/>
      <c r="J39" s="7"/>
      <c r="K39" s="7"/>
      <c r="L39" s="8"/>
      <c r="M39" s="8"/>
      <c r="N39" s="8"/>
    </row>
    <row r="40" spans="2:14" hidden="1">
      <c r="B40" s="5"/>
      <c r="C40" s="1"/>
      <c r="D40" s="6"/>
      <c r="E40" s="1"/>
      <c r="F40" s="2"/>
      <c r="G40" s="3"/>
      <c r="H40" s="4"/>
      <c r="I40" s="7"/>
      <c r="J40" s="7"/>
      <c r="K40" s="7"/>
      <c r="L40" s="8"/>
      <c r="M40" s="8"/>
      <c r="N40" s="8"/>
    </row>
    <row r="41" spans="2:14" hidden="1">
      <c r="B41" s="5"/>
      <c r="C41" s="1"/>
      <c r="D41" s="6"/>
      <c r="E41" s="1"/>
      <c r="F41" s="2"/>
      <c r="G41" s="3"/>
      <c r="H41" s="4"/>
      <c r="I41" s="7"/>
      <c r="J41" s="7"/>
      <c r="K41" s="7"/>
      <c r="L41" s="8"/>
      <c r="M41" s="8"/>
      <c r="N41" s="8"/>
    </row>
    <row r="42" spans="2:14" hidden="1">
      <c r="B42" s="5"/>
      <c r="C42" s="1"/>
      <c r="D42" s="6"/>
      <c r="E42" s="1"/>
      <c r="F42" s="2"/>
      <c r="G42" s="3"/>
      <c r="H42" s="4"/>
      <c r="I42" s="7"/>
      <c r="J42" s="7"/>
      <c r="K42" s="7"/>
      <c r="L42" s="8"/>
      <c r="M42" s="8"/>
      <c r="N42" s="8"/>
    </row>
    <row r="43" spans="2:14" hidden="1">
      <c r="B43" s="5"/>
      <c r="C43" s="1"/>
      <c r="D43" s="6"/>
      <c r="E43" s="1"/>
      <c r="F43" s="2"/>
      <c r="G43" s="3"/>
      <c r="H43" s="4"/>
      <c r="I43" s="7"/>
      <c r="J43" s="7"/>
      <c r="K43" s="7"/>
      <c r="L43" s="8"/>
      <c r="M43" s="8"/>
      <c r="N43" s="8"/>
    </row>
    <row r="44" spans="2:14" hidden="1">
      <c r="B44" s="5"/>
      <c r="C44" s="1"/>
      <c r="D44" s="6"/>
      <c r="E44" s="1"/>
      <c r="F44" s="2"/>
      <c r="G44" s="3"/>
      <c r="H44" s="4"/>
      <c r="I44" s="7"/>
      <c r="J44" s="7"/>
      <c r="K44" s="7"/>
      <c r="L44" s="8"/>
      <c r="M44" s="8"/>
      <c r="N44" s="8"/>
    </row>
    <row r="45" spans="2:14">
      <c r="E45" s="28">
        <f>SUM(E18:E40)</f>
        <v>51281315</v>
      </c>
      <c r="G45" s="29">
        <f>SUM(G18:G40)</f>
        <v>104633546.71472999</v>
      </c>
    </row>
    <row r="47" spans="2:14" ht="15.75" thickBot="1"/>
    <row r="48" spans="2:14">
      <c r="B48" s="382" t="s">
        <v>131</v>
      </c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4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>
      <c r="B52" s="385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</row>
    <row r="53" spans="2:14" ht="15.75" thickBot="1">
      <c r="B53" s="388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90"/>
    </row>
  </sheetData>
  <mergeCells count="3">
    <mergeCell ref="C2:L2"/>
    <mergeCell ref="L16:N16"/>
    <mergeCell ref="B48:N53"/>
  </mergeCells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N53"/>
  <sheetViews>
    <sheetView showGridLines="0" topLeftCell="A16" zoomScale="80" zoomScaleNormal="80" workbookViewId="0">
      <selection activeCell="E41" sqref="E41"/>
    </sheetView>
  </sheetViews>
  <sheetFormatPr defaultColWidth="8.7109375" defaultRowHeight="15"/>
  <cols>
    <col min="2" max="2" width="6.140625" bestFit="1" customWidth="1"/>
    <col min="3" max="3" width="26.5703125" bestFit="1" customWidth="1"/>
    <col min="4" max="4" width="15.85546875" bestFit="1" customWidth="1"/>
    <col min="5" max="5" width="12.28515625" bestFit="1" customWidth="1"/>
    <col min="6" max="7" width="19.85546875" bestFit="1" customWidth="1"/>
    <col min="8" max="8" width="10.5703125" bestFit="1" customWidth="1"/>
    <col min="9" max="9" width="7" bestFit="1" customWidth="1"/>
    <col min="10" max="10" width="6" bestFit="1" customWidth="1"/>
    <col min="11" max="11" width="7.85546875" bestFit="1" customWidth="1"/>
    <col min="12" max="14" width="15.8554687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44682</v>
      </c>
    </row>
    <row r="5" spans="2:14">
      <c r="C5" t="s">
        <v>17</v>
      </c>
      <c r="D5" s="14">
        <f ca="1">SUMIF($C$18:$G$40,$C$5:$C$7,$G$18:$G$40)/SUMIF($C$18:$G$40,$C$5:$C$7,$E$18:$E$40)</f>
        <v>2.7753622792515564</v>
      </c>
    </row>
    <row r="6" spans="2:14">
      <c r="C6" t="s">
        <v>33</v>
      </c>
      <c r="D6" s="14">
        <f ca="1">SUMIF($C$18:$G$40,$C$5:$C$7,$G$18:$G$40)/SUMIF($C$18:$G$40,$C$5:$C$7,$E$18:$E$40)</f>
        <v>1.9547304973743491</v>
      </c>
    </row>
    <row r="7" spans="2:14">
      <c r="C7" t="s">
        <v>126</v>
      </c>
      <c r="D7" s="14">
        <f>SUM(G29:G30)/SUM(E29:E30)</f>
        <v>3.8550713496307525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+G45/E45</f>
        <v>2.3944805215583216</v>
      </c>
      <c r="E9" s="14"/>
      <c r="L9" s="16" t="str">
        <f>+C5</f>
        <v>Petrobras</v>
      </c>
      <c r="M9" s="17">
        <f>790000/1580000</f>
        <v>0.5</v>
      </c>
      <c r="N9" s="17">
        <f>+SUM(E18:E27)/E45</f>
        <v>0.50457814294462244</v>
      </c>
    </row>
    <row r="10" spans="2:14">
      <c r="L10" s="16" t="str">
        <f>+C6</f>
        <v>Shell</v>
      </c>
      <c r="M10" s="17">
        <v>0.47468354430379744</v>
      </c>
      <c r="N10" s="17">
        <f>+E28/E45</f>
        <v>0.48190998437603871</v>
      </c>
    </row>
    <row r="11" spans="2:14">
      <c r="C11" t="s">
        <v>132</v>
      </c>
      <c r="D11" s="14">
        <v>2.3639000000000001</v>
      </c>
      <c r="L11" s="16" t="str">
        <f>+C7</f>
        <v>NFE</v>
      </c>
      <c r="M11" s="18">
        <v>2.5316455696202531E-2</v>
      </c>
      <c r="N11" s="18">
        <f>+SUM(E29:E30)/E45</f>
        <v>1.351187267933877E-2</v>
      </c>
    </row>
    <row r="12" spans="2:14">
      <c r="D12" s="19"/>
      <c r="L12" s="20" t="s">
        <v>38</v>
      </c>
      <c r="M12" s="21">
        <f>SUM(M9:M11)</f>
        <v>1</v>
      </c>
      <c r="N12" s="21" t="s">
        <v>133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2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2:14">
      <c r="B18" s="5">
        <v>44682</v>
      </c>
      <c r="C18" s="1" t="s">
        <v>17</v>
      </c>
      <c r="D18" s="6" t="s">
        <v>5</v>
      </c>
      <c r="E18" s="1">
        <v>12806648</v>
      </c>
      <c r="F18" s="2">
        <v>43445743.5</v>
      </c>
      <c r="G18" s="3">
        <f t="shared" ref="G18:G30" si="0">F18-SUM(L18:N18)</f>
        <v>34695814.204379998</v>
      </c>
      <c r="H18" s="4">
        <f t="shared" ref="H18:H30" si="1">+IF(G18=0,0,G18/E18)</f>
        <v>2.7092033922053607</v>
      </c>
      <c r="I18" s="7">
        <v>0.12</v>
      </c>
      <c r="J18" s="7">
        <v>1.6500000000000001E-2</v>
      </c>
      <c r="K18" s="7">
        <v>7.5999999999999998E-2</v>
      </c>
      <c r="L18" s="8">
        <f t="shared" ref="L18:L30" si="2">+I18*F18</f>
        <v>5213489.22</v>
      </c>
      <c r="M18" s="8">
        <f t="shared" ref="M18:M27" si="3">+(F18-L18)*J18</f>
        <v>630832.19562000001</v>
      </c>
      <c r="N18" s="8">
        <v>2905607.88</v>
      </c>
    </row>
    <row r="19" spans="2:14">
      <c r="B19" s="5">
        <v>44682</v>
      </c>
      <c r="C19" s="1" t="s">
        <v>17</v>
      </c>
      <c r="D19" s="6" t="s">
        <v>6</v>
      </c>
      <c r="E19" s="1">
        <v>8529281</v>
      </c>
      <c r="F19" s="2">
        <v>28935046.440000001</v>
      </c>
      <c r="G19" s="3">
        <f t="shared" si="0"/>
        <v>23107557.022891201</v>
      </c>
      <c r="H19" s="4">
        <f t="shared" si="1"/>
        <v>2.7092033927468449</v>
      </c>
      <c r="I19" s="7">
        <v>0.12</v>
      </c>
      <c r="J19" s="7">
        <v>1.6500000000000001E-2</v>
      </c>
      <c r="K19" s="7">
        <v>7.5999999999999998E-2</v>
      </c>
      <c r="L19" s="8">
        <f t="shared" si="2"/>
        <v>3472205.5728000002</v>
      </c>
      <c r="M19" s="8">
        <f t="shared" si="3"/>
        <v>420136.87430880003</v>
      </c>
      <c r="N19" s="8">
        <v>1935146.97</v>
      </c>
    </row>
    <row r="20" spans="2:14">
      <c r="B20" s="5">
        <v>44682</v>
      </c>
      <c r="C20" s="1" t="s">
        <v>17</v>
      </c>
      <c r="D20" s="6" t="s">
        <v>7</v>
      </c>
      <c r="E20" s="1">
        <v>2998823</v>
      </c>
      <c r="F20" s="2">
        <v>10173317.390000001</v>
      </c>
      <c r="G20" s="3">
        <f t="shared" si="0"/>
        <v>8124421.4446972003</v>
      </c>
      <c r="H20" s="4">
        <f t="shared" si="1"/>
        <v>2.7092033923633374</v>
      </c>
      <c r="I20" s="7">
        <v>0.12</v>
      </c>
      <c r="J20" s="7">
        <v>1.6500000000000001E-2</v>
      </c>
      <c r="K20" s="7">
        <v>7.5999999999999998E-2</v>
      </c>
      <c r="L20" s="8">
        <f t="shared" si="2"/>
        <v>1220798.0867999999</v>
      </c>
      <c r="M20" s="8">
        <f t="shared" si="3"/>
        <v>147716.56850280002</v>
      </c>
      <c r="N20" s="8">
        <v>680381.29</v>
      </c>
    </row>
    <row r="21" spans="2:14">
      <c r="B21" s="5">
        <v>44682</v>
      </c>
      <c r="C21" s="1" t="s">
        <v>17</v>
      </c>
      <c r="D21" s="6" t="s">
        <v>8</v>
      </c>
      <c r="E21" s="1">
        <v>941367</v>
      </c>
      <c r="F21" s="2">
        <v>3193528.02</v>
      </c>
      <c r="G21" s="3">
        <f t="shared" si="0"/>
        <v>2550354.6707496</v>
      </c>
      <c r="H21" s="4">
        <f t="shared" si="1"/>
        <v>2.709203393309517</v>
      </c>
      <c r="I21" s="7">
        <v>0.12</v>
      </c>
      <c r="J21" s="7">
        <v>1.6500000000000001E-2</v>
      </c>
      <c r="K21" s="7">
        <v>7.5999999999999998E-2</v>
      </c>
      <c r="L21" s="8">
        <f t="shared" si="2"/>
        <v>383223.36239999998</v>
      </c>
      <c r="M21" s="8">
        <f t="shared" si="3"/>
        <v>46370.026850400005</v>
      </c>
      <c r="N21" s="8">
        <v>213579.96</v>
      </c>
    </row>
    <row r="22" spans="2:14">
      <c r="B22" s="5">
        <v>44682</v>
      </c>
      <c r="C22" s="1" t="s">
        <v>17</v>
      </c>
      <c r="D22" s="6" t="s">
        <v>9</v>
      </c>
      <c r="E22" s="1">
        <v>766491</v>
      </c>
      <c r="F22" s="2">
        <v>3710561.24</v>
      </c>
      <c r="G22" s="3">
        <f t="shared" si="0"/>
        <v>2963257.9119952004</v>
      </c>
      <c r="H22" s="4">
        <f t="shared" si="1"/>
        <v>3.8660048350146323</v>
      </c>
      <c r="I22" s="7">
        <v>0.12</v>
      </c>
      <c r="J22" s="7">
        <v>1.6500000000000001E-2</v>
      </c>
      <c r="K22" s="7">
        <v>7.5999999999999998E-2</v>
      </c>
      <c r="L22" s="8">
        <f t="shared" si="2"/>
        <v>445267.34880000004</v>
      </c>
      <c r="M22" s="8">
        <f t="shared" si="3"/>
        <v>53877.349204800012</v>
      </c>
      <c r="N22" s="8">
        <v>248158.63</v>
      </c>
    </row>
    <row r="23" spans="2:14">
      <c r="B23" s="5">
        <v>44682</v>
      </c>
      <c r="C23" s="1" t="s">
        <v>17</v>
      </c>
      <c r="D23" s="6" t="s">
        <v>10</v>
      </c>
      <c r="E23" s="1">
        <v>488627</v>
      </c>
      <c r="F23" s="2">
        <v>2365429.48</v>
      </c>
      <c r="G23" s="3">
        <f t="shared" si="0"/>
        <v>1889034.3463504</v>
      </c>
      <c r="H23" s="4">
        <f t="shared" si="1"/>
        <v>3.8660048387633101</v>
      </c>
      <c r="I23" s="7">
        <v>0.12</v>
      </c>
      <c r="J23" s="7">
        <v>1.6500000000000001E-2</v>
      </c>
      <c r="K23" s="7">
        <v>7.5999999999999998E-2</v>
      </c>
      <c r="L23" s="8">
        <f t="shared" si="2"/>
        <v>283851.53759999998</v>
      </c>
      <c r="M23" s="8">
        <f t="shared" si="3"/>
        <v>34346.036049599999</v>
      </c>
      <c r="N23" s="8">
        <v>158197.56</v>
      </c>
    </row>
    <row r="24" spans="2:14">
      <c r="B24" s="5">
        <v>44682</v>
      </c>
      <c r="C24" s="1" t="s">
        <v>17</v>
      </c>
      <c r="D24" s="6" t="s">
        <v>11</v>
      </c>
      <c r="E24" s="1">
        <v>87040</v>
      </c>
      <c r="F24" s="2">
        <v>421358.18</v>
      </c>
      <c r="G24" s="3">
        <f t="shared" si="0"/>
        <v>336497.06762639998</v>
      </c>
      <c r="H24" s="4">
        <f t="shared" si="1"/>
        <v>3.8660049129871319</v>
      </c>
      <c r="I24" s="7">
        <v>0.12</v>
      </c>
      <c r="J24" s="7">
        <v>1.6500000000000001E-2</v>
      </c>
      <c r="K24" s="7">
        <v>7.5999999999999998E-2</v>
      </c>
      <c r="L24" s="8">
        <f t="shared" si="2"/>
        <v>50562.981599999999</v>
      </c>
      <c r="M24" s="8">
        <f t="shared" si="3"/>
        <v>6118.1207736000006</v>
      </c>
      <c r="N24" s="8">
        <v>28180.01</v>
      </c>
    </row>
    <row r="25" spans="2:14">
      <c r="B25" s="5">
        <v>44682</v>
      </c>
      <c r="C25" s="1" t="s">
        <v>17</v>
      </c>
      <c r="D25" s="6" t="s">
        <v>12</v>
      </c>
      <c r="E25" s="1">
        <v>26303</v>
      </c>
      <c r="F25" s="2">
        <v>127332.08</v>
      </c>
      <c r="G25" s="3">
        <f t="shared" si="0"/>
        <v>101687.52859840001</v>
      </c>
      <c r="H25" s="4">
        <f t="shared" si="1"/>
        <v>3.8660049651522641</v>
      </c>
      <c r="I25" s="7">
        <v>0.12</v>
      </c>
      <c r="J25" s="7">
        <v>1.6500000000000001E-2</v>
      </c>
      <c r="K25" s="7">
        <v>7.5999999999999998E-2</v>
      </c>
      <c r="L25" s="8">
        <f t="shared" si="2"/>
        <v>15279.8496</v>
      </c>
      <c r="M25" s="8">
        <f t="shared" si="3"/>
        <v>1848.8618016</v>
      </c>
      <c r="N25" s="8">
        <v>8515.84</v>
      </c>
    </row>
    <row r="26" spans="2:14">
      <c r="B26" s="5">
        <v>44682</v>
      </c>
      <c r="C26" s="1" t="s">
        <v>17</v>
      </c>
      <c r="D26" s="6" t="s">
        <v>13</v>
      </c>
      <c r="E26" s="1">
        <v>52734</v>
      </c>
      <c r="F26" s="2">
        <v>331664.24</v>
      </c>
      <c r="G26" s="3">
        <f t="shared" si="0"/>
        <v>264867.3964352</v>
      </c>
      <c r="H26" s="4">
        <f t="shared" si="1"/>
        <v>5.0227063457200289</v>
      </c>
      <c r="I26" s="7">
        <v>0.12</v>
      </c>
      <c r="J26" s="7">
        <v>1.6500000000000001E-2</v>
      </c>
      <c r="K26" s="7">
        <v>7.5999999999999998E-2</v>
      </c>
      <c r="L26" s="8">
        <f t="shared" si="2"/>
        <v>39799.7088</v>
      </c>
      <c r="M26" s="8">
        <f t="shared" si="3"/>
        <v>4815.7647647999993</v>
      </c>
      <c r="N26" s="8">
        <v>22181.37</v>
      </c>
    </row>
    <row r="27" spans="2:14">
      <c r="B27" s="5">
        <v>44682</v>
      </c>
      <c r="C27" s="1" t="s">
        <v>17</v>
      </c>
      <c r="D27" s="6" t="s">
        <v>14</v>
      </c>
      <c r="E27" s="1">
        <v>27244</v>
      </c>
      <c r="F27" s="2">
        <v>171347.91</v>
      </c>
      <c r="G27" s="3">
        <f t="shared" si="0"/>
        <v>136838.60914680001</v>
      </c>
      <c r="H27" s="4">
        <f t="shared" si="1"/>
        <v>5.0227062526354427</v>
      </c>
      <c r="I27" s="7">
        <v>0.12</v>
      </c>
      <c r="J27" s="7">
        <v>1.6500000000000001E-2</v>
      </c>
      <c r="K27" s="7">
        <v>7.5999999999999998E-2</v>
      </c>
      <c r="L27" s="8">
        <f t="shared" si="2"/>
        <v>20561.749199999998</v>
      </c>
      <c r="M27" s="8">
        <f t="shared" si="3"/>
        <v>2487.9716532000002</v>
      </c>
      <c r="N27" s="8">
        <v>11459.58</v>
      </c>
    </row>
    <row r="28" spans="2:14">
      <c r="B28" s="5">
        <v>44682</v>
      </c>
      <c r="C28" s="1" t="s">
        <v>33</v>
      </c>
      <c r="D28" s="6" t="s">
        <v>95</v>
      </c>
      <c r="E28" s="1">
        <v>25523958</v>
      </c>
      <c r="F28" s="2">
        <v>59116039.119999997</v>
      </c>
      <c r="G28" s="3">
        <f t="shared" si="0"/>
        <v>49892459.116301998</v>
      </c>
      <c r="H28" s="4">
        <f t="shared" si="1"/>
        <v>1.9547304973743491</v>
      </c>
      <c r="I28" s="7">
        <v>7.0000000000000007E-2</v>
      </c>
      <c r="J28" s="7">
        <v>1.6500000000000001E-2</v>
      </c>
      <c r="K28" s="7">
        <v>7.5999999999999998E-2</v>
      </c>
      <c r="L28" s="8">
        <f t="shared" si="2"/>
        <v>4138122.7384000001</v>
      </c>
      <c r="M28" s="8">
        <f>+(F28-L28)*J28</f>
        <v>907135.62029640004</v>
      </c>
      <c r="N28" s="8">
        <f>+(F28-L28)*K28</f>
        <v>4178321.6450016</v>
      </c>
    </row>
    <row r="29" spans="2:14">
      <c r="B29" s="5">
        <v>44682</v>
      </c>
      <c r="C29" s="1" t="s">
        <v>37</v>
      </c>
      <c r="D29" s="6" t="s">
        <v>96</v>
      </c>
      <c r="E29" s="1">
        <v>643817</v>
      </c>
      <c r="F29" s="2">
        <v>3343534.83</v>
      </c>
      <c r="G29" s="3">
        <f t="shared" si="0"/>
        <v>2488091.4437445002</v>
      </c>
      <c r="H29" s="4">
        <f t="shared" si="1"/>
        <v>3.8645941995077795</v>
      </c>
      <c r="I29" s="7">
        <v>0.18</v>
      </c>
      <c r="J29" s="7">
        <v>1.6500000000000001E-2</v>
      </c>
      <c r="K29" s="7">
        <v>7.5999999999999998E-2</v>
      </c>
      <c r="L29" s="8">
        <f t="shared" si="2"/>
        <v>601836.26939999999</v>
      </c>
      <c r="M29" s="8">
        <f t="shared" ref="M29:M30" si="4">+(F29-L29)*J29</f>
        <v>45238.026249900002</v>
      </c>
      <c r="N29" s="8">
        <f t="shared" ref="N29:N30" si="5">+(F29-L29)*K29</f>
        <v>208369.09060559998</v>
      </c>
    </row>
    <row r="30" spans="2:14">
      <c r="B30" s="5">
        <v>44682</v>
      </c>
      <c r="C30" s="1" t="s">
        <v>36</v>
      </c>
      <c r="D30" s="6" t="s">
        <v>94</v>
      </c>
      <c r="E30" s="1">
        <v>71828</v>
      </c>
      <c r="F30" s="2">
        <v>363866.28</v>
      </c>
      <c r="G30" s="3">
        <f t="shared" si="0"/>
        <v>270771.09226200002</v>
      </c>
      <c r="H30" s="4">
        <f t="shared" si="1"/>
        <v>3.7697150451356021</v>
      </c>
      <c r="I30" s="7">
        <v>0.18</v>
      </c>
      <c r="J30" s="7">
        <v>1.6500000000000001E-2</v>
      </c>
      <c r="K30" s="7">
        <v>7.5999999999999998E-2</v>
      </c>
      <c r="L30" s="8">
        <f t="shared" si="2"/>
        <v>65495.930400000005</v>
      </c>
      <c r="M30" s="8">
        <f t="shared" si="4"/>
        <v>4923.1107684000008</v>
      </c>
      <c r="N30" s="8">
        <f t="shared" si="5"/>
        <v>22676.146569600001</v>
      </c>
    </row>
    <row r="31" spans="2:14">
      <c r="B31" s="5"/>
      <c r="C31" s="1"/>
      <c r="D31" s="6"/>
      <c r="E31" s="1"/>
      <c r="F31" s="2"/>
      <c r="G31" s="3"/>
      <c r="H31" s="4"/>
      <c r="I31" s="7"/>
      <c r="J31" s="7"/>
      <c r="K31" s="7"/>
      <c r="L31" s="8"/>
      <c r="M31" s="8"/>
      <c r="N31" s="8"/>
    </row>
    <row r="32" spans="2:14">
      <c r="B32" s="5"/>
      <c r="C32" s="1"/>
      <c r="D32" s="6"/>
      <c r="E32" s="1"/>
      <c r="F32" s="2"/>
      <c r="G32" s="3"/>
      <c r="H32" s="4"/>
      <c r="I32" s="7"/>
      <c r="J32" s="7"/>
      <c r="K32" s="7"/>
      <c r="L32" s="8"/>
      <c r="M32" s="8"/>
      <c r="N32" s="8"/>
    </row>
    <row r="33" spans="2:14">
      <c r="B33" s="5"/>
      <c r="C33" s="1"/>
      <c r="D33" s="6"/>
      <c r="E33" s="1"/>
      <c r="F33" s="2"/>
      <c r="G33" s="3"/>
      <c r="H33" s="4"/>
      <c r="I33" s="7"/>
      <c r="J33" s="7"/>
      <c r="K33" s="7"/>
      <c r="L33" s="8"/>
      <c r="M33" s="8"/>
      <c r="N33" s="8"/>
    </row>
    <row r="34" spans="2:14">
      <c r="B34" s="5"/>
      <c r="C34" s="1"/>
      <c r="D34" s="6"/>
      <c r="E34" s="1"/>
      <c r="F34" s="2"/>
      <c r="G34" s="3"/>
      <c r="H34" s="4"/>
      <c r="I34" s="7"/>
      <c r="J34" s="7"/>
      <c r="K34" s="7"/>
      <c r="L34" s="8"/>
      <c r="M34" s="8"/>
      <c r="N34" s="8"/>
    </row>
    <row r="35" spans="2:14">
      <c r="B35" s="5"/>
      <c r="C35" s="1"/>
      <c r="D35" s="6"/>
      <c r="E35" s="1"/>
      <c r="F35" s="2"/>
      <c r="G35" s="3"/>
      <c r="H35" s="4"/>
      <c r="I35" s="7"/>
      <c r="J35" s="7"/>
      <c r="K35" s="7"/>
      <c r="L35" s="8"/>
      <c r="M35" s="8"/>
      <c r="N35" s="8"/>
    </row>
    <row r="36" spans="2:14">
      <c r="B36" s="5"/>
      <c r="C36" s="1"/>
      <c r="D36" s="6"/>
      <c r="E36" s="1"/>
      <c r="F36" s="2"/>
      <c r="G36" s="3"/>
      <c r="H36" s="4"/>
      <c r="I36" s="7"/>
      <c r="J36" s="7"/>
      <c r="K36" s="7"/>
      <c r="L36" s="8"/>
      <c r="M36" s="8"/>
      <c r="N36" s="8"/>
    </row>
    <row r="37" spans="2:14" hidden="1">
      <c r="B37" s="5"/>
      <c r="C37" s="1"/>
      <c r="D37" s="6"/>
      <c r="E37" s="1"/>
      <c r="F37" s="2"/>
      <c r="G37" s="3"/>
      <c r="H37" s="4"/>
      <c r="I37" s="7"/>
      <c r="J37" s="7"/>
      <c r="K37" s="7"/>
      <c r="L37" s="8"/>
      <c r="M37" s="8"/>
      <c r="N37" s="8"/>
    </row>
    <row r="38" spans="2:14" hidden="1">
      <c r="B38" s="5"/>
      <c r="C38" s="1"/>
      <c r="D38" s="6"/>
      <c r="E38" s="1"/>
      <c r="F38" s="2"/>
      <c r="G38" s="3"/>
      <c r="H38" s="4"/>
      <c r="I38" s="7"/>
      <c r="J38" s="7"/>
      <c r="K38" s="7"/>
      <c r="L38" s="8"/>
      <c r="M38" s="8"/>
      <c r="N38" s="8"/>
    </row>
    <row r="39" spans="2:14" hidden="1">
      <c r="B39" s="5"/>
      <c r="C39" s="1"/>
      <c r="D39" s="6"/>
      <c r="E39" s="1"/>
      <c r="F39" s="2"/>
      <c r="G39" s="3"/>
      <c r="H39" s="4"/>
      <c r="I39" s="7"/>
      <c r="J39" s="7"/>
      <c r="K39" s="7"/>
      <c r="L39" s="8"/>
      <c r="M39" s="8"/>
      <c r="N39" s="8"/>
    </row>
    <row r="40" spans="2:14" hidden="1">
      <c r="B40" s="5"/>
      <c r="C40" s="1"/>
      <c r="D40" s="6"/>
      <c r="E40" s="1"/>
      <c r="F40" s="2"/>
      <c r="G40" s="3"/>
      <c r="H40" s="4"/>
      <c r="I40" s="7"/>
      <c r="J40" s="7"/>
      <c r="K40" s="7"/>
      <c r="L40" s="8"/>
      <c r="M40" s="8"/>
      <c r="N40" s="8"/>
    </row>
    <row r="41" spans="2:14" hidden="1">
      <c r="B41" s="5"/>
      <c r="C41" s="1"/>
      <c r="D41" s="6"/>
      <c r="E41" s="1"/>
      <c r="F41" s="2"/>
      <c r="G41" s="3"/>
      <c r="H41" s="4"/>
      <c r="I41" s="7"/>
      <c r="J41" s="7"/>
      <c r="K41" s="7"/>
      <c r="L41" s="8"/>
      <c r="M41" s="8"/>
      <c r="N41" s="8"/>
    </row>
    <row r="42" spans="2:14" hidden="1">
      <c r="B42" s="5"/>
      <c r="C42" s="1"/>
      <c r="D42" s="6"/>
      <c r="E42" s="1"/>
      <c r="F42" s="2"/>
      <c r="G42" s="3"/>
      <c r="H42" s="4"/>
      <c r="I42" s="7"/>
      <c r="J42" s="7"/>
      <c r="K42" s="7"/>
      <c r="L42" s="8"/>
      <c r="M42" s="8"/>
      <c r="N42" s="8"/>
    </row>
    <row r="43" spans="2:14" hidden="1">
      <c r="B43" s="5"/>
      <c r="C43" s="1"/>
      <c r="D43" s="6"/>
      <c r="E43" s="1"/>
      <c r="F43" s="2"/>
      <c r="G43" s="3"/>
      <c r="H43" s="4"/>
      <c r="I43" s="7"/>
      <c r="J43" s="7"/>
      <c r="K43" s="7"/>
      <c r="L43" s="8"/>
      <c r="M43" s="8"/>
      <c r="N43" s="8"/>
    </row>
    <row r="44" spans="2:14" hidden="1">
      <c r="B44" s="5"/>
      <c r="C44" s="1"/>
      <c r="D44" s="6"/>
      <c r="E44" s="1"/>
      <c r="F44" s="2"/>
      <c r="G44" s="3"/>
      <c r="H44" s="4"/>
      <c r="I44" s="7"/>
      <c r="J44" s="7"/>
      <c r="K44" s="7"/>
      <c r="L44" s="8"/>
      <c r="M44" s="8"/>
      <c r="N44" s="8"/>
    </row>
    <row r="45" spans="2:14">
      <c r="E45" s="28">
        <f>SUM(E18:E40)</f>
        <v>52964161</v>
      </c>
      <c r="G45" s="29">
        <f>SUM(G18:G40)</f>
        <v>126821651.85517891</v>
      </c>
    </row>
    <row r="47" spans="2:14" ht="15.75" thickBot="1"/>
    <row r="48" spans="2:14">
      <c r="B48" s="382" t="s">
        <v>131</v>
      </c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4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>
      <c r="B52" s="385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</row>
    <row r="53" spans="2:14" ht="15.75" thickBot="1">
      <c r="B53" s="388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90"/>
    </row>
  </sheetData>
  <mergeCells count="3">
    <mergeCell ref="C2:L2"/>
    <mergeCell ref="L16:N16"/>
    <mergeCell ref="B48:N53"/>
  </mergeCells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N53"/>
  <sheetViews>
    <sheetView showGridLines="0" topLeftCell="A19" zoomScale="80" zoomScaleNormal="80" workbookViewId="0">
      <selection activeCell="E41" sqref="E41"/>
    </sheetView>
  </sheetViews>
  <sheetFormatPr defaultColWidth="8.7109375" defaultRowHeight="15"/>
  <cols>
    <col min="2" max="2" width="6.140625" bestFit="1" customWidth="1"/>
    <col min="3" max="3" width="26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1.42578125" bestFit="1" customWidth="1"/>
    <col min="9" max="9" width="7.7109375" bestFit="1" customWidth="1"/>
    <col min="10" max="10" width="6.5703125" bestFit="1" customWidth="1"/>
    <col min="11" max="11" width="7.85546875" bestFit="1" customWidth="1"/>
    <col min="12" max="14" width="15.8554687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44713</v>
      </c>
    </row>
    <row r="5" spans="2:14">
      <c r="C5" t="s">
        <v>17</v>
      </c>
      <c r="D5" s="14">
        <f ca="1">SUMIF($C$18:$G$40,$C$5:$C$7,$G$18:$G$40)/SUMIF($C$18:$G$40,$C$5:$C$7,$E$18:$E$40)</f>
        <v>2.7840492122787581</v>
      </c>
    </row>
    <row r="6" spans="2:14">
      <c r="C6" t="s">
        <v>33</v>
      </c>
      <c r="D6" s="14">
        <f ca="1">SUMIF($C$18:$G$40,$C$5:$C$7,$G$18:$G$40)/SUMIF($C$18:$G$40,$C$5:$C$7,$E$18:$E$40)</f>
        <v>1.9547304975236675</v>
      </c>
    </row>
    <row r="7" spans="2:14">
      <c r="C7" t="s">
        <v>126</v>
      </c>
      <c r="D7" s="14">
        <f>SUM(G41:G42)/SUM(E41:E42)</f>
        <v>3.7897485746639989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+G45/E45</f>
        <v>2.3983039093909522</v>
      </c>
      <c r="E9" s="14"/>
      <c r="F9" s="32"/>
      <c r="L9" s="16" t="str">
        <f>+C5</f>
        <v>Petrobras</v>
      </c>
      <c r="M9" s="17">
        <f>790000/1580000</f>
        <v>0.5</v>
      </c>
      <c r="N9" s="17">
        <f>+SUM(E18:E39)/E45</f>
        <v>0.50638885512129139</v>
      </c>
    </row>
    <row r="10" spans="2:14">
      <c r="L10" s="16" t="str">
        <f>+C6</f>
        <v>Shell</v>
      </c>
      <c r="M10" s="17">
        <v>0.47468354430379744</v>
      </c>
      <c r="N10" s="17">
        <f>+E40/E45</f>
        <v>0.48074170360944546</v>
      </c>
    </row>
    <row r="11" spans="2:14">
      <c r="C11" t="s">
        <v>132</v>
      </c>
      <c r="D11" s="14">
        <v>2.3639000000000001</v>
      </c>
      <c r="L11" s="16" t="str">
        <f>+C7</f>
        <v>NFE</v>
      </c>
      <c r="M11" s="18">
        <v>2.5316455696202531E-2</v>
      </c>
      <c r="N11" s="18">
        <f>+SUM(E41:E42)/E45</f>
        <v>1.286944126926313E-2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1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2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2:14">
      <c r="B18" s="5">
        <v>44713</v>
      </c>
      <c r="C18" s="1" t="s">
        <v>17</v>
      </c>
      <c r="D18" s="6" t="s">
        <v>102</v>
      </c>
      <c r="E18" s="1">
        <v>20353</v>
      </c>
      <c r="F18" s="2">
        <v>69046.2700004816</v>
      </c>
      <c r="G18" s="3">
        <f t="shared" ref="G18:G42" si="0">F18-SUM(L18:N18)</f>
        <v>55140.415760016811</v>
      </c>
      <c r="H18" s="4">
        <f t="shared" ref="H18:H42" si="1">+IF(G18=0,0,G18/E18)</f>
        <v>2.7092033488928813</v>
      </c>
      <c r="I18" s="7">
        <v>0.12</v>
      </c>
      <c r="J18" s="7">
        <v>1.6500000000000001E-2</v>
      </c>
      <c r="K18" s="7">
        <v>7.5999999999999998E-2</v>
      </c>
      <c r="L18" s="11">
        <f t="shared" ref="L18:L42" si="2">+I18*F18</f>
        <v>8285.5524000577916</v>
      </c>
      <c r="M18" s="11">
        <f t="shared" ref="M18:M39" si="3">+(F18-L18)*J18</f>
        <v>1002.5518404069928</v>
      </c>
      <c r="N18" s="11">
        <v>4617.75</v>
      </c>
    </row>
    <row r="19" spans="2:14">
      <c r="B19" s="5">
        <v>44713</v>
      </c>
      <c r="C19" s="1" t="s">
        <v>17</v>
      </c>
      <c r="D19" s="6" t="s">
        <v>108</v>
      </c>
      <c r="E19" s="1">
        <v>6151282</v>
      </c>
      <c r="F19" s="2">
        <v>20867835.200070936</v>
      </c>
      <c r="G19" s="3">
        <f t="shared" si="0"/>
        <v>16665074.058957394</v>
      </c>
      <c r="H19" s="4">
        <f t="shared" si="1"/>
        <v>2.7092033919038983</v>
      </c>
      <c r="I19" s="7">
        <v>0.12</v>
      </c>
      <c r="J19" s="7">
        <v>1.6500000000000001E-2</v>
      </c>
      <c r="K19" s="7">
        <v>7.5999999999999998E-2</v>
      </c>
      <c r="L19" s="11">
        <f t="shared" si="2"/>
        <v>2504140.2240085122</v>
      </c>
      <c r="M19" s="11">
        <f t="shared" si="3"/>
        <v>303000.96710503002</v>
      </c>
      <c r="N19" s="11">
        <v>1395619.95</v>
      </c>
    </row>
    <row r="20" spans="2:14">
      <c r="B20" s="5">
        <v>44713</v>
      </c>
      <c r="C20" s="1" t="s">
        <v>17</v>
      </c>
      <c r="D20" s="6" t="s">
        <v>111</v>
      </c>
      <c r="E20" s="1">
        <v>227433</v>
      </c>
      <c r="F20" s="2">
        <v>771552.07000097283</v>
      </c>
      <c r="G20" s="3">
        <f t="shared" si="0"/>
        <v>616162.25554444198</v>
      </c>
      <c r="H20" s="4">
        <f t="shared" si="1"/>
        <v>2.7092033941619817</v>
      </c>
      <c r="I20" s="7">
        <v>0.12</v>
      </c>
      <c r="J20" s="7">
        <v>1.6500000000000001E-2</v>
      </c>
      <c r="K20" s="7">
        <v>7.5999999999999998E-2</v>
      </c>
      <c r="L20" s="11">
        <f t="shared" si="2"/>
        <v>92586.248400116732</v>
      </c>
      <c r="M20" s="11">
        <f t="shared" si="3"/>
        <v>11202.936056414126</v>
      </c>
      <c r="N20" s="11">
        <v>51600.63</v>
      </c>
    </row>
    <row r="21" spans="2:14">
      <c r="B21" s="5">
        <v>44713</v>
      </c>
      <c r="C21" s="1" t="s">
        <v>17</v>
      </c>
      <c r="D21" s="6" t="s">
        <v>119</v>
      </c>
      <c r="E21" s="1">
        <v>14345444</v>
      </c>
      <c r="F21" s="2">
        <v>48666011.620068677</v>
      </c>
      <c r="G21" s="3">
        <f t="shared" si="0"/>
        <v>38864725.546937041</v>
      </c>
      <c r="H21" s="4">
        <f t="shared" si="1"/>
        <v>2.7092033921666725</v>
      </c>
      <c r="I21" s="7">
        <v>0.12</v>
      </c>
      <c r="J21" s="7">
        <v>1.6500000000000001E-2</v>
      </c>
      <c r="K21" s="7">
        <v>7.5999999999999998E-2</v>
      </c>
      <c r="L21" s="11">
        <f t="shared" si="2"/>
        <v>5839921.3944082409</v>
      </c>
      <c r="M21" s="11">
        <f t="shared" si="3"/>
        <v>706630.48872339725</v>
      </c>
      <c r="N21" s="11">
        <v>3254734.19</v>
      </c>
    </row>
    <row r="22" spans="2:14">
      <c r="B22" s="5">
        <v>44713</v>
      </c>
      <c r="C22" s="1" t="s">
        <v>17</v>
      </c>
      <c r="D22" s="6" t="s">
        <v>121</v>
      </c>
      <c r="E22" s="1">
        <v>109597.004</v>
      </c>
      <c r="F22" s="2">
        <v>371800.9</v>
      </c>
      <c r="G22" s="3">
        <f t="shared" si="0"/>
        <v>296920.57293200004</v>
      </c>
      <c r="H22" s="4">
        <f t="shared" si="1"/>
        <v>2.7092033732235969</v>
      </c>
      <c r="I22" s="7">
        <v>0.12</v>
      </c>
      <c r="J22" s="7">
        <v>1.6500000000000001E-2</v>
      </c>
      <c r="K22" s="7">
        <v>7.5999999999999998E-2</v>
      </c>
      <c r="L22" s="11">
        <f t="shared" si="2"/>
        <v>44616.108</v>
      </c>
      <c r="M22" s="11">
        <f t="shared" si="3"/>
        <v>5398.5490680000003</v>
      </c>
      <c r="N22" s="11">
        <v>24865.67</v>
      </c>
    </row>
    <row r="23" spans="2:14">
      <c r="B23" s="5">
        <v>44713</v>
      </c>
      <c r="C23" s="1" t="s">
        <v>17</v>
      </c>
      <c r="D23" s="6" t="s">
        <v>122</v>
      </c>
      <c r="E23" s="1">
        <v>563590.99600000004</v>
      </c>
      <c r="F23" s="2">
        <v>1911946.82</v>
      </c>
      <c r="G23" s="3">
        <f t="shared" si="0"/>
        <v>1652248.9825320002</v>
      </c>
      <c r="H23" s="4">
        <f t="shared" si="1"/>
        <v>2.9316454561172587</v>
      </c>
      <c r="I23" s="7">
        <v>0.12</v>
      </c>
      <c r="J23" s="7">
        <v>1.6500000000000001E-2</v>
      </c>
      <c r="K23" s="7">
        <v>7.5999999999999998E-2</v>
      </c>
      <c r="L23" s="11">
        <f t="shared" si="2"/>
        <v>229433.61840000001</v>
      </c>
      <c r="M23" s="12">
        <v>5398.5490680000003</v>
      </c>
      <c r="N23" s="12">
        <v>24865.67</v>
      </c>
    </row>
    <row r="24" spans="2:14">
      <c r="B24" s="5">
        <v>44713</v>
      </c>
      <c r="C24" s="1" t="s">
        <v>17</v>
      </c>
      <c r="D24" s="6" t="s">
        <v>109</v>
      </c>
      <c r="E24" s="1">
        <v>58944</v>
      </c>
      <c r="F24" s="2">
        <v>285346.23000218876</v>
      </c>
      <c r="G24" s="3">
        <f t="shared" si="0"/>
        <v>227877.78514229433</v>
      </c>
      <c r="H24" s="4">
        <f t="shared" si="1"/>
        <v>3.8660047696507589</v>
      </c>
      <c r="I24" s="7">
        <v>0.12</v>
      </c>
      <c r="J24" s="7">
        <v>1.6500000000000001E-2</v>
      </c>
      <c r="K24" s="7">
        <v>7.5999999999999998E-2</v>
      </c>
      <c r="L24" s="11">
        <f t="shared" si="2"/>
        <v>34241.547600262653</v>
      </c>
      <c r="M24" s="11">
        <f t="shared" si="3"/>
        <v>4143.2272596317807</v>
      </c>
      <c r="N24" s="11">
        <v>19083.669999999998</v>
      </c>
    </row>
    <row r="25" spans="2:14">
      <c r="B25" s="5">
        <v>44713</v>
      </c>
      <c r="C25" s="1" t="s">
        <v>17</v>
      </c>
      <c r="D25" s="6" t="s">
        <v>101</v>
      </c>
      <c r="E25" s="1">
        <v>1670</v>
      </c>
      <c r="F25" s="2">
        <v>8084.4200000330002</v>
      </c>
      <c r="G25" s="3">
        <f t="shared" si="0"/>
        <v>6456.2238216285605</v>
      </c>
      <c r="H25" s="4">
        <f t="shared" si="1"/>
        <v>3.8660022884003356</v>
      </c>
      <c r="I25" s="7">
        <v>0.12</v>
      </c>
      <c r="J25" s="7">
        <v>1.6500000000000001E-2</v>
      </c>
      <c r="K25" s="7">
        <v>7.5999999999999998E-2</v>
      </c>
      <c r="L25" s="11">
        <f t="shared" si="2"/>
        <v>970.13040000395995</v>
      </c>
      <c r="M25" s="11">
        <f t="shared" si="3"/>
        <v>117.38577840047917</v>
      </c>
      <c r="N25" s="11">
        <v>540.67999999999995</v>
      </c>
    </row>
    <row r="26" spans="2:14">
      <c r="B26" s="5">
        <v>44713</v>
      </c>
      <c r="C26" s="1" t="s">
        <v>17</v>
      </c>
      <c r="D26" s="6" t="s">
        <v>103</v>
      </c>
      <c r="E26" s="1">
        <v>283958</v>
      </c>
      <c r="F26" s="2">
        <v>1374632.640000894</v>
      </c>
      <c r="G26" s="3">
        <f t="shared" si="0"/>
        <v>1097782.9972679736</v>
      </c>
      <c r="H26" s="4">
        <f t="shared" si="1"/>
        <v>3.8660048220792285</v>
      </c>
      <c r="I26" s="7">
        <v>0.12</v>
      </c>
      <c r="J26" s="7">
        <v>1.6500000000000001E-2</v>
      </c>
      <c r="K26" s="7">
        <v>7.5999999999999998E-2</v>
      </c>
      <c r="L26" s="11">
        <f t="shared" si="2"/>
        <v>164955.91680010728</v>
      </c>
      <c r="M26" s="11">
        <f t="shared" si="3"/>
        <v>19959.665932812979</v>
      </c>
      <c r="N26" s="11">
        <v>91934.06</v>
      </c>
    </row>
    <row r="27" spans="2:14">
      <c r="B27" s="5">
        <v>44713</v>
      </c>
      <c r="C27" s="1" t="s">
        <v>17</v>
      </c>
      <c r="D27" s="6" t="s">
        <v>116</v>
      </c>
      <c r="E27" s="1">
        <v>11500</v>
      </c>
      <c r="F27" s="2">
        <v>55671.169999450001</v>
      </c>
      <c r="G27" s="3">
        <f t="shared" si="0"/>
        <v>44459.054211123992</v>
      </c>
      <c r="H27" s="4">
        <f t="shared" si="1"/>
        <v>3.8660047140107818</v>
      </c>
      <c r="I27" s="7">
        <v>0.12</v>
      </c>
      <c r="J27" s="7">
        <v>1.6500000000000001E-2</v>
      </c>
      <c r="K27" s="7">
        <v>7.5999999999999998E-2</v>
      </c>
      <c r="L27" s="11">
        <f t="shared" si="2"/>
        <v>6680.5403999339997</v>
      </c>
      <c r="M27" s="11">
        <f t="shared" si="3"/>
        <v>808.34538839201412</v>
      </c>
      <c r="N27" s="11">
        <v>3723.23</v>
      </c>
    </row>
    <row r="28" spans="2:14">
      <c r="B28" s="5">
        <v>44713</v>
      </c>
      <c r="C28" s="1" t="s">
        <v>17</v>
      </c>
      <c r="D28" s="6" t="s">
        <v>120</v>
      </c>
      <c r="E28" s="1">
        <v>929102</v>
      </c>
      <c r="F28" s="2">
        <v>4497756.4899928737</v>
      </c>
      <c r="G28" s="3">
        <f t="shared" si="0"/>
        <v>3591912.8269590326</v>
      </c>
      <c r="H28" s="4">
        <f t="shared" si="1"/>
        <v>3.8660048379607757</v>
      </c>
      <c r="I28" s="7">
        <v>0.12</v>
      </c>
      <c r="J28" s="7">
        <v>1.6500000000000001E-2</v>
      </c>
      <c r="K28" s="7">
        <v>7.5999999999999998E-2</v>
      </c>
      <c r="L28" s="11">
        <f t="shared" si="2"/>
        <v>539730.77879914478</v>
      </c>
      <c r="M28" s="11">
        <f t="shared" si="3"/>
        <v>65307.424234696533</v>
      </c>
      <c r="N28" s="11">
        <v>300805.46000000002</v>
      </c>
    </row>
    <row r="29" spans="2:14">
      <c r="B29" s="5">
        <v>44713</v>
      </c>
      <c r="C29" s="1" t="s">
        <v>17</v>
      </c>
      <c r="D29" s="6" t="s">
        <v>113</v>
      </c>
      <c r="E29" s="1">
        <v>287</v>
      </c>
      <c r="F29" s="2">
        <v>1805.0500000001</v>
      </c>
      <c r="G29" s="3">
        <f t="shared" si="0"/>
        <v>1441.5146740000864</v>
      </c>
      <c r="H29" s="4">
        <f t="shared" si="1"/>
        <v>5.0226992125438548</v>
      </c>
      <c r="I29" s="7">
        <v>0.12</v>
      </c>
      <c r="J29" s="7">
        <v>1.6500000000000001E-2</v>
      </c>
      <c r="K29" s="7">
        <v>7.5999999999999998E-2</v>
      </c>
      <c r="L29" s="11">
        <f t="shared" si="2"/>
        <v>216.60600000001199</v>
      </c>
      <c r="M29" s="11">
        <f t="shared" si="3"/>
        <v>26.209326000001454</v>
      </c>
      <c r="N29" s="11">
        <v>120.72</v>
      </c>
    </row>
    <row r="30" spans="2:14">
      <c r="B30" s="5">
        <v>44713</v>
      </c>
      <c r="C30" s="1" t="s">
        <v>17</v>
      </c>
      <c r="D30" s="6" t="s">
        <v>105</v>
      </c>
      <c r="E30" s="1">
        <v>13231</v>
      </c>
      <c r="F30" s="2">
        <v>83214.800000415198</v>
      </c>
      <c r="G30" s="3">
        <f t="shared" si="0"/>
        <v>66455.425104359339</v>
      </c>
      <c r="H30" s="4">
        <f t="shared" si="1"/>
        <v>5.0227061525477543</v>
      </c>
      <c r="I30" s="7">
        <v>0.12</v>
      </c>
      <c r="J30" s="7">
        <v>1.6500000000000001E-2</v>
      </c>
      <c r="K30" s="7">
        <v>7.5999999999999998E-2</v>
      </c>
      <c r="L30" s="11">
        <f t="shared" si="2"/>
        <v>9985.7760000498238</v>
      </c>
      <c r="M30" s="11">
        <f t="shared" si="3"/>
        <v>1208.2788960060288</v>
      </c>
      <c r="N30" s="11">
        <v>5565.32</v>
      </c>
    </row>
    <row r="31" spans="2:14">
      <c r="B31" s="5">
        <v>44713</v>
      </c>
      <c r="C31" s="1" t="s">
        <v>17</v>
      </c>
      <c r="D31" s="6" t="s">
        <v>115</v>
      </c>
      <c r="E31" s="1">
        <v>2486</v>
      </c>
      <c r="F31" s="2">
        <v>15635.400000066</v>
      </c>
      <c r="G31" s="3">
        <f t="shared" si="0"/>
        <v>12486.445992057121</v>
      </c>
      <c r="H31" s="4">
        <f t="shared" si="1"/>
        <v>5.0227055478910385</v>
      </c>
      <c r="I31" s="7">
        <v>0.12</v>
      </c>
      <c r="J31" s="7">
        <v>1.6500000000000001E-2</v>
      </c>
      <c r="K31" s="7">
        <v>7.5999999999999998E-2</v>
      </c>
      <c r="L31" s="11">
        <f t="shared" si="2"/>
        <v>1876.2480000079199</v>
      </c>
      <c r="M31" s="11">
        <f t="shared" si="3"/>
        <v>227.02600800095834</v>
      </c>
      <c r="N31" s="11">
        <v>1045.68</v>
      </c>
    </row>
    <row r="32" spans="2:14">
      <c r="B32" s="5">
        <v>44713</v>
      </c>
      <c r="C32" s="1" t="s">
        <v>17</v>
      </c>
      <c r="D32" s="6" t="s">
        <v>118</v>
      </c>
      <c r="E32" s="1">
        <v>48713</v>
      </c>
      <c r="F32" s="2">
        <v>306374.64000114088</v>
      </c>
      <c r="G32" s="3">
        <f t="shared" si="0"/>
        <v>244671.09342818742</v>
      </c>
      <c r="H32" s="4">
        <f t="shared" si="1"/>
        <v>5.0227063294846843</v>
      </c>
      <c r="I32" s="7">
        <v>0.12</v>
      </c>
      <c r="J32" s="7">
        <v>1.6500000000000001E-2</v>
      </c>
      <c r="K32" s="7">
        <v>7.5999999999999998E-2</v>
      </c>
      <c r="L32" s="11">
        <f t="shared" si="2"/>
        <v>36764.956800136904</v>
      </c>
      <c r="M32" s="11">
        <f t="shared" si="3"/>
        <v>4448.5597728165658</v>
      </c>
      <c r="N32" s="11">
        <v>20490.03</v>
      </c>
    </row>
    <row r="33" spans="2:14">
      <c r="B33" s="5">
        <v>44713</v>
      </c>
      <c r="C33" s="1" t="s">
        <v>17</v>
      </c>
      <c r="D33" s="6" t="s">
        <v>106</v>
      </c>
      <c r="E33" s="1">
        <v>21232</v>
      </c>
      <c r="F33" s="2">
        <v>93276.030000791987</v>
      </c>
      <c r="G33" s="3">
        <f t="shared" si="0"/>
        <v>82082.906400696957</v>
      </c>
      <c r="H33" s="4">
        <f t="shared" si="1"/>
        <v>3.86599973628</v>
      </c>
      <c r="I33" s="7">
        <v>0.12</v>
      </c>
      <c r="J33" s="9">
        <v>0</v>
      </c>
      <c r="K33" s="9">
        <v>0</v>
      </c>
      <c r="L33" s="11">
        <f t="shared" si="2"/>
        <v>11193.123600095038</v>
      </c>
      <c r="M33" s="11">
        <f t="shared" si="3"/>
        <v>0</v>
      </c>
      <c r="N33" s="11">
        <v>0</v>
      </c>
    </row>
    <row r="34" spans="2:14">
      <c r="B34" s="5">
        <v>44713</v>
      </c>
      <c r="C34" s="1" t="s">
        <v>17</v>
      </c>
      <c r="D34" s="6" t="s">
        <v>114</v>
      </c>
      <c r="E34" s="1">
        <v>104303</v>
      </c>
      <c r="F34" s="2">
        <v>458222.05000513076</v>
      </c>
      <c r="G34" s="3">
        <f t="shared" si="0"/>
        <v>403235.40400451509</v>
      </c>
      <c r="H34" s="4">
        <f t="shared" si="1"/>
        <v>3.8660000575679998</v>
      </c>
      <c r="I34" s="7">
        <v>0.12</v>
      </c>
      <c r="J34" s="9">
        <v>0</v>
      </c>
      <c r="K34" s="9">
        <v>0</v>
      </c>
      <c r="L34" s="11">
        <f t="shared" si="2"/>
        <v>54986.646000615692</v>
      </c>
      <c r="M34" s="11">
        <f t="shared" si="3"/>
        <v>0</v>
      </c>
      <c r="N34" s="11">
        <v>0</v>
      </c>
    </row>
    <row r="35" spans="2:14">
      <c r="B35" s="5">
        <v>44713</v>
      </c>
      <c r="C35" s="1" t="s">
        <v>17</v>
      </c>
      <c r="D35" s="6" t="s">
        <v>117</v>
      </c>
      <c r="E35" s="1">
        <v>30694</v>
      </c>
      <c r="F35" s="2">
        <v>134844.3199991342</v>
      </c>
      <c r="G35" s="3">
        <f t="shared" si="0"/>
        <v>118663.00159923809</v>
      </c>
      <c r="H35" s="4">
        <f t="shared" si="1"/>
        <v>3.8659999217839998</v>
      </c>
      <c r="I35" s="7">
        <v>0.12</v>
      </c>
      <c r="J35" s="9">
        <v>0</v>
      </c>
      <c r="K35" s="9">
        <v>0</v>
      </c>
      <c r="L35" s="11">
        <f t="shared" si="2"/>
        <v>16181.318399896103</v>
      </c>
      <c r="M35" s="11">
        <f t="shared" si="3"/>
        <v>0</v>
      </c>
      <c r="N35" s="11">
        <v>0</v>
      </c>
    </row>
    <row r="36" spans="2:14">
      <c r="B36" s="5">
        <v>44713</v>
      </c>
      <c r="C36" s="1" t="s">
        <v>17</v>
      </c>
      <c r="D36" s="6" t="s">
        <v>104</v>
      </c>
      <c r="E36" s="1">
        <v>11007</v>
      </c>
      <c r="F36" s="2">
        <v>62823.700000359</v>
      </c>
      <c r="G36" s="3">
        <f t="shared" si="0"/>
        <v>55284.856000315922</v>
      </c>
      <c r="H36" s="4">
        <f t="shared" si="1"/>
        <v>5.0226997365599999</v>
      </c>
      <c r="I36" s="7">
        <v>0.12</v>
      </c>
      <c r="J36" s="9">
        <v>0</v>
      </c>
      <c r="K36" s="9">
        <v>0</v>
      </c>
      <c r="L36" s="11">
        <f t="shared" si="2"/>
        <v>7538.8440000430801</v>
      </c>
      <c r="M36" s="11">
        <f t="shared" si="3"/>
        <v>0</v>
      </c>
      <c r="N36" s="11">
        <v>0</v>
      </c>
    </row>
    <row r="37" spans="2:14">
      <c r="B37" s="5">
        <v>44713</v>
      </c>
      <c r="C37" s="1" t="s">
        <v>17</v>
      </c>
      <c r="D37" s="6" t="s">
        <v>107</v>
      </c>
      <c r="E37" s="1">
        <v>1249696</v>
      </c>
      <c r="F37" s="2">
        <v>3847359.550045222</v>
      </c>
      <c r="G37" s="3">
        <f t="shared" si="0"/>
        <v>3385676.4040397955</v>
      </c>
      <c r="H37" s="4">
        <f t="shared" si="1"/>
        <v>2.7092000006719998</v>
      </c>
      <c r="I37" s="7">
        <v>0.12</v>
      </c>
      <c r="J37" s="9">
        <v>0</v>
      </c>
      <c r="K37" s="9">
        <v>0</v>
      </c>
      <c r="L37" s="11">
        <f t="shared" si="2"/>
        <v>461683.14600542665</v>
      </c>
      <c r="M37" s="11">
        <f t="shared" si="3"/>
        <v>0</v>
      </c>
      <c r="N37" s="11">
        <v>0</v>
      </c>
    </row>
    <row r="38" spans="2:14">
      <c r="B38" s="5">
        <v>44713</v>
      </c>
      <c r="C38" s="1" t="s">
        <v>17</v>
      </c>
      <c r="D38" s="6" t="s">
        <v>112</v>
      </c>
      <c r="E38" s="1">
        <v>1694616</v>
      </c>
      <c r="F38" s="2">
        <v>5217106.4399383776</v>
      </c>
      <c r="G38" s="3">
        <f t="shared" si="0"/>
        <v>4591053.6671457719</v>
      </c>
      <c r="H38" s="4">
        <f t="shared" si="1"/>
        <v>2.7091999999679999</v>
      </c>
      <c r="I38" s="7">
        <v>0.12</v>
      </c>
      <c r="J38" s="9">
        <v>0</v>
      </c>
      <c r="K38" s="9">
        <v>0</v>
      </c>
      <c r="L38" s="11">
        <f t="shared" si="2"/>
        <v>626052.77279260533</v>
      </c>
      <c r="M38" s="11">
        <f t="shared" si="3"/>
        <v>0</v>
      </c>
      <c r="N38" s="11">
        <v>0</v>
      </c>
    </row>
    <row r="39" spans="2:14">
      <c r="B39" s="5">
        <v>44713</v>
      </c>
      <c r="C39" s="1" t="s">
        <v>17</v>
      </c>
      <c r="D39" s="6" t="s">
        <v>110</v>
      </c>
      <c r="E39" s="1">
        <v>414365</v>
      </c>
      <c r="F39" s="2">
        <v>1275679.1599937244</v>
      </c>
      <c r="G39" s="3">
        <f t="shared" si="0"/>
        <v>1122597.6607944774</v>
      </c>
      <c r="H39" s="4">
        <f t="shared" si="1"/>
        <v>2.7092000067439996</v>
      </c>
      <c r="I39" s="7">
        <v>0.12</v>
      </c>
      <c r="J39" s="9">
        <v>0</v>
      </c>
      <c r="K39" s="9">
        <v>0</v>
      </c>
      <c r="L39" s="11">
        <f t="shared" si="2"/>
        <v>153081.49919924693</v>
      </c>
      <c r="M39" s="11">
        <f t="shared" si="3"/>
        <v>0</v>
      </c>
      <c r="N39" s="11">
        <v>0</v>
      </c>
    </row>
    <row r="40" spans="2:14">
      <c r="B40" s="5">
        <v>44713</v>
      </c>
      <c r="C40" s="1" t="s">
        <v>33</v>
      </c>
      <c r="D40" s="6" t="s">
        <v>123</v>
      </c>
      <c r="E40" s="1">
        <v>24961813</v>
      </c>
      <c r="F40" s="2">
        <v>57814055.090000004</v>
      </c>
      <c r="G40" s="3">
        <f t="shared" si="0"/>
        <v>48793617.144582748</v>
      </c>
      <c r="H40" s="4">
        <f t="shared" si="1"/>
        <v>1.9547304975236675</v>
      </c>
      <c r="I40" s="7">
        <v>7.0000000000000007E-2</v>
      </c>
      <c r="J40" s="7">
        <v>1.6500000000000001E-2</v>
      </c>
      <c r="K40" s="7">
        <v>7.5999999999999998E-2</v>
      </c>
      <c r="L40" s="11">
        <f t="shared" si="2"/>
        <v>4046983.8563000006</v>
      </c>
      <c r="M40" s="11">
        <f>+(F40-L40)*J40</f>
        <v>887156.67535605002</v>
      </c>
      <c r="N40" s="11">
        <f>+(F40-L40)*K40</f>
        <v>4086297.4137611999</v>
      </c>
    </row>
    <row r="41" spans="2:14">
      <c r="B41" s="5">
        <v>44713</v>
      </c>
      <c r="C41" s="1" t="s">
        <v>37</v>
      </c>
      <c r="D41" s="10" t="s">
        <v>124</v>
      </c>
      <c r="E41" s="1">
        <v>608037</v>
      </c>
      <c r="F41" s="2">
        <v>3103641.74</v>
      </c>
      <c r="G41" s="3">
        <f t="shared" si="0"/>
        <v>2309575.000821</v>
      </c>
      <c r="H41" s="4">
        <f t="shared" si="1"/>
        <v>3.7984119400973952</v>
      </c>
      <c r="I41" s="7">
        <v>0.18</v>
      </c>
      <c r="J41" s="7">
        <v>1.6500000000000001E-2</v>
      </c>
      <c r="K41" s="7">
        <v>7.5999999999999998E-2</v>
      </c>
      <c r="L41" s="11">
        <f t="shared" si="2"/>
        <v>558655.51320000004</v>
      </c>
      <c r="M41" s="11">
        <f t="shared" ref="M41" si="4">+(F41-L41)*J41</f>
        <v>41992.27274220001</v>
      </c>
      <c r="N41" s="11">
        <f t="shared" ref="N41:N42" si="5">+(F41-L41)*K41</f>
        <v>193418.95323680001</v>
      </c>
    </row>
    <row r="42" spans="2:14">
      <c r="B42" s="5">
        <v>44713</v>
      </c>
      <c r="C42" s="1" t="s">
        <v>36</v>
      </c>
      <c r="D42" s="10" t="s">
        <v>96</v>
      </c>
      <c r="E42" s="1">
        <v>60190</v>
      </c>
      <c r="F42" s="2">
        <v>299452.14</v>
      </c>
      <c r="G42" s="3">
        <f t="shared" si="0"/>
        <v>222837.31998100001</v>
      </c>
      <c r="H42" s="4">
        <f t="shared" si="1"/>
        <v>3.702231599617877</v>
      </c>
      <c r="I42" s="7">
        <v>0.18</v>
      </c>
      <c r="J42" s="7">
        <v>1.6500000000000001E-2</v>
      </c>
      <c r="K42" s="7">
        <v>7.5999999999999998E-2</v>
      </c>
      <c r="L42" s="11">
        <f t="shared" si="2"/>
        <v>53901.385199999997</v>
      </c>
      <c r="M42" s="11">
        <f>+(F42-L42)*J42-0.01</f>
        <v>4051.5774542000004</v>
      </c>
      <c r="N42" s="11">
        <f t="shared" si="5"/>
        <v>18661.857364800002</v>
      </c>
    </row>
    <row r="43" spans="2:14">
      <c r="B43" s="5"/>
      <c r="C43" s="1"/>
      <c r="D43" s="6"/>
      <c r="E43" s="1"/>
      <c r="F43" s="2"/>
      <c r="G43" s="3"/>
      <c r="H43" s="4"/>
      <c r="I43" s="7"/>
      <c r="J43" s="7"/>
      <c r="K43" s="7"/>
      <c r="L43" s="8"/>
      <c r="M43" s="8"/>
      <c r="N43" s="8"/>
    </row>
    <row r="44" spans="2:14">
      <c r="B44" s="5"/>
      <c r="C44" s="1"/>
      <c r="D44" s="6"/>
      <c r="E44" s="1"/>
      <c r="F44" s="2"/>
      <c r="G44" s="3"/>
      <c r="H44" s="4"/>
      <c r="I44" s="7"/>
      <c r="J44" s="7"/>
      <c r="K44" s="7"/>
      <c r="L44" s="8"/>
      <c r="M44" s="8"/>
      <c r="N44" s="8"/>
    </row>
    <row r="45" spans="2:14">
      <c r="E45" s="28">
        <f>SUM(E18:E44)</f>
        <v>51923544</v>
      </c>
      <c r="G45" s="29">
        <f>SUM(G18:G44)</f>
        <v>124528438.56463312</v>
      </c>
    </row>
    <row r="47" spans="2:14" ht="15.75" thickBot="1"/>
    <row r="48" spans="2:14" ht="55.5" customHeight="1">
      <c r="B48" s="391" t="s">
        <v>136</v>
      </c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4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>
      <c r="B52" s="385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</row>
    <row r="53" spans="2:14" ht="42.75" customHeight="1" thickBot="1">
      <c r="B53" s="388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90"/>
    </row>
  </sheetData>
  <mergeCells count="3">
    <mergeCell ref="C2:L2"/>
    <mergeCell ref="L16:N16"/>
    <mergeCell ref="B48:N53"/>
  </mergeCells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P53"/>
  <sheetViews>
    <sheetView showGridLines="0" topLeftCell="A19" zoomScale="80" zoomScaleNormal="80" workbookViewId="0">
      <selection activeCell="E41" sqref="E41"/>
    </sheetView>
  </sheetViews>
  <sheetFormatPr defaultColWidth="8.7109375" defaultRowHeight="15"/>
  <cols>
    <col min="2" max="2" width="6.5703125" bestFit="1" customWidth="1"/>
    <col min="3" max="3" width="26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1.42578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bestFit="1" customWidth="1"/>
    <col min="13" max="13" width="15.28515625" bestFit="1" customWidth="1"/>
    <col min="14" max="15" width="17" bestFit="1" customWidth="1"/>
    <col min="16" max="16" width="10.2851562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44743</v>
      </c>
    </row>
    <row r="5" spans="2:14">
      <c r="C5" t="s">
        <v>17</v>
      </c>
      <c r="D5" s="14">
        <f ca="1">SUMIF($C$18:$G$40,$C$5:$C$7,$G$18:$G$40)/SUMIF($C$18:$G$40,$C$5:$C$7,$E$18:$E$40)</f>
        <v>2.7445426755012541</v>
      </c>
    </row>
    <row r="6" spans="2:14">
      <c r="C6" t="s">
        <v>33</v>
      </c>
      <c r="D6" s="14">
        <f ca="1">SUMIF($C$18:$G$40,$C$5:$C$7,$G$18:$G$40)/SUMIF($C$18:$G$40,$C$5:$C$7,$E$18:$E$40)</f>
        <v>1.9547306013242736</v>
      </c>
    </row>
    <row r="7" spans="2:14">
      <c r="C7" t="s">
        <v>126</v>
      </c>
      <c r="D7" s="14">
        <f>SUM(G41:G42)/SUM(E41:E42)</f>
        <v>3.7498140360762569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+G45/E45</f>
        <v>2.3740816979435553</v>
      </c>
      <c r="E9" s="14"/>
      <c r="F9" s="32"/>
      <c r="L9" s="16" t="str">
        <f>+C5</f>
        <v>Petrobras</v>
      </c>
      <c r="M9" s="17">
        <f>790000/1580000</f>
        <v>0.5</v>
      </c>
      <c r="N9" s="17">
        <f>+SUM(E18:E37)/E45</f>
        <v>0.49972380036206726</v>
      </c>
    </row>
    <row r="10" spans="2:14">
      <c r="L10" s="16" t="str">
        <f>+C6</f>
        <v>Shell</v>
      </c>
      <c r="M10" s="17">
        <v>0.47468354430379744</v>
      </c>
      <c r="N10" s="17">
        <f>+SUM(E38:E40)/E45</f>
        <v>0.4865368910006595</v>
      </c>
    </row>
    <row r="11" spans="2:14">
      <c r="C11" t="s">
        <v>132</v>
      </c>
      <c r="D11" s="14">
        <v>2.3639000000000001</v>
      </c>
      <c r="L11" s="16" t="str">
        <f>+C7</f>
        <v>NFE</v>
      </c>
      <c r="M11" s="18">
        <v>2.5316455696202531E-2</v>
      </c>
      <c r="N11" s="18">
        <f>+SUM(E41:E42)/E45</f>
        <v>1.3739308637273238E-2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1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2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2:14">
      <c r="B18" s="5">
        <v>44743</v>
      </c>
      <c r="C18" s="1" t="s">
        <v>17</v>
      </c>
      <c r="D18" s="6">
        <v>3597</v>
      </c>
      <c r="E18" s="1">
        <v>3815</v>
      </c>
      <c r="F18" s="2">
        <v>18468.310000000001</v>
      </c>
      <c r="G18" s="3">
        <f>F18-SUM(L18:N18)</f>
        <v>14748.812938800002</v>
      </c>
      <c r="H18" s="4">
        <f t="shared" ref="H18:H42" si="0">+IF(G18=0,0,G18/E18)</f>
        <v>3.8660060127916123</v>
      </c>
      <c r="I18" s="7">
        <v>0.12</v>
      </c>
      <c r="J18" s="7">
        <v>1.6500000000000001E-2</v>
      </c>
      <c r="K18" s="7">
        <v>7.5999999999999998E-2</v>
      </c>
      <c r="L18" s="11">
        <f t="shared" ref="L18:L42" si="1">+I18*F18</f>
        <v>2216.1972000000001</v>
      </c>
      <c r="M18" s="11">
        <f t="shared" ref="M18:M40" si="2">(F18-L18)*J18</f>
        <v>268.15986120000002</v>
      </c>
      <c r="N18" s="11">
        <v>1235.1400000000001</v>
      </c>
    </row>
    <row r="19" spans="2:14">
      <c r="B19" s="5">
        <v>44743</v>
      </c>
      <c r="C19" s="1" t="s">
        <v>17</v>
      </c>
      <c r="D19" s="6">
        <v>3598</v>
      </c>
      <c r="E19" s="1">
        <v>484767</v>
      </c>
      <c r="F19" s="2">
        <v>1492421.32</v>
      </c>
      <c r="G19" s="3">
        <f t="shared" ref="G19:G41" si="3">F19-SUM(L19:N19)</f>
        <v>1313330.7616000001</v>
      </c>
      <c r="H19" s="4">
        <f t="shared" si="0"/>
        <v>2.7092000107268031</v>
      </c>
      <c r="I19" s="7">
        <v>0.12</v>
      </c>
      <c r="J19" s="9">
        <v>0</v>
      </c>
      <c r="K19" s="9">
        <v>0</v>
      </c>
      <c r="L19" s="11">
        <f t="shared" si="1"/>
        <v>179090.55840000001</v>
      </c>
      <c r="M19" s="11">
        <f t="shared" si="2"/>
        <v>0</v>
      </c>
      <c r="N19" s="11">
        <f t="shared" ref="N19:N40" si="4">(F19-L19)*K19</f>
        <v>0</v>
      </c>
    </row>
    <row r="20" spans="2:14">
      <c r="B20" s="5">
        <v>44743</v>
      </c>
      <c r="C20" s="1" t="s">
        <v>17</v>
      </c>
      <c r="D20" s="6">
        <v>3599</v>
      </c>
      <c r="E20" s="1">
        <v>14204</v>
      </c>
      <c r="F20" s="2">
        <v>62400.75</v>
      </c>
      <c r="G20" s="3">
        <f t="shared" si="3"/>
        <v>54912.66</v>
      </c>
      <c r="H20" s="4">
        <f t="shared" si="0"/>
        <v>3.8659997183891863</v>
      </c>
      <c r="I20" s="7">
        <v>0.12</v>
      </c>
      <c r="J20" s="9">
        <v>0</v>
      </c>
      <c r="K20" s="9">
        <v>0</v>
      </c>
      <c r="L20" s="11">
        <f t="shared" si="1"/>
        <v>7488.09</v>
      </c>
      <c r="M20" s="11">
        <f t="shared" si="2"/>
        <v>0</v>
      </c>
      <c r="N20" s="11">
        <f t="shared" si="4"/>
        <v>0</v>
      </c>
    </row>
    <row r="21" spans="2:14">
      <c r="B21" s="5">
        <v>44743</v>
      </c>
      <c r="C21" s="1" t="s">
        <v>17</v>
      </c>
      <c r="D21" s="6">
        <v>3600</v>
      </c>
      <c r="E21" s="1">
        <v>135427</v>
      </c>
      <c r="F21" s="2">
        <v>459427.54</v>
      </c>
      <c r="G21" s="3">
        <f t="shared" si="3"/>
        <v>366899.29731920001</v>
      </c>
      <c r="H21" s="4">
        <f t="shared" si="0"/>
        <v>2.7092034625237211</v>
      </c>
      <c r="I21" s="7">
        <v>0.12</v>
      </c>
      <c r="J21" s="7">
        <v>1.6500000000000001E-2</v>
      </c>
      <c r="K21" s="7">
        <v>7.5999999999999998E-2</v>
      </c>
      <c r="L21" s="11">
        <f t="shared" si="1"/>
        <v>55131.304799999998</v>
      </c>
      <c r="M21" s="11">
        <f t="shared" si="2"/>
        <v>6670.8878807999999</v>
      </c>
      <c r="N21" s="11">
        <v>30726.05</v>
      </c>
    </row>
    <row r="22" spans="2:14">
      <c r="B22" s="5">
        <v>44743</v>
      </c>
      <c r="C22" s="1" t="s">
        <v>17</v>
      </c>
      <c r="D22" s="6">
        <v>4049</v>
      </c>
      <c r="E22" s="1">
        <v>151815</v>
      </c>
      <c r="F22" s="2">
        <v>515022.79</v>
      </c>
      <c r="G22" s="3">
        <f t="shared" si="3"/>
        <v>411297.71428919997</v>
      </c>
      <c r="H22" s="4">
        <f t="shared" si="0"/>
        <v>2.7092034007785788</v>
      </c>
      <c r="I22" s="7">
        <v>0.12</v>
      </c>
      <c r="J22" s="7">
        <v>1.6500000000000001E-2</v>
      </c>
      <c r="K22" s="7">
        <v>7.5999999999999998E-2</v>
      </c>
      <c r="L22" s="11">
        <f t="shared" si="1"/>
        <v>61802.734799999998</v>
      </c>
      <c r="M22" s="11">
        <f t="shared" si="2"/>
        <v>7478.1309108000005</v>
      </c>
      <c r="N22" s="11">
        <v>34444.21</v>
      </c>
    </row>
    <row r="23" spans="2:14">
      <c r="B23" s="5">
        <v>44743</v>
      </c>
      <c r="C23" s="1" t="s">
        <v>17</v>
      </c>
      <c r="D23" s="6">
        <v>4050</v>
      </c>
      <c r="E23" s="1">
        <v>942</v>
      </c>
      <c r="F23" s="2">
        <v>4560.1899999999996</v>
      </c>
      <c r="G23" s="3">
        <f t="shared" si="3"/>
        <v>3641.7732411999996</v>
      </c>
      <c r="H23" s="4">
        <f t="shared" si="0"/>
        <v>3.8660013176220804</v>
      </c>
      <c r="I23" s="7">
        <v>0.12</v>
      </c>
      <c r="J23" s="7">
        <v>1.6500000000000001E-2</v>
      </c>
      <c r="K23" s="7">
        <v>7.5999999999999998E-2</v>
      </c>
      <c r="L23" s="11">
        <f t="shared" si="1"/>
        <v>547.22279999999989</v>
      </c>
      <c r="M23" s="11">
        <f t="shared" si="2"/>
        <v>66.2139588</v>
      </c>
      <c r="N23" s="11">
        <v>304.98</v>
      </c>
    </row>
    <row r="24" spans="2:14">
      <c r="B24" s="5">
        <v>44743</v>
      </c>
      <c r="C24" s="1" t="s">
        <v>17</v>
      </c>
      <c r="D24" s="6">
        <v>4051</v>
      </c>
      <c r="E24" s="1">
        <v>59933</v>
      </c>
      <c r="F24" s="2">
        <v>184511.91</v>
      </c>
      <c r="G24" s="3">
        <f t="shared" si="3"/>
        <v>162370.48080000002</v>
      </c>
      <c r="H24" s="4">
        <f t="shared" si="0"/>
        <v>2.7091999532811641</v>
      </c>
      <c r="I24" s="7">
        <v>0.12</v>
      </c>
      <c r="J24" s="9">
        <v>0</v>
      </c>
      <c r="K24" s="9">
        <v>0</v>
      </c>
      <c r="L24" s="11">
        <f t="shared" si="1"/>
        <v>22141.429199999999</v>
      </c>
      <c r="M24" s="11">
        <f t="shared" si="2"/>
        <v>0</v>
      </c>
      <c r="N24" s="11">
        <f t="shared" si="4"/>
        <v>0</v>
      </c>
    </row>
    <row r="25" spans="2:14">
      <c r="B25" s="5">
        <v>44743</v>
      </c>
      <c r="C25" s="1" t="s">
        <v>17</v>
      </c>
      <c r="D25" s="6">
        <v>4052</v>
      </c>
      <c r="E25" s="1">
        <v>372</v>
      </c>
      <c r="F25" s="2">
        <v>1634.26</v>
      </c>
      <c r="G25" s="3">
        <f t="shared" si="3"/>
        <v>1438.1487999999999</v>
      </c>
      <c r="H25" s="4">
        <f t="shared" si="0"/>
        <v>3.865991397849462</v>
      </c>
      <c r="I25" s="7">
        <v>0.12</v>
      </c>
      <c r="J25" s="9">
        <v>0</v>
      </c>
      <c r="K25" s="9">
        <v>0</v>
      </c>
      <c r="L25" s="11">
        <f t="shared" si="1"/>
        <v>196.1112</v>
      </c>
      <c r="M25" s="11">
        <f t="shared" si="2"/>
        <v>0</v>
      </c>
      <c r="N25" s="11">
        <f t="shared" si="4"/>
        <v>0</v>
      </c>
    </row>
    <row r="26" spans="2:14">
      <c r="B26" s="5">
        <v>44743</v>
      </c>
      <c r="C26" s="1" t="s">
        <v>17</v>
      </c>
      <c r="D26" s="6">
        <v>11015</v>
      </c>
      <c r="E26" s="1">
        <v>2217455</v>
      </c>
      <c r="F26" s="2">
        <v>7522575.8700000001</v>
      </c>
      <c r="G26" s="3">
        <f t="shared" si="3"/>
        <v>6007536.6139676003</v>
      </c>
      <c r="H26" s="4">
        <f t="shared" si="0"/>
        <v>2.7092033948682612</v>
      </c>
      <c r="I26" s="7">
        <v>0.12</v>
      </c>
      <c r="J26" s="7">
        <v>1.6500000000000001E-2</v>
      </c>
      <c r="K26" s="7">
        <v>7.5999999999999998E-2</v>
      </c>
      <c r="L26" s="11">
        <f t="shared" si="1"/>
        <v>902709.10439999995</v>
      </c>
      <c r="M26" s="11">
        <f t="shared" si="2"/>
        <v>109227.80163240002</v>
      </c>
      <c r="N26" s="11">
        <v>503102.35</v>
      </c>
    </row>
    <row r="27" spans="2:14">
      <c r="B27" s="5">
        <v>44743</v>
      </c>
      <c r="C27" s="1" t="s">
        <v>17</v>
      </c>
      <c r="D27" s="6">
        <v>11016</v>
      </c>
      <c r="E27" s="1">
        <v>69162</v>
      </c>
      <c r="F27" s="2">
        <v>334811.28000000003</v>
      </c>
      <c r="G27" s="3">
        <f t="shared" si="3"/>
        <v>267380.62661440001</v>
      </c>
      <c r="H27" s="4">
        <f t="shared" si="0"/>
        <v>3.8660048381249821</v>
      </c>
      <c r="I27" s="7">
        <v>0.12</v>
      </c>
      <c r="J27" s="7">
        <v>1.6500000000000001E-2</v>
      </c>
      <c r="K27" s="7">
        <v>7.5999999999999998E-2</v>
      </c>
      <c r="L27" s="11">
        <f t="shared" si="1"/>
        <v>40177.353600000002</v>
      </c>
      <c r="M27" s="11">
        <f t="shared" si="2"/>
        <v>4861.4597856</v>
      </c>
      <c r="N27" s="11">
        <v>22391.84</v>
      </c>
    </row>
    <row r="28" spans="2:14">
      <c r="B28" s="5">
        <v>44743</v>
      </c>
      <c r="C28" s="1" t="s">
        <v>17</v>
      </c>
      <c r="D28" s="6">
        <v>11017</v>
      </c>
      <c r="E28" s="1">
        <v>3543910</v>
      </c>
      <c r="F28" s="2">
        <v>10910410.189999999</v>
      </c>
      <c r="G28" s="3">
        <f t="shared" si="3"/>
        <v>9601160.9671999998</v>
      </c>
      <c r="H28" s="4">
        <f t="shared" si="0"/>
        <v>2.7091999986455639</v>
      </c>
      <c r="I28" s="7">
        <v>0.12</v>
      </c>
      <c r="J28" s="9">
        <v>0</v>
      </c>
      <c r="K28" s="9">
        <v>0</v>
      </c>
      <c r="L28" s="11">
        <f t="shared" si="1"/>
        <v>1309249.2227999999</v>
      </c>
      <c r="M28" s="11">
        <f t="shared" si="2"/>
        <v>0</v>
      </c>
      <c r="N28" s="11">
        <f t="shared" si="4"/>
        <v>0</v>
      </c>
    </row>
    <row r="29" spans="2:14">
      <c r="B29" s="5">
        <v>44743</v>
      </c>
      <c r="C29" s="1" t="s">
        <v>17</v>
      </c>
      <c r="D29" s="6">
        <v>11018</v>
      </c>
      <c r="E29" s="1">
        <v>103352</v>
      </c>
      <c r="F29" s="2">
        <v>454044.13</v>
      </c>
      <c r="G29" s="3">
        <f t="shared" si="3"/>
        <v>399558.83439999999</v>
      </c>
      <c r="H29" s="4">
        <f t="shared" si="0"/>
        <v>3.8660000232216114</v>
      </c>
      <c r="I29" s="7">
        <v>0.12</v>
      </c>
      <c r="J29" s="9">
        <v>0</v>
      </c>
      <c r="K29" s="9">
        <v>0</v>
      </c>
      <c r="L29" s="11">
        <f t="shared" si="1"/>
        <v>54485.295599999998</v>
      </c>
      <c r="M29" s="11">
        <f t="shared" si="2"/>
        <v>0</v>
      </c>
      <c r="N29" s="11">
        <f t="shared" si="4"/>
        <v>0</v>
      </c>
    </row>
    <row r="30" spans="2:14">
      <c r="B30" s="5">
        <v>44743</v>
      </c>
      <c r="C30" s="1" t="s">
        <v>17</v>
      </c>
      <c r="D30" s="6">
        <v>5106</v>
      </c>
      <c r="E30" s="1">
        <v>8325077</v>
      </c>
      <c r="F30" s="2">
        <v>28242297.280000001</v>
      </c>
      <c r="G30" s="3">
        <f t="shared" si="3"/>
        <v>22554326.849894401</v>
      </c>
      <c r="H30" s="4">
        <f t="shared" si="0"/>
        <v>2.7092033923403234</v>
      </c>
      <c r="I30" s="7">
        <v>0.12</v>
      </c>
      <c r="J30" s="7">
        <v>1.6500000000000001E-2</v>
      </c>
      <c r="K30" s="7">
        <v>7.5999999999999998E-2</v>
      </c>
      <c r="L30" s="11">
        <f t="shared" si="1"/>
        <v>3389075.6735999999</v>
      </c>
      <c r="M30" s="11">
        <f t="shared" si="2"/>
        <v>410078.15650560003</v>
      </c>
      <c r="N30" s="11">
        <v>1888816.6</v>
      </c>
    </row>
    <row r="31" spans="2:14">
      <c r="B31" s="5">
        <v>44743</v>
      </c>
      <c r="C31" s="1" t="s">
        <v>17</v>
      </c>
      <c r="D31" s="6">
        <v>5107</v>
      </c>
      <c r="E31" s="1">
        <v>299225</v>
      </c>
      <c r="F31" s="2">
        <v>1448539.76</v>
      </c>
      <c r="G31" s="3">
        <f t="shared" si="3"/>
        <v>1156805.3014847999</v>
      </c>
      <c r="H31" s="4">
        <f t="shared" si="0"/>
        <v>3.866004850813936</v>
      </c>
      <c r="I31" s="7">
        <v>0.12</v>
      </c>
      <c r="J31" s="7">
        <v>1.6500000000000001E-2</v>
      </c>
      <c r="K31" s="7">
        <v>7.5999999999999998E-2</v>
      </c>
      <c r="L31" s="11">
        <f t="shared" si="1"/>
        <v>173824.77119999999</v>
      </c>
      <c r="M31" s="11">
        <f t="shared" si="2"/>
        <v>21032.797315200001</v>
      </c>
      <c r="N31" s="11">
        <v>96876.89</v>
      </c>
    </row>
    <row r="32" spans="2:14">
      <c r="B32" s="5">
        <v>44743</v>
      </c>
      <c r="C32" s="1" t="s">
        <v>17</v>
      </c>
      <c r="D32" s="6">
        <v>5108</v>
      </c>
      <c r="E32" s="1">
        <v>9474983</v>
      </c>
      <c r="F32" s="2">
        <v>29170027.199999999</v>
      </c>
      <c r="G32" s="3">
        <f t="shared" si="3"/>
        <v>25669623.936000001</v>
      </c>
      <c r="H32" s="4">
        <f t="shared" si="0"/>
        <v>2.7091999991978879</v>
      </c>
      <c r="I32" s="7">
        <v>0.12</v>
      </c>
      <c r="J32" s="9">
        <v>0</v>
      </c>
      <c r="K32" s="9">
        <v>0</v>
      </c>
      <c r="L32" s="11">
        <f t="shared" si="1"/>
        <v>3500403.264</v>
      </c>
      <c r="M32" s="11">
        <f t="shared" si="2"/>
        <v>0</v>
      </c>
      <c r="N32" s="11">
        <f t="shared" si="4"/>
        <v>0</v>
      </c>
    </row>
    <row r="33" spans="2:16">
      <c r="B33" s="5">
        <v>44743</v>
      </c>
      <c r="C33" s="1" t="s">
        <v>17</v>
      </c>
      <c r="D33" s="6">
        <v>5109</v>
      </c>
      <c r="E33" s="1">
        <v>288334</v>
      </c>
      <c r="F33" s="2">
        <v>1266703.68</v>
      </c>
      <c r="G33" s="3">
        <f t="shared" si="3"/>
        <v>1114699.2383999999</v>
      </c>
      <c r="H33" s="4">
        <f t="shared" si="0"/>
        <v>3.8659999805780791</v>
      </c>
      <c r="I33" s="7">
        <v>0.12</v>
      </c>
      <c r="J33" s="9">
        <v>0</v>
      </c>
      <c r="K33" s="9">
        <v>0</v>
      </c>
      <c r="L33" s="11">
        <f t="shared" si="1"/>
        <v>152004.44159999999</v>
      </c>
      <c r="M33" s="11">
        <f t="shared" si="2"/>
        <v>0</v>
      </c>
      <c r="N33" s="11">
        <f t="shared" si="4"/>
        <v>0</v>
      </c>
    </row>
    <row r="34" spans="2:16">
      <c r="B34" s="5">
        <v>44743</v>
      </c>
      <c r="C34" s="1" t="s">
        <v>17</v>
      </c>
      <c r="D34" s="6">
        <v>3376</v>
      </c>
      <c r="E34" s="1">
        <v>6892</v>
      </c>
      <c r="F34" s="2">
        <v>23380.68</v>
      </c>
      <c r="G34" s="3">
        <f t="shared" si="3"/>
        <v>18671.830926399998</v>
      </c>
      <c r="H34" s="4">
        <f t="shared" si="0"/>
        <v>2.7092035586767262</v>
      </c>
      <c r="I34" s="7">
        <v>0.12</v>
      </c>
      <c r="J34" s="7">
        <v>1.6500000000000001E-2</v>
      </c>
      <c r="K34" s="7">
        <v>7.5999999999999998E-2</v>
      </c>
      <c r="L34" s="11">
        <f t="shared" si="1"/>
        <v>2805.6815999999999</v>
      </c>
      <c r="M34" s="11">
        <f t="shared" si="2"/>
        <v>339.48747360000004</v>
      </c>
      <c r="N34" s="11">
        <v>1563.68</v>
      </c>
    </row>
    <row r="35" spans="2:16">
      <c r="B35" s="5">
        <v>44743</v>
      </c>
      <c r="C35" s="1" t="s">
        <v>17</v>
      </c>
      <c r="D35" s="6">
        <v>3377</v>
      </c>
      <c r="E35" s="1">
        <v>108537</v>
      </c>
      <c r="F35" s="2">
        <v>334145.94</v>
      </c>
      <c r="G35" s="3">
        <f t="shared" si="3"/>
        <v>294048.42720000003</v>
      </c>
      <c r="H35" s="4">
        <f t="shared" si="0"/>
        <v>2.7091998783824875</v>
      </c>
      <c r="I35" s="7">
        <v>0.12</v>
      </c>
      <c r="J35" s="9">
        <v>0</v>
      </c>
      <c r="K35" s="9">
        <v>0</v>
      </c>
      <c r="L35" s="11">
        <f t="shared" si="1"/>
        <v>40097.512799999997</v>
      </c>
      <c r="M35" s="11">
        <f t="shared" si="2"/>
        <v>0</v>
      </c>
      <c r="N35" s="11">
        <f t="shared" si="4"/>
        <v>0</v>
      </c>
    </row>
    <row r="36" spans="2:16">
      <c r="B36" s="5">
        <v>44743</v>
      </c>
      <c r="C36" s="1" t="s">
        <v>17</v>
      </c>
      <c r="D36" s="6">
        <v>5068</v>
      </c>
      <c r="E36" s="1">
        <v>163676</v>
      </c>
      <c r="F36" s="2">
        <v>555260.48</v>
      </c>
      <c r="G36" s="3">
        <f t="shared" si="3"/>
        <v>443431.57023039996</v>
      </c>
      <c r="H36" s="4">
        <f t="shared" si="0"/>
        <v>2.7092033665925364</v>
      </c>
      <c r="I36" s="7">
        <v>0.12</v>
      </c>
      <c r="J36" s="7">
        <v>1.6500000000000001E-2</v>
      </c>
      <c r="K36" s="7">
        <v>7.5999999999999998E-2</v>
      </c>
      <c r="L36" s="11">
        <f t="shared" si="1"/>
        <v>66631.257599999997</v>
      </c>
      <c r="M36" s="11">
        <f t="shared" si="2"/>
        <v>8062.3821695999995</v>
      </c>
      <c r="N36" s="11">
        <v>37135.269999999997</v>
      </c>
    </row>
    <row r="37" spans="2:16">
      <c r="B37" s="5">
        <v>44743</v>
      </c>
      <c r="C37" s="1" t="s">
        <v>17</v>
      </c>
      <c r="D37" s="6">
        <v>5069</v>
      </c>
      <c r="E37" s="1">
        <v>59942</v>
      </c>
      <c r="F37" s="2">
        <v>184539.63</v>
      </c>
      <c r="G37" s="3">
        <f t="shared" si="3"/>
        <v>162394.8744</v>
      </c>
      <c r="H37" s="4">
        <f t="shared" si="0"/>
        <v>2.709200133462347</v>
      </c>
      <c r="I37" s="7">
        <v>0.12</v>
      </c>
      <c r="J37" s="9">
        <v>0</v>
      </c>
      <c r="K37" s="9">
        <v>0</v>
      </c>
      <c r="L37" s="11">
        <f t="shared" si="1"/>
        <v>22144.7556</v>
      </c>
      <c r="M37" s="11">
        <f t="shared" si="2"/>
        <v>0</v>
      </c>
      <c r="N37" s="11">
        <f t="shared" si="4"/>
        <v>0</v>
      </c>
    </row>
    <row r="38" spans="2:16">
      <c r="B38" s="5">
        <v>44743</v>
      </c>
      <c r="C38" s="1" t="s">
        <v>33</v>
      </c>
      <c r="D38" s="6">
        <v>257517</v>
      </c>
      <c r="E38" s="1">
        <v>-7270</v>
      </c>
      <c r="F38" s="2">
        <v>-16838.05</v>
      </c>
      <c r="G38" s="3">
        <f t="shared" ref="G38:G39" si="5">F38-SUM(L38:N38)</f>
        <v>-14210.893248749999</v>
      </c>
      <c r="H38" s="4">
        <f t="shared" ref="H38:H39" si="6">+IF(G38=0,0,G38/E38)</f>
        <v>1.9547308457702888</v>
      </c>
      <c r="I38" s="7">
        <v>7.0000000000000007E-2</v>
      </c>
      <c r="J38" s="7">
        <v>1.6500000000000001E-2</v>
      </c>
      <c r="K38" s="7">
        <v>7.5999999999999998E-2</v>
      </c>
      <c r="L38" s="11">
        <f t="shared" ref="L38:L39" si="7">+I38*F38</f>
        <v>-1178.6635000000001</v>
      </c>
      <c r="M38" s="11">
        <f t="shared" ref="M38:M39" si="8">(F38-L38)*J38</f>
        <v>-258.37987724999999</v>
      </c>
      <c r="N38" s="11">
        <f t="shared" ref="N38:N39" si="9">(F38-L38)*K38</f>
        <v>-1190.1133739999998</v>
      </c>
    </row>
    <row r="39" spans="2:16">
      <c r="B39" s="5">
        <v>44743</v>
      </c>
      <c r="C39" s="1" t="s">
        <v>33</v>
      </c>
      <c r="D39" s="6">
        <v>257516</v>
      </c>
      <c r="E39" s="1">
        <v>-11</v>
      </c>
      <c r="F39" s="43">
        <v>-22.42</v>
      </c>
      <c r="G39" s="3">
        <f t="shared" si="5"/>
        <v>-18.921919500000001</v>
      </c>
      <c r="H39" s="4">
        <f t="shared" si="6"/>
        <v>1.7201745000000002</v>
      </c>
      <c r="I39" s="7">
        <v>7.0000000000000007E-2</v>
      </c>
      <c r="J39" s="7">
        <v>1.6500000000000001E-2</v>
      </c>
      <c r="K39" s="7">
        <v>7.5999999999999998E-2</v>
      </c>
      <c r="L39" s="11">
        <f t="shared" si="7"/>
        <v>-1.5694000000000004</v>
      </c>
      <c r="M39" s="11">
        <f t="shared" si="8"/>
        <v>-0.34403490000000003</v>
      </c>
      <c r="N39" s="11">
        <f t="shared" si="9"/>
        <v>-1.5846456</v>
      </c>
    </row>
    <row r="40" spans="2:16">
      <c r="B40" s="5">
        <v>44743</v>
      </c>
      <c r="C40" s="1" t="s">
        <v>33</v>
      </c>
      <c r="D40" s="6">
        <v>99</v>
      </c>
      <c r="E40" s="1">
        <v>24845885</v>
      </c>
      <c r="F40" s="2">
        <v>57545554.25</v>
      </c>
      <c r="G40" s="3">
        <f t="shared" si="3"/>
        <v>48567009.148143753</v>
      </c>
      <c r="H40" s="4">
        <f t="shared" si="0"/>
        <v>1.9547304975509527</v>
      </c>
      <c r="I40" s="7">
        <v>7.0000000000000007E-2</v>
      </c>
      <c r="J40" s="7">
        <v>1.6500000000000001E-2</v>
      </c>
      <c r="K40" s="7">
        <v>7.5999999999999998E-2</v>
      </c>
      <c r="L40" s="11">
        <f t="shared" si="1"/>
        <v>4028188.7975000003</v>
      </c>
      <c r="M40" s="11">
        <f t="shared" si="2"/>
        <v>883036.52996625006</v>
      </c>
      <c r="N40" s="11">
        <f t="shared" si="4"/>
        <v>4067319.7743899999</v>
      </c>
    </row>
    <row r="41" spans="2:16">
      <c r="B41" s="5">
        <v>44743</v>
      </c>
      <c r="C41" s="1" t="s">
        <v>37</v>
      </c>
      <c r="D41" s="10" t="s">
        <v>134</v>
      </c>
      <c r="E41" s="1">
        <f>291501+336567</f>
        <v>628068</v>
      </c>
      <c r="F41" s="2">
        <v>3174339.09</v>
      </c>
      <c r="G41" s="3">
        <f t="shared" si="3"/>
        <v>2362184.4238</v>
      </c>
      <c r="H41" s="4">
        <f t="shared" si="0"/>
        <v>3.7610329196838559</v>
      </c>
      <c r="I41" s="7">
        <v>0.18</v>
      </c>
      <c r="J41" s="7">
        <v>1.6500000000000001E-2</v>
      </c>
      <c r="K41" s="7">
        <v>7.5999999999999998E-2</v>
      </c>
      <c r="L41" s="11">
        <f t="shared" si="1"/>
        <v>571381.03619999997</v>
      </c>
      <c r="M41" s="11">
        <f>20482.42+22466.39</f>
        <v>42948.81</v>
      </c>
      <c r="N41" s="11">
        <f>94343.27+103481.55</f>
        <v>197824.82</v>
      </c>
      <c r="O41" s="41"/>
    </row>
    <row r="42" spans="2:16">
      <c r="B42" s="5">
        <v>44743</v>
      </c>
      <c r="C42" s="1" t="s">
        <v>36</v>
      </c>
      <c r="D42" s="10" t="s">
        <v>135</v>
      </c>
      <c r="E42" s="1">
        <f>28223+45126</f>
        <v>73349</v>
      </c>
      <c r="F42" s="2">
        <v>360140.95</v>
      </c>
      <c r="G42" s="3">
        <f>F42-SUM(L42:N42)</f>
        <v>267998.88794250001</v>
      </c>
      <c r="H42" s="4">
        <f t="shared" si="0"/>
        <v>3.6537497163219674</v>
      </c>
      <c r="I42" s="7">
        <v>0.18</v>
      </c>
      <c r="J42" s="7">
        <v>1.6500000000000001E-2</v>
      </c>
      <c r="K42" s="7">
        <v>7.5999999999999998E-2</v>
      </c>
      <c r="L42" s="11">
        <f t="shared" si="1"/>
        <v>64825.370999999999</v>
      </c>
      <c r="M42" s="11">
        <f>(F42-L42)*J42</f>
        <v>4872.7070535000003</v>
      </c>
      <c r="N42" s="11">
        <f>(F42-L42)*K42</f>
        <v>22443.984004000002</v>
      </c>
      <c r="P42" s="42"/>
    </row>
    <row r="43" spans="2:16">
      <c r="B43" s="5"/>
      <c r="C43" s="1"/>
      <c r="D43" s="6"/>
      <c r="E43" s="1"/>
      <c r="F43" s="2"/>
      <c r="G43" s="3"/>
      <c r="H43" s="4"/>
      <c r="I43" s="7"/>
      <c r="J43" s="7"/>
      <c r="K43" s="7"/>
      <c r="L43" s="8"/>
      <c r="M43" s="8"/>
      <c r="N43" s="8"/>
    </row>
    <row r="44" spans="2:16">
      <c r="B44" s="5"/>
      <c r="C44" s="1"/>
      <c r="D44" s="6"/>
      <c r="E44" s="1"/>
      <c r="F44" s="2"/>
      <c r="G44" s="3"/>
      <c r="H44" s="4"/>
      <c r="I44" s="7"/>
      <c r="J44" s="7"/>
      <c r="K44" s="7"/>
      <c r="L44" s="8"/>
      <c r="M44" s="8"/>
      <c r="N44" s="8"/>
    </row>
    <row r="45" spans="2:16">
      <c r="E45" s="28">
        <f>SUM(E18:E44)</f>
        <v>51051841</v>
      </c>
      <c r="G45" s="29">
        <f>SUM(G18:G44)</f>
        <v>121201241.36442441</v>
      </c>
    </row>
    <row r="47" spans="2:16" ht="15.75" thickBot="1"/>
    <row r="48" spans="2:16">
      <c r="B48" s="391" t="s">
        <v>137</v>
      </c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4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>
      <c r="B52" s="385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</row>
    <row r="53" spans="2:14" ht="142.5" customHeight="1" thickBot="1">
      <c r="B53" s="388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90"/>
    </row>
  </sheetData>
  <mergeCells count="3">
    <mergeCell ref="C2:L2"/>
    <mergeCell ref="L16:N16"/>
    <mergeCell ref="B48:N53"/>
  </mergeCells>
  <conditionalFormatting sqref="D1:D1048576">
    <cfRule type="duplicateValues" dxfId="166" priority="1"/>
  </conditionalFormatting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P52"/>
  <sheetViews>
    <sheetView showGridLines="0" topLeftCell="A13" zoomScale="80" zoomScaleNormal="80" workbookViewId="0">
      <selection activeCell="E41" sqref="E41"/>
    </sheetView>
  </sheetViews>
  <sheetFormatPr defaultColWidth="8.7109375" defaultRowHeight="15"/>
  <cols>
    <col min="2" max="2" width="7.7109375" bestFit="1" customWidth="1"/>
    <col min="3" max="3" width="26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3.5703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5.28515625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44774</v>
      </c>
    </row>
    <row r="5" spans="2:14">
      <c r="C5" t="s">
        <v>17</v>
      </c>
      <c r="D5" s="14">
        <f ca="1">SUMIF($C$18:$G$39,$C$5:$C$7,$G$18:$G$39)/SUMIF($C$18:$G$39,$C$5:$C$7,$E$18:$E$39)</f>
        <v>2.8424561468347016</v>
      </c>
    </row>
    <row r="6" spans="2:14">
      <c r="C6" t="s">
        <v>33</v>
      </c>
      <c r="D6" s="14">
        <f ca="1">SUMIF($C$18:$G$39,$C$5:$C$7,$G$18:$G$39)/SUMIF($C$18:$G$39,$C$5:$C$7,$E$18:$E$39)</f>
        <v>2.2936708572750826</v>
      </c>
    </row>
    <row r="7" spans="2:14">
      <c r="C7" t="s">
        <v>126</v>
      </c>
      <c r="D7" s="14">
        <f>SUM(G40:G41)/SUM(E40:E41)</f>
        <v>3.9387136597272745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+G44/E44</f>
        <v>2.5950619476368537</v>
      </c>
      <c r="E9" s="14"/>
      <c r="F9" s="32"/>
      <c r="L9" s="16" t="str">
        <f>+C5</f>
        <v>Petrobras</v>
      </c>
      <c r="M9" s="17">
        <f>790000/1580000</f>
        <v>0.5</v>
      </c>
      <c r="N9" s="17">
        <f>+SUM(E18:E36)/E44</f>
        <v>0.49740842637162846</v>
      </c>
    </row>
    <row r="10" spans="2:14">
      <c r="L10" s="16" t="str">
        <f>+C6</f>
        <v>Shell</v>
      </c>
      <c r="M10" s="17">
        <v>0.47468354430379744</v>
      </c>
      <c r="N10" s="17">
        <f>+SUM(E37:E39)/E44</f>
        <v>0.48531502433515117</v>
      </c>
    </row>
    <row r="11" spans="2:14">
      <c r="C11" t="s">
        <v>132</v>
      </c>
      <c r="D11" s="14">
        <v>2.5880999999999998</v>
      </c>
      <c r="L11" s="16" t="str">
        <f>+C7</f>
        <v>NFE</v>
      </c>
      <c r="M11" s="18">
        <v>2.5316455696202531E-2</v>
      </c>
      <c r="N11" s="18">
        <f>+SUM(E40:E41)/E44</f>
        <v>1.727654929322037E-2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1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1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1:14">
      <c r="A18" s="44"/>
      <c r="B18" s="5">
        <v>44774</v>
      </c>
      <c r="C18" s="1" t="s">
        <v>17</v>
      </c>
      <c r="D18" s="6" t="s">
        <v>139</v>
      </c>
      <c r="E18" s="1">
        <v>49820</v>
      </c>
      <c r="F18" s="2">
        <v>166718.95000000001</v>
      </c>
      <c r="G18" s="3">
        <f>F18-SUM(L18:N18)</f>
        <v>140706.7935</v>
      </c>
      <c r="H18" s="4">
        <f>+IF(G18=0,0,G18/E18)</f>
        <v>2.8243033621035729</v>
      </c>
      <c r="I18" s="7">
        <v>7.0000000000000007E-2</v>
      </c>
      <c r="J18" s="7">
        <v>1.6500000000000001E-2</v>
      </c>
      <c r="K18" s="7">
        <v>7.5999999999999998E-2</v>
      </c>
      <c r="L18" s="11">
        <f t="shared" ref="L18:L40" si="0">+I18*F18</f>
        <v>11670.326500000001</v>
      </c>
      <c r="M18" s="11">
        <v>2558.3000000000002</v>
      </c>
      <c r="N18" s="11">
        <v>11783.53</v>
      </c>
    </row>
    <row r="19" spans="1:14">
      <c r="A19" s="44"/>
      <c r="B19" s="5">
        <f>B18</f>
        <v>44774</v>
      </c>
      <c r="C19" s="1" t="s">
        <v>17</v>
      </c>
      <c r="D19" s="6" t="s">
        <v>140</v>
      </c>
      <c r="E19" s="1">
        <v>1765563</v>
      </c>
      <c r="F19" s="2">
        <v>6244026.5199999996</v>
      </c>
      <c r="G19" s="3">
        <f t="shared" ref="G19:G41" si="1">F19-SUM(L19:N19)</f>
        <v>4986485.8175999997</v>
      </c>
      <c r="H19" s="4">
        <f t="shared" ref="H19:H41" si="2">+IF(G19=0,0,G19/E19)</f>
        <v>2.8243035324143064</v>
      </c>
      <c r="I19" s="7">
        <v>0.12</v>
      </c>
      <c r="J19" s="7">
        <v>1.6500000000000001E-2</v>
      </c>
      <c r="K19" s="7">
        <v>7.5999999999999998E-2</v>
      </c>
      <c r="L19" s="11">
        <f t="shared" si="0"/>
        <v>749283.18239999993</v>
      </c>
      <c r="M19" s="11">
        <v>90663.27</v>
      </c>
      <c r="N19" s="11">
        <v>417594.25</v>
      </c>
    </row>
    <row r="20" spans="1:14">
      <c r="A20" s="44"/>
      <c r="B20" s="5">
        <f t="shared" ref="B20:B41" si="3">B19</f>
        <v>44774</v>
      </c>
      <c r="C20" s="1" t="s">
        <v>17</v>
      </c>
      <c r="D20" s="6" t="s">
        <v>146</v>
      </c>
      <c r="E20" s="1">
        <v>782661</v>
      </c>
      <c r="F20" s="2">
        <v>2767930.7</v>
      </c>
      <c r="G20" s="3">
        <f t="shared" si="1"/>
        <v>2210472.2260000003</v>
      </c>
      <c r="H20" s="4">
        <f t="shared" si="2"/>
        <v>2.8243035311584457</v>
      </c>
      <c r="I20" s="7">
        <v>0.12</v>
      </c>
      <c r="J20" s="7">
        <v>1.6500000000000001E-2</v>
      </c>
      <c r="K20" s="7">
        <v>7.5999999999999998E-2</v>
      </c>
      <c r="L20" s="11">
        <f t="shared" si="0"/>
        <v>332151.68400000001</v>
      </c>
      <c r="M20" s="11">
        <v>40190.35</v>
      </c>
      <c r="N20" s="11">
        <v>185116.44</v>
      </c>
    </row>
    <row r="21" spans="1:14">
      <c r="A21" s="44"/>
      <c r="B21" s="5">
        <f t="shared" si="3"/>
        <v>44774</v>
      </c>
      <c r="C21" s="1" t="s">
        <v>17</v>
      </c>
      <c r="D21" s="6" t="s">
        <v>147</v>
      </c>
      <c r="E21" s="1">
        <v>7429162</v>
      </c>
      <c r="F21" s="2">
        <v>26273706.789999999</v>
      </c>
      <c r="G21" s="3">
        <f t="shared" si="1"/>
        <v>20982208.5152</v>
      </c>
      <c r="H21" s="4">
        <f t="shared" si="2"/>
        <v>2.8243035372226371</v>
      </c>
      <c r="I21" s="7">
        <v>0.12</v>
      </c>
      <c r="J21" s="7">
        <v>1.6500000000000001E-2</v>
      </c>
      <c r="K21" s="7">
        <v>7.5999999999999998E-2</v>
      </c>
      <c r="L21" s="11">
        <f t="shared" si="0"/>
        <v>3152844.8147999998</v>
      </c>
      <c r="M21" s="11">
        <v>381494.22</v>
      </c>
      <c r="N21" s="11">
        <v>1757159.24</v>
      </c>
    </row>
    <row r="22" spans="1:14">
      <c r="A22" s="44"/>
      <c r="B22" s="5">
        <f t="shared" si="3"/>
        <v>44774</v>
      </c>
      <c r="C22" s="1" t="s">
        <v>17</v>
      </c>
      <c r="D22" s="6" t="s">
        <v>142</v>
      </c>
      <c r="E22" s="1">
        <v>33788</v>
      </c>
      <c r="F22" s="2">
        <v>170869.3</v>
      </c>
      <c r="G22" s="3">
        <f t="shared" si="1"/>
        <v>136456.39399999997</v>
      </c>
      <c r="H22" s="4">
        <f t="shared" si="2"/>
        <v>4.0386052444654901</v>
      </c>
      <c r="I22" s="7">
        <v>0.12</v>
      </c>
      <c r="J22" s="7">
        <v>1.6500000000000001E-2</v>
      </c>
      <c r="K22" s="7">
        <v>7.5999999999999998E-2</v>
      </c>
      <c r="L22" s="11">
        <f t="shared" si="0"/>
        <v>20504.315999999999</v>
      </c>
      <c r="M22" s="11">
        <v>2481.02</v>
      </c>
      <c r="N22" s="11">
        <v>11427.57</v>
      </c>
    </row>
    <row r="23" spans="1:14">
      <c r="A23" s="44"/>
      <c r="B23" s="5">
        <f t="shared" si="3"/>
        <v>44774</v>
      </c>
      <c r="C23" s="1" t="s">
        <v>17</v>
      </c>
      <c r="D23" s="6" t="s">
        <v>143</v>
      </c>
      <c r="E23" s="1">
        <v>51566</v>
      </c>
      <c r="F23" s="2">
        <v>260774.42</v>
      </c>
      <c r="G23" s="3">
        <f t="shared" si="1"/>
        <v>208254.71960000001</v>
      </c>
      <c r="H23" s="4">
        <f t="shared" si="2"/>
        <v>4.0386052747934684</v>
      </c>
      <c r="I23" s="7">
        <v>0.12</v>
      </c>
      <c r="J23" s="7">
        <v>1.6500000000000001E-2</v>
      </c>
      <c r="K23" s="7">
        <v>7.5999999999999998E-2</v>
      </c>
      <c r="L23" s="11">
        <f t="shared" si="0"/>
        <v>31292.930400000001</v>
      </c>
      <c r="M23" s="11">
        <v>3786.44</v>
      </c>
      <c r="N23" s="11">
        <v>17440.330000000002</v>
      </c>
    </row>
    <row r="24" spans="1:14">
      <c r="A24" s="44"/>
      <c r="B24" s="5">
        <f t="shared" si="3"/>
        <v>44774</v>
      </c>
      <c r="C24" s="1" t="s">
        <v>17</v>
      </c>
      <c r="D24" s="6" t="s">
        <v>144</v>
      </c>
      <c r="E24" s="1">
        <v>88538</v>
      </c>
      <c r="F24" s="2">
        <v>447745.52</v>
      </c>
      <c r="G24" s="3">
        <f t="shared" si="1"/>
        <v>357570.02760000003</v>
      </c>
      <c r="H24" s="4">
        <f t="shared" si="2"/>
        <v>4.0386052045449414</v>
      </c>
      <c r="I24" s="7">
        <v>0.12</v>
      </c>
      <c r="J24" s="7">
        <v>1.6500000000000001E-2</v>
      </c>
      <c r="K24" s="7">
        <v>7.5999999999999998E-2</v>
      </c>
      <c r="L24" s="11">
        <f t="shared" si="0"/>
        <v>53729.462399999997</v>
      </c>
      <c r="M24" s="11">
        <v>6501.26</v>
      </c>
      <c r="N24" s="11">
        <v>29944.77</v>
      </c>
    </row>
    <row r="25" spans="1:14">
      <c r="A25" s="44"/>
      <c r="B25" s="5">
        <f t="shared" si="3"/>
        <v>44774</v>
      </c>
      <c r="C25" s="1" t="s">
        <v>17</v>
      </c>
      <c r="D25" s="6" t="s">
        <v>145</v>
      </c>
      <c r="E25" s="1">
        <v>78616</v>
      </c>
      <c r="F25" s="2">
        <v>238747.49</v>
      </c>
      <c r="G25" s="3">
        <f t="shared" si="1"/>
        <v>222035.16569999998</v>
      </c>
      <c r="H25" s="4">
        <f t="shared" si="2"/>
        <v>2.824299960567823</v>
      </c>
      <c r="I25" s="7">
        <v>7.0000000000000007E-2</v>
      </c>
      <c r="J25" s="9">
        <v>0</v>
      </c>
      <c r="K25" s="9">
        <v>0</v>
      </c>
      <c r="L25" s="11">
        <f t="shared" si="0"/>
        <v>16712.3243</v>
      </c>
      <c r="M25" s="11">
        <v>0</v>
      </c>
      <c r="N25" s="11">
        <v>0</v>
      </c>
    </row>
    <row r="26" spans="1:14">
      <c r="A26" s="44"/>
      <c r="B26" s="5">
        <f t="shared" si="3"/>
        <v>44774</v>
      </c>
      <c r="C26" s="1" t="s">
        <v>17</v>
      </c>
      <c r="D26" s="6" t="s">
        <v>150</v>
      </c>
      <c r="E26" s="1">
        <v>2168885</v>
      </c>
      <c r="F26" s="2">
        <v>6960888.5300000003</v>
      </c>
      <c r="G26" s="3">
        <f t="shared" si="1"/>
        <v>6125581.9064000007</v>
      </c>
      <c r="H26" s="4">
        <f t="shared" si="2"/>
        <v>2.8243000004149601</v>
      </c>
      <c r="I26" s="7">
        <v>0.12</v>
      </c>
      <c r="J26" s="9">
        <v>0</v>
      </c>
      <c r="K26" s="9">
        <v>0</v>
      </c>
      <c r="L26" s="11">
        <f t="shared" si="0"/>
        <v>835306.62360000005</v>
      </c>
      <c r="M26" s="11">
        <v>0</v>
      </c>
      <c r="N26" s="11">
        <v>0</v>
      </c>
    </row>
    <row r="27" spans="1:14">
      <c r="A27" s="44"/>
      <c r="B27" s="5">
        <f t="shared" si="3"/>
        <v>44774</v>
      </c>
      <c r="C27" s="1" t="s">
        <v>17</v>
      </c>
      <c r="D27" s="6" t="s">
        <v>149</v>
      </c>
      <c r="E27" s="1">
        <v>11016082</v>
      </c>
      <c r="F27" s="2">
        <v>35355364.079999998</v>
      </c>
      <c r="G27" s="3">
        <f t="shared" si="1"/>
        <v>31112720.3904</v>
      </c>
      <c r="H27" s="4">
        <f t="shared" si="2"/>
        <v>2.8242999998002918</v>
      </c>
      <c r="I27" s="7">
        <v>0.12</v>
      </c>
      <c r="J27" s="9">
        <v>0</v>
      </c>
      <c r="K27" s="9">
        <v>0</v>
      </c>
      <c r="L27" s="11">
        <f t="shared" si="0"/>
        <v>4242643.6895999992</v>
      </c>
      <c r="M27" s="11">
        <v>0</v>
      </c>
      <c r="N27" s="11">
        <v>0</v>
      </c>
    </row>
    <row r="28" spans="1:14">
      <c r="A28" s="44"/>
      <c r="B28" s="5">
        <f t="shared" si="3"/>
        <v>44774</v>
      </c>
      <c r="C28" s="1" t="s">
        <v>17</v>
      </c>
      <c r="D28" s="6" t="s">
        <v>148</v>
      </c>
      <c r="E28" s="1">
        <v>876339</v>
      </c>
      <c r="F28" s="2">
        <v>2812550.27</v>
      </c>
      <c r="G28" s="3">
        <f t="shared" si="1"/>
        <v>2475044.2376000001</v>
      </c>
      <c r="H28" s="4">
        <f t="shared" si="2"/>
        <v>2.8242999998858891</v>
      </c>
      <c r="I28" s="7">
        <v>0.12</v>
      </c>
      <c r="J28" s="9">
        <v>0</v>
      </c>
      <c r="K28" s="9">
        <v>0</v>
      </c>
      <c r="L28" s="11">
        <f t="shared" si="0"/>
        <v>337506.03239999997</v>
      </c>
      <c r="M28" s="11">
        <v>0</v>
      </c>
      <c r="N28" s="11">
        <v>0</v>
      </c>
    </row>
    <row r="29" spans="1:14">
      <c r="A29" s="44"/>
      <c r="B29" s="5">
        <f t="shared" si="3"/>
        <v>44774</v>
      </c>
      <c r="C29" s="1" t="s">
        <v>17</v>
      </c>
      <c r="D29" s="6" t="s">
        <v>152</v>
      </c>
      <c r="E29" s="1">
        <v>59053</v>
      </c>
      <c r="F29" s="2">
        <v>271013.01</v>
      </c>
      <c r="G29" s="3">
        <f t="shared" si="1"/>
        <v>238491.44880000001</v>
      </c>
      <c r="H29" s="4">
        <f t="shared" si="2"/>
        <v>4.0386000508018221</v>
      </c>
      <c r="I29" s="7">
        <v>0.12</v>
      </c>
      <c r="J29" s="9">
        <v>0</v>
      </c>
      <c r="K29" s="9">
        <v>0</v>
      </c>
      <c r="L29" s="11">
        <f t="shared" si="0"/>
        <v>32521.5612</v>
      </c>
      <c r="M29" s="11">
        <v>0</v>
      </c>
      <c r="N29" s="11">
        <v>0</v>
      </c>
    </row>
    <row r="30" spans="1:14">
      <c r="A30" s="44"/>
      <c r="B30" s="5">
        <f t="shared" si="3"/>
        <v>44774</v>
      </c>
      <c r="C30" s="1" t="s">
        <v>17</v>
      </c>
      <c r="D30" s="6" t="s">
        <v>151</v>
      </c>
      <c r="E30" s="1">
        <v>96350</v>
      </c>
      <c r="F30" s="2">
        <v>442180.81</v>
      </c>
      <c r="G30" s="3">
        <f t="shared" si="1"/>
        <v>389119.1128</v>
      </c>
      <c r="H30" s="4">
        <f t="shared" si="2"/>
        <v>4.0386000290607162</v>
      </c>
      <c r="I30" s="7">
        <v>0.12</v>
      </c>
      <c r="J30" s="9">
        <v>0</v>
      </c>
      <c r="K30" s="9">
        <v>0</v>
      </c>
      <c r="L30" s="11">
        <f t="shared" si="0"/>
        <v>53061.697199999995</v>
      </c>
      <c r="M30" s="11">
        <v>0</v>
      </c>
      <c r="N30" s="11">
        <v>0</v>
      </c>
    </row>
    <row r="31" spans="1:14">
      <c r="A31" s="44"/>
      <c r="B31" s="5">
        <f t="shared" si="3"/>
        <v>44774</v>
      </c>
      <c r="C31" s="1" t="s">
        <v>17</v>
      </c>
      <c r="D31" s="6" t="s">
        <v>141</v>
      </c>
      <c r="E31" s="1">
        <v>37505</v>
      </c>
      <c r="F31" s="2">
        <v>172122.38</v>
      </c>
      <c r="G31" s="3">
        <f t="shared" si="1"/>
        <v>151467.69440000001</v>
      </c>
      <c r="H31" s="4">
        <f t="shared" si="2"/>
        <v>4.0386000373283562</v>
      </c>
      <c r="I31" s="7">
        <v>0.12</v>
      </c>
      <c r="J31" s="9">
        <v>0</v>
      </c>
      <c r="K31" s="9">
        <v>0</v>
      </c>
      <c r="L31" s="11">
        <f t="shared" si="0"/>
        <v>20654.685600000001</v>
      </c>
      <c r="M31" s="11">
        <v>0</v>
      </c>
      <c r="N31" s="11">
        <v>0</v>
      </c>
    </row>
    <row r="32" spans="1:14" hidden="1">
      <c r="A32" s="44"/>
      <c r="B32" s="5">
        <f t="shared" si="3"/>
        <v>44774</v>
      </c>
      <c r="C32" s="1" t="s">
        <v>17</v>
      </c>
      <c r="D32" s="6"/>
      <c r="E32" s="1"/>
      <c r="F32" s="2"/>
      <c r="G32" s="3">
        <f t="shared" si="1"/>
        <v>0</v>
      </c>
      <c r="H32" s="4">
        <f t="shared" si="2"/>
        <v>0</v>
      </c>
      <c r="I32" s="7"/>
      <c r="J32" s="7"/>
      <c r="K32" s="7"/>
      <c r="L32" s="11">
        <f t="shared" si="0"/>
        <v>0</v>
      </c>
      <c r="M32" s="11">
        <f t="shared" ref="M32:M36" si="4">(F32-L32)*J32</f>
        <v>0</v>
      </c>
      <c r="N32" s="11">
        <f t="shared" ref="N32:N36" si="5">(F32-L32)*K32</f>
        <v>0</v>
      </c>
    </row>
    <row r="33" spans="1:16" hidden="1">
      <c r="A33" s="44"/>
      <c r="B33" s="5">
        <f t="shared" si="3"/>
        <v>44774</v>
      </c>
      <c r="C33" s="1" t="s">
        <v>17</v>
      </c>
      <c r="D33" s="6"/>
      <c r="E33" s="1"/>
      <c r="F33" s="2"/>
      <c r="G33" s="3">
        <f t="shared" si="1"/>
        <v>0</v>
      </c>
      <c r="H33" s="4">
        <f t="shared" si="2"/>
        <v>0</v>
      </c>
      <c r="I33" s="7"/>
      <c r="J33" s="7"/>
      <c r="K33" s="7"/>
      <c r="L33" s="11">
        <f t="shared" si="0"/>
        <v>0</v>
      </c>
      <c r="M33" s="11">
        <f t="shared" si="4"/>
        <v>0</v>
      </c>
      <c r="N33" s="11">
        <f t="shared" si="5"/>
        <v>0</v>
      </c>
    </row>
    <row r="34" spans="1:16" hidden="1">
      <c r="A34" s="44"/>
      <c r="B34" s="5">
        <f t="shared" si="3"/>
        <v>44774</v>
      </c>
      <c r="C34" s="1" t="s">
        <v>17</v>
      </c>
      <c r="D34" s="6"/>
      <c r="E34" s="1"/>
      <c r="F34" s="2"/>
      <c r="G34" s="3">
        <f t="shared" si="1"/>
        <v>0</v>
      </c>
      <c r="H34" s="4">
        <f t="shared" si="2"/>
        <v>0</v>
      </c>
      <c r="I34" s="7"/>
      <c r="J34" s="7"/>
      <c r="K34" s="7"/>
      <c r="L34" s="11">
        <f t="shared" si="0"/>
        <v>0</v>
      </c>
      <c r="M34" s="11">
        <f t="shared" si="4"/>
        <v>0</v>
      </c>
      <c r="N34" s="11">
        <f t="shared" si="5"/>
        <v>0</v>
      </c>
    </row>
    <row r="35" spans="1:16" hidden="1">
      <c r="A35" s="44"/>
      <c r="B35" s="5">
        <f t="shared" si="3"/>
        <v>44774</v>
      </c>
      <c r="C35" s="1" t="s">
        <v>17</v>
      </c>
      <c r="D35" s="6"/>
      <c r="E35" s="1"/>
      <c r="F35" s="2"/>
      <c r="G35" s="3">
        <f t="shared" si="1"/>
        <v>0</v>
      </c>
      <c r="H35" s="4">
        <f t="shared" si="2"/>
        <v>0</v>
      </c>
      <c r="I35" s="7"/>
      <c r="J35" s="7"/>
      <c r="K35" s="7"/>
      <c r="L35" s="11">
        <f t="shared" si="0"/>
        <v>0</v>
      </c>
      <c r="M35" s="11">
        <f t="shared" si="4"/>
        <v>0</v>
      </c>
      <c r="N35" s="11">
        <f t="shared" si="5"/>
        <v>0</v>
      </c>
    </row>
    <row r="36" spans="1:16" hidden="1">
      <c r="A36" s="44"/>
      <c r="B36" s="5">
        <f t="shared" si="3"/>
        <v>44774</v>
      </c>
      <c r="C36" s="1" t="s">
        <v>17</v>
      </c>
      <c r="D36" s="6"/>
      <c r="E36" s="1"/>
      <c r="F36" s="2"/>
      <c r="G36" s="3">
        <f t="shared" si="1"/>
        <v>0</v>
      </c>
      <c r="H36" s="4">
        <f t="shared" si="2"/>
        <v>0</v>
      </c>
      <c r="I36" s="7"/>
      <c r="J36" s="7"/>
      <c r="K36" s="7"/>
      <c r="L36" s="11">
        <f t="shared" si="0"/>
        <v>0</v>
      </c>
      <c r="M36" s="11">
        <f t="shared" si="4"/>
        <v>0</v>
      </c>
      <c r="N36" s="11">
        <f t="shared" si="5"/>
        <v>0</v>
      </c>
    </row>
    <row r="37" spans="1:16" hidden="1">
      <c r="A37" s="44"/>
      <c r="B37" s="5">
        <f t="shared" si="3"/>
        <v>44774</v>
      </c>
      <c r="C37" s="1" t="s">
        <v>33</v>
      </c>
      <c r="D37" s="10"/>
      <c r="E37" s="1"/>
      <c r="F37" s="2"/>
      <c r="G37" s="3">
        <f t="shared" ref="G37:G38" si="6">F37-SUM(L37:N37)</f>
        <v>0</v>
      </c>
      <c r="H37" s="4">
        <f t="shared" si="2"/>
        <v>0</v>
      </c>
      <c r="I37" s="7"/>
      <c r="J37" s="7">
        <v>1.6500000000000001E-2</v>
      </c>
      <c r="K37" s="7">
        <v>7.5999999999999998E-2</v>
      </c>
      <c r="L37" s="11"/>
      <c r="M37" s="11"/>
      <c r="N37" s="11"/>
      <c r="P37" s="45"/>
    </row>
    <row r="38" spans="1:16" hidden="1">
      <c r="A38" s="44"/>
      <c r="B38" s="5">
        <f t="shared" si="3"/>
        <v>44774</v>
      </c>
      <c r="C38" s="1" t="s">
        <v>33</v>
      </c>
      <c r="D38" s="46"/>
      <c r="E38" s="1"/>
      <c r="F38" s="43"/>
      <c r="G38" s="3">
        <f t="shared" si="6"/>
        <v>0</v>
      </c>
      <c r="H38" s="4">
        <f t="shared" si="2"/>
        <v>0</v>
      </c>
      <c r="I38" s="7"/>
      <c r="J38" s="7">
        <v>1.6500000000000001E-2</v>
      </c>
      <c r="K38" s="7">
        <v>7.5999999999999998E-2</v>
      </c>
      <c r="L38" s="11"/>
      <c r="M38" s="11"/>
      <c r="N38" s="11"/>
      <c r="P38" s="45"/>
    </row>
    <row r="39" spans="1:16">
      <c r="A39" s="44"/>
      <c r="B39" s="5">
        <f t="shared" si="3"/>
        <v>44774</v>
      </c>
      <c r="C39" s="1" t="s">
        <v>33</v>
      </c>
      <c r="D39" s="6" t="s">
        <v>154</v>
      </c>
      <c r="E39" s="1">
        <v>23937439</v>
      </c>
      <c r="F39" s="2">
        <v>65054777.969999999</v>
      </c>
      <c r="G39" s="3">
        <f t="shared" si="1"/>
        <v>54904606.232099995</v>
      </c>
      <c r="H39" s="4">
        <f t="shared" si="2"/>
        <v>2.2936708572750826</v>
      </c>
      <c r="I39" s="7">
        <v>7.0000000000000007E-2</v>
      </c>
      <c r="J39" s="7">
        <v>1.6500000000000001E-2</v>
      </c>
      <c r="K39" s="7">
        <v>7.5999999999999998E-2</v>
      </c>
      <c r="L39" s="11">
        <f t="shared" si="0"/>
        <v>4553834.4579000007</v>
      </c>
      <c r="M39" s="11">
        <v>998265.57</v>
      </c>
      <c r="N39" s="11">
        <v>4598071.71</v>
      </c>
      <c r="P39" s="45"/>
    </row>
    <row r="40" spans="1:16">
      <c r="A40" s="44"/>
      <c r="B40" s="5">
        <f t="shared" si="3"/>
        <v>44774</v>
      </c>
      <c r="C40" s="1" t="s">
        <v>37</v>
      </c>
      <c r="D40" s="10" t="s">
        <v>153</v>
      </c>
      <c r="E40" s="1">
        <f>625673+153041</f>
        <v>778714</v>
      </c>
      <c r="F40" s="2">
        <v>4130352.9</v>
      </c>
      <c r="G40" s="3">
        <f t="shared" si="1"/>
        <v>3073602.1179999998</v>
      </c>
      <c r="H40" s="4">
        <f t="shared" si="2"/>
        <v>3.9470230636665065</v>
      </c>
      <c r="I40" s="7">
        <v>0.18</v>
      </c>
      <c r="J40" s="7">
        <v>1.6500000000000001E-2</v>
      </c>
      <c r="K40" s="7">
        <v>7.5999999999999998E-2</v>
      </c>
      <c r="L40" s="11">
        <f t="shared" si="0"/>
        <v>743463.522</v>
      </c>
      <c r="M40" s="11">
        <v>55883.67</v>
      </c>
      <c r="N40" s="11">
        <v>257403.59</v>
      </c>
      <c r="O40" s="41"/>
    </row>
    <row r="41" spans="1:16">
      <c r="A41" s="44"/>
      <c r="B41" s="5">
        <f t="shared" si="3"/>
        <v>44774</v>
      </c>
      <c r="C41" s="1" t="s">
        <v>36</v>
      </c>
      <c r="D41" s="46" t="s">
        <v>153</v>
      </c>
      <c r="E41" s="1">
        <f>58033+15393</f>
        <v>73426</v>
      </c>
      <c r="F41" s="43">
        <v>379941.32</v>
      </c>
      <c r="G41" s="3">
        <f t="shared" si="1"/>
        <v>282733.34000000003</v>
      </c>
      <c r="H41" s="4">
        <f t="shared" si="2"/>
        <v>3.8505888922180156</v>
      </c>
      <c r="I41" s="7">
        <v>0.18</v>
      </c>
      <c r="J41" s="7">
        <v>1.6500000000000001E-2</v>
      </c>
      <c r="K41" s="7">
        <v>7.5999999999999998E-2</v>
      </c>
      <c r="L41" s="11">
        <v>68389.429999999993</v>
      </c>
      <c r="M41" s="11">
        <v>5140.6099999999997</v>
      </c>
      <c r="N41" s="11">
        <v>23677.94</v>
      </c>
      <c r="P41" s="42"/>
    </row>
    <row r="42" spans="1:16">
      <c r="B42" s="5"/>
      <c r="C42" s="1"/>
      <c r="D42" s="6"/>
      <c r="E42" s="1"/>
      <c r="F42" s="2"/>
      <c r="G42" s="3"/>
      <c r="H42" s="4"/>
      <c r="I42" s="7"/>
      <c r="J42" s="7"/>
      <c r="K42" s="7"/>
      <c r="L42" s="8"/>
      <c r="M42" s="8"/>
      <c r="N42" s="8"/>
    </row>
    <row r="43" spans="1:16">
      <c r="B43" s="5"/>
      <c r="C43" s="1"/>
      <c r="D43" s="6"/>
      <c r="E43" s="1"/>
      <c r="F43" s="2"/>
      <c r="G43" s="3"/>
      <c r="H43" s="4"/>
      <c r="I43" s="7"/>
      <c r="J43" s="7"/>
      <c r="K43" s="7"/>
      <c r="L43" s="8"/>
      <c r="M43" s="8"/>
      <c r="N43" s="8"/>
    </row>
    <row r="44" spans="1:16">
      <c r="E44" s="28">
        <f>SUM(E18:E43)</f>
        <v>49323507</v>
      </c>
      <c r="G44" s="29">
        <f>SUM(G18:G43)</f>
        <v>127997556.1397</v>
      </c>
    </row>
    <row r="46" spans="1:16" ht="15.75" thickBot="1"/>
    <row r="47" spans="1:16">
      <c r="B47" s="391" t="s">
        <v>138</v>
      </c>
      <c r="C47" s="383"/>
      <c r="D47" s="383"/>
      <c r="E47" s="383"/>
      <c r="F47" s="383"/>
      <c r="G47" s="383"/>
      <c r="H47" s="383"/>
      <c r="I47" s="383"/>
      <c r="J47" s="383"/>
      <c r="K47" s="383"/>
      <c r="L47" s="383"/>
      <c r="M47" s="383"/>
      <c r="N47" s="384"/>
    </row>
    <row r="48" spans="1:16">
      <c r="B48" s="385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 ht="142.5" customHeight="1" thickBot="1">
      <c r="B52" s="388"/>
      <c r="C52" s="389"/>
      <c r="D52" s="389"/>
      <c r="E52" s="389"/>
      <c r="F52" s="389"/>
      <c r="G52" s="389"/>
      <c r="H52" s="389"/>
      <c r="I52" s="389"/>
      <c r="J52" s="389"/>
      <c r="K52" s="389"/>
      <c r="L52" s="389"/>
      <c r="M52" s="389"/>
      <c r="N52" s="390"/>
    </row>
  </sheetData>
  <mergeCells count="3">
    <mergeCell ref="C2:L2"/>
    <mergeCell ref="L16:N16"/>
    <mergeCell ref="B47:N52"/>
  </mergeCells>
  <conditionalFormatting sqref="D1:D1048576">
    <cfRule type="duplicateValues" dxfId="165" priority="1"/>
  </conditionalFormatting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P54"/>
  <sheetViews>
    <sheetView showGridLines="0" topLeftCell="A22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26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3.5703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44805</v>
      </c>
    </row>
    <row r="5" spans="2:14">
      <c r="C5" t="s">
        <v>17</v>
      </c>
      <c r="D5" s="14">
        <f ca="1">SUMIF($C$18:$G$41,$C$5:$C$7,$G$18:$G$41)/SUMIF($C$18:$G$41,$C$5:$C$7,$E$18:$E$41)</f>
        <v>2.8371809145466034</v>
      </c>
    </row>
    <row r="6" spans="2:14">
      <c r="C6" t="s">
        <v>33</v>
      </c>
      <c r="D6" s="14">
        <f ca="1">SUMIF($C$18:$G$41,$C$5:$C$7,$G$18:$G$41)/SUMIF($C$18:$G$41,$C$5:$C$7,$E$18:$E$41)</f>
        <v>2.2936708574423457</v>
      </c>
    </row>
    <row r="7" spans="2:14">
      <c r="C7" t="s">
        <v>126</v>
      </c>
      <c r="D7" s="14">
        <f>SUM(G42:G43)/SUM(E42:E43)</f>
        <v>3.9776823814819053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+G46/E46</f>
        <v>2.5732965938942169</v>
      </c>
      <c r="E9" s="14"/>
      <c r="F9" s="32"/>
      <c r="L9" s="16" t="str">
        <f>+C5</f>
        <v>Petrobras</v>
      </c>
      <c r="M9" s="17">
        <f>790000/1580000</f>
        <v>0.5</v>
      </c>
      <c r="N9" s="17">
        <f>+SUM(E18:E36)/E46</f>
        <v>0.46571208510381368</v>
      </c>
    </row>
    <row r="10" spans="2:14">
      <c r="L10" s="16" t="str">
        <f>+C6</f>
        <v>Shell</v>
      </c>
      <c r="M10" s="17">
        <v>0.47468354430379744</v>
      </c>
      <c r="N10" s="17">
        <f>+SUM(E39:E41)/E46</f>
        <v>0.51841140966645893</v>
      </c>
    </row>
    <row r="11" spans="2:14">
      <c r="C11" t="s">
        <v>132</v>
      </c>
      <c r="D11" s="14">
        <v>2.5880999999999998</v>
      </c>
      <c r="L11" s="16" t="str">
        <f>+C7</f>
        <v>NFE</v>
      </c>
      <c r="M11" s="18">
        <v>2.5316455696202531E-2</v>
      </c>
      <c r="N11" s="18">
        <f>+SUM(E42:E43)/E46</f>
        <v>1.5675117250808456E-2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0.99979861202108111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1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1:14">
      <c r="A18" s="44"/>
      <c r="B18" s="5">
        <v>44805</v>
      </c>
      <c r="C18" s="1" t="s">
        <v>17</v>
      </c>
      <c r="D18" s="6" t="s">
        <v>166</v>
      </c>
      <c r="E18" s="1">
        <v>931775</v>
      </c>
      <c r="F18" s="2">
        <v>3295281.91</v>
      </c>
      <c r="G18" s="3">
        <f>F18-SUM(L18:N18)</f>
        <v>2631615.4308000002</v>
      </c>
      <c r="H18" s="4">
        <f>+IF(G18=0,0,G18/E18)</f>
        <v>2.8243035398030645</v>
      </c>
      <c r="I18" s="7">
        <v>0.12</v>
      </c>
      <c r="J18" s="7">
        <v>1.6500000000000001E-2</v>
      </c>
      <c r="K18" s="7">
        <v>7.5999999999999998E-2</v>
      </c>
      <c r="L18" s="11">
        <f t="shared" ref="L18:L43" si="0">+I18*F18</f>
        <v>395433.82919999998</v>
      </c>
      <c r="M18" s="11">
        <v>47847.49</v>
      </c>
      <c r="N18" s="11">
        <v>220385.16</v>
      </c>
    </row>
    <row r="19" spans="1:14">
      <c r="A19" s="44"/>
      <c r="B19" s="5">
        <f>B18</f>
        <v>44805</v>
      </c>
      <c r="C19" s="1" t="s">
        <v>17</v>
      </c>
      <c r="D19" s="6" t="s">
        <v>169</v>
      </c>
      <c r="E19" s="1">
        <v>154512</v>
      </c>
      <c r="F19" s="2">
        <v>517062.99</v>
      </c>
      <c r="G19" s="3">
        <f t="shared" ref="G19:G43" si="1">F19-SUM(L19:N19)</f>
        <v>436388.75069999998</v>
      </c>
      <c r="H19" s="4">
        <f t="shared" ref="H19:H43" si="2">+IF(G19=0,0,G19/E19)</f>
        <v>2.8243032948897171</v>
      </c>
      <c r="I19" s="7">
        <v>7.0000000000000007E-2</v>
      </c>
      <c r="J19" s="7">
        <v>1.6500000000000001E-2</v>
      </c>
      <c r="K19" s="7">
        <v>7.5999999999999998E-2</v>
      </c>
      <c r="L19" s="11">
        <f t="shared" si="0"/>
        <v>36194.409299999999</v>
      </c>
      <c r="M19" s="11">
        <v>7934.33</v>
      </c>
      <c r="N19" s="11">
        <v>36545.5</v>
      </c>
    </row>
    <row r="20" spans="1:14">
      <c r="A20" s="44"/>
      <c r="B20" s="5">
        <f t="shared" ref="B20:B43" si="3">B19</f>
        <v>44805</v>
      </c>
      <c r="C20" s="1" t="s">
        <v>17</v>
      </c>
      <c r="D20" s="6" t="s">
        <v>171</v>
      </c>
      <c r="E20" s="1">
        <v>57232</v>
      </c>
      <c r="F20" s="2">
        <v>202404.63</v>
      </c>
      <c r="G20" s="3">
        <f t="shared" si="1"/>
        <v>161640.5344</v>
      </c>
      <c r="H20" s="4">
        <f t="shared" si="2"/>
        <v>2.8243034386357282</v>
      </c>
      <c r="I20" s="7">
        <v>0.12</v>
      </c>
      <c r="J20" s="7">
        <v>1.6500000000000001E-2</v>
      </c>
      <c r="K20" s="7">
        <v>7.5999999999999998E-2</v>
      </c>
      <c r="L20" s="11">
        <f t="shared" si="0"/>
        <v>24288.5556</v>
      </c>
      <c r="M20" s="11">
        <v>2938.92</v>
      </c>
      <c r="N20" s="11">
        <v>13536.62</v>
      </c>
    </row>
    <row r="21" spans="1:14">
      <c r="A21" s="44"/>
      <c r="B21" s="5">
        <f t="shared" si="3"/>
        <v>44805</v>
      </c>
      <c r="C21" s="1" t="s">
        <v>17</v>
      </c>
      <c r="D21" s="6" t="s">
        <v>172</v>
      </c>
      <c r="E21" s="1">
        <v>620441</v>
      </c>
      <c r="F21" s="2">
        <v>2194229.2999999998</v>
      </c>
      <c r="G21" s="3">
        <f t="shared" si="1"/>
        <v>1752313.7139999999</v>
      </c>
      <c r="H21" s="4">
        <f t="shared" si="2"/>
        <v>2.8243035421579168</v>
      </c>
      <c r="I21" s="7">
        <v>0.12</v>
      </c>
      <c r="J21" s="7">
        <v>1.6500000000000001E-2</v>
      </c>
      <c r="K21" s="7">
        <v>7.5999999999999998E-2</v>
      </c>
      <c r="L21" s="11">
        <f t="shared" si="0"/>
        <v>263307.51599999995</v>
      </c>
      <c r="M21" s="11">
        <v>31860.21</v>
      </c>
      <c r="N21" s="11">
        <v>146747.85999999999</v>
      </c>
    </row>
    <row r="22" spans="1:14">
      <c r="A22" s="44"/>
      <c r="B22" s="5">
        <f t="shared" si="3"/>
        <v>44805</v>
      </c>
      <c r="C22" s="1" t="s">
        <v>17</v>
      </c>
      <c r="D22" s="6" t="s">
        <v>173</v>
      </c>
      <c r="E22" s="1">
        <v>9069958</v>
      </c>
      <c r="F22" s="2">
        <v>32076486.829999998</v>
      </c>
      <c r="G22" s="3">
        <f t="shared" si="1"/>
        <v>25616314.4604</v>
      </c>
      <c r="H22" s="4">
        <f t="shared" si="2"/>
        <v>2.8243035370615828</v>
      </c>
      <c r="I22" s="7">
        <v>0.12</v>
      </c>
      <c r="J22" s="7">
        <v>1.6500000000000001E-2</v>
      </c>
      <c r="K22" s="7">
        <v>7.5999999999999998E-2</v>
      </c>
      <c r="L22" s="11">
        <f t="shared" si="0"/>
        <v>3849178.4195999997</v>
      </c>
      <c r="M22" s="11">
        <v>465750.59</v>
      </c>
      <c r="N22" s="11">
        <v>2145243.36</v>
      </c>
    </row>
    <row r="23" spans="1:14">
      <c r="A23" s="44" t="s">
        <v>160</v>
      </c>
      <c r="B23" s="5">
        <f t="shared" si="3"/>
        <v>44805</v>
      </c>
      <c r="C23" s="1" t="s">
        <v>17</v>
      </c>
      <c r="D23" s="6" t="s">
        <v>175</v>
      </c>
      <c r="E23" s="1">
        <v>58832</v>
      </c>
      <c r="F23" s="2">
        <v>297519.31</v>
      </c>
      <c r="G23" s="3">
        <f t="shared" si="1"/>
        <v>237599.22279999999</v>
      </c>
      <c r="H23" s="4">
        <f t="shared" si="2"/>
        <v>4.0386052284471035</v>
      </c>
      <c r="I23" s="7">
        <v>0.12</v>
      </c>
      <c r="J23" s="7">
        <v>1.6500000000000001E-2</v>
      </c>
      <c r="K23" s="7">
        <v>7.5999999999999998E-2</v>
      </c>
      <c r="L23" s="11">
        <f t="shared" si="0"/>
        <v>35702.317199999998</v>
      </c>
      <c r="M23" s="11">
        <v>4319.9799999999996</v>
      </c>
      <c r="N23" s="11">
        <v>19897.79</v>
      </c>
    </row>
    <row r="24" spans="1:14">
      <c r="A24" s="44" t="s">
        <v>160</v>
      </c>
      <c r="B24" s="5">
        <f t="shared" si="3"/>
        <v>44805</v>
      </c>
      <c r="C24" s="1" t="s">
        <v>17</v>
      </c>
      <c r="D24" s="6" t="s">
        <v>167</v>
      </c>
      <c r="E24" s="1">
        <v>23610</v>
      </c>
      <c r="F24" s="2">
        <v>119398.13</v>
      </c>
      <c r="G24" s="3">
        <f t="shared" si="1"/>
        <v>95351.464399999997</v>
      </c>
      <c r="H24" s="4">
        <f t="shared" si="2"/>
        <v>4.0386050148242267</v>
      </c>
      <c r="I24" s="7">
        <v>0.12</v>
      </c>
      <c r="J24" s="7">
        <v>1.6500000000000001E-2</v>
      </c>
      <c r="K24" s="7">
        <v>7.5999999999999998E-2</v>
      </c>
      <c r="L24" s="11">
        <f t="shared" si="0"/>
        <v>14327.775600000001</v>
      </c>
      <c r="M24" s="11">
        <v>1733.66</v>
      </c>
      <c r="N24" s="11">
        <v>7985.23</v>
      </c>
    </row>
    <row r="25" spans="1:14">
      <c r="A25" s="44" t="s">
        <v>159</v>
      </c>
      <c r="B25" s="5">
        <f t="shared" si="3"/>
        <v>44805</v>
      </c>
      <c r="C25" s="1" t="s">
        <v>17</v>
      </c>
      <c r="D25" s="6" t="s">
        <v>157</v>
      </c>
      <c r="E25" s="1">
        <v>11048991</v>
      </c>
      <c r="F25" s="2">
        <v>35460983.270000003</v>
      </c>
      <c r="G25" s="3">
        <f t="shared" si="1"/>
        <v>31205665.277600005</v>
      </c>
      <c r="H25" s="4">
        <f t="shared" si="2"/>
        <v>2.8242999996651283</v>
      </c>
      <c r="I25" s="7">
        <v>0.12</v>
      </c>
      <c r="J25" s="9">
        <v>0</v>
      </c>
      <c r="K25" s="9">
        <v>0</v>
      </c>
      <c r="L25" s="11">
        <f t="shared" si="0"/>
        <v>4255317.9923999999</v>
      </c>
      <c r="M25" s="11">
        <v>0</v>
      </c>
      <c r="N25" s="11">
        <v>0</v>
      </c>
    </row>
    <row r="26" spans="1:14">
      <c r="A26" s="44" t="s">
        <v>159</v>
      </c>
      <c r="B26" s="5">
        <f t="shared" si="3"/>
        <v>44805</v>
      </c>
      <c r="C26" s="1" t="s">
        <v>17</v>
      </c>
      <c r="D26" s="6" t="s">
        <v>161</v>
      </c>
      <c r="E26" s="1">
        <v>829476</v>
      </c>
      <c r="F26" s="2">
        <v>2662146.67</v>
      </c>
      <c r="G26" s="3">
        <f t="shared" si="1"/>
        <v>2342689.0696</v>
      </c>
      <c r="H26" s="4">
        <f t="shared" si="2"/>
        <v>2.8243000033756251</v>
      </c>
      <c r="I26" s="7">
        <v>0.12</v>
      </c>
      <c r="J26" s="9">
        <v>0</v>
      </c>
      <c r="K26" s="9">
        <v>0</v>
      </c>
      <c r="L26" s="11">
        <f t="shared" si="0"/>
        <v>319457.6004</v>
      </c>
      <c r="M26" s="11">
        <v>0</v>
      </c>
      <c r="N26" s="11">
        <v>0</v>
      </c>
    </row>
    <row r="27" spans="1:14">
      <c r="A27" s="44" t="s">
        <v>159</v>
      </c>
      <c r="B27" s="5">
        <f t="shared" si="3"/>
        <v>44805</v>
      </c>
      <c r="C27" s="1" t="s">
        <v>17</v>
      </c>
      <c r="D27" s="6" t="s">
        <v>163</v>
      </c>
      <c r="E27" s="1">
        <v>236824.77100000001</v>
      </c>
      <c r="F27" s="2">
        <v>719208.82</v>
      </c>
      <c r="G27" s="3">
        <f t="shared" si="1"/>
        <v>668864.20259999996</v>
      </c>
      <c r="H27" s="4">
        <f t="shared" si="2"/>
        <v>2.8243000078737537</v>
      </c>
      <c r="I27" s="7">
        <v>7.0000000000000007E-2</v>
      </c>
      <c r="J27" s="9">
        <v>0</v>
      </c>
      <c r="K27" s="9">
        <v>0</v>
      </c>
      <c r="L27" s="11">
        <f t="shared" si="0"/>
        <v>50344.617400000003</v>
      </c>
      <c r="M27" s="11">
        <v>0</v>
      </c>
      <c r="N27" s="11">
        <v>0</v>
      </c>
    </row>
    <row r="28" spans="1:14">
      <c r="A28" s="44" t="s">
        <v>159</v>
      </c>
      <c r="B28" s="5">
        <f t="shared" si="3"/>
        <v>44805</v>
      </c>
      <c r="C28" s="1" t="s">
        <v>17</v>
      </c>
      <c r="D28" s="6" t="s">
        <v>164</v>
      </c>
      <c r="E28" s="1">
        <v>53023.228999999999</v>
      </c>
      <c r="F28" s="2">
        <v>161025.28</v>
      </c>
      <c r="G28" s="3">
        <f t="shared" si="1"/>
        <v>149753.5104</v>
      </c>
      <c r="H28" s="4">
        <f t="shared" si="2"/>
        <v>2.8243000893061416</v>
      </c>
      <c r="I28" s="7">
        <v>7.0000000000000007E-2</v>
      </c>
      <c r="J28" s="9">
        <v>0</v>
      </c>
      <c r="K28" s="9">
        <v>0</v>
      </c>
      <c r="L28" s="11">
        <f t="shared" si="0"/>
        <v>11271.769600000001</v>
      </c>
      <c r="M28" s="11">
        <v>0</v>
      </c>
      <c r="N28" s="11">
        <v>0</v>
      </c>
    </row>
    <row r="29" spans="1:14">
      <c r="A29" s="44" t="s">
        <v>159</v>
      </c>
      <c r="B29" s="5">
        <f t="shared" si="3"/>
        <v>44805</v>
      </c>
      <c r="C29" s="1" t="s">
        <v>17</v>
      </c>
      <c r="D29" s="6" t="s">
        <v>165</v>
      </c>
      <c r="E29" s="1">
        <v>1026055</v>
      </c>
      <c r="F29" s="2">
        <v>3293053.57</v>
      </c>
      <c r="G29" s="3">
        <f t="shared" si="1"/>
        <v>2897887.1415999997</v>
      </c>
      <c r="H29" s="4">
        <f t="shared" si="2"/>
        <v>2.8243000049704934</v>
      </c>
      <c r="I29" s="7">
        <v>0.12</v>
      </c>
      <c r="J29" s="9">
        <v>0</v>
      </c>
      <c r="K29" s="9">
        <v>0</v>
      </c>
      <c r="L29" s="11">
        <f t="shared" si="0"/>
        <v>395166.42839999998</v>
      </c>
      <c r="M29" s="11">
        <v>0</v>
      </c>
      <c r="N29" s="11">
        <v>0</v>
      </c>
    </row>
    <row r="30" spans="1:14">
      <c r="A30" s="44" t="s">
        <v>162</v>
      </c>
      <c r="B30" s="5">
        <f t="shared" si="3"/>
        <v>44805</v>
      </c>
      <c r="C30" s="1" t="s">
        <v>17</v>
      </c>
      <c r="D30" s="6" t="s">
        <v>168</v>
      </c>
      <c r="E30" s="1">
        <v>10196</v>
      </c>
      <c r="F30" s="2">
        <v>44276.959999999999</v>
      </c>
      <c r="G30" s="3">
        <f t="shared" si="1"/>
        <v>41177.572800000002</v>
      </c>
      <c r="H30" s="4">
        <f t="shared" si="2"/>
        <v>4.0386007061592784</v>
      </c>
      <c r="I30" s="7">
        <v>7.0000000000000007E-2</v>
      </c>
      <c r="J30" s="9">
        <v>0</v>
      </c>
      <c r="K30" s="9">
        <v>0</v>
      </c>
      <c r="L30" s="11">
        <f t="shared" si="0"/>
        <v>3099.3872000000001</v>
      </c>
      <c r="M30" s="11">
        <v>0</v>
      </c>
      <c r="N30" s="11">
        <v>0</v>
      </c>
    </row>
    <row r="31" spans="1:14">
      <c r="A31" s="44" t="s">
        <v>162</v>
      </c>
      <c r="B31" s="5">
        <f t="shared" si="3"/>
        <v>44805</v>
      </c>
      <c r="C31" s="1" t="s">
        <v>17</v>
      </c>
      <c r="D31" s="6" t="s">
        <v>158</v>
      </c>
      <c r="E31" s="1">
        <v>76482</v>
      </c>
      <c r="F31" s="2">
        <v>351000.24</v>
      </c>
      <c r="G31" s="3">
        <f t="shared" si="1"/>
        <v>308880.21120000002</v>
      </c>
      <c r="H31" s="4">
        <f t="shared" si="2"/>
        <v>4.0386000784498313</v>
      </c>
      <c r="I31" s="7">
        <v>0.12</v>
      </c>
      <c r="J31" s="9">
        <v>0</v>
      </c>
      <c r="K31" s="9">
        <v>0</v>
      </c>
      <c r="L31" s="11">
        <f t="shared" si="0"/>
        <v>42120.0288</v>
      </c>
      <c r="M31" s="11">
        <v>0</v>
      </c>
      <c r="N31" s="11">
        <v>0</v>
      </c>
    </row>
    <row r="32" spans="1:14">
      <c r="A32" s="44" t="s">
        <v>162</v>
      </c>
      <c r="B32" s="5">
        <f t="shared" si="3"/>
        <v>44805</v>
      </c>
      <c r="C32" s="1" t="s">
        <v>17</v>
      </c>
      <c r="D32" s="6" t="s">
        <v>170</v>
      </c>
      <c r="E32" s="1">
        <v>24647</v>
      </c>
      <c r="F32" s="2">
        <v>113112.92</v>
      </c>
      <c r="G32" s="3">
        <f t="shared" si="1"/>
        <v>99539.369600000005</v>
      </c>
      <c r="H32" s="4">
        <f t="shared" si="2"/>
        <v>4.0385998133647103</v>
      </c>
      <c r="I32" s="7">
        <v>0.12</v>
      </c>
      <c r="J32" s="9">
        <v>0</v>
      </c>
      <c r="K32" s="9">
        <v>0</v>
      </c>
      <c r="L32" s="11">
        <f t="shared" si="0"/>
        <v>13573.5504</v>
      </c>
      <c r="M32" s="11">
        <v>0</v>
      </c>
      <c r="N32" s="11">
        <v>0</v>
      </c>
    </row>
    <row r="33" spans="1:16">
      <c r="A33" s="44" t="s">
        <v>162</v>
      </c>
      <c r="B33" s="5">
        <f t="shared" si="3"/>
        <v>44805</v>
      </c>
      <c r="C33" s="1" t="s">
        <v>17</v>
      </c>
      <c r="D33" s="6" t="s">
        <v>174</v>
      </c>
      <c r="E33" s="1">
        <v>17182</v>
      </c>
      <c r="F33" s="2">
        <v>78853.67</v>
      </c>
      <c r="G33" s="3">
        <f t="shared" si="1"/>
        <v>69391.229599999991</v>
      </c>
      <c r="H33" s="4">
        <f t="shared" si="2"/>
        <v>4.0386002560819456</v>
      </c>
      <c r="I33" s="7">
        <v>0.12</v>
      </c>
      <c r="J33" s="9">
        <v>0</v>
      </c>
      <c r="K33" s="9">
        <v>0</v>
      </c>
      <c r="L33" s="11">
        <f t="shared" si="0"/>
        <v>9462.4403999999995</v>
      </c>
      <c r="M33" s="11">
        <v>0</v>
      </c>
      <c r="N33" s="11">
        <v>0</v>
      </c>
    </row>
    <row r="34" spans="1:16">
      <c r="A34" s="44" t="s">
        <v>160</v>
      </c>
      <c r="B34" s="5">
        <f t="shared" si="3"/>
        <v>44805</v>
      </c>
      <c r="C34" s="1" t="s">
        <v>17</v>
      </c>
      <c r="D34" s="6" t="s">
        <v>176</v>
      </c>
      <c r="E34" s="1">
        <v>6901</v>
      </c>
      <c r="F34" s="2">
        <v>33022.76</v>
      </c>
      <c r="G34" s="3">
        <f t="shared" si="1"/>
        <v>27870.416800000003</v>
      </c>
      <c r="H34" s="4">
        <f t="shared" si="2"/>
        <v>4.0386055354296486</v>
      </c>
      <c r="I34" s="7">
        <v>7.0000000000000007E-2</v>
      </c>
      <c r="J34" s="7">
        <v>1.6500000000000001E-2</v>
      </c>
      <c r="K34" s="7">
        <v>7.5999999999999998E-2</v>
      </c>
      <c r="L34" s="11">
        <f t="shared" si="0"/>
        <v>2311.5932000000003</v>
      </c>
      <c r="M34" s="11">
        <v>506.73</v>
      </c>
      <c r="N34" s="11">
        <v>2334.02</v>
      </c>
    </row>
    <row r="35" spans="1:16">
      <c r="A35" s="44" t="s">
        <v>159</v>
      </c>
      <c r="B35" s="5">
        <f t="shared" si="3"/>
        <v>44805</v>
      </c>
      <c r="C35" s="1" t="s">
        <v>17</v>
      </c>
      <c r="D35" s="6" t="s">
        <v>177</v>
      </c>
      <c r="E35" s="1">
        <v>143276</v>
      </c>
      <c r="F35" s="2">
        <v>459834.56</v>
      </c>
      <c r="G35" s="3">
        <f t="shared" si="1"/>
        <v>404654.41279999999</v>
      </c>
      <c r="H35" s="4">
        <f t="shared" si="2"/>
        <v>2.8243000418772159</v>
      </c>
      <c r="I35" s="7">
        <v>0.12</v>
      </c>
      <c r="J35" s="9">
        <v>0</v>
      </c>
      <c r="K35" s="9">
        <v>0</v>
      </c>
      <c r="L35" s="11">
        <f t="shared" si="0"/>
        <v>55180.147199999999</v>
      </c>
      <c r="M35" s="11">
        <v>0</v>
      </c>
      <c r="N35" s="11">
        <v>0</v>
      </c>
    </row>
    <row r="36" spans="1:16">
      <c r="A36" s="44" t="s">
        <v>160</v>
      </c>
      <c r="B36" s="5">
        <f t="shared" si="3"/>
        <v>44805</v>
      </c>
      <c r="C36" s="1" t="s">
        <v>17</v>
      </c>
      <c r="D36" s="6" t="s">
        <v>178</v>
      </c>
      <c r="E36" s="1">
        <v>30711</v>
      </c>
      <c r="F36" s="2">
        <v>155308.59</v>
      </c>
      <c r="G36" s="3">
        <f t="shared" si="1"/>
        <v>124029.5992</v>
      </c>
      <c r="H36" s="4">
        <f t="shared" si="2"/>
        <v>4.0386050340268955</v>
      </c>
      <c r="I36" s="7">
        <v>0.12</v>
      </c>
      <c r="J36" s="7">
        <v>1.6500000000000001E-2</v>
      </c>
      <c r="K36" s="7">
        <v>7.5999999999999998E-2</v>
      </c>
      <c r="L36" s="11">
        <f t="shared" si="0"/>
        <v>18637.0308</v>
      </c>
      <c r="M36" s="11">
        <v>2255.08</v>
      </c>
      <c r="N36" s="11">
        <v>10386.879999999999</v>
      </c>
    </row>
    <row r="37" spans="1:16">
      <c r="A37" s="44" t="s">
        <v>159</v>
      </c>
      <c r="B37" s="5">
        <f t="shared" si="3"/>
        <v>44805</v>
      </c>
      <c r="C37" s="1" t="s">
        <v>17</v>
      </c>
      <c r="D37" s="6" t="s">
        <v>179</v>
      </c>
      <c r="E37" s="1">
        <v>7613</v>
      </c>
      <c r="F37" s="2">
        <v>34938.480000000003</v>
      </c>
      <c r="G37" s="3">
        <f t="shared" si="1"/>
        <v>30745.862400000002</v>
      </c>
      <c r="H37" s="4">
        <f t="shared" si="2"/>
        <v>4.038600078812558</v>
      </c>
      <c r="I37" s="7">
        <v>0.12</v>
      </c>
      <c r="J37" s="9">
        <v>0</v>
      </c>
      <c r="K37" s="9">
        <v>0</v>
      </c>
      <c r="L37" s="11">
        <f t="shared" si="0"/>
        <v>4192.6176000000005</v>
      </c>
      <c r="M37" s="11">
        <v>0</v>
      </c>
      <c r="N37" s="11">
        <v>0</v>
      </c>
    </row>
    <row r="38" spans="1:16">
      <c r="A38" s="44" t="s">
        <v>160</v>
      </c>
      <c r="B38" s="5">
        <f t="shared" si="3"/>
        <v>44805</v>
      </c>
      <c r="C38" s="1" t="s">
        <v>17</v>
      </c>
      <c r="D38" s="6" t="s">
        <v>180</v>
      </c>
      <c r="E38" s="1">
        <v>2947</v>
      </c>
      <c r="F38" s="2">
        <v>14903.27</v>
      </c>
      <c r="G38" s="3">
        <f t="shared" si="1"/>
        <v>11901.757600000001</v>
      </c>
      <c r="H38" s="4">
        <f t="shared" si="2"/>
        <v>4.0386011537156437</v>
      </c>
      <c r="I38" s="7">
        <v>0.12</v>
      </c>
      <c r="J38" s="7">
        <v>1.6500000000000001E-2</v>
      </c>
      <c r="K38" s="7">
        <v>7.5999999999999998E-2</v>
      </c>
      <c r="L38" s="11">
        <f t="shared" si="0"/>
        <v>1788.3924</v>
      </c>
      <c r="M38" s="11">
        <v>216.4</v>
      </c>
      <c r="N38" s="11">
        <v>996.72</v>
      </c>
    </row>
    <row r="39" spans="1:16" hidden="1">
      <c r="A39" s="44"/>
      <c r="B39" s="5">
        <f>B36</f>
        <v>44805</v>
      </c>
      <c r="C39" s="1" t="s">
        <v>33</v>
      </c>
      <c r="D39" s="10"/>
      <c r="E39" s="1"/>
      <c r="F39" s="2"/>
      <c r="G39" s="3">
        <f t="shared" ref="G39:G40" si="4">F39-SUM(L39:N39)</f>
        <v>0</v>
      </c>
      <c r="H39" s="4">
        <f t="shared" si="2"/>
        <v>0</v>
      </c>
      <c r="I39" s="7"/>
      <c r="J39" s="7">
        <v>1.6500000000000001E-2</v>
      </c>
      <c r="K39" s="7">
        <v>7.5999999999999998E-2</v>
      </c>
      <c r="L39" s="11">
        <f t="shared" si="0"/>
        <v>0</v>
      </c>
      <c r="M39" s="11"/>
      <c r="N39" s="11"/>
      <c r="P39" s="45"/>
    </row>
    <row r="40" spans="1:16">
      <c r="A40" s="44"/>
      <c r="B40" s="5">
        <f t="shared" si="3"/>
        <v>44805</v>
      </c>
      <c r="C40" s="1" t="s">
        <v>33</v>
      </c>
      <c r="D40" s="46" t="s">
        <v>181</v>
      </c>
      <c r="E40" s="1">
        <v>27183472</v>
      </c>
      <c r="F40" s="43">
        <v>73876521.849999994</v>
      </c>
      <c r="G40" s="3">
        <f t="shared" si="4"/>
        <v>62349937.530499995</v>
      </c>
      <c r="H40" s="4">
        <f t="shared" si="2"/>
        <v>2.2936708574423457</v>
      </c>
      <c r="I40" s="7">
        <v>7.0000000000000007E-2</v>
      </c>
      <c r="J40" s="7">
        <v>1.6500000000000001E-2</v>
      </c>
      <c r="K40" s="7">
        <v>7.5999999999999998E-2</v>
      </c>
      <c r="L40" s="11">
        <f t="shared" si="0"/>
        <v>5171356.5295000002</v>
      </c>
      <c r="M40" s="11">
        <v>1133635.23</v>
      </c>
      <c r="N40" s="11">
        <v>5221592.5599999996</v>
      </c>
      <c r="P40" s="45"/>
    </row>
    <row r="41" spans="1:16" hidden="1">
      <c r="A41" s="44"/>
      <c r="B41" s="5">
        <f t="shared" si="3"/>
        <v>44805</v>
      </c>
      <c r="C41" s="1" t="s">
        <v>33</v>
      </c>
      <c r="D41" s="6"/>
      <c r="E41" s="1"/>
      <c r="F41" s="2"/>
      <c r="G41" s="3">
        <f t="shared" si="1"/>
        <v>0</v>
      </c>
      <c r="H41" s="4">
        <f t="shared" si="2"/>
        <v>0</v>
      </c>
      <c r="I41" s="7"/>
      <c r="J41" s="7">
        <v>1.6500000000000001E-2</v>
      </c>
      <c r="K41" s="7">
        <v>7.5999999999999998E-2</v>
      </c>
      <c r="L41" s="11">
        <f t="shared" si="0"/>
        <v>0</v>
      </c>
      <c r="M41" s="11"/>
      <c r="N41" s="11"/>
      <c r="P41" s="45"/>
    </row>
    <row r="42" spans="1:16">
      <c r="A42" s="44"/>
      <c r="B42" s="5">
        <f t="shared" si="3"/>
        <v>44805</v>
      </c>
      <c r="C42" s="1" t="s">
        <v>37</v>
      </c>
      <c r="D42" s="10" t="s">
        <v>156</v>
      </c>
      <c r="E42" s="1">
        <v>748197</v>
      </c>
      <c r="F42" s="2">
        <v>4007866.87</v>
      </c>
      <c r="G42" s="3">
        <f t="shared" si="1"/>
        <v>2982454.1334000002</v>
      </c>
      <c r="H42" s="4">
        <f t="shared" si="2"/>
        <v>3.9861883078921729</v>
      </c>
      <c r="I42" s="7">
        <v>0.18</v>
      </c>
      <c r="J42" s="7">
        <v>1.6500000000000001E-2</v>
      </c>
      <c r="K42" s="7">
        <v>7.5999999999999998E-2</v>
      </c>
      <c r="L42" s="11">
        <f t="shared" si="0"/>
        <v>721416.03659999999</v>
      </c>
      <c r="M42" s="11">
        <v>54226.44</v>
      </c>
      <c r="N42" s="11">
        <v>249770.26</v>
      </c>
      <c r="O42" s="41"/>
    </row>
    <row r="43" spans="1:16">
      <c r="A43" s="44"/>
      <c r="B43" s="5">
        <f t="shared" si="3"/>
        <v>44805</v>
      </c>
      <c r="C43" s="1" t="s">
        <v>36</v>
      </c>
      <c r="D43" s="10" t="s">
        <v>156</v>
      </c>
      <c r="E43" s="1">
        <v>73745</v>
      </c>
      <c r="F43" s="43">
        <v>385634.73</v>
      </c>
      <c r="G43" s="3">
        <f t="shared" si="1"/>
        <v>286970.07860000001</v>
      </c>
      <c r="H43" s="4">
        <f t="shared" si="2"/>
        <v>3.8913835324428776</v>
      </c>
      <c r="I43" s="7">
        <v>0.18</v>
      </c>
      <c r="J43" s="7">
        <v>1.6500000000000001E-2</v>
      </c>
      <c r="K43" s="7">
        <v>7.5999999999999998E-2</v>
      </c>
      <c r="L43" s="11">
        <f t="shared" si="0"/>
        <v>69414.251399999994</v>
      </c>
      <c r="M43" s="11">
        <v>5217.6400000000003</v>
      </c>
      <c r="N43" s="11">
        <v>24032.76</v>
      </c>
      <c r="P43" s="42"/>
    </row>
    <row r="44" spans="1:16">
      <c r="B44" s="5"/>
      <c r="C44" s="1"/>
      <c r="D44" s="6"/>
      <c r="E44" s="1"/>
      <c r="F44" s="2"/>
      <c r="G44" s="3"/>
      <c r="H44" s="4"/>
      <c r="I44" s="7"/>
      <c r="J44" s="7"/>
      <c r="K44" s="7"/>
      <c r="L44" s="8"/>
      <c r="M44" s="8"/>
      <c r="N44" s="8"/>
    </row>
    <row r="45" spans="1:16">
      <c r="B45" s="5"/>
      <c r="C45" s="1"/>
      <c r="D45" s="6"/>
      <c r="E45" s="1"/>
      <c r="F45" s="2"/>
      <c r="G45" s="3"/>
      <c r="H45" s="4"/>
      <c r="I45" s="7"/>
      <c r="J45" s="7"/>
      <c r="K45" s="7"/>
      <c r="L45" s="8"/>
      <c r="M45" s="8"/>
      <c r="N45" s="8"/>
    </row>
    <row r="46" spans="1:16">
      <c r="E46" s="28">
        <f>SUM(E18:E45)</f>
        <v>52436099</v>
      </c>
      <c r="G46" s="29">
        <f>SUM(G18:G45)</f>
        <v>134933634.95379996</v>
      </c>
    </row>
    <row r="48" spans="1:16" ht="15.75" thickBot="1"/>
    <row r="49" spans="2:14">
      <c r="B49" s="391" t="s">
        <v>155</v>
      </c>
      <c r="C49" s="383"/>
      <c r="D49" s="383"/>
      <c r="E49" s="383"/>
      <c r="F49" s="383"/>
      <c r="G49" s="383"/>
      <c r="H49" s="383"/>
      <c r="I49" s="383"/>
      <c r="J49" s="383"/>
      <c r="K49" s="383"/>
      <c r="L49" s="383"/>
      <c r="M49" s="383"/>
      <c r="N49" s="384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>
      <c r="B52" s="385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</row>
    <row r="53" spans="2:14">
      <c r="B53" s="385"/>
      <c r="C53" s="386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7"/>
    </row>
    <row r="54" spans="2:14" ht="142.5" customHeight="1" thickBot="1">
      <c r="B54" s="388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90"/>
    </row>
  </sheetData>
  <mergeCells count="3">
    <mergeCell ref="C2:L2"/>
    <mergeCell ref="L16:N16"/>
    <mergeCell ref="B49:N54"/>
  </mergeCells>
  <conditionalFormatting sqref="D1:D1048576">
    <cfRule type="duplicateValues" dxfId="164" priority="1"/>
  </conditionalFormatting>
  <pageMargins left="0.511811024" right="0.511811024" top="0.78740157499999996" bottom="0.78740157499999996" header="0.31496062000000002" footer="0.31496062000000002"/>
  <pageSetup paperSize="9" scale="5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P54"/>
  <sheetViews>
    <sheetView showGridLines="0" topLeftCell="A16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26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3.5703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44835</v>
      </c>
    </row>
    <row r="5" spans="2:14">
      <c r="C5" t="s">
        <v>17</v>
      </c>
      <c r="D5" s="14">
        <f ca="1">SUMIF($C$18:$G$41,$C$5:$C$7,$G$18:$G$41)/SUMIF($C$18:$G$41,$C$5:$C$7,$E$18:$E$41)</f>
        <v>2.8279084304672444</v>
      </c>
    </row>
    <row r="6" spans="2:14">
      <c r="C6" t="s">
        <v>33</v>
      </c>
      <c r="D6" s="14">
        <f ca="1">SUMIF($C$18:$G$41,$C$5:$C$7,$G$18:$G$41)/SUMIF($C$18:$G$41,$C$5:$C$7,$E$18:$E$41)</f>
        <v>2.2936708576702434</v>
      </c>
    </row>
    <row r="7" spans="2:14">
      <c r="C7" t="s">
        <v>126</v>
      </c>
      <c r="D7" s="14">
        <f>SUM(G42:G43)/SUM(E42:E43)</f>
        <v>3.9778993244042109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+G46/E46</f>
        <v>2.5644388423048521</v>
      </c>
      <c r="E9" s="14"/>
      <c r="F9" s="32"/>
      <c r="L9" s="16" t="str">
        <f>+C5</f>
        <v>Petrobras</v>
      </c>
      <c r="M9" s="17">
        <f>790000/1580000</f>
        <v>0.5</v>
      </c>
      <c r="N9" s="17">
        <f>+SUM(E18:E36)/E46</f>
        <v>0.45788139005122847</v>
      </c>
    </row>
    <row r="10" spans="2:14">
      <c r="L10" s="16" t="str">
        <f>+C6</f>
        <v>Shell</v>
      </c>
      <c r="M10" s="17">
        <v>0.47468354430379744</v>
      </c>
      <c r="N10" s="17">
        <f>+SUM(E39:E41)/E46</f>
        <v>0.52651803727347946</v>
      </c>
    </row>
    <row r="11" spans="2:14">
      <c r="C11" t="s">
        <v>132</v>
      </c>
      <c r="D11" s="14">
        <v>2.5880999999999998</v>
      </c>
      <c r="L11" s="16" t="str">
        <f>+C7</f>
        <v>NFE</v>
      </c>
      <c r="M11" s="18">
        <v>2.5316455696202531E-2</v>
      </c>
      <c r="N11" s="18">
        <f>+SUM(E42:E43)/E46</f>
        <v>1.5492409721122379E-2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0.99989183704583029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1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1:14">
      <c r="A18" s="44"/>
      <c r="B18" s="5">
        <f>C3</f>
        <v>44835</v>
      </c>
      <c r="C18" s="1" t="s">
        <v>17</v>
      </c>
      <c r="D18" s="6" t="s">
        <v>227</v>
      </c>
      <c r="E18" s="1">
        <v>1665749</v>
      </c>
      <c r="F18" s="2">
        <v>5891027.9199999999</v>
      </c>
      <c r="G18" s="3">
        <f>F18-SUM(L18:N18)</f>
        <v>4704580.7796</v>
      </c>
      <c r="H18" s="4">
        <f>+IF(G18=0,0,G18/E18)</f>
        <v>2.8243035292832235</v>
      </c>
      <c r="I18" s="7">
        <v>0.12</v>
      </c>
      <c r="J18" s="7">
        <v>1.6500000000000001E-2</v>
      </c>
      <c r="K18" s="7">
        <v>7.5999999999999998E-2</v>
      </c>
      <c r="L18" s="11">
        <f t="shared" ref="L18:L43" si="0">+I18*F18</f>
        <v>706923.3504</v>
      </c>
      <c r="M18" s="11">
        <v>85537.73</v>
      </c>
      <c r="N18" s="11">
        <v>393986.06</v>
      </c>
    </row>
    <row r="19" spans="1:14">
      <c r="A19" s="44"/>
      <c r="B19" s="5">
        <f>B18</f>
        <v>44835</v>
      </c>
      <c r="C19" s="1" t="s">
        <v>17</v>
      </c>
      <c r="D19" s="6" t="s">
        <v>228</v>
      </c>
      <c r="E19" s="1">
        <v>2242408</v>
      </c>
      <c r="F19" s="2">
        <v>7930419.3700000001</v>
      </c>
      <c r="G19" s="3">
        <f t="shared" ref="G19:G43" si="1">F19-SUM(L19:N19)</f>
        <v>6333240.8355999999</v>
      </c>
      <c r="H19" s="4">
        <f t="shared" ref="H19:H43" si="2">+IF(G19=0,0,G19/E19)</f>
        <v>2.8243035324526136</v>
      </c>
      <c r="I19" s="7">
        <v>0.12</v>
      </c>
      <c r="J19" s="7">
        <v>1.6500000000000001E-2</v>
      </c>
      <c r="K19" s="7">
        <v>7.5999999999999998E-2</v>
      </c>
      <c r="L19" s="11">
        <f t="shared" si="0"/>
        <v>951650.32439999992</v>
      </c>
      <c r="M19" s="11">
        <v>115149.69</v>
      </c>
      <c r="N19" s="11">
        <v>530378.52</v>
      </c>
    </row>
    <row r="20" spans="1:14">
      <c r="A20" s="44"/>
      <c r="B20" s="5">
        <f t="shared" ref="B20:B43" si="3">B19</f>
        <v>44835</v>
      </c>
      <c r="C20" s="1" t="s">
        <v>17</v>
      </c>
      <c r="D20" s="6" t="s">
        <v>231</v>
      </c>
      <c r="E20" s="1">
        <v>46601</v>
      </c>
      <c r="F20" s="2">
        <v>164807.41</v>
      </c>
      <c r="G20" s="3">
        <f t="shared" si="1"/>
        <v>131615.3708</v>
      </c>
      <c r="H20" s="4">
        <f t="shared" si="2"/>
        <v>2.8243035728847024</v>
      </c>
      <c r="I20" s="7">
        <v>0.12</v>
      </c>
      <c r="J20" s="7">
        <v>1.6500000000000001E-2</v>
      </c>
      <c r="K20" s="7">
        <v>7.5999999999999998E-2</v>
      </c>
      <c r="L20" s="11">
        <f t="shared" si="0"/>
        <v>19776.889200000001</v>
      </c>
      <c r="M20" s="11">
        <v>2393</v>
      </c>
      <c r="N20" s="11">
        <v>11022.15</v>
      </c>
    </row>
    <row r="21" spans="1:14">
      <c r="A21" s="44"/>
      <c r="B21" s="5">
        <f t="shared" si="3"/>
        <v>44835</v>
      </c>
      <c r="C21" s="1" t="s">
        <v>17</v>
      </c>
      <c r="D21" s="6" t="s">
        <v>232</v>
      </c>
      <c r="E21" s="1">
        <v>5103020</v>
      </c>
      <c r="F21" s="2">
        <v>17076879.52</v>
      </c>
      <c r="G21" s="3">
        <f t="shared" si="1"/>
        <v>14412476.463599999</v>
      </c>
      <c r="H21" s="4">
        <f t="shared" si="2"/>
        <v>2.8243033465673264</v>
      </c>
      <c r="I21" s="7">
        <v>7.0000000000000007E-2</v>
      </c>
      <c r="J21" s="7">
        <v>1.6500000000000001E-2</v>
      </c>
      <c r="K21" s="7">
        <v>7.5999999999999998E-2</v>
      </c>
      <c r="L21" s="11">
        <f t="shared" si="0"/>
        <v>1195381.5664000001</v>
      </c>
      <c r="M21" s="11">
        <v>262044.72</v>
      </c>
      <c r="N21" s="11">
        <v>1206976.77</v>
      </c>
    </row>
    <row r="22" spans="1:14">
      <c r="A22" s="44"/>
      <c r="B22" s="5">
        <f t="shared" si="3"/>
        <v>44835</v>
      </c>
      <c r="C22" s="1" t="s">
        <v>17</v>
      </c>
      <c r="D22" s="6" t="s">
        <v>234</v>
      </c>
      <c r="E22" s="1">
        <v>5946</v>
      </c>
      <c r="F22" s="2">
        <v>21028.41</v>
      </c>
      <c r="G22" s="3">
        <f t="shared" si="1"/>
        <v>16793.310799999999</v>
      </c>
      <c r="H22" s="4">
        <f t="shared" si="2"/>
        <v>2.8243038681466532</v>
      </c>
      <c r="I22" s="7">
        <v>0.12</v>
      </c>
      <c r="J22" s="7">
        <v>1.6500000000000001E-2</v>
      </c>
      <c r="K22" s="7">
        <v>7.5999999999999998E-2</v>
      </c>
      <c r="L22" s="11">
        <f t="shared" si="0"/>
        <v>2523.4092000000001</v>
      </c>
      <c r="M22" s="11">
        <v>305.33</v>
      </c>
      <c r="N22" s="11">
        <v>1406.36</v>
      </c>
    </row>
    <row r="23" spans="1:14">
      <c r="A23" s="44"/>
      <c r="B23" s="5">
        <f t="shared" si="3"/>
        <v>44835</v>
      </c>
      <c r="C23" s="1" t="s">
        <v>17</v>
      </c>
      <c r="D23" s="6" t="s">
        <v>235</v>
      </c>
      <c r="E23" s="1">
        <v>2048670</v>
      </c>
      <c r="F23" s="2">
        <v>7245252.54</v>
      </c>
      <c r="G23" s="3">
        <f t="shared" si="1"/>
        <v>5786065.9252000004</v>
      </c>
      <c r="H23" s="4">
        <f t="shared" si="2"/>
        <v>2.824303536050218</v>
      </c>
      <c r="I23" s="7">
        <v>0.12</v>
      </c>
      <c r="J23" s="7">
        <v>1.6500000000000001E-2</v>
      </c>
      <c r="K23" s="7">
        <v>7.5999999999999998E-2</v>
      </c>
      <c r="L23" s="11">
        <f t="shared" si="0"/>
        <v>869430.30479999993</v>
      </c>
      <c r="M23" s="11">
        <v>105201.07</v>
      </c>
      <c r="N23" s="11">
        <v>484555.24</v>
      </c>
    </row>
    <row r="24" spans="1:14">
      <c r="A24" s="44" t="s">
        <v>160</v>
      </c>
      <c r="B24" s="5">
        <f t="shared" si="3"/>
        <v>44835</v>
      </c>
      <c r="C24" s="1" t="s">
        <v>17</v>
      </c>
      <c r="D24" s="6" t="s">
        <v>236</v>
      </c>
      <c r="E24" s="1">
        <v>2927</v>
      </c>
      <c r="F24" s="2">
        <v>14006.32</v>
      </c>
      <c r="G24" s="3">
        <f t="shared" si="1"/>
        <v>11820.997599999999</v>
      </c>
      <c r="H24" s="4">
        <f t="shared" si="2"/>
        <v>4.0386052613597538</v>
      </c>
      <c r="I24" s="7">
        <v>7.0000000000000007E-2</v>
      </c>
      <c r="J24" s="7">
        <v>1.6500000000000001E-2</v>
      </c>
      <c r="K24" s="7">
        <v>7.5999999999999998E-2</v>
      </c>
      <c r="L24" s="11">
        <f t="shared" si="0"/>
        <v>980.44240000000002</v>
      </c>
      <c r="M24" s="11">
        <v>214.93</v>
      </c>
      <c r="N24" s="11">
        <v>989.95</v>
      </c>
    </row>
    <row r="25" spans="1:14">
      <c r="A25" s="44" t="s">
        <v>159</v>
      </c>
      <c r="B25" s="5">
        <f t="shared" si="3"/>
        <v>44835</v>
      </c>
      <c r="C25" s="1" t="s">
        <v>17</v>
      </c>
      <c r="D25" s="6" t="s">
        <v>230</v>
      </c>
      <c r="E25" s="1">
        <v>1647668</v>
      </c>
      <c r="F25" s="2">
        <v>5288078.1100000003</v>
      </c>
      <c r="G25" s="3">
        <f t="shared" si="1"/>
        <v>4653508.7368000001</v>
      </c>
      <c r="H25" s="4">
        <f t="shared" si="2"/>
        <v>2.8243000026704408</v>
      </c>
      <c r="I25" s="7">
        <v>0.12</v>
      </c>
      <c r="J25" s="9">
        <v>0</v>
      </c>
      <c r="K25" s="9">
        <v>0</v>
      </c>
      <c r="L25" s="11">
        <f t="shared" si="0"/>
        <v>634569.37320000003</v>
      </c>
      <c r="M25" s="11">
        <v>0</v>
      </c>
      <c r="N25" s="11">
        <v>0</v>
      </c>
    </row>
    <row r="26" spans="1:14">
      <c r="A26" s="44" t="s">
        <v>159</v>
      </c>
      <c r="B26" s="5">
        <f t="shared" si="3"/>
        <v>44835</v>
      </c>
      <c r="C26" s="1" t="s">
        <v>17</v>
      </c>
      <c r="D26" s="6" t="s">
        <v>237</v>
      </c>
      <c r="E26" s="1">
        <v>12235</v>
      </c>
      <c r="F26" s="2">
        <v>39267.4</v>
      </c>
      <c r="G26" s="3">
        <f t="shared" si="1"/>
        <v>34555.312000000005</v>
      </c>
      <c r="H26" s="4">
        <f t="shared" si="2"/>
        <v>2.8243001225991016</v>
      </c>
      <c r="I26" s="7">
        <v>0.12</v>
      </c>
      <c r="J26" s="9">
        <v>0</v>
      </c>
      <c r="K26" s="9">
        <v>0</v>
      </c>
      <c r="L26" s="11">
        <f t="shared" si="0"/>
        <v>4712.0879999999997</v>
      </c>
      <c r="M26" s="11">
        <v>0</v>
      </c>
      <c r="N26" s="11">
        <v>0</v>
      </c>
    </row>
    <row r="27" spans="1:14">
      <c r="A27" s="44" t="s">
        <v>159</v>
      </c>
      <c r="B27" s="5">
        <f t="shared" si="3"/>
        <v>44835</v>
      </c>
      <c r="C27" s="1" t="s">
        <v>17</v>
      </c>
      <c r="D27" s="6" t="s">
        <v>239</v>
      </c>
      <c r="E27" s="1">
        <v>2602754</v>
      </c>
      <c r="F27" s="2">
        <v>8353361.5</v>
      </c>
      <c r="G27" s="3">
        <f t="shared" si="1"/>
        <v>7350958.1200000001</v>
      </c>
      <c r="H27" s="4">
        <f t="shared" si="2"/>
        <v>2.8242999991547415</v>
      </c>
      <c r="I27" s="7">
        <v>0.12</v>
      </c>
      <c r="J27" s="9">
        <v>0</v>
      </c>
      <c r="K27" s="9">
        <v>0</v>
      </c>
      <c r="L27" s="11">
        <f t="shared" si="0"/>
        <v>1002403.38</v>
      </c>
      <c r="M27" s="11">
        <v>0</v>
      </c>
      <c r="N27" s="11">
        <v>0</v>
      </c>
    </row>
    <row r="28" spans="1:14">
      <c r="A28" s="44" t="s">
        <v>159</v>
      </c>
      <c r="B28" s="5">
        <f t="shared" si="3"/>
        <v>44835</v>
      </c>
      <c r="C28" s="1" t="s">
        <v>17</v>
      </c>
      <c r="D28" s="6" t="s">
        <v>244</v>
      </c>
      <c r="E28" s="1">
        <v>2598620</v>
      </c>
      <c r="F28" s="2">
        <v>8340093.7199999997</v>
      </c>
      <c r="G28" s="3">
        <f t="shared" si="1"/>
        <v>7339282.4736000001</v>
      </c>
      <c r="H28" s="4">
        <f t="shared" si="2"/>
        <v>2.8243000029246295</v>
      </c>
      <c r="I28" s="7">
        <v>0.12</v>
      </c>
      <c r="J28" s="9">
        <v>0</v>
      </c>
      <c r="K28" s="9">
        <v>0</v>
      </c>
      <c r="L28" s="11">
        <f t="shared" si="0"/>
        <v>1000811.2463999999</v>
      </c>
      <c r="M28" s="11">
        <v>0</v>
      </c>
      <c r="N28" s="11">
        <v>0</v>
      </c>
    </row>
    <row r="29" spans="1:14">
      <c r="A29" s="44" t="s">
        <v>159</v>
      </c>
      <c r="B29" s="5">
        <f t="shared" si="3"/>
        <v>44835</v>
      </c>
      <c r="C29" s="1" t="s">
        <v>17</v>
      </c>
      <c r="D29" s="6" t="s">
        <v>245</v>
      </c>
      <c r="E29" s="1">
        <v>6706259</v>
      </c>
      <c r="F29" s="2">
        <v>20366115.370000001</v>
      </c>
      <c r="G29" s="3">
        <f t="shared" si="1"/>
        <v>18940487.294100001</v>
      </c>
      <c r="H29" s="4">
        <f t="shared" si="2"/>
        <v>2.8243000000596461</v>
      </c>
      <c r="I29" s="7">
        <v>7.0000000000000007E-2</v>
      </c>
      <c r="J29" s="9">
        <v>0</v>
      </c>
      <c r="K29" s="9">
        <v>0</v>
      </c>
      <c r="L29" s="11">
        <f t="shared" si="0"/>
        <v>1425628.0759000003</v>
      </c>
      <c r="M29" s="11">
        <v>0</v>
      </c>
      <c r="N29" s="11">
        <v>0</v>
      </c>
    </row>
    <row r="30" spans="1:14">
      <c r="A30" s="44" t="s">
        <v>162</v>
      </c>
      <c r="B30" s="5">
        <f t="shared" si="3"/>
        <v>44835</v>
      </c>
      <c r="C30" s="1" t="s">
        <v>17</v>
      </c>
      <c r="D30" s="6" t="s">
        <v>229</v>
      </c>
      <c r="E30" s="1">
        <v>7539</v>
      </c>
      <c r="F30" s="2">
        <v>34598.879999999997</v>
      </c>
      <c r="G30" s="3">
        <f t="shared" si="1"/>
        <v>30447.0144</v>
      </c>
      <c r="H30" s="4">
        <f t="shared" si="2"/>
        <v>4.0386011937922799</v>
      </c>
      <c r="I30" s="7">
        <v>0.12</v>
      </c>
      <c r="J30" s="9">
        <v>0</v>
      </c>
      <c r="K30" s="9">
        <v>0</v>
      </c>
      <c r="L30" s="11">
        <f t="shared" si="0"/>
        <v>4151.8655999999992</v>
      </c>
      <c r="M30" s="11">
        <v>0</v>
      </c>
      <c r="N30" s="11">
        <v>0</v>
      </c>
    </row>
    <row r="31" spans="1:14">
      <c r="A31" s="44" t="s">
        <v>162</v>
      </c>
      <c r="B31" s="5">
        <f t="shared" si="3"/>
        <v>44835</v>
      </c>
      <c r="C31" s="1" t="s">
        <v>17</v>
      </c>
      <c r="D31" s="6" t="s">
        <v>233</v>
      </c>
      <c r="E31" s="1">
        <v>22648</v>
      </c>
      <c r="F31" s="2">
        <v>103938.88</v>
      </c>
      <c r="G31" s="3">
        <f t="shared" si="1"/>
        <v>91466.214399999997</v>
      </c>
      <c r="H31" s="4">
        <f t="shared" si="2"/>
        <v>4.0386000706464147</v>
      </c>
      <c r="I31" s="7">
        <v>0.12</v>
      </c>
      <c r="J31" s="9">
        <v>0</v>
      </c>
      <c r="K31" s="9">
        <v>0</v>
      </c>
      <c r="L31" s="11">
        <f t="shared" si="0"/>
        <v>12472.6656</v>
      </c>
      <c r="M31" s="11">
        <v>0</v>
      </c>
      <c r="N31" s="11">
        <v>0</v>
      </c>
    </row>
    <row r="32" spans="1:14">
      <c r="A32" s="44" t="s">
        <v>162</v>
      </c>
      <c r="B32" s="5">
        <f t="shared" si="3"/>
        <v>44835</v>
      </c>
      <c r="C32" s="1" t="s">
        <v>17</v>
      </c>
      <c r="D32" s="6" t="s">
        <v>238</v>
      </c>
      <c r="E32" s="1">
        <v>184</v>
      </c>
      <c r="F32" s="2">
        <v>799.03</v>
      </c>
      <c r="G32" s="3">
        <f t="shared" si="1"/>
        <v>743.09789999999998</v>
      </c>
      <c r="H32" s="4">
        <f t="shared" si="2"/>
        <v>4.0385755434782604</v>
      </c>
      <c r="I32" s="7">
        <v>7.0000000000000007E-2</v>
      </c>
      <c r="J32" s="9">
        <v>0</v>
      </c>
      <c r="K32" s="9">
        <v>0</v>
      </c>
      <c r="L32" s="11">
        <f t="shared" si="0"/>
        <v>55.932100000000005</v>
      </c>
      <c r="M32" s="11">
        <v>0</v>
      </c>
      <c r="N32" s="11">
        <v>0</v>
      </c>
    </row>
    <row r="33" spans="1:16">
      <c r="A33" s="44" t="s">
        <v>162</v>
      </c>
      <c r="B33" s="5">
        <f t="shared" si="3"/>
        <v>44835</v>
      </c>
      <c r="C33" s="1" t="s">
        <v>17</v>
      </c>
      <c r="D33" s="6" t="s">
        <v>240</v>
      </c>
      <c r="E33" s="1">
        <v>7118</v>
      </c>
      <c r="F33" s="2">
        <v>32666.76</v>
      </c>
      <c r="G33" s="3">
        <f t="shared" si="1"/>
        <v>28746.748799999998</v>
      </c>
      <c r="H33" s="4">
        <f t="shared" si="2"/>
        <v>4.0385991570665913</v>
      </c>
      <c r="I33" s="7">
        <v>0.12</v>
      </c>
      <c r="J33" s="9">
        <v>0</v>
      </c>
      <c r="K33" s="9">
        <v>0</v>
      </c>
      <c r="L33" s="11">
        <f t="shared" si="0"/>
        <v>3920.0111999999995</v>
      </c>
      <c r="M33" s="11">
        <v>0</v>
      </c>
      <c r="N33" s="11">
        <v>0</v>
      </c>
    </row>
    <row r="34" spans="1:16">
      <c r="A34" s="44" t="s">
        <v>160</v>
      </c>
      <c r="B34" s="5">
        <f t="shared" si="3"/>
        <v>44835</v>
      </c>
      <c r="C34" s="1" t="s">
        <v>17</v>
      </c>
      <c r="D34" s="6" t="s">
        <v>241</v>
      </c>
      <c r="E34" s="1">
        <v>20188</v>
      </c>
      <c r="F34" s="2">
        <v>102092.74</v>
      </c>
      <c r="G34" s="3">
        <f t="shared" si="1"/>
        <v>81531.361200000014</v>
      </c>
      <c r="H34" s="4">
        <f t="shared" si="2"/>
        <v>4.0386051713889444</v>
      </c>
      <c r="I34" s="7">
        <v>0.12</v>
      </c>
      <c r="J34" s="7">
        <v>1.6500000000000001E-2</v>
      </c>
      <c r="K34" s="7">
        <v>7.5999999999999998E-2</v>
      </c>
      <c r="L34" s="11">
        <f t="shared" si="0"/>
        <v>12251.1288</v>
      </c>
      <c r="M34" s="11">
        <v>1482.39</v>
      </c>
      <c r="N34" s="11">
        <v>6827.86</v>
      </c>
    </row>
    <row r="35" spans="1:16" hidden="1">
      <c r="A35" s="44" t="s">
        <v>159</v>
      </c>
      <c r="B35" s="5">
        <f t="shared" si="3"/>
        <v>44835</v>
      </c>
      <c r="C35" s="1" t="s">
        <v>17</v>
      </c>
      <c r="D35" s="6"/>
      <c r="E35" s="1"/>
      <c r="F35" s="2"/>
      <c r="G35" s="3">
        <f t="shared" si="1"/>
        <v>0</v>
      </c>
      <c r="H35" s="4">
        <f t="shared" si="2"/>
        <v>0</v>
      </c>
      <c r="I35" s="7"/>
      <c r="J35" s="9">
        <v>0</v>
      </c>
      <c r="K35" s="9">
        <v>0</v>
      </c>
      <c r="L35" s="11">
        <f t="shared" si="0"/>
        <v>0</v>
      </c>
      <c r="M35" s="11">
        <v>0</v>
      </c>
      <c r="N35" s="11">
        <v>0</v>
      </c>
    </row>
    <row r="36" spans="1:16">
      <c r="A36" s="44" t="s">
        <v>160</v>
      </c>
      <c r="B36" s="5">
        <f t="shared" si="3"/>
        <v>44835</v>
      </c>
      <c r="C36" s="1" t="s">
        <v>17</v>
      </c>
      <c r="D36" s="6" t="s">
        <v>242</v>
      </c>
      <c r="E36" s="1">
        <v>7076</v>
      </c>
      <c r="F36" s="2">
        <v>35784.03</v>
      </c>
      <c r="G36" s="3">
        <f t="shared" si="1"/>
        <v>28577.166399999998</v>
      </c>
      <c r="H36" s="4">
        <f t="shared" si="2"/>
        <v>4.038604635387224</v>
      </c>
      <c r="I36" s="7">
        <v>0.12</v>
      </c>
      <c r="J36" s="7">
        <v>1.6500000000000001E-2</v>
      </c>
      <c r="K36" s="7">
        <v>7.5999999999999998E-2</v>
      </c>
      <c r="L36" s="11">
        <f t="shared" si="0"/>
        <v>4294.0835999999999</v>
      </c>
      <c r="M36" s="11">
        <v>519.58000000000004</v>
      </c>
      <c r="N36" s="11">
        <v>2393.1999999999998</v>
      </c>
    </row>
    <row r="37" spans="1:16" hidden="1">
      <c r="A37" s="44" t="s">
        <v>159</v>
      </c>
      <c r="B37" s="5">
        <f t="shared" si="3"/>
        <v>44835</v>
      </c>
      <c r="C37" s="1" t="s">
        <v>17</v>
      </c>
      <c r="D37" s="6"/>
      <c r="E37" s="1"/>
      <c r="F37" s="2"/>
      <c r="G37" s="3">
        <f t="shared" si="1"/>
        <v>0</v>
      </c>
      <c r="H37" s="4">
        <f t="shared" si="2"/>
        <v>0</v>
      </c>
      <c r="I37" s="7"/>
      <c r="J37" s="9">
        <v>0</v>
      </c>
      <c r="K37" s="9">
        <v>0</v>
      </c>
      <c r="L37" s="11">
        <f t="shared" si="0"/>
        <v>0</v>
      </c>
      <c r="M37" s="11">
        <v>0</v>
      </c>
      <c r="N37" s="11">
        <v>0</v>
      </c>
    </row>
    <row r="38" spans="1:16">
      <c r="A38" s="44" t="s">
        <v>160</v>
      </c>
      <c r="B38" s="5">
        <f t="shared" si="3"/>
        <v>44835</v>
      </c>
      <c r="C38" s="1" t="s">
        <v>17</v>
      </c>
      <c r="D38" s="6" t="s">
        <v>243</v>
      </c>
      <c r="E38" s="1">
        <v>5846</v>
      </c>
      <c r="F38" s="2">
        <v>29563.81</v>
      </c>
      <c r="G38" s="3">
        <f t="shared" si="1"/>
        <v>23609.682800000002</v>
      </c>
      <c r="H38" s="4">
        <f t="shared" si="2"/>
        <v>4.03860465275402</v>
      </c>
      <c r="I38" s="7">
        <v>0.12</v>
      </c>
      <c r="J38" s="7">
        <v>1.6500000000000001E-2</v>
      </c>
      <c r="K38" s="7">
        <v>7.5999999999999998E-2</v>
      </c>
      <c r="L38" s="11">
        <f t="shared" si="0"/>
        <v>3547.6572000000001</v>
      </c>
      <c r="M38" s="11">
        <v>429.27</v>
      </c>
      <c r="N38" s="11">
        <v>1977.2</v>
      </c>
    </row>
    <row r="39" spans="1:16">
      <c r="A39" s="44"/>
      <c r="B39" s="5">
        <f>B36</f>
        <v>44835</v>
      </c>
      <c r="C39" s="1" t="s">
        <v>33</v>
      </c>
      <c r="D39" s="10" t="s">
        <v>248</v>
      </c>
      <c r="E39" s="1">
        <v>28457289</v>
      </c>
      <c r="F39" s="2">
        <v>77338374.319999993</v>
      </c>
      <c r="G39" s="3">
        <f t="shared" ref="G39:G40" si="4">F39-SUM(L39:N39)</f>
        <v>65271654.467599988</v>
      </c>
      <c r="H39" s="4">
        <f t="shared" si="2"/>
        <v>2.2936708576702434</v>
      </c>
      <c r="I39" s="7">
        <v>7.0000000000000007E-2</v>
      </c>
      <c r="J39" s="7">
        <v>1.6500000000000001E-2</v>
      </c>
      <c r="K39" s="7">
        <v>7.5999999999999998E-2</v>
      </c>
      <c r="L39" s="11">
        <f t="shared" si="0"/>
        <v>5413686.2023999998</v>
      </c>
      <c r="M39" s="11">
        <v>1186757.3500000001</v>
      </c>
      <c r="N39" s="11">
        <v>5466276.2999999998</v>
      </c>
      <c r="P39" s="45"/>
    </row>
    <row r="40" spans="1:16" hidden="1">
      <c r="A40" s="44"/>
      <c r="B40" s="5">
        <f t="shared" si="3"/>
        <v>44835</v>
      </c>
      <c r="C40" s="1" t="s">
        <v>33</v>
      </c>
      <c r="D40" s="46"/>
      <c r="E40" s="1"/>
      <c r="F40" s="43"/>
      <c r="G40" s="3">
        <f t="shared" si="4"/>
        <v>0</v>
      </c>
      <c r="H40" s="4">
        <f t="shared" si="2"/>
        <v>0</v>
      </c>
      <c r="I40" s="7">
        <v>7.0000000000000007E-2</v>
      </c>
      <c r="J40" s="7">
        <v>1.6500000000000001E-2</v>
      </c>
      <c r="K40" s="7">
        <v>7.5999999999999998E-2</v>
      </c>
      <c r="L40" s="11">
        <f t="shared" si="0"/>
        <v>0</v>
      </c>
      <c r="M40" s="11"/>
      <c r="N40" s="11"/>
      <c r="P40" s="45"/>
    </row>
    <row r="41" spans="1:16" hidden="1">
      <c r="A41" s="44"/>
      <c r="B41" s="5">
        <f t="shared" si="3"/>
        <v>44835</v>
      </c>
      <c r="C41" s="1" t="s">
        <v>33</v>
      </c>
      <c r="D41" s="6"/>
      <c r="E41" s="1"/>
      <c r="F41" s="2"/>
      <c r="G41" s="3">
        <f t="shared" si="1"/>
        <v>0</v>
      </c>
      <c r="H41" s="4">
        <f t="shared" si="2"/>
        <v>0</v>
      </c>
      <c r="I41" s="7"/>
      <c r="J41" s="7">
        <v>1.6500000000000001E-2</v>
      </c>
      <c r="K41" s="7">
        <v>7.5999999999999998E-2</v>
      </c>
      <c r="L41" s="11">
        <f t="shared" si="0"/>
        <v>0</v>
      </c>
      <c r="M41" s="11"/>
      <c r="N41" s="11"/>
      <c r="P41" s="45"/>
    </row>
    <row r="42" spans="1:16">
      <c r="A42" s="44"/>
      <c r="B42" s="5">
        <f t="shared" si="3"/>
        <v>44835</v>
      </c>
      <c r="C42" s="1" t="s">
        <v>37</v>
      </c>
      <c r="D42" s="10" t="s">
        <v>247</v>
      </c>
      <c r="E42" s="1">
        <v>764125</v>
      </c>
      <c r="F42" s="2">
        <v>4093188.39</v>
      </c>
      <c r="G42" s="3">
        <f t="shared" si="1"/>
        <v>3045946.1398</v>
      </c>
      <c r="H42" s="4">
        <f t="shared" si="2"/>
        <v>3.9861883066252251</v>
      </c>
      <c r="I42" s="7">
        <v>0.18</v>
      </c>
      <c r="J42" s="7">
        <v>1.6500000000000001E-2</v>
      </c>
      <c r="K42" s="7">
        <v>7.5999999999999998E-2</v>
      </c>
      <c r="L42" s="11">
        <f t="shared" si="0"/>
        <v>736773.91020000004</v>
      </c>
      <c r="M42" s="11">
        <v>55380.84</v>
      </c>
      <c r="N42" s="11">
        <v>255087.5</v>
      </c>
      <c r="O42" s="41"/>
    </row>
    <row r="43" spans="1:16">
      <c r="A43" s="44"/>
      <c r="B43" s="5">
        <f t="shared" si="3"/>
        <v>44835</v>
      </c>
      <c r="C43" s="1" t="s">
        <v>36</v>
      </c>
      <c r="D43" s="10" t="s">
        <v>246</v>
      </c>
      <c r="E43" s="1">
        <v>73210</v>
      </c>
      <c r="F43" s="43">
        <v>382837.05</v>
      </c>
      <c r="G43" s="3">
        <f t="shared" si="1"/>
        <v>284888.19099999999</v>
      </c>
      <c r="H43" s="4">
        <f t="shared" si="2"/>
        <v>3.891383567818604</v>
      </c>
      <c r="I43" s="7">
        <v>0.18</v>
      </c>
      <c r="J43" s="7">
        <v>1.6500000000000001E-2</v>
      </c>
      <c r="K43" s="7">
        <v>7.5999999999999998E-2</v>
      </c>
      <c r="L43" s="11">
        <f t="shared" si="0"/>
        <v>68910.668999999994</v>
      </c>
      <c r="M43" s="11">
        <v>5179.79</v>
      </c>
      <c r="N43" s="11">
        <v>23858.400000000001</v>
      </c>
      <c r="P43" s="42"/>
    </row>
    <row r="44" spans="1:16">
      <c r="B44" s="5"/>
      <c r="C44" s="1"/>
      <c r="D44" s="6"/>
      <c r="E44" s="1"/>
      <c r="F44" s="2"/>
      <c r="G44" s="3"/>
      <c r="H44" s="4"/>
      <c r="I44" s="7"/>
      <c r="J44" s="7"/>
      <c r="K44" s="7"/>
      <c r="L44" s="8"/>
      <c r="M44" s="8"/>
      <c r="N44" s="8"/>
    </row>
    <row r="45" spans="1:16">
      <c r="B45" s="5"/>
      <c r="C45" s="1"/>
      <c r="D45" s="6"/>
      <c r="E45" s="1"/>
      <c r="F45" s="2"/>
      <c r="G45" s="3"/>
      <c r="H45" s="4"/>
      <c r="I45" s="7"/>
      <c r="J45" s="7"/>
      <c r="K45" s="7"/>
      <c r="L45" s="8"/>
      <c r="M45" s="8"/>
      <c r="N45" s="8"/>
    </row>
    <row r="46" spans="1:16">
      <c r="E46" s="28">
        <f>SUM(E18:E45)</f>
        <v>54048080</v>
      </c>
      <c r="G46" s="29">
        <f>SUM(G18:G45)</f>
        <v>138602995.70400003</v>
      </c>
    </row>
    <row r="48" spans="1:16" ht="15.75" thickBot="1"/>
    <row r="49" spans="2:14">
      <c r="B49" s="391" t="s">
        <v>155</v>
      </c>
      <c r="C49" s="383"/>
      <c r="D49" s="383"/>
      <c r="E49" s="383"/>
      <c r="F49" s="383"/>
      <c r="G49" s="383"/>
      <c r="H49" s="383"/>
      <c r="I49" s="383"/>
      <c r="J49" s="383"/>
      <c r="K49" s="383"/>
      <c r="L49" s="383"/>
      <c r="M49" s="383"/>
      <c r="N49" s="384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>
      <c r="B52" s="385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</row>
    <row r="53" spans="2:14">
      <c r="B53" s="385"/>
      <c r="C53" s="386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7"/>
    </row>
    <row r="54" spans="2:14" ht="142.5" customHeight="1" thickBot="1">
      <c r="B54" s="388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90"/>
    </row>
  </sheetData>
  <mergeCells count="3">
    <mergeCell ref="C2:L2"/>
    <mergeCell ref="L16:N16"/>
    <mergeCell ref="B49:N54"/>
  </mergeCells>
  <conditionalFormatting sqref="D1:D1048576">
    <cfRule type="duplicateValues" dxfId="163" priority="1"/>
  </conditionalFormatting>
  <pageMargins left="0.511811024" right="0.511811024" top="0.78740157499999996" bottom="0.78740157499999996" header="0.31496062000000002" footer="0.31496062000000002"/>
  <pageSetup paperSize="9" scale="5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P54"/>
  <sheetViews>
    <sheetView showGridLines="0" topLeftCell="A19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26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3.5703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44866</v>
      </c>
    </row>
    <row r="5" spans="2:14">
      <c r="C5" t="s">
        <v>17</v>
      </c>
      <c r="D5" s="14">
        <f ca="1">SUMIF($C$18:$G$41,$C$5:$C$7,$G$18:$G$41)/SUMIF($C$18:$G$41,$C$5:$C$7,$E$18:$E$41)</f>
        <v>2.7589443021144704</v>
      </c>
    </row>
    <row r="6" spans="2:14">
      <c r="C6" t="s">
        <v>33</v>
      </c>
      <c r="D6" s="14">
        <f ca="1">SUMIF($C$18:$G$41,$C$5:$C$7,$G$18:$G$41)/SUMIF($C$18:$G$41,$C$5:$C$7,$E$18:$E$41)</f>
        <v>2.2372089299019415</v>
      </c>
    </row>
    <row r="7" spans="2:14">
      <c r="C7" t="s">
        <v>126</v>
      </c>
      <c r="D7" s="14">
        <f>SUM(G42:G43)/SUM(E42:E43)</f>
        <v>3.9479925975536205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+G46/E46</f>
        <v>2.5262808030501889</v>
      </c>
      <c r="E9" s="14"/>
      <c r="F9" s="32"/>
      <c r="L9" s="16" t="str">
        <f>+C5</f>
        <v>Petrobras</v>
      </c>
      <c r="M9" s="17">
        <f>790000/1580000</f>
        <v>0.5</v>
      </c>
      <c r="N9" s="17">
        <f>+SUM(E18:E36)/E46</f>
        <v>0.44982573528295838</v>
      </c>
    </row>
    <row r="10" spans="2:14">
      <c r="L10" s="16" t="str">
        <f>+C6</f>
        <v>Shell</v>
      </c>
      <c r="M10" s="17">
        <v>0.47468354430379744</v>
      </c>
      <c r="N10" s="17">
        <f>+SUM(E39:E41)/E46</f>
        <v>0.48636201192236417</v>
      </c>
    </row>
    <row r="11" spans="2:14">
      <c r="C11" t="s">
        <v>132</v>
      </c>
      <c r="D11" s="14">
        <v>2.4672999999999998</v>
      </c>
      <c r="L11" s="16" t="str">
        <f>+C7</f>
        <v>NFE</v>
      </c>
      <c r="M11" s="18">
        <v>2.5316455696202531E-2</v>
      </c>
      <c r="N11" s="18">
        <f>+SUM(E42:E43)/E46</f>
        <v>1.773583658204464E-2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0.95392358378736719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1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1:14">
      <c r="A18" s="44"/>
      <c r="B18" s="5">
        <f>C3</f>
        <v>44866</v>
      </c>
      <c r="C18" s="1" t="s">
        <v>17</v>
      </c>
      <c r="D18" s="6" t="s">
        <v>262</v>
      </c>
      <c r="E18" s="1">
        <v>1042198</v>
      </c>
      <c r="F18" s="2">
        <v>3503617.54</v>
      </c>
      <c r="G18" s="3">
        <f>F18-SUM(L18:N18)</f>
        <v>2797988.9674439998</v>
      </c>
      <c r="H18" s="4">
        <f>+IF(G18=0,0,G18/E18)</f>
        <v>2.6846999969717844</v>
      </c>
      <c r="I18" s="7">
        <v>0.12</v>
      </c>
      <c r="J18" s="7">
        <v>1.6500000000000001E-2</v>
      </c>
      <c r="K18" s="7">
        <v>7.5999999999999998E-2</v>
      </c>
      <c r="L18" s="11">
        <f t="shared" ref="L18:L43" si="0">+I18*F18</f>
        <v>420434.10479999997</v>
      </c>
      <c r="M18" s="11">
        <f>J18*(F18-L18)</f>
        <v>50872.526680800009</v>
      </c>
      <c r="N18" s="11">
        <f>K18*(F18-L18)</f>
        <v>234321.94107520001</v>
      </c>
    </row>
    <row r="19" spans="1:14">
      <c r="A19" s="44"/>
      <c r="B19" s="5">
        <f>B18</f>
        <v>44866</v>
      </c>
      <c r="C19" s="1" t="s">
        <v>17</v>
      </c>
      <c r="D19" s="6" t="s">
        <v>264</v>
      </c>
      <c r="E19" s="1">
        <v>5731508</v>
      </c>
      <c r="F19" s="2">
        <v>18232032.379999999</v>
      </c>
      <c r="G19" s="3">
        <f t="shared" ref="G19:G43" si="1">F19-SUM(L19:N19)</f>
        <v>15387379.527910499</v>
      </c>
      <c r="H19" s="4">
        <f t="shared" ref="H19:H43" si="2">+IF(G19=0,0,G19/E19)</f>
        <v>2.6847000000541739</v>
      </c>
      <c r="I19" s="7">
        <v>7.0000000000000007E-2</v>
      </c>
      <c r="J19" s="7">
        <v>1.6500000000000001E-2</v>
      </c>
      <c r="K19" s="7">
        <v>7.5999999999999998E-2</v>
      </c>
      <c r="L19" s="11">
        <f t="shared" si="0"/>
        <v>1276242.2666</v>
      </c>
      <c r="M19" s="11">
        <f t="shared" ref="M19:M38" si="3">J19*(F19-L19)</f>
        <v>279770.53687109996</v>
      </c>
      <c r="N19" s="11">
        <f t="shared" ref="N19:N38" si="4">K19*(F19-L19)</f>
        <v>1288640.0486183998</v>
      </c>
    </row>
    <row r="20" spans="1:14">
      <c r="A20" s="44"/>
      <c r="B20" s="5">
        <f t="shared" ref="B20:B43" si="5">B19</f>
        <v>44866</v>
      </c>
      <c r="C20" s="1" t="s">
        <v>17</v>
      </c>
      <c r="D20" s="6" t="s">
        <v>268</v>
      </c>
      <c r="E20" s="1">
        <v>43523</v>
      </c>
      <c r="F20" s="2">
        <v>146313.79999999999</v>
      </c>
      <c r="G20" s="3">
        <f t="shared" si="1"/>
        <v>116846.20067999999</v>
      </c>
      <c r="H20" s="4">
        <f t="shared" si="2"/>
        <v>2.6847000592790016</v>
      </c>
      <c r="I20" s="7">
        <v>0.12</v>
      </c>
      <c r="J20" s="7">
        <v>1.6500000000000001E-2</v>
      </c>
      <c r="K20" s="7">
        <v>7.5999999999999998E-2</v>
      </c>
      <c r="L20" s="11">
        <f t="shared" si="0"/>
        <v>17557.655999999999</v>
      </c>
      <c r="M20" s="11">
        <f t="shared" si="3"/>
        <v>2124.4763760000001</v>
      </c>
      <c r="N20" s="11">
        <f t="shared" si="4"/>
        <v>9785.466943999998</v>
      </c>
    </row>
    <row r="21" spans="1:14">
      <c r="A21" s="44"/>
      <c r="B21" s="5">
        <f t="shared" si="5"/>
        <v>44866</v>
      </c>
      <c r="C21" s="1" t="s">
        <v>17</v>
      </c>
      <c r="D21" s="6" t="s">
        <v>271</v>
      </c>
      <c r="E21" s="1">
        <v>1570195</v>
      </c>
      <c r="F21" s="2">
        <v>5278615.7300000004</v>
      </c>
      <c r="G21" s="3">
        <f t="shared" si="1"/>
        <v>4215502.5219780002</v>
      </c>
      <c r="H21" s="4">
        <f t="shared" si="2"/>
        <v>2.6847000034887389</v>
      </c>
      <c r="I21" s="7">
        <v>0.12</v>
      </c>
      <c r="J21" s="7">
        <v>1.6500000000000001E-2</v>
      </c>
      <c r="K21" s="7">
        <v>7.5999999999999998E-2</v>
      </c>
      <c r="L21" s="11">
        <f t="shared" si="0"/>
        <v>633433.88760000002</v>
      </c>
      <c r="M21" s="11">
        <f t="shared" si="3"/>
        <v>76645.500399600016</v>
      </c>
      <c r="N21" s="11">
        <f t="shared" si="4"/>
        <v>353033.8200224</v>
      </c>
    </row>
    <row r="22" spans="1:14">
      <c r="A22" s="44"/>
      <c r="B22" s="5">
        <f t="shared" si="5"/>
        <v>44866</v>
      </c>
      <c r="C22" s="1" t="s">
        <v>17</v>
      </c>
      <c r="D22" s="6" t="s">
        <v>272</v>
      </c>
      <c r="E22" s="1">
        <v>444800</v>
      </c>
      <c r="F22" s="2">
        <v>1495309.99</v>
      </c>
      <c r="G22" s="3">
        <f t="shared" si="1"/>
        <v>1194154.5580140001</v>
      </c>
      <c r="H22" s="4">
        <f t="shared" si="2"/>
        <v>2.6846999955350719</v>
      </c>
      <c r="I22" s="7">
        <v>0.12</v>
      </c>
      <c r="J22" s="7">
        <v>1.6500000000000001E-2</v>
      </c>
      <c r="K22" s="7">
        <v>7.5999999999999998E-2</v>
      </c>
      <c r="L22" s="11">
        <f t="shared" si="0"/>
        <v>179437.19879999998</v>
      </c>
      <c r="M22" s="11">
        <f t="shared" si="3"/>
        <v>21711.901054800004</v>
      </c>
      <c r="N22" s="11">
        <f t="shared" si="4"/>
        <v>100006.3321312</v>
      </c>
    </row>
    <row r="23" spans="1:14">
      <c r="A23" s="44"/>
      <c r="B23" s="5">
        <f t="shared" si="5"/>
        <v>44866</v>
      </c>
      <c r="C23" s="1" t="s">
        <v>17</v>
      </c>
      <c r="D23" s="6" t="s">
        <v>274</v>
      </c>
      <c r="E23" s="1">
        <v>1941806</v>
      </c>
      <c r="F23" s="2">
        <v>6527882.0099999998</v>
      </c>
      <c r="G23" s="3">
        <f t="shared" si="1"/>
        <v>5213166.5731859999</v>
      </c>
      <c r="H23" s="4">
        <f t="shared" si="2"/>
        <v>2.6847000025677126</v>
      </c>
      <c r="I23" s="7">
        <v>0.12</v>
      </c>
      <c r="J23" s="7">
        <v>1.6500000000000001E-2</v>
      </c>
      <c r="K23" s="7">
        <v>7.5999999999999998E-2</v>
      </c>
      <c r="L23" s="11">
        <f t="shared" si="0"/>
        <v>783345.84119999991</v>
      </c>
      <c r="M23" s="11">
        <f>J23*(F23-L23)</f>
        <v>94784.846785200003</v>
      </c>
      <c r="N23" s="11">
        <f t="shared" si="4"/>
        <v>436584.74882879999</v>
      </c>
    </row>
    <row r="24" spans="1:14">
      <c r="A24" s="44" t="s">
        <v>160</v>
      </c>
      <c r="B24" s="5">
        <f t="shared" si="5"/>
        <v>44866</v>
      </c>
      <c r="C24" s="1" t="s">
        <v>17</v>
      </c>
      <c r="D24" s="6" t="s">
        <v>261</v>
      </c>
      <c r="E24" s="1">
        <v>26883</v>
      </c>
      <c r="F24" s="2">
        <v>128901.05</v>
      </c>
      <c r="G24" s="3">
        <f>F24-SUM(L24:N24)</f>
        <v>102940.37853</v>
      </c>
      <c r="H24" s="4">
        <f>+IF(G24=0,0,G24/E24)</f>
        <v>3.829199811404977</v>
      </c>
      <c r="I24" s="7">
        <v>0.12</v>
      </c>
      <c r="J24" s="7">
        <v>1.6500000000000001E-2</v>
      </c>
      <c r="K24" s="7">
        <v>7.5999999999999998E-2</v>
      </c>
      <c r="L24" s="11">
        <f t="shared" si="0"/>
        <v>15468.126</v>
      </c>
      <c r="M24" s="11">
        <f t="shared" si="3"/>
        <v>1871.6432460000001</v>
      </c>
      <c r="N24" s="11">
        <f t="shared" si="4"/>
        <v>8620.9022239999995</v>
      </c>
    </row>
    <row r="25" spans="1:14">
      <c r="A25" s="44" t="s">
        <v>159</v>
      </c>
      <c r="B25" s="5">
        <f t="shared" si="5"/>
        <v>44866</v>
      </c>
      <c r="C25" s="1" t="s">
        <v>17</v>
      </c>
      <c r="D25" s="6" t="s">
        <v>266</v>
      </c>
      <c r="E25" s="1">
        <v>7248357</v>
      </c>
      <c r="F25" s="2">
        <v>20924369.940000001</v>
      </c>
      <c r="G25" s="3">
        <f t="shared" si="1"/>
        <v>19459664.044199999</v>
      </c>
      <c r="H25" s="4">
        <f>+IF(G25=0,0,G25/E25)</f>
        <v>2.6847000008691624</v>
      </c>
      <c r="I25" s="7">
        <v>7.0000000000000007E-2</v>
      </c>
      <c r="J25" s="9">
        <v>0</v>
      </c>
      <c r="K25" s="9">
        <v>0</v>
      </c>
      <c r="L25" s="11">
        <f t="shared" si="0"/>
        <v>1464705.8958000003</v>
      </c>
      <c r="M25" s="11">
        <f t="shared" si="3"/>
        <v>0</v>
      </c>
      <c r="N25" s="11">
        <f t="shared" si="4"/>
        <v>0</v>
      </c>
    </row>
    <row r="26" spans="1:14">
      <c r="A26" s="44" t="s">
        <v>159</v>
      </c>
      <c r="B26" s="5">
        <f t="shared" si="5"/>
        <v>44866</v>
      </c>
      <c r="C26" s="1" t="s">
        <v>17</v>
      </c>
      <c r="D26" s="6" t="s">
        <v>267</v>
      </c>
      <c r="E26" s="1">
        <v>534781</v>
      </c>
      <c r="F26" s="2">
        <v>1631507.44</v>
      </c>
      <c r="G26" s="3">
        <f t="shared" si="1"/>
        <v>1435726.5471999999</v>
      </c>
      <c r="H26" s="4">
        <f t="shared" si="2"/>
        <v>2.6846999934552649</v>
      </c>
      <c r="I26" s="7">
        <v>0.12</v>
      </c>
      <c r="J26" s="9">
        <v>0</v>
      </c>
      <c r="K26" s="9">
        <v>0</v>
      </c>
      <c r="L26" s="11">
        <f t="shared" si="0"/>
        <v>195780.89279999997</v>
      </c>
      <c r="M26" s="11">
        <f t="shared" si="3"/>
        <v>0</v>
      </c>
      <c r="N26" s="11">
        <f t="shared" si="4"/>
        <v>0</v>
      </c>
    </row>
    <row r="27" spans="1:14">
      <c r="A27" s="44" t="s">
        <v>159</v>
      </c>
      <c r="B27" s="5">
        <f t="shared" si="5"/>
        <v>44866</v>
      </c>
      <c r="C27" s="1" t="s">
        <v>17</v>
      </c>
      <c r="D27" s="6" t="s">
        <v>273</v>
      </c>
      <c r="E27" s="1">
        <v>1343800</v>
      </c>
      <c r="F27" s="2">
        <v>4099658.93</v>
      </c>
      <c r="G27" s="3">
        <f t="shared" si="1"/>
        <v>3607699.8584000003</v>
      </c>
      <c r="H27" s="4">
        <f t="shared" si="2"/>
        <v>2.684699998809347</v>
      </c>
      <c r="I27" s="7">
        <v>0.12</v>
      </c>
      <c r="J27" s="9">
        <v>0</v>
      </c>
      <c r="K27" s="9">
        <v>0</v>
      </c>
      <c r="L27" s="11">
        <f t="shared" si="0"/>
        <v>491959.07160000002</v>
      </c>
      <c r="M27" s="11">
        <f t="shared" si="3"/>
        <v>0</v>
      </c>
      <c r="N27" s="11">
        <f t="shared" si="4"/>
        <v>0</v>
      </c>
    </row>
    <row r="28" spans="1:14">
      <c r="A28" s="44" t="s">
        <v>159</v>
      </c>
      <c r="B28" s="5">
        <f t="shared" si="5"/>
        <v>44866</v>
      </c>
      <c r="C28" s="1" t="s">
        <v>17</v>
      </c>
      <c r="D28" s="6" t="s">
        <v>275</v>
      </c>
      <c r="E28" s="1">
        <v>1471236</v>
      </c>
      <c r="F28" s="2">
        <v>4488440.0999999996</v>
      </c>
      <c r="G28" s="3">
        <f t="shared" si="1"/>
        <v>3949827.2879999997</v>
      </c>
      <c r="H28" s="4">
        <f t="shared" si="2"/>
        <v>2.684699999184359</v>
      </c>
      <c r="I28" s="7">
        <v>0.12</v>
      </c>
      <c r="J28" s="9">
        <v>0</v>
      </c>
      <c r="K28" s="9">
        <v>0</v>
      </c>
      <c r="L28" s="11">
        <f t="shared" si="0"/>
        <v>538612.81199999992</v>
      </c>
      <c r="M28" s="11">
        <f t="shared" si="3"/>
        <v>0</v>
      </c>
      <c r="N28" s="11">
        <f t="shared" si="4"/>
        <v>0</v>
      </c>
    </row>
    <row r="29" spans="1:14">
      <c r="A29" s="44" t="s">
        <v>159</v>
      </c>
      <c r="B29" s="5">
        <f t="shared" si="5"/>
        <v>44866</v>
      </c>
      <c r="C29" s="1" t="s">
        <v>17</v>
      </c>
      <c r="D29" s="6" t="s">
        <v>278</v>
      </c>
      <c r="E29" s="1">
        <v>51300</v>
      </c>
      <c r="F29" s="2">
        <v>156505.81</v>
      </c>
      <c r="G29" s="3">
        <f t="shared" si="1"/>
        <v>137725.1128</v>
      </c>
      <c r="H29" s="4">
        <f t="shared" si="2"/>
        <v>2.6847000545808966</v>
      </c>
      <c r="I29" s="7">
        <v>0.12</v>
      </c>
      <c r="J29" s="9">
        <v>0</v>
      </c>
      <c r="K29" s="9">
        <v>0</v>
      </c>
      <c r="L29" s="11">
        <f t="shared" si="0"/>
        <v>18780.697199999999</v>
      </c>
      <c r="M29" s="11">
        <f t="shared" si="3"/>
        <v>0</v>
      </c>
      <c r="N29" s="11">
        <f t="shared" si="4"/>
        <v>0</v>
      </c>
    </row>
    <row r="30" spans="1:14">
      <c r="A30" s="44" t="s">
        <v>162</v>
      </c>
      <c r="B30" s="5">
        <f t="shared" si="5"/>
        <v>44866</v>
      </c>
      <c r="C30" s="1" t="s">
        <v>17</v>
      </c>
      <c r="D30" s="6" t="s">
        <v>263</v>
      </c>
      <c r="E30" s="1">
        <v>23273</v>
      </c>
      <c r="F30" s="2">
        <v>101269.28</v>
      </c>
      <c r="G30" s="3">
        <f t="shared" si="1"/>
        <v>89116.966400000005</v>
      </c>
      <c r="H30" s="4">
        <f>+IF(G30=0,0,G30/E30)</f>
        <v>3.8291997765651185</v>
      </c>
      <c r="I30" s="7">
        <v>0.12</v>
      </c>
      <c r="J30" s="9">
        <v>0</v>
      </c>
      <c r="K30" s="9">
        <v>0</v>
      </c>
      <c r="L30" s="11">
        <f t="shared" si="0"/>
        <v>12152.313599999999</v>
      </c>
      <c r="M30" s="11">
        <f t="shared" si="3"/>
        <v>0</v>
      </c>
      <c r="N30" s="11">
        <f t="shared" si="4"/>
        <v>0</v>
      </c>
    </row>
    <row r="31" spans="1:14">
      <c r="A31" s="44" t="s">
        <v>162</v>
      </c>
      <c r="B31" s="5">
        <f t="shared" si="5"/>
        <v>44866</v>
      </c>
      <c r="C31" s="1" t="s">
        <v>17</v>
      </c>
      <c r="D31" s="6" t="s">
        <v>269</v>
      </c>
      <c r="E31" s="1">
        <v>52153</v>
      </c>
      <c r="F31" s="2">
        <v>214735.77</v>
      </c>
      <c r="G31" s="3">
        <f t="shared" si="1"/>
        <v>199704.26609999998</v>
      </c>
      <c r="H31" s="4">
        <f t="shared" si="2"/>
        <v>3.829199971238471</v>
      </c>
      <c r="I31" s="7">
        <v>7.0000000000000007E-2</v>
      </c>
      <c r="J31" s="9">
        <v>0</v>
      </c>
      <c r="K31" s="9">
        <v>0</v>
      </c>
      <c r="L31" s="11">
        <f t="shared" si="0"/>
        <v>15031.503900000002</v>
      </c>
      <c r="M31" s="11">
        <f t="shared" si="3"/>
        <v>0</v>
      </c>
      <c r="N31" s="11">
        <f t="shared" si="4"/>
        <v>0</v>
      </c>
    </row>
    <row r="32" spans="1:14">
      <c r="A32" s="44" t="s">
        <v>162</v>
      </c>
      <c r="B32" s="5">
        <f t="shared" si="5"/>
        <v>44866</v>
      </c>
      <c r="C32" s="1" t="s">
        <v>17</v>
      </c>
      <c r="D32" s="6" t="s">
        <v>281</v>
      </c>
      <c r="E32" s="1">
        <v>21115</v>
      </c>
      <c r="F32" s="2">
        <v>91879.05</v>
      </c>
      <c r="G32" s="3">
        <f t="shared" si="1"/>
        <v>80853.563999999998</v>
      </c>
      <c r="H32" s="4">
        <f t="shared" si="2"/>
        <v>3.8292002841581811</v>
      </c>
      <c r="I32" s="7">
        <v>0.12</v>
      </c>
      <c r="J32" s="9">
        <v>0</v>
      </c>
      <c r="K32" s="9">
        <v>0</v>
      </c>
      <c r="L32" s="11">
        <f t="shared" si="0"/>
        <v>11025.486000000001</v>
      </c>
      <c r="M32" s="11">
        <f t="shared" si="3"/>
        <v>0</v>
      </c>
      <c r="N32" s="11">
        <f t="shared" si="4"/>
        <v>0</v>
      </c>
    </row>
    <row r="33" spans="1:16" hidden="1">
      <c r="A33" s="44" t="s">
        <v>162</v>
      </c>
      <c r="B33" s="5">
        <f t="shared" si="5"/>
        <v>44866</v>
      </c>
      <c r="C33" s="1" t="s">
        <v>17</v>
      </c>
      <c r="D33" s="6"/>
      <c r="E33" s="1"/>
      <c r="F33" s="2"/>
      <c r="G33" s="3">
        <f t="shared" si="1"/>
        <v>0</v>
      </c>
      <c r="H33" s="4">
        <f t="shared" si="2"/>
        <v>0</v>
      </c>
      <c r="I33" s="7"/>
      <c r="J33" s="9">
        <v>0</v>
      </c>
      <c r="K33" s="9">
        <v>0</v>
      </c>
      <c r="L33" s="11">
        <f t="shared" si="0"/>
        <v>0</v>
      </c>
      <c r="M33" s="11">
        <f t="shared" si="3"/>
        <v>0</v>
      </c>
      <c r="N33" s="11">
        <f t="shared" si="4"/>
        <v>0</v>
      </c>
    </row>
    <row r="34" spans="1:16">
      <c r="A34" s="44" t="s">
        <v>160</v>
      </c>
      <c r="B34" s="5">
        <f t="shared" si="5"/>
        <v>44866</v>
      </c>
      <c r="C34" s="1" t="s">
        <v>17</v>
      </c>
      <c r="D34" s="6" t="s">
        <v>270</v>
      </c>
      <c r="E34" s="1">
        <v>57885</v>
      </c>
      <c r="F34" s="2">
        <v>277552.27</v>
      </c>
      <c r="G34" s="3">
        <f t="shared" si="1"/>
        <v>221653.242822</v>
      </c>
      <c r="H34" s="4">
        <f t="shared" si="2"/>
        <v>3.8292000142005702</v>
      </c>
      <c r="I34" s="7">
        <v>0.12</v>
      </c>
      <c r="J34" s="7">
        <v>1.6500000000000001E-2</v>
      </c>
      <c r="K34" s="7">
        <v>7.5999999999999998E-2</v>
      </c>
      <c r="L34" s="11">
        <f t="shared" si="0"/>
        <v>33306.272400000002</v>
      </c>
      <c r="M34" s="11">
        <f t="shared" si="3"/>
        <v>4030.0589604000002</v>
      </c>
      <c r="N34" s="11">
        <f t="shared" si="4"/>
        <v>18562.695817600001</v>
      </c>
    </row>
    <row r="35" spans="1:16">
      <c r="A35" s="44" t="s">
        <v>280</v>
      </c>
      <c r="B35" s="5">
        <f t="shared" si="5"/>
        <v>44866</v>
      </c>
      <c r="C35" s="1" t="s">
        <v>17</v>
      </c>
      <c r="D35" s="6" t="s">
        <v>279</v>
      </c>
      <c r="E35" s="1">
        <v>182818</v>
      </c>
      <c r="F35" s="2">
        <v>1033274.88</v>
      </c>
      <c r="G35" s="3">
        <f t="shared" si="1"/>
        <v>909281.89439999999</v>
      </c>
      <c r="H35" s="4">
        <f t="shared" si="2"/>
        <v>4.9737000426653832</v>
      </c>
      <c r="I35" s="7">
        <v>0.12</v>
      </c>
      <c r="J35" s="9">
        <v>0</v>
      </c>
      <c r="K35" s="9">
        <v>0</v>
      </c>
      <c r="L35" s="11">
        <f t="shared" si="0"/>
        <v>123992.9856</v>
      </c>
      <c r="M35" s="11">
        <f t="shared" si="3"/>
        <v>0</v>
      </c>
      <c r="N35" s="11">
        <f t="shared" si="4"/>
        <v>0</v>
      </c>
    </row>
    <row r="36" spans="1:16">
      <c r="A36" s="44" t="s">
        <v>265</v>
      </c>
      <c r="B36" s="5">
        <f t="shared" si="5"/>
        <v>44866</v>
      </c>
      <c r="C36" s="1" t="s">
        <v>17</v>
      </c>
      <c r="D36" s="6" t="s">
        <v>276</v>
      </c>
      <c r="E36" s="1">
        <v>501191</v>
      </c>
      <c r="F36" s="2">
        <v>3121429.6</v>
      </c>
      <c r="G36" s="3">
        <f t="shared" si="1"/>
        <v>2492773.6785599999</v>
      </c>
      <c r="H36" s="4">
        <f t="shared" si="2"/>
        <v>4.9737000037111603</v>
      </c>
      <c r="I36" s="7">
        <v>0.12</v>
      </c>
      <c r="J36" s="7">
        <v>1.6500000000000001E-2</v>
      </c>
      <c r="K36" s="7">
        <v>7.5999999999999998E-2</v>
      </c>
      <c r="L36" s="11">
        <f t="shared" si="0"/>
        <v>374571.55200000003</v>
      </c>
      <c r="M36" s="11">
        <f t="shared" si="3"/>
        <v>45323.157791999998</v>
      </c>
      <c r="N36" s="11">
        <f t="shared" si="4"/>
        <v>208761.211648</v>
      </c>
    </row>
    <row r="37" spans="1:16">
      <c r="A37" s="44" t="s">
        <v>159</v>
      </c>
      <c r="B37" s="5">
        <f t="shared" si="5"/>
        <v>44866</v>
      </c>
      <c r="C37" s="1" t="s">
        <v>17</v>
      </c>
      <c r="D37" s="6" t="s">
        <v>282</v>
      </c>
      <c r="E37" s="1">
        <v>2238417</v>
      </c>
      <c r="F37" s="2">
        <v>6828952.4100000001</v>
      </c>
      <c r="G37" s="3">
        <f t="shared" si="1"/>
        <v>6009478.1207999997</v>
      </c>
      <c r="H37" s="4">
        <f t="shared" si="2"/>
        <v>2.6847000004020698</v>
      </c>
      <c r="I37" s="7">
        <v>0.12</v>
      </c>
      <c r="J37" s="9">
        <v>0</v>
      </c>
      <c r="K37" s="9">
        <v>0</v>
      </c>
      <c r="L37" s="11">
        <f t="shared" si="0"/>
        <v>819474.2892</v>
      </c>
      <c r="M37" s="11">
        <f t="shared" si="3"/>
        <v>0</v>
      </c>
      <c r="N37" s="11">
        <f t="shared" si="4"/>
        <v>0</v>
      </c>
    </row>
    <row r="38" spans="1:16">
      <c r="A38" s="44" t="s">
        <v>160</v>
      </c>
      <c r="B38" s="5">
        <f t="shared" si="5"/>
        <v>44866</v>
      </c>
      <c r="C38" s="1" t="s">
        <v>17</v>
      </c>
      <c r="D38" s="6" t="s">
        <v>277</v>
      </c>
      <c r="E38" s="1">
        <v>44665</v>
      </c>
      <c r="F38" s="2">
        <v>202649.63</v>
      </c>
      <c r="G38" s="3">
        <f t="shared" si="1"/>
        <v>171031.22147925</v>
      </c>
      <c r="H38" s="4">
        <f t="shared" si="2"/>
        <v>3.8292000778965631</v>
      </c>
      <c r="I38" s="7">
        <v>7.0000000000000007E-2</v>
      </c>
      <c r="J38" s="7">
        <v>1.6500000000000001E-2</v>
      </c>
      <c r="K38" s="7">
        <v>7.5999999999999998E-2</v>
      </c>
      <c r="L38" s="11">
        <f t="shared" si="0"/>
        <v>14185.474100000001</v>
      </c>
      <c r="M38" s="11">
        <f t="shared" si="3"/>
        <v>3109.6585723500002</v>
      </c>
      <c r="N38" s="11">
        <f t="shared" si="4"/>
        <v>14323.275848400001</v>
      </c>
    </row>
    <row r="39" spans="1:16">
      <c r="A39" s="44"/>
      <c r="B39" s="5">
        <f>B36</f>
        <v>44866</v>
      </c>
      <c r="C39" s="1" t="s">
        <v>33</v>
      </c>
      <c r="D39" s="10" t="s">
        <v>285</v>
      </c>
      <c r="E39" s="1">
        <v>24099191</v>
      </c>
      <c r="F39" s="2">
        <v>63882135.5</v>
      </c>
      <c r="G39" s="3">
        <f>F39-SUM(L39:N39)</f>
        <v>53914925.308612496</v>
      </c>
      <c r="H39" s="4">
        <f t="shared" si="2"/>
        <v>2.2372089299019415</v>
      </c>
      <c r="I39" s="7">
        <v>7.0000000000000007E-2</v>
      </c>
      <c r="J39" s="7">
        <v>1.6500000000000001E-2</v>
      </c>
      <c r="K39" s="7">
        <v>7.5999999999999998E-2</v>
      </c>
      <c r="L39" s="11">
        <f t="shared" si="0"/>
        <v>4471749.4850000003</v>
      </c>
      <c r="M39" s="11">
        <f>J39*(F39-L39)</f>
        <v>980271.36924750009</v>
      </c>
      <c r="N39" s="11">
        <f t="shared" ref="N39:N42" si="6">K39*(F39-L39)</f>
        <v>4515189.3371399995</v>
      </c>
      <c r="P39" s="45"/>
    </row>
    <row r="40" spans="1:16" hidden="1">
      <c r="A40" s="44"/>
      <c r="B40" s="5">
        <f t="shared" si="5"/>
        <v>44866</v>
      </c>
      <c r="C40" s="1" t="s">
        <v>33</v>
      </c>
      <c r="D40" s="46"/>
      <c r="E40" s="1"/>
      <c r="F40" s="43"/>
      <c r="G40" s="3">
        <f t="shared" ref="G40" si="7">F40-SUM(L40:N40)</f>
        <v>0</v>
      </c>
      <c r="H40" s="4">
        <f t="shared" si="2"/>
        <v>0</v>
      </c>
      <c r="I40" s="7"/>
      <c r="J40" s="7">
        <v>1.6500000000000001E-2</v>
      </c>
      <c r="K40" s="7">
        <v>7.5999999999999998E-2</v>
      </c>
      <c r="L40" s="11">
        <f t="shared" si="0"/>
        <v>0</v>
      </c>
      <c r="M40" s="11">
        <f t="shared" ref="M40:M42" si="8">J40*(F40-L40)</f>
        <v>0</v>
      </c>
      <c r="N40" s="11">
        <f t="shared" si="6"/>
        <v>0</v>
      </c>
      <c r="P40" s="45"/>
    </row>
    <row r="41" spans="1:16" hidden="1">
      <c r="A41" s="44"/>
      <c r="B41" s="5">
        <f t="shared" si="5"/>
        <v>44866</v>
      </c>
      <c r="C41" s="1" t="s">
        <v>33</v>
      </c>
      <c r="D41" s="6"/>
      <c r="E41" s="1"/>
      <c r="F41" s="2"/>
      <c r="G41" s="3">
        <f t="shared" si="1"/>
        <v>0</v>
      </c>
      <c r="H41" s="4">
        <f t="shared" si="2"/>
        <v>0</v>
      </c>
      <c r="I41" s="7"/>
      <c r="J41" s="7">
        <v>1.6500000000000001E-2</v>
      </c>
      <c r="K41" s="7">
        <v>7.5999999999999998E-2</v>
      </c>
      <c r="L41" s="11">
        <f t="shared" si="0"/>
        <v>0</v>
      </c>
      <c r="M41" s="11">
        <f t="shared" si="8"/>
        <v>0</v>
      </c>
      <c r="N41" s="11">
        <f t="shared" si="6"/>
        <v>0</v>
      </c>
      <c r="P41" s="45"/>
    </row>
    <row r="42" spans="1:16">
      <c r="A42" s="44"/>
      <c r="B42" s="5">
        <f t="shared" si="5"/>
        <v>44866</v>
      </c>
      <c r="C42" s="1" t="s">
        <v>37</v>
      </c>
      <c r="D42" s="10" t="s">
        <v>284</v>
      </c>
      <c r="E42" s="1">
        <v>811765</v>
      </c>
      <c r="F42" s="2">
        <v>4315261.5599999996</v>
      </c>
      <c r="G42" s="3">
        <f t="shared" si="1"/>
        <v>3211201.8898739996</v>
      </c>
      <c r="H42" s="4">
        <f t="shared" si="2"/>
        <v>3.9558269817915277</v>
      </c>
      <c r="I42" s="7">
        <v>0.18</v>
      </c>
      <c r="J42" s="7">
        <v>1.6500000000000001E-2</v>
      </c>
      <c r="K42" s="7">
        <v>7.5999999999999998E-2</v>
      </c>
      <c r="L42" s="11">
        <f t="shared" si="0"/>
        <v>776747.08079999988</v>
      </c>
      <c r="M42" s="11">
        <f t="shared" si="8"/>
        <v>58385.488906800005</v>
      </c>
      <c r="N42" s="11">
        <f t="shared" si="6"/>
        <v>268927.10041919997</v>
      </c>
      <c r="O42" s="41"/>
    </row>
    <row r="43" spans="1:16">
      <c r="A43" s="44"/>
      <c r="B43" s="5">
        <f t="shared" si="5"/>
        <v>44866</v>
      </c>
      <c r="C43" s="1" t="s">
        <v>36</v>
      </c>
      <c r="D43" s="10" t="s">
        <v>283</v>
      </c>
      <c r="E43" s="1">
        <v>67044</v>
      </c>
      <c r="F43" s="43">
        <v>347147.13</v>
      </c>
      <c r="G43" s="3">
        <f t="shared" si="1"/>
        <v>258329.53678950001</v>
      </c>
      <c r="H43" s="4">
        <f t="shared" si="2"/>
        <v>3.8531343116386254</v>
      </c>
      <c r="I43" s="7">
        <v>0.18</v>
      </c>
      <c r="J43" s="7">
        <v>1.6500000000000001E-2</v>
      </c>
      <c r="K43" s="7">
        <v>7.5999999999999998E-2</v>
      </c>
      <c r="L43" s="11">
        <f t="shared" si="0"/>
        <v>62486.483399999997</v>
      </c>
      <c r="M43" s="11">
        <f t="shared" ref="M43" si="9">J43*(F43-L43)</f>
        <v>4696.9006688999998</v>
      </c>
      <c r="N43" s="11">
        <f t="shared" ref="N43" si="10">K43*(F43-L43)</f>
        <v>21634.209141599997</v>
      </c>
      <c r="P43" s="42"/>
    </row>
    <row r="44" spans="1:16" hidden="1">
      <c r="B44" s="5"/>
      <c r="C44" s="1"/>
      <c r="D44" s="6"/>
      <c r="E44" s="1"/>
      <c r="F44" s="2"/>
      <c r="G44" s="3"/>
      <c r="H44" s="4"/>
      <c r="I44" s="7"/>
      <c r="J44" s="7"/>
      <c r="K44" s="7"/>
      <c r="L44" s="8"/>
      <c r="M44" s="8"/>
      <c r="N44" s="8"/>
    </row>
    <row r="45" spans="1:16" hidden="1">
      <c r="B45" s="5"/>
      <c r="C45" s="1"/>
      <c r="D45" s="6"/>
      <c r="E45" s="1"/>
      <c r="F45" s="2"/>
      <c r="G45" s="3"/>
      <c r="H45" s="4"/>
      <c r="I45" s="7"/>
      <c r="J45" s="7"/>
      <c r="K45" s="7"/>
      <c r="L45" s="8"/>
      <c r="M45" s="8"/>
      <c r="N45" s="8"/>
    </row>
    <row r="46" spans="1:16">
      <c r="E46" s="28">
        <f>SUM(E18:E45)</f>
        <v>49549904</v>
      </c>
      <c r="G46" s="29">
        <f>SUM(G18:G45)</f>
        <v>125176971.26817976</v>
      </c>
    </row>
    <row r="48" spans="1:16" ht="15.75" thickBot="1"/>
    <row r="49" spans="2:14">
      <c r="B49" s="391" t="s">
        <v>155</v>
      </c>
      <c r="C49" s="383"/>
      <c r="D49" s="383"/>
      <c r="E49" s="383"/>
      <c r="F49" s="383"/>
      <c r="G49" s="383"/>
      <c r="H49" s="383"/>
      <c r="I49" s="383"/>
      <c r="J49" s="383"/>
      <c r="K49" s="383"/>
      <c r="L49" s="383"/>
      <c r="M49" s="383"/>
      <c r="N49" s="384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>
      <c r="B52" s="385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</row>
    <row r="53" spans="2:14">
      <c r="B53" s="385"/>
      <c r="C53" s="386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7"/>
    </row>
    <row r="54" spans="2:14" ht="142.5" customHeight="1" thickBot="1">
      <c r="B54" s="388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90"/>
    </row>
  </sheetData>
  <mergeCells count="3">
    <mergeCell ref="C2:L2"/>
    <mergeCell ref="L16:N16"/>
    <mergeCell ref="B49:N54"/>
  </mergeCells>
  <conditionalFormatting sqref="D1:D1048576">
    <cfRule type="duplicateValues" dxfId="162" priority="1"/>
  </conditionalFormatting>
  <pageMargins left="0.511811024" right="0.511811024" top="0.78740157499999996" bottom="0.78740157499999996" header="0.31496062000000002" footer="0.31496062000000002"/>
  <pageSetup paperSize="9" scale="5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P54"/>
  <sheetViews>
    <sheetView showGridLines="0" topLeftCell="A19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26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3.5703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44896</v>
      </c>
    </row>
    <row r="5" spans="2:14">
      <c r="C5" t="s">
        <v>17</v>
      </c>
      <c r="D5" s="14">
        <f ca="1">SUMIF($C$18:$G$41,$C$5:$C$7,$G$18:$G$41)/SUMIF($C$18:$G$41,$C$5:$C$7,$E$18:$E$41)</f>
        <v>2.7364128018156717</v>
      </c>
    </row>
    <row r="6" spans="2:14">
      <c r="C6" t="s">
        <v>33</v>
      </c>
      <c r="D6" s="14">
        <f ca="1">SUMIF($C$18:$G$41,$C$5:$C$7,$G$18:$G$41)/SUMIF($C$18:$G$41,$C$5:$C$7,$E$18:$E$41)</f>
        <v>2.2372089298398548</v>
      </c>
    </row>
    <row r="7" spans="2:14">
      <c r="C7" t="s">
        <v>126</v>
      </c>
      <c r="D7" s="14">
        <f>SUM(G42:G43)/SUM(E42:E43)</f>
        <v>3.9480201056738164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+G46/E46</f>
        <v>2.5188015173509548</v>
      </c>
      <c r="E9" s="14"/>
      <c r="F9" s="32"/>
      <c r="L9" s="16" t="str">
        <f>+C5</f>
        <v>Petrobras</v>
      </c>
      <c r="M9" s="17">
        <f>790000/1580000</f>
        <v>0.5</v>
      </c>
      <c r="N9" s="17">
        <f>+SUM(E18:E36)/E46</f>
        <v>0.49742037198956451</v>
      </c>
    </row>
    <row r="10" spans="2:14">
      <c r="L10" s="16" t="str">
        <f>+C6</f>
        <v>Shell</v>
      </c>
      <c r="M10" s="17">
        <v>0.47468354430379744</v>
      </c>
      <c r="N10" s="17">
        <f>+SUM(E39:E41)/E46</f>
        <v>0.4809262245018977</v>
      </c>
    </row>
    <row r="11" spans="2:14">
      <c r="C11" t="s">
        <v>132</v>
      </c>
      <c r="D11" s="14">
        <v>2.4672999999999998</v>
      </c>
      <c r="L11" s="16" t="str">
        <f>+C7</f>
        <v>NFE</v>
      </c>
      <c r="M11" s="18">
        <v>2.5316455696202531E-2</v>
      </c>
      <c r="N11" s="18">
        <f>+SUM(E42:E43)/E46</f>
        <v>1.8381741841739782E-2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0.99672833833320196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1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1:14">
      <c r="A18" s="44"/>
      <c r="B18" s="5">
        <f>C3</f>
        <v>44896</v>
      </c>
      <c r="C18" s="1" t="s">
        <v>17</v>
      </c>
      <c r="D18" s="6" t="s">
        <v>305</v>
      </c>
      <c r="E18" s="1">
        <v>277882</v>
      </c>
      <c r="F18" s="2">
        <v>934172.06</v>
      </c>
      <c r="G18" s="3">
        <f>F18-SUM(L18:N18)</f>
        <v>746029.80711599998</v>
      </c>
      <c r="H18" s="4">
        <f>+IF(G18=0,0,G18/E18)</f>
        <v>2.6847000061752828</v>
      </c>
      <c r="I18" s="7">
        <v>0.12</v>
      </c>
      <c r="J18" s="7">
        <v>1.6500000000000001E-2</v>
      </c>
      <c r="K18" s="7">
        <v>7.5999999999999998E-2</v>
      </c>
      <c r="L18" s="11">
        <f t="shared" ref="L18" si="0">+I18*F18</f>
        <v>112100.64720000001</v>
      </c>
      <c r="M18" s="11">
        <f>J18*(F18-L18)</f>
        <v>13564.178311200001</v>
      </c>
      <c r="N18" s="11">
        <f>K18*(F18-L18)</f>
        <v>62477.427372800004</v>
      </c>
    </row>
    <row r="19" spans="1:14">
      <c r="A19" s="44"/>
      <c r="B19" s="5">
        <f>B18</f>
        <v>44896</v>
      </c>
      <c r="C19" s="1" t="s">
        <v>17</v>
      </c>
      <c r="D19" s="6" t="s">
        <v>306</v>
      </c>
      <c r="E19" s="1">
        <v>6886454</v>
      </c>
      <c r="F19" s="2">
        <v>21905936.850000001</v>
      </c>
      <c r="G19" s="3">
        <f t="shared" ref="G19:G43" si="1">F19-SUM(L19:N19)</f>
        <v>18488063.05297875</v>
      </c>
      <c r="H19" s="4">
        <f t="shared" ref="H19:H43" si="2">+IF(G19=0,0,G19/E19)</f>
        <v>2.6846999998807441</v>
      </c>
      <c r="I19" s="7">
        <v>7.0000000000000007E-2</v>
      </c>
      <c r="J19" s="7">
        <v>1.6500000000000001E-2</v>
      </c>
      <c r="K19" s="7">
        <v>7.5999999999999998E-2</v>
      </c>
      <c r="L19" s="11">
        <f t="shared" ref="L19:L43" si="3">+I19*F19</f>
        <v>1533415.5795000002</v>
      </c>
      <c r="M19" s="11">
        <f t="shared" ref="M19:M43" si="4">J19*(F19-L19)</f>
        <v>336146.60096325004</v>
      </c>
      <c r="N19" s="11">
        <f t="shared" ref="N19:N43" si="5">K19*(F19-L19)</f>
        <v>1548311.616558</v>
      </c>
    </row>
    <row r="20" spans="1:14">
      <c r="A20" s="44"/>
      <c r="B20" s="5">
        <f t="shared" ref="B20:B43" si="6">B19</f>
        <v>44896</v>
      </c>
      <c r="C20" s="1" t="s">
        <v>17</v>
      </c>
      <c r="D20" s="6" t="s">
        <v>307</v>
      </c>
      <c r="E20" s="1">
        <v>2232102</v>
      </c>
      <c r="F20" s="2">
        <v>7503786.9299999997</v>
      </c>
      <c r="G20" s="3">
        <f t="shared" si="1"/>
        <v>5992524.2422979996</v>
      </c>
      <c r="H20" s="4">
        <f t="shared" si="2"/>
        <v>2.6847000012983275</v>
      </c>
      <c r="I20" s="7">
        <v>0.12</v>
      </c>
      <c r="J20" s="7">
        <v>1.6500000000000001E-2</v>
      </c>
      <c r="K20" s="7">
        <v>7.5999999999999998E-2</v>
      </c>
      <c r="L20" s="11">
        <f t="shared" si="3"/>
        <v>900454.43159999989</v>
      </c>
      <c r="M20" s="11">
        <f t="shared" si="4"/>
        <v>108954.9862236</v>
      </c>
      <c r="N20" s="11">
        <f t="shared" si="5"/>
        <v>501853.26987839997</v>
      </c>
    </row>
    <row r="21" spans="1:14">
      <c r="A21" s="44"/>
      <c r="B21" s="5">
        <f t="shared" si="6"/>
        <v>44896</v>
      </c>
      <c r="C21" s="1" t="s">
        <v>17</v>
      </c>
      <c r="D21" s="6" t="s">
        <v>308</v>
      </c>
      <c r="E21" s="1">
        <v>161172</v>
      </c>
      <c r="F21" s="2">
        <v>541821.27</v>
      </c>
      <c r="G21" s="3">
        <f t="shared" si="1"/>
        <v>432698.46622200002</v>
      </c>
      <c r="H21" s="4">
        <f t="shared" si="2"/>
        <v>2.6846999864864864</v>
      </c>
      <c r="I21" s="7">
        <v>0.12</v>
      </c>
      <c r="J21" s="7">
        <v>1.6500000000000001E-2</v>
      </c>
      <c r="K21" s="7">
        <v>7.5999999999999998E-2</v>
      </c>
      <c r="L21" s="11">
        <f t="shared" si="3"/>
        <v>65018.5524</v>
      </c>
      <c r="M21" s="11">
        <f t="shared" si="4"/>
        <v>7867.2448404000006</v>
      </c>
      <c r="N21" s="11">
        <f t="shared" si="5"/>
        <v>36237.006537599998</v>
      </c>
    </row>
    <row r="22" spans="1:14">
      <c r="A22" s="44" t="s">
        <v>160</v>
      </c>
      <c r="B22" s="5">
        <f t="shared" si="6"/>
        <v>44896</v>
      </c>
      <c r="C22" s="1" t="s">
        <v>17</v>
      </c>
      <c r="D22" s="6" t="s">
        <v>309</v>
      </c>
      <c r="E22" s="1">
        <v>27075</v>
      </c>
      <c r="F22" s="2">
        <v>122842.02</v>
      </c>
      <c r="G22" s="3">
        <f t="shared" si="1"/>
        <v>103675.59382949999</v>
      </c>
      <c r="H22" s="4">
        <f t="shared" si="2"/>
        <v>3.8292001414404431</v>
      </c>
      <c r="I22" s="7">
        <v>7.0000000000000007E-2</v>
      </c>
      <c r="J22" s="7">
        <v>1.6500000000000001E-2</v>
      </c>
      <c r="K22" s="7">
        <v>7.5999999999999998E-2</v>
      </c>
      <c r="L22" s="11">
        <f t="shared" si="3"/>
        <v>8598.9414000000015</v>
      </c>
      <c r="M22" s="11">
        <f t="shared" si="4"/>
        <v>1885.0107969000003</v>
      </c>
      <c r="N22" s="11">
        <f t="shared" si="5"/>
        <v>8682.473973600001</v>
      </c>
    </row>
    <row r="23" spans="1:14">
      <c r="A23" s="44" t="s">
        <v>160</v>
      </c>
      <c r="B23" s="5">
        <f t="shared" si="6"/>
        <v>44896</v>
      </c>
      <c r="C23" s="1" t="s">
        <v>17</v>
      </c>
      <c r="D23" s="6" t="s">
        <v>310</v>
      </c>
      <c r="E23" s="1">
        <v>9324</v>
      </c>
      <c r="F23" s="2">
        <v>44707.56</v>
      </c>
      <c r="G23" s="3">
        <f t="shared" si="1"/>
        <v>35703.457415999997</v>
      </c>
      <c r="H23" s="4">
        <f t="shared" si="2"/>
        <v>3.8291996370656367</v>
      </c>
      <c r="I23" s="7">
        <v>0.12</v>
      </c>
      <c r="J23" s="7">
        <v>1.6500000000000001E-2</v>
      </c>
      <c r="K23" s="7">
        <v>7.5999999999999998E-2</v>
      </c>
      <c r="L23" s="11">
        <f t="shared" si="3"/>
        <v>5364.9071999999996</v>
      </c>
      <c r="M23" s="11">
        <f t="shared" si="4"/>
        <v>649.15377119999994</v>
      </c>
      <c r="N23" s="11">
        <f t="shared" si="5"/>
        <v>2990.0416127999997</v>
      </c>
    </row>
    <row r="24" spans="1:14">
      <c r="A24" s="44" t="s">
        <v>160</v>
      </c>
      <c r="B24" s="5">
        <f t="shared" si="6"/>
        <v>44896</v>
      </c>
      <c r="C24" s="1" t="s">
        <v>17</v>
      </c>
      <c r="D24" s="6" t="s">
        <v>311</v>
      </c>
      <c r="E24" s="1">
        <v>84725</v>
      </c>
      <c r="F24" s="2">
        <v>406247.15</v>
      </c>
      <c r="G24" s="3">
        <f>F24-SUM(L24:N24)</f>
        <v>324428.97399000003</v>
      </c>
      <c r="H24" s="4">
        <f>+IF(G24=0,0,G24/E24)</f>
        <v>3.8292000470935381</v>
      </c>
      <c r="I24" s="7">
        <v>0.12</v>
      </c>
      <c r="J24" s="7">
        <v>1.6500000000000001E-2</v>
      </c>
      <c r="K24" s="7">
        <v>7.5999999999999998E-2</v>
      </c>
      <c r="L24" s="11">
        <f t="shared" si="3"/>
        <v>48749.658000000003</v>
      </c>
      <c r="M24" s="11">
        <f t="shared" si="4"/>
        <v>5898.7086180000006</v>
      </c>
      <c r="N24" s="11">
        <f t="shared" si="5"/>
        <v>27169.809392000003</v>
      </c>
    </row>
    <row r="25" spans="1:14">
      <c r="A25" s="44" t="s">
        <v>160</v>
      </c>
      <c r="B25" s="5">
        <f t="shared" si="6"/>
        <v>44896</v>
      </c>
      <c r="C25" s="1" t="s">
        <v>17</v>
      </c>
      <c r="D25" s="6" t="s">
        <v>312</v>
      </c>
      <c r="E25" s="1">
        <v>5327</v>
      </c>
      <c r="F25" s="2">
        <v>25542.39</v>
      </c>
      <c r="G25" s="3">
        <f t="shared" si="1"/>
        <v>20398.152653999998</v>
      </c>
      <c r="H25" s="4">
        <f>+IF(G25=0,0,G25/E25)</f>
        <v>3.8292007985733054</v>
      </c>
      <c r="I25" s="7">
        <v>0.12</v>
      </c>
      <c r="J25" s="7">
        <v>1.6500000000000001E-2</v>
      </c>
      <c r="K25" s="7">
        <v>7.5999999999999998E-2</v>
      </c>
      <c r="L25" s="11">
        <f t="shared" si="3"/>
        <v>3065.0868</v>
      </c>
      <c r="M25" s="11">
        <f t="shared" si="4"/>
        <v>370.87550279999999</v>
      </c>
      <c r="N25" s="11">
        <f t="shared" si="5"/>
        <v>1708.2750431999998</v>
      </c>
    </row>
    <row r="26" spans="1:14">
      <c r="A26" s="44" t="s">
        <v>265</v>
      </c>
      <c r="B26" s="5">
        <f t="shared" si="6"/>
        <v>44896</v>
      </c>
      <c r="C26" s="1" t="s">
        <v>17</v>
      </c>
      <c r="D26" s="6" t="s">
        <v>313</v>
      </c>
      <c r="E26" s="1">
        <v>212362</v>
      </c>
      <c r="F26" s="2">
        <v>1322595.6399999999</v>
      </c>
      <c r="G26" s="3">
        <f t="shared" si="1"/>
        <v>1056224.8781039999</v>
      </c>
      <c r="H26" s="4">
        <f t="shared" si="2"/>
        <v>4.9736999938972124</v>
      </c>
      <c r="I26" s="7">
        <v>0.12</v>
      </c>
      <c r="J26" s="7">
        <v>1.6500000000000001E-2</v>
      </c>
      <c r="K26" s="7">
        <v>7.5999999999999998E-2</v>
      </c>
      <c r="L26" s="11">
        <f t="shared" si="3"/>
        <v>158711.47679999997</v>
      </c>
      <c r="M26" s="11">
        <f t="shared" si="4"/>
        <v>19204.0886928</v>
      </c>
      <c r="N26" s="11">
        <f t="shared" si="5"/>
        <v>88455.196403199981</v>
      </c>
    </row>
    <row r="27" spans="1:14">
      <c r="A27" s="44" t="s">
        <v>265</v>
      </c>
      <c r="B27" s="5">
        <f t="shared" si="6"/>
        <v>44896</v>
      </c>
      <c r="C27" s="1" t="s">
        <v>17</v>
      </c>
      <c r="D27" s="6" t="s">
        <v>314</v>
      </c>
      <c r="E27" s="1">
        <v>27316</v>
      </c>
      <c r="F27" s="2">
        <v>170124.71</v>
      </c>
      <c r="G27" s="3">
        <f t="shared" si="1"/>
        <v>135861.593406</v>
      </c>
      <c r="H27" s="4">
        <f t="shared" si="2"/>
        <v>4.9737001539756918</v>
      </c>
      <c r="I27" s="7">
        <v>0.12</v>
      </c>
      <c r="J27" s="7">
        <v>1.6500000000000001E-2</v>
      </c>
      <c r="K27" s="7">
        <v>7.5999999999999998E-2</v>
      </c>
      <c r="L27" s="11">
        <f t="shared" si="3"/>
        <v>20414.965199999999</v>
      </c>
      <c r="M27" s="11">
        <f t="shared" si="4"/>
        <v>2470.2107891999999</v>
      </c>
      <c r="N27" s="11">
        <f t="shared" si="5"/>
        <v>11377.940604799998</v>
      </c>
    </row>
    <row r="28" spans="1:14">
      <c r="A28" s="44" t="s">
        <v>265</v>
      </c>
      <c r="B28" s="5">
        <f t="shared" si="6"/>
        <v>44896</v>
      </c>
      <c r="C28" s="1" t="s">
        <v>17</v>
      </c>
      <c r="D28" s="6" t="s">
        <v>315</v>
      </c>
      <c r="E28" s="1">
        <v>12741</v>
      </c>
      <c r="F28" s="2">
        <v>79351.25</v>
      </c>
      <c r="G28" s="3">
        <f t="shared" si="1"/>
        <v>63369.90825</v>
      </c>
      <c r="H28" s="4">
        <f t="shared" si="2"/>
        <v>4.973699729220626</v>
      </c>
      <c r="I28" s="7">
        <v>0.12</v>
      </c>
      <c r="J28" s="7">
        <v>1.6500000000000001E-2</v>
      </c>
      <c r="K28" s="7">
        <v>7.5999999999999998E-2</v>
      </c>
      <c r="L28" s="11">
        <f t="shared" si="3"/>
        <v>9522.15</v>
      </c>
      <c r="M28" s="11">
        <f t="shared" si="4"/>
        <v>1152.1801500000001</v>
      </c>
      <c r="N28" s="11">
        <f t="shared" si="5"/>
        <v>5307.0116000000007</v>
      </c>
    </row>
    <row r="29" spans="1:14">
      <c r="A29" s="44" t="s">
        <v>159</v>
      </c>
      <c r="B29" s="5">
        <f t="shared" si="6"/>
        <v>44896</v>
      </c>
      <c r="C29" s="1" t="s">
        <v>17</v>
      </c>
      <c r="D29" s="6" t="s">
        <v>294</v>
      </c>
      <c r="E29" s="1">
        <v>388384</v>
      </c>
      <c r="F29" s="2">
        <v>1184880.1399999999</v>
      </c>
      <c r="G29" s="3">
        <f t="shared" si="1"/>
        <v>1042694.5231999999</v>
      </c>
      <c r="H29" s="4">
        <f t="shared" si="2"/>
        <v>2.6846999958803655</v>
      </c>
      <c r="I29" s="7">
        <v>0.12</v>
      </c>
      <c r="J29" s="9">
        <v>0</v>
      </c>
      <c r="K29" s="9">
        <v>0</v>
      </c>
      <c r="L29" s="11">
        <f t="shared" si="3"/>
        <v>142185.61679999999</v>
      </c>
      <c r="M29" s="11">
        <f t="shared" si="4"/>
        <v>0</v>
      </c>
      <c r="N29" s="11">
        <f t="shared" si="5"/>
        <v>0</v>
      </c>
    </row>
    <row r="30" spans="1:14">
      <c r="A30" s="44" t="s">
        <v>159</v>
      </c>
      <c r="B30" s="5">
        <f t="shared" si="6"/>
        <v>44896</v>
      </c>
      <c r="C30" s="1" t="s">
        <v>17</v>
      </c>
      <c r="D30" s="6" t="s">
        <v>295</v>
      </c>
      <c r="E30" s="1">
        <v>11082911</v>
      </c>
      <c r="F30" s="2">
        <v>31993861.460000001</v>
      </c>
      <c r="G30" s="3">
        <f t="shared" si="1"/>
        <v>29754291.1578</v>
      </c>
      <c r="H30" s="4">
        <f>+IF(G30=0,0,G30/E30)</f>
        <v>2.6846999996481071</v>
      </c>
      <c r="I30" s="7">
        <v>7.0000000000000007E-2</v>
      </c>
      <c r="J30" s="9">
        <v>0</v>
      </c>
      <c r="K30" s="9">
        <v>0</v>
      </c>
      <c r="L30" s="11">
        <f t="shared" si="3"/>
        <v>2239570.3022000003</v>
      </c>
      <c r="M30" s="11">
        <f t="shared" si="4"/>
        <v>0</v>
      </c>
      <c r="N30" s="11">
        <f t="shared" si="5"/>
        <v>0</v>
      </c>
    </row>
    <row r="31" spans="1:14">
      <c r="A31" s="44" t="s">
        <v>159</v>
      </c>
      <c r="B31" s="5">
        <f t="shared" si="6"/>
        <v>44896</v>
      </c>
      <c r="C31" s="1" t="s">
        <v>17</v>
      </c>
      <c r="D31" s="6" t="s">
        <v>296</v>
      </c>
      <c r="E31" s="1">
        <v>336309</v>
      </c>
      <c r="F31" s="2">
        <v>1026009.97</v>
      </c>
      <c r="G31" s="3">
        <f t="shared" si="1"/>
        <v>902888.77359999996</v>
      </c>
      <c r="H31" s="4">
        <f t="shared" si="2"/>
        <v>2.6847000038654927</v>
      </c>
      <c r="I31" s="7">
        <v>0.12</v>
      </c>
      <c r="J31" s="9">
        <v>0</v>
      </c>
      <c r="K31" s="9">
        <v>0</v>
      </c>
      <c r="L31" s="11">
        <f t="shared" si="3"/>
        <v>123121.19639999999</v>
      </c>
      <c r="M31" s="11">
        <f t="shared" si="4"/>
        <v>0</v>
      </c>
      <c r="N31" s="11">
        <f t="shared" si="5"/>
        <v>0</v>
      </c>
    </row>
    <row r="32" spans="1:14">
      <c r="A32" s="44" t="s">
        <v>159</v>
      </c>
      <c r="B32" s="5">
        <f t="shared" si="6"/>
        <v>44896</v>
      </c>
      <c r="C32" s="1" t="s">
        <v>17</v>
      </c>
      <c r="D32" s="6" t="s">
        <v>297</v>
      </c>
      <c r="E32" s="1">
        <v>2151902</v>
      </c>
      <c r="F32" s="2">
        <v>6565012.8399999999</v>
      </c>
      <c r="G32" s="3">
        <f t="shared" si="1"/>
        <v>5777211.2992000002</v>
      </c>
      <c r="H32" s="4">
        <f t="shared" si="2"/>
        <v>2.6846999999070591</v>
      </c>
      <c r="I32" s="7">
        <v>0.12</v>
      </c>
      <c r="J32" s="9">
        <v>0</v>
      </c>
      <c r="K32" s="9">
        <v>0</v>
      </c>
      <c r="L32" s="11">
        <f t="shared" si="3"/>
        <v>787801.54079999996</v>
      </c>
      <c r="M32" s="11">
        <f t="shared" si="4"/>
        <v>0</v>
      </c>
      <c r="N32" s="11">
        <f t="shared" si="5"/>
        <v>0</v>
      </c>
    </row>
    <row r="33" spans="1:16">
      <c r="A33" s="44" t="s">
        <v>292</v>
      </c>
      <c r="B33" s="5">
        <f t="shared" si="6"/>
        <v>44896</v>
      </c>
      <c r="C33" s="1" t="s">
        <v>17</v>
      </c>
      <c r="D33" s="6" t="s">
        <v>298</v>
      </c>
      <c r="E33" s="1">
        <v>59399</v>
      </c>
      <c r="F33" s="2">
        <v>258466.65</v>
      </c>
      <c r="G33" s="3">
        <f t="shared" si="1"/>
        <v>227450.652</v>
      </c>
      <c r="H33" s="4">
        <f t="shared" si="2"/>
        <v>3.8292000202023604</v>
      </c>
      <c r="I33" s="7">
        <v>0.12</v>
      </c>
      <c r="J33" s="9">
        <v>0</v>
      </c>
      <c r="K33" s="9">
        <v>0</v>
      </c>
      <c r="L33" s="11">
        <f t="shared" si="3"/>
        <v>31015.998</v>
      </c>
      <c r="M33" s="11">
        <f t="shared" si="4"/>
        <v>0</v>
      </c>
      <c r="N33" s="11">
        <f t="shared" si="5"/>
        <v>0</v>
      </c>
    </row>
    <row r="34" spans="1:16">
      <c r="A34" s="44" t="s">
        <v>292</v>
      </c>
      <c r="B34" s="5">
        <f t="shared" si="6"/>
        <v>44896</v>
      </c>
      <c r="C34" s="1" t="s">
        <v>17</v>
      </c>
      <c r="D34" s="6" t="s">
        <v>299</v>
      </c>
      <c r="E34" s="1">
        <v>33593</v>
      </c>
      <c r="F34" s="2">
        <v>138316.47</v>
      </c>
      <c r="G34" s="3">
        <f t="shared" si="1"/>
        <v>128634.3171</v>
      </c>
      <c r="H34" s="4">
        <f t="shared" si="2"/>
        <v>3.8292000446521595</v>
      </c>
      <c r="I34" s="7">
        <v>7.0000000000000007E-2</v>
      </c>
      <c r="J34" s="9">
        <v>0</v>
      </c>
      <c r="K34" s="9">
        <v>0</v>
      </c>
      <c r="L34" s="11">
        <f t="shared" si="3"/>
        <v>9682.152900000001</v>
      </c>
      <c r="M34" s="11">
        <f t="shared" si="4"/>
        <v>0</v>
      </c>
      <c r="N34" s="11">
        <f t="shared" si="5"/>
        <v>0</v>
      </c>
    </row>
    <row r="35" spans="1:16">
      <c r="A35" s="44" t="s">
        <v>292</v>
      </c>
      <c r="B35" s="5">
        <f t="shared" si="6"/>
        <v>44896</v>
      </c>
      <c r="C35" s="1" t="s">
        <v>17</v>
      </c>
      <c r="D35" s="6" t="s">
        <v>300</v>
      </c>
      <c r="E35" s="1">
        <v>7813</v>
      </c>
      <c r="F35" s="2">
        <v>33997.199999999997</v>
      </c>
      <c r="G35" s="3">
        <f t="shared" si="1"/>
        <v>29917.535999999996</v>
      </c>
      <c r="H35" s="4">
        <f t="shared" si="2"/>
        <v>3.8291995392294886</v>
      </c>
      <c r="I35" s="7">
        <v>0.12</v>
      </c>
      <c r="J35" s="9">
        <v>0</v>
      </c>
      <c r="K35" s="9">
        <v>0</v>
      </c>
      <c r="L35" s="11">
        <f t="shared" si="3"/>
        <v>4079.6639999999993</v>
      </c>
      <c r="M35" s="11">
        <f t="shared" si="4"/>
        <v>0</v>
      </c>
      <c r="N35" s="11">
        <f t="shared" si="5"/>
        <v>0</v>
      </c>
    </row>
    <row r="36" spans="1:16">
      <c r="A36" s="44" t="s">
        <v>292</v>
      </c>
      <c r="B36" s="5">
        <f t="shared" si="6"/>
        <v>44896</v>
      </c>
      <c r="C36" s="1" t="s">
        <v>17</v>
      </c>
      <c r="D36" s="6" t="s">
        <v>301</v>
      </c>
      <c r="E36" s="1">
        <v>6528</v>
      </c>
      <c r="F36" s="2">
        <v>28405.7</v>
      </c>
      <c r="G36" s="3">
        <f t="shared" si="1"/>
        <v>24997.016</v>
      </c>
      <c r="H36" s="4">
        <f t="shared" si="2"/>
        <v>3.8291997549019605</v>
      </c>
      <c r="I36" s="7">
        <v>0.12</v>
      </c>
      <c r="J36" s="9">
        <v>0</v>
      </c>
      <c r="K36" s="9">
        <v>0</v>
      </c>
      <c r="L36" s="11">
        <f t="shared" si="3"/>
        <v>3408.6839999999997</v>
      </c>
      <c r="M36" s="11">
        <f t="shared" si="4"/>
        <v>0</v>
      </c>
      <c r="N36" s="11">
        <f t="shared" si="5"/>
        <v>0</v>
      </c>
    </row>
    <row r="37" spans="1:16">
      <c r="A37" s="44" t="s">
        <v>293</v>
      </c>
      <c r="B37" s="5">
        <f t="shared" si="6"/>
        <v>44896</v>
      </c>
      <c r="C37" s="1" t="s">
        <v>17</v>
      </c>
      <c r="D37" s="6" t="s">
        <v>302</v>
      </c>
      <c r="E37" s="1">
        <v>142263</v>
      </c>
      <c r="F37" s="2">
        <v>804060.77</v>
      </c>
      <c r="G37" s="3">
        <f t="shared" si="1"/>
        <v>707573.47759999998</v>
      </c>
      <c r="H37" s="4">
        <f t="shared" si="2"/>
        <v>4.9736999613392099</v>
      </c>
      <c r="I37" s="7">
        <v>0.12</v>
      </c>
      <c r="J37" s="9">
        <v>0</v>
      </c>
      <c r="K37" s="9">
        <v>0</v>
      </c>
      <c r="L37" s="11">
        <f t="shared" si="3"/>
        <v>96487.292400000006</v>
      </c>
      <c r="M37" s="11">
        <f t="shared" si="4"/>
        <v>0</v>
      </c>
      <c r="N37" s="11">
        <f t="shared" si="5"/>
        <v>0</v>
      </c>
    </row>
    <row r="38" spans="1:16">
      <c r="A38" s="44" t="s">
        <v>293</v>
      </c>
      <c r="B38" s="5">
        <f t="shared" si="6"/>
        <v>44896</v>
      </c>
      <c r="C38" s="1" t="s">
        <v>17</v>
      </c>
      <c r="D38" s="6" t="s">
        <v>303</v>
      </c>
      <c r="E38" s="1">
        <v>15613</v>
      </c>
      <c r="F38" s="2">
        <v>88243.61</v>
      </c>
      <c r="G38" s="3">
        <f t="shared" si="1"/>
        <v>77654.376799999998</v>
      </c>
      <c r="H38" s="4">
        <f t="shared" si="2"/>
        <v>4.9736999167360532</v>
      </c>
      <c r="I38" s="7">
        <v>0.12</v>
      </c>
      <c r="J38" s="9">
        <v>0</v>
      </c>
      <c r="K38" s="9">
        <v>0</v>
      </c>
      <c r="L38" s="11">
        <f t="shared" si="3"/>
        <v>10589.233200000001</v>
      </c>
      <c r="M38" s="11">
        <f t="shared" si="4"/>
        <v>0</v>
      </c>
      <c r="N38" s="11">
        <f t="shared" si="5"/>
        <v>0</v>
      </c>
    </row>
    <row r="39" spans="1:16">
      <c r="A39" s="44" t="s">
        <v>293</v>
      </c>
      <c r="B39" s="5">
        <f>B38</f>
        <v>44896</v>
      </c>
      <c r="C39" s="1" t="s">
        <v>17</v>
      </c>
      <c r="D39" s="10" t="s">
        <v>304</v>
      </c>
      <c r="E39" s="118">
        <v>19091</v>
      </c>
      <c r="F39" s="2">
        <v>107901.03</v>
      </c>
      <c r="G39" s="3">
        <f>F39-SUM(L39:N39)</f>
        <v>94952.906400000007</v>
      </c>
      <c r="H39" s="4">
        <f t="shared" si="2"/>
        <v>4.9736999842857896</v>
      </c>
      <c r="I39" s="7">
        <v>0.12</v>
      </c>
      <c r="J39" s="9">
        <v>0</v>
      </c>
      <c r="K39" s="9">
        <v>0</v>
      </c>
      <c r="L39" s="11">
        <f t="shared" si="3"/>
        <v>12948.123599999999</v>
      </c>
      <c r="M39" s="11">
        <f t="shared" si="4"/>
        <v>0</v>
      </c>
      <c r="N39" s="11">
        <f t="shared" si="5"/>
        <v>0</v>
      </c>
      <c r="P39" s="45"/>
    </row>
    <row r="40" spans="1:16">
      <c r="A40" s="44"/>
      <c r="B40" s="5">
        <f t="shared" si="6"/>
        <v>44896</v>
      </c>
      <c r="C40" s="1" t="s">
        <v>33</v>
      </c>
      <c r="D40" s="10" t="s">
        <v>291</v>
      </c>
      <c r="E40" s="118">
        <v>23188293</v>
      </c>
      <c r="F40" s="2">
        <v>61467527.079999998</v>
      </c>
      <c r="G40" s="3">
        <f t="shared" ref="G40" si="7">F40-SUM(L40:N40)</f>
        <v>51877056.167342998</v>
      </c>
      <c r="H40" s="4">
        <f t="shared" si="2"/>
        <v>2.2372089298398548</v>
      </c>
      <c r="I40" s="7">
        <v>7.0000000000000007E-2</v>
      </c>
      <c r="J40" s="7">
        <v>1.6500000000000001E-2</v>
      </c>
      <c r="K40" s="7">
        <v>7.5999999999999998E-2</v>
      </c>
      <c r="L40" s="11">
        <f t="shared" si="3"/>
        <v>4302726.8956000004</v>
      </c>
      <c r="M40" s="11">
        <f t="shared" si="4"/>
        <v>943219.20304260007</v>
      </c>
      <c r="N40" s="11">
        <f t="shared" si="5"/>
        <v>4344524.8140143994</v>
      </c>
      <c r="P40" s="45"/>
    </row>
    <row r="41" spans="1:16" hidden="1">
      <c r="A41" s="44"/>
      <c r="B41" s="5">
        <f t="shared" si="6"/>
        <v>44896</v>
      </c>
      <c r="C41" s="1" t="s">
        <v>33</v>
      </c>
      <c r="D41" s="6"/>
      <c r="E41" s="1"/>
      <c r="F41" s="2"/>
      <c r="G41" s="3">
        <f>F41-SUM(L41:N41)</f>
        <v>0</v>
      </c>
      <c r="H41" s="4">
        <f t="shared" si="2"/>
        <v>0</v>
      </c>
      <c r="I41" s="7"/>
      <c r="J41" s="7">
        <v>1.6500000000000001E-2</v>
      </c>
      <c r="K41" s="7">
        <v>7.5999999999999998E-2</v>
      </c>
      <c r="L41" s="11">
        <f t="shared" si="3"/>
        <v>0</v>
      </c>
      <c r="M41" s="11">
        <f t="shared" si="4"/>
        <v>0</v>
      </c>
      <c r="N41" s="11">
        <f t="shared" si="5"/>
        <v>0</v>
      </c>
      <c r="P41" s="45"/>
    </row>
    <row r="42" spans="1:16">
      <c r="A42" s="44"/>
      <c r="B42" s="5">
        <f t="shared" si="6"/>
        <v>44896</v>
      </c>
      <c r="C42" s="1" t="s">
        <v>37</v>
      </c>
      <c r="D42" s="10" t="s">
        <v>246</v>
      </c>
      <c r="E42" s="1">
        <v>819589</v>
      </c>
      <c r="F42" s="2">
        <v>4356853.17</v>
      </c>
      <c r="G42" s="3">
        <f>F42-SUM(L42:N42)</f>
        <v>3242152.2864554999</v>
      </c>
      <c r="H42" s="4">
        <f t="shared" si="2"/>
        <v>3.9558269894489797</v>
      </c>
      <c r="I42" s="7">
        <v>0.18</v>
      </c>
      <c r="J42" s="7">
        <v>1.6500000000000001E-2</v>
      </c>
      <c r="K42" s="7">
        <v>7.5999999999999998E-2</v>
      </c>
      <c r="L42" s="11">
        <f>+I42*F42</f>
        <v>784233.57059999998</v>
      </c>
      <c r="M42" s="11">
        <f t="shared" si="4"/>
        <v>58948.2233901</v>
      </c>
      <c r="N42" s="11">
        <f t="shared" si="5"/>
        <v>271519.08955439995</v>
      </c>
      <c r="O42" s="41"/>
    </row>
    <row r="43" spans="1:16">
      <c r="A43" s="44"/>
      <c r="B43" s="5">
        <f t="shared" si="6"/>
        <v>44896</v>
      </c>
      <c r="C43" s="1" t="s">
        <v>36</v>
      </c>
      <c r="D43" s="10" t="s">
        <v>290</v>
      </c>
      <c r="E43" s="1">
        <v>67433</v>
      </c>
      <c r="F43" s="43">
        <v>349161.33</v>
      </c>
      <c r="G43" s="3">
        <f t="shared" si="1"/>
        <v>259828.40371950003</v>
      </c>
      <c r="H43" s="4">
        <f t="shared" si="2"/>
        <v>3.8531342772752217</v>
      </c>
      <c r="I43" s="7">
        <v>0.18</v>
      </c>
      <c r="J43" s="7">
        <v>1.6500000000000001E-2</v>
      </c>
      <c r="K43" s="7">
        <v>7.5999999999999998E-2</v>
      </c>
      <c r="L43" s="11">
        <f t="shared" si="3"/>
        <v>62849.039400000001</v>
      </c>
      <c r="M43" s="11">
        <f t="shared" si="4"/>
        <v>4724.1527949000001</v>
      </c>
      <c r="N43" s="11">
        <f t="shared" si="5"/>
        <v>21759.734085600001</v>
      </c>
      <c r="P43" s="42"/>
    </row>
    <row r="44" spans="1:16" hidden="1">
      <c r="B44" s="5"/>
      <c r="C44" s="1"/>
      <c r="D44" s="6"/>
      <c r="E44" s="1"/>
      <c r="F44" s="2"/>
      <c r="G44" s="3"/>
      <c r="H44" s="4"/>
      <c r="I44" s="7"/>
      <c r="J44" s="7"/>
      <c r="K44" s="7"/>
      <c r="L44" s="8"/>
      <c r="M44" s="8"/>
      <c r="N44" s="8"/>
    </row>
    <row r="45" spans="1:16" hidden="1">
      <c r="B45" s="5"/>
      <c r="C45" s="1"/>
      <c r="D45" s="6"/>
      <c r="E45" s="1"/>
      <c r="F45" s="2"/>
      <c r="G45" s="3"/>
      <c r="H45" s="4"/>
      <c r="I45" s="7"/>
      <c r="J45" s="7"/>
      <c r="K45" s="7"/>
      <c r="L45" s="8"/>
      <c r="M45" s="8"/>
      <c r="N45" s="8"/>
    </row>
    <row r="46" spans="1:16">
      <c r="E46" s="28">
        <f>SUM(E18:E45)</f>
        <v>48255601</v>
      </c>
      <c r="G46" s="29">
        <f>SUM(G18:G45)</f>
        <v>121546281.01948225</v>
      </c>
    </row>
    <row r="48" spans="1:16" ht="15.75" thickBot="1"/>
    <row r="49" spans="2:14">
      <c r="B49" s="391" t="s">
        <v>155</v>
      </c>
      <c r="C49" s="383"/>
      <c r="D49" s="383"/>
      <c r="E49" s="383"/>
      <c r="F49" s="383"/>
      <c r="G49" s="383"/>
      <c r="H49" s="383"/>
      <c r="I49" s="383"/>
      <c r="J49" s="383"/>
      <c r="K49" s="383"/>
      <c r="L49" s="383"/>
      <c r="M49" s="383"/>
      <c r="N49" s="384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>
      <c r="B52" s="385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</row>
    <row r="53" spans="2:14">
      <c r="B53" s="385"/>
      <c r="C53" s="386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7"/>
    </row>
    <row r="54" spans="2:14" ht="142.5" customHeight="1" thickBot="1">
      <c r="B54" s="388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90"/>
    </row>
  </sheetData>
  <mergeCells count="3">
    <mergeCell ref="C2:L2"/>
    <mergeCell ref="L16:N16"/>
    <mergeCell ref="B49:N54"/>
  </mergeCells>
  <conditionalFormatting sqref="D1:D1048576">
    <cfRule type="duplicateValues" dxfId="161" priority="1"/>
  </conditionalFormatting>
  <pageMargins left="0.511811024" right="0.511811024" top="0.78740157499999996" bottom="0.78740157499999996" header="0.31496062000000002" footer="0.31496062000000002"/>
  <pageSetup paperSize="9" scale="5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AB44-FA47-4DB4-84ED-BA71030E42B4}">
  <sheetPr>
    <pageSetUpPr fitToPage="1"/>
  </sheetPr>
  <dimension ref="A2:P54"/>
  <sheetViews>
    <sheetView showGridLines="0" topLeftCell="A13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26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3.5703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44927</v>
      </c>
    </row>
    <row r="5" spans="2:14">
      <c r="C5" t="s">
        <v>17</v>
      </c>
      <c r="D5" s="14">
        <f ca="1">SUMIF($C$18:$G$41,$C$5:$C$7,$G$18:$G$41)/SUMIF($C$18:$G$41,$C$5:$C$7,$E$18:$E$41)</f>
        <v>2.6851869799225567</v>
      </c>
    </row>
    <row r="6" spans="2:14">
      <c r="C6" t="s">
        <v>33</v>
      </c>
      <c r="D6" s="14">
        <f ca="1">SUMIF($C$18:$G$41,$C$5:$C$7,$G$18:$G$41)/SUMIF($C$18:$G$41,$C$5:$C$7,$E$18:$E$41)</f>
        <v>2.2613466148828434</v>
      </c>
    </row>
    <row r="7" spans="2:14">
      <c r="C7" t="s">
        <v>126</v>
      </c>
      <c r="D7" s="14">
        <f>SUM(G42:G43)/SUM(E42:E43)</f>
        <v>3.9480780083574007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+G46/E46</f>
        <v>2.4187731729002544</v>
      </c>
      <c r="E9" s="14"/>
      <c r="F9" s="32"/>
      <c r="L9" s="16" t="str">
        <f>+C5</f>
        <v>Petrobras</v>
      </c>
      <c r="M9" s="17">
        <f>790000/1580000</f>
        <v>0.5</v>
      </c>
      <c r="N9" s="17">
        <f>+SUM(E18:E36)/E46</f>
        <v>0.29274688465861259</v>
      </c>
    </row>
    <row r="10" spans="2:14">
      <c r="L10" s="16" t="str">
        <f>+C6</f>
        <v>Shell</v>
      </c>
      <c r="M10" s="17">
        <v>0.47468354430379744</v>
      </c>
      <c r="N10" s="17">
        <f>+SUM(E39:E41)/E46</f>
        <v>0.68748196998387456</v>
      </c>
    </row>
    <row r="11" spans="2:14">
      <c r="C11" t="s">
        <v>132</v>
      </c>
      <c r="D11" s="14">
        <v>2.4672999999999998</v>
      </c>
      <c r="L11" s="16" t="str">
        <f>+C7</f>
        <v>NFE</v>
      </c>
      <c r="M11" s="18">
        <v>2.5316455696202531E-2</v>
      </c>
      <c r="N11" s="18">
        <f>+SUM(E42:E43)/E46</f>
        <v>1.9771145357512839E-2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0.99999999999999989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1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1:14">
      <c r="A18" s="44"/>
      <c r="B18" s="5">
        <f>C3</f>
        <v>44927</v>
      </c>
      <c r="C18" s="1" t="s">
        <v>17</v>
      </c>
      <c r="D18" s="6" t="s">
        <v>322</v>
      </c>
      <c r="E18" s="1">
        <v>1214</v>
      </c>
      <c r="F18" s="2">
        <v>4081.18</v>
      </c>
      <c r="G18" s="3">
        <f>F18-SUM(L18:N18)</f>
        <v>3259.230348</v>
      </c>
      <c r="H18" s="4">
        <f>+IF(G18=0,0,G18/E18)</f>
        <v>2.6847037462932457</v>
      </c>
      <c r="I18" s="7">
        <v>0.12</v>
      </c>
      <c r="J18" s="7">
        <v>1.6500000000000001E-2</v>
      </c>
      <c r="K18" s="7">
        <v>7.5999999999999998E-2</v>
      </c>
      <c r="L18" s="11">
        <f t="shared" ref="L18:L43" si="0">+I18*F18</f>
        <v>489.74159999999995</v>
      </c>
      <c r="M18" s="11">
        <f>J18*(F18-L18)</f>
        <v>59.258733599999999</v>
      </c>
      <c r="N18" s="11">
        <f>K18*(F18-L18)</f>
        <v>272.94931839999998</v>
      </c>
    </row>
    <row r="19" spans="1:14">
      <c r="A19" s="44"/>
      <c r="B19" s="5">
        <f>B18</f>
        <v>44927</v>
      </c>
      <c r="C19" s="1" t="s">
        <v>17</v>
      </c>
      <c r="D19" s="6" t="s">
        <v>324</v>
      </c>
      <c r="E19" s="1">
        <v>29449</v>
      </c>
      <c r="F19" s="2">
        <v>93677.81</v>
      </c>
      <c r="G19" s="3">
        <f t="shared" ref="G19:G43" si="1">F19-SUM(L19:N19)</f>
        <v>79061.72969475</v>
      </c>
      <c r="H19" s="4">
        <f t="shared" ref="H19:H43" si="2">+IF(G19=0,0,G19/E19)</f>
        <v>2.6846999794475193</v>
      </c>
      <c r="I19" s="7">
        <v>7.0000000000000007E-2</v>
      </c>
      <c r="J19" s="7">
        <v>1.6500000000000001E-2</v>
      </c>
      <c r="K19" s="7">
        <v>7.5999999999999998E-2</v>
      </c>
      <c r="L19" s="11">
        <f t="shared" si="0"/>
        <v>6557.4467000000004</v>
      </c>
      <c r="M19" s="11">
        <f t="shared" ref="M19:M43" si="3">J19*(F19-L19)</f>
        <v>1437.4859944500001</v>
      </c>
      <c r="N19" s="11">
        <f t="shared" ref="N19:N43" si="4">K19*(F19-L19)</f>
        <v>6621.1476107999997</v>
      </c>
    </row>
    <row r="20" spans="1:14">
      <c r="A20" s="44"/>
      <c r="B20" s="5">
        <f t="shared" ref="B20:B43" si="5">B19</f>
        <v>44927</v>
      </c>
      <c r="C20" s="1" t="s">
        <v>17</v>
      </c>
      <c r="D20" s="6" t="s">
        <v>325</v>
      </c>
      <c r="E20" s="1">
        <v>90</v>
      </c>
      <c r="F20" s="2">
        <v>302.55</v>
      </c>
      <c r="G20" s="3">
        <f t="shared" si="1"/>
        <v>241.61643000000001</v>
      </c>
      <c r="H20" s="4">
        <f t="shared" si="2"/>
        <v>2.6846269999999999</v>
      </c>
      <c r="I20" s="7">
        <v>0.12</v>
      </c>
      <c r="J20" s="7">
        <v>1.6500000000000001E-2</v>
      </c>
      <c r="K20" s="7">
        <v>7.5999999999999998E-2</v>
      </c>
      <c r="L20" s="11">
        <f t="shared" si="0"/>
        <v>36.305999999999997</v>
      </c>
      <c r="M20" s="11">
        <f t="shared" si="3"/>
        <v>4.3930260000000008</v>
      </c>
      <c r="N20" s="11">
        <f t="shared" si="4"/>
        <v>20.234544000000003</v>
      </c>
    </row>
    <row r="21" spans="1:14" hidden="1">
      <c r="A21" s="44"/>
      <c r="B21" s="5">
        <f t="shared" si="5"/>
        <v>44927</v>
      </c>
      <c r="C21" s="1" t="s">
        <v>17</v>
      </c>
      <c r="D21" s="6"/>
      <c r="E21" s="1"/>
      <c r="F21" s="2"/>
      <c r="G21" s="3">
        <f t="shared" si="1"/>
        <v>0</v>
      </c>
      <c r="H21" s="4">
        <f t="shared" si="2"/>
        <v>0</v>
      </c>
      <c r="I21" s="7"/>
      <c r="J21" s="7">
        <v>1.6500000000000001E-2</v>
      </c>
      <c r="K21" s="7">
        <v>7.5999999999999998E-2</v>
      </c>
      <c r="L21" s="11">
        <f t="shared" si="0"/>
        <v>0</v>
      </c>
      <c r="M21" s="11">
        <f t="shared" si="3"/>
        <v>0</v>
      </c>
      <c r="N21" s="11">
        <f t="shared" si="4"/>
        <v>0</v>
      </c>
    </row>
    <row r="22" spans="1:14">
      <c r="A22" s="44" t="s">
        <v>160</v>
      </c>
      <c r="B22" s="5">
        <f t="shared" si="5"/>
        <v>44927</v>
      </c>
      <c r="C22" s="1" t="s">
        <v>17</v>
      </c>
      <c r="D22" s="6" t="s">
        <v>328</v>
      </c>
      <c r="E22" s="1">
        <v>14</v>
      </c>
      <c r="F22" s="2">
        <v>63.52</v>
      </c>
      <c r="G22" s="3">
        <f t="shared" si="1"/>
        <v>53.609292000000003</v>
      </c>
      <c r="H22" s="4">
        <f t="shared" si="2"/>
        <v>3.8292351428571432</v>
      </c>
      <c r="I22" s="7">
        <v>7.0000000000000007E-2</v>
      </c>
      <c r="J22" s="7">
        <v>1.6500000000000001E-2</v>
      </c>
      <c r="K22" s="7">
        <v>7.5999999999999998E-2</v>
      </c>
      <c r="L22" s="11">
        <f t="shared" si="0"/>
        <v>4.4464000000000006</v>
      </c>
      <c r="M22" s="11">
        <f t="shared" si="3"/>
        <v>0.97471439999999998</v>
      </c>
      <c r="N22" s="11">
        <f t="shared" si="4"/>
        <v>4.4895936000000001</v>
      </c>
    </row>
    <row r="23" spans="1:14" hidden="1">
      <c r="A23" s="44" t="s">
        <v>160</v>
      </c>
      <c r="B23" s="5">
        <f t="shared" si="5"/>
        <v>44927</v>
      </c>
      <c r="C23" s="1" t="s">
        <v>17</v>
      </c>
      <c r="D23" s="6"/>
      <c r="E23" s="1"/>
      <c r="F23" s="2"/>
      <c r="G23" s="3">
        <f t="shared" si="1"/>
        <v>0</v>
      </c>
      <c r="H23" s="4">
        <f t="shared" si="2"/>
        <v>0</v>
      </c>
      <c r="I23" s="7"/>
      <c r="J23" s="7">
        <v>1.6500000000000001E-2</v>
      </c>
      <c r="K23" s="7">
        <v>7.5999999999999998E-2</v>
      </c>
      <c r="L23" s="11">
        <f t="shared" si="0"/>
        <v>0</v>
      </c>
      <c r="M23" s="11">
        <f t="shared" si="3"/>
        <v>0</v>
      </c>
      <c r="N23" s="11">
        <f t="shared" si="4"/>
        <v>0</v>
      </c>
    </row>
    <row r="24" spans="1:14" hidden="1">
      <c r="A24" s="44" t="s">
        <v>160</v>
      </c>
      <c r="B24" s="5">
        <f t="shared" si="5"/>
        <v>44927</v>
      </c>
      <c r="C24" s="1" t="s">
        <v>17</v>
      </c>
      <c r="D24" s="6"/>
      <c r="E24" s="1"/>
      <c r="F24" s="2"/>
      <c r="G24" s="3">
        <f>F24-SUM(L24:N24)</f>
        <v>0</v>
      </c>
      <c r="H24" s="4">
        <f>+IF(G24=0,0,G24/E24)</f>
        <v>0</v>
      </c>
      <c r="I24" s="7"/>
      <c r="J24" s="7">
        <v>1.6500000000000001E-2</v>
      </c>
      <c r="K24" s="7">
        <v>7.5999999999999998E-2</v>
      </c>
      <c r="L24" s="11">
        <f t="shared" si="0"/>
        <v>0</v>
      </c>
      <c r="M24" s="11">
        <f t="shared" si="3"/>
        <v>0</v>
      </c>
      <c r="N24" s="11">
        <f t="shared" si="4"/>
        <v>0</v>
      </c>
    </row>
    <row r="25" spans="1:14" hidden="1">
      <c r="A25" s="44" t="s">
        <v>160</v>
      </c>
      <c r="B25" s="5">
        <f t="shared" si="5"/>
        <v>44927</v>
      </c>
      <c r="C25" s="1" t="s">
        <v>17</v>
      </c>
      <c r="D25" s="6"/>
      <c r="E25" s="1"/>
      <c r="F25" s="2"/>
      <c r="G25" s="3">
        <f t="shared" si="1"/>
        <v>0</v>
      </c>
      <c r="H25" s="4">
        <f>+IF(G25=0,0,G25/E25)</f>
        <v>0</v>
      </c>
      <c r="I25" s="7"/>
      <c r="J25" s="7">
        <v>1.6500000000000001E-2</v>
      </c>
      <c r="K25" s="7">
        <v>7.5999999999999998E-2</v>
      </c>
      <c r="L25" s="11">
        <f t="shared" si="0"/>
        <v>0</v>
      </c>
      <c r="M25" s="11">
        <f t="shared" si="3"/>
        <v>0</v>
      </c>
      <c r="N25" s="11">
        <f t="shared" si="4"/>
        <v>0</v>
      </c>
    </row>
    <row r="26" spans="1:14" hidden="1">
      <c r="A26" s="44" t="s">
        <v>265</v>
      </c>
      <c r="B26" s="5">
        <f t="shared" si="5"/>
        <v>44927</v>
      </c>
      <c r="C26" s="1" t="s">
        <v>17</v>
      </c>
      <c r="D26" s="6"/>
      <c r="E26" s="1"/>
      <c r="F26" s="2"/>
      <c r="G26" s="3">
        <f t="shared" si="1"/>
        <v>0</v>
      </c>
      <c r="H26" s="4">
        <f t="shared" si="2"/>
        <v>0</v>
      </c>
      <c r="I26" s="7"/>
      <c r="J26" s="7">
        <v>1.6500000000000001E-2</v>
      </c>
      <c r="K26" s="7">
        <v>7.5999999999999998E-2</v>
      </c>
      <c r="L26" s="11">
        <f t="shared" si="0"/>
        <v>0</v>
      </c>
      <c r="M26" s="11">
        <f t="shared" si="3"/>
        <v>0</v>
      </c>
      <c r="N26" s="11">
        <f t="shared" si="4"/>
        <v>0</v>
      </c>
    </row>
    <row r="27" spans="1:14" hidden="1">
      <c r="A27" s="44" t="s">
        <v>265</v>
      </c>
      <c r="B27" s="5">
        <f t="shared" si="5"/>
        <v>44927</v>
      </c>
      <c r="C27" s="1" t="s">
        <v>17</v>
      </c>
      <c r="D27" s="6"/>
      <c r="E27" s="1"/>
      <c r="F27" s="2"/>
      <c r="G27" s="3">
        <f t="shared" si="1"/>
        <v>0</v>
      </c>
      <c r="H27" s="4">
        <f t="shared" si="2"/>
        <v>0</v>
      </c>
      <c r="I27" s="7"/>
      <c r="J27" s="7">
        <v>1.6500000000000001E-2</v>
      </c>
      <c r="K27" s="7">
        <v>7.5999999999999998E-2</v>
      </c>
      <c r="L27" s="11">
        <f t="shared" si="0"/>
        <v>0</v>
      </c>
      <c r="M27" s="11">
        <f t="shared" si="3"/>
        <v>0</v>
      </c>
      <c r="N27" s="11">
        <f t="shared" si="4"/>
        <v>0</v>
      </c>
    </row>
    <row r="28" spans="1:14" hidden="1">
      <c r="A28" s="44" t="s">
        <v>265</v>
      </c>
      <c r="B28" s="5">
        <f t="shared" si="5"/>
        <v>44927</v>
      </c>
      <c r="C28" s="1" t="s">
        <v>17</v>
      </c>
      <c r="D28" s="6"/>
      <c r="E28" s="1"/>
      <c r="F28" s="2"/>
      <c r="G28" s="3">
        <f t="shared" si="1"/>
        <v>0</v>
      </c>
      <c r="H28" s="4">
        <f t="shared" si="2"/>
        <v>0</v>
      </c>
      <c r="I28" s="7"/>
      <c r="J28" s="7">
        <v>1.6500000000000001E-2</v>
      </c>
      <c r="K28" s="7">
        <v>7.5999999999999998E-2</v>
      </c>
      <c r="L28" s="11">
        <f t="shared" si="0"/>
        <v>0</v>
      </c>
      <c r="M28" s="11">
        <f t="shared" si="3"/>
        <v>0</v>
      </c>
      <c r="N28" s="11">
        <f t="shared" si="4"/>
        <v>0</v>
      </c>
    </row>
    <row r="29" spans="1:14">
      <c r="A29" s="44" t="s">
        <v>159</v>
      </c>
      <c r="B29" s="5">
        <f t="shared" si="5"/>
        <v>44927</v>
      </c>
      <c r="C29" s="1" t="s">
        <v>17</v>
      </c>
      <c r="D29" s="6" t="s">
        <v>326</v>
      </c>
      <c r="E29" s="1">
        <v>73662</v>
      </c>
      <c r="F29" s="2">
        <v>224727.69</v>
      </c>
      <c r="G29" s="3">
        <f t="shared" si="1"/>
        <v>197760.36720000001</v>
      </c>
      <c r="H29" s="4">
        <f t="shared" si="2"/>
        <v>2.6846999429828133</v>
      </c>
      <c r="I29" s="7">
        <v>0.12</v>
      </c>
      <c r="J29" s="9">
        <v>0</v>
      </c>
      <c r="K29" s="9">
        <v>0</v>
      </c>
      <c r="L29" s="11">
        <f t="shared" si="0"/>
        <v>26967.322799999998</v>
      </c>
      <c r="M29" s="11">
        <f t="shared" si="3"/>
        <v>0</v>
      </c>
      <c r="N29" s="11">
        <f t="shared" si="4"/>
        <v>0</v>
      </c>
    </row>
    <row r="30" spans="1:14">
      <c r="A30" s="44" t="s">
        <v>159</v>
      </c>
      <c r="B30" s="5">
        <f t="shared" si="5"/>
        <v>44927</v>
      </c>
      <c r="C30" s="1" t="s">
        <v>17</v>
      </c>
      <c r="D30" s="6" t="s">
        <v>327</v>
      </c>
      <c r="E30" s="1">
        <v>48206</v>
      </c>
      <c r="F30" s="2">
        <v>147066.65</v>
      </c>
      <c r="G30" s="3">
        <f t="shared" si="1"/>
        <v>129418.652</v>
      </c>
      <c r="H30" s="4">
        <f>+IF(G30=0,0,G30/E30)</f>
        <v>2.6847000788283615</v>
      </c>
      <c r="I30" s="7">
        <v>0.12</v>
      </c>
      <c r="J30" s="9">
        <v>0</v>
      </c>
      <c r="K30" s="9">
        <v>0</v>
      </c>
      <c r="L30" s="11">
        <f t="shared" si="0"/>
        <v>17647.998</v>
      </c>
      <c r="M30" s="11">
        <f t="shared" si="3"/>
        <v>0</v>
      </c>
      <c r="N30" s="11">
        <f t="shared" si="4"/>
        <v>0</v>
      </c>
    </row>
    <row r="31" spans="1:14">
      <c r="A31" s="44" t="s">
        <v>159</v>
      </c>
      <c r="B31" s="5">
        <f t="shared" si="5"/>
        <v>44927</v>
      </c>
      <c r="C31" s="1" t="s">
        <v>17</v>
      </c>
      <c r="D31" s="6" t="s">
        <v>330</v>
      </c>
      <c r="E31" s="1">
        <v>206831</v>
      </c>
      <c r="F31" s="2">
        <v>630999.07999999996</v>
      </c>
      <c r="G31" s="3">
        <f t="shared" si="1"/>
        <v>555279.19039999996</v>
      </c>
      <c r="H31" s="4">
        <f t="shared" si="2"/>
        <v>2.6847000227238662</v>
      </c>
      <c r="I31" s="7">
        <v>0.12</v>
      </c>
      <c r="J31" s="9">
        <v>0</v>
      </c>
      <c r="K31" s="9">
        <v>0</v>
      </c>
      <c r="L31" s="11">
        <f t="shared" si="0"/>
        <v>75719.889599999995</v>
      </c>
      <c r="M31" s="11">
        <f t="shared" si="3"/>
        <v>0</v>
      </c>
      <c r="N31" s="11">
        <f t="shared" si="4"/>
        <v>0</v>
      </c>
    </row>
    <row r="32" spans="1:14">
      <c r="A32" s="44" t="s">
        <v>159</v>
      </c>
      <c r="B32" s="5">
        <f t="shared" si="5"/>
        <v>44927</v>
      </c>
      <c r="C32" s="1" t="s">
        <v>17</v>
      </c>
      <c r="D32" s="6" t="s">
        <v>332</v>
      </c>
      <c r="E32" s="1">
        <v>12518840</v>
      </c>
      <c r="F32" s="2">
        <v>36139064.240000002</v>
      </c>
      <c r="G32" s="3">
        <f t="shared" si="1"/>
        <v>33609329.743200004</v>
      </c>
      <c r="H32" s="4">
        <f t="shared" si="2"/>
        <v>2.6846999996165781</v>
      </c>
      <c r="I32" s="7">
        <v>7.0000000000000007E-2</v>
      </c>
      <c r="J32" s="9">
        <v>0</v>
      </c>
      <c r="K32" s="9">
        <v>0</v>
      </c>
      <c r="L32" s="11">
        <f t="shared" si="0"/>
        <v>2529734.4968000003</v>
      </c>
      <c r="M32" s="11">
        <f t="shared" si="3"/>
        <v>0</v>
      </c>
      <c r="N32" s="11">
        <f t="shared" si="4"/>
        <v>0</v>
      </c>
    </row>
    <row r="33" spans="1:16">
      <c r="A33" s="44" t="s">
        <v>292</v>
      </c>
      <c r="B33" s="5">
        <f t="shared" si="5"/>
        <v>44927</v>
      </c>
      <c r="C33" s="1" t="s">
        <v>17</v>
      </c>
      <c r="D33" s="6" t="s">
        <v>323</v>
      </c>
      <c r="E33" s="1">
        <v>38</v>
      </c>
      <c r="F33" s="2">
        <v>165.35</v>
      </c>
      <c r="G33" s="3">
        <f t="shared" si="1"/>
        <v>145.50799999999998</v>
      </c>
      <c r="H33" s="4">
        <f t="shared" si="2"/>
        <v>3.8291578947368414</v>
      </c>
      <c r="I33" s="7">
        <v>0.12</v>
      </c>
      <c r="J33" s="9">
        <v>0</v>
      </c>
      <c r="K33" s="9">
        <v>0</v>
      </c>
      <c r="L33" s="11">
        <f t="shared" si="0"/>
        <v>19.841999999999999</v>
      </c>
      <c r="M33" s="11">
        <f t="shared" si="3"/>
        <v>0</v>
      </c>
      <c r="N33" s="11">
        <f t="shared" si="4"/>
        <v>0</v>
      </c>
    </row>
    <row r="34" spans="1:16">
      <c r="A34" s="44" t="s">
        <v>292</v>
      </c>
      <c r="B34" s="5">
        <f t="shared" si="5"/>
        <v>44927</v>
      </c>
      <c r="C34" s="1" t="s">
        <v>17</v>
      </c>
      <c r="D34" s="6" t="s">
        <v>329</v>
      </c>
      <c r="E34" s="1">
        <v>58</v>
      </c>
      <c r="F34" s="2">
        <v>252.38</v>
      </c>
      <c r="G34" s="3">
        <f t="shared" si="1"/>
        <v>222.09440000000001</v>
      </c>
      <c r="H34" s="4">
        <f t="shared" si="2"/>
        <v>3.8292137931034484</v>
      </c>
      <c r="I34" s="7">
        <v>0.12</v>
      </c>
      <c r="J34" s="9">
        <v>0</v>
      </c>
      <c r="K34" s="9">
        <v>0</v>
      </c>
      <c r="L34" s="11">
        <f t="shared" si="0"/>
        <v>30.285599999999999</v>
      </c>
      <c r="M34" s="11">
        <f t="shared" si="3"/>
        <v>0</v>
      </c>
      <c r="N34" s="11">
        <f t="shared" si="4"/>
        <v>0</v>
      </c>
    </row>
    <row r="35" spans="1:16">
      <c r="A35" s="44" t="s">
        <v>292</v>
      </c>
      <c r="B35" s="5">
        <f t="shared" si="5"/>
        <v>44927</v>
      </c>
      <c r="C35" s="1" t="s">
        <v>17</v>
      </c>
      <c r="D35" s="6" t="s">
        <v>331</v>
      </c>
      <c r="E35" s="1">
        <v>5372</v>
      </c>
      <c r="F35" s="2">
        <v>22118.77</v>
      </c>
      <c r="G35" s="3">
        <f t="shared" si="1"/>
        <v>20570.456099999999</v>
      </c>
      <c r="H35" s="4">
        <f t="shared" si="2"/>
        <v>3.8291988272524198</v>
      </c>
      <c r="I35" s="7">
        <v>7.0000000000000007E-2</v>
      </c>
      <c r="J35" s="9">
        <v>0</v>
      </c>
      <c r="K35" s="9">
        <v>0</v>
      </c>
      <c r="L35" s="11">
        <f t="shared" si="0"/>
        <v>1548.3139000000001</v>
      </c>
      <c r="M35" s="11">
        <f t="shared" si="3"/>
        <v>0</v>
      </c>
      <c r="N35" s="11">
        <f t="shared" si="4"/>
        <v>0</v>
      </c>
    </row>
    <row r="36" spans="1:16" hidden="1">
      <c r="A36" s="44" t="s">
        <v>292</v>
      </c>
      <c r="B36" s="5">
        <f t="shared" si="5"/>
        <v>44927</v>
      </c>
      <c r="C36" s="1" t="s">
        <v>17</v>
      </c>
      <c r="D36" s="6"/>
      <c r="E36" s="1"/>
      <c r="F36" s="2"/>
      <c r="G36" s="3">
        <f t="shared" si="1"/>
        <v>0</v>
      </c>
      <c r="H36" s="4">
        <f t="shared" si="2"/>
        <v>0</v>
      </c>
      <c r="I36" s="7"/>
      <c r="J36" s="9">
        <v>0</v>
      </c>
      <c r="K36" s="9">
        <v>0</v>
      </c>
      <c r="L36" s="11">
        <f t="shared" si="0"/>
        <v>0</v>
      </c>
      <c r="M36" s="11">
        <f t="shared" si="3"/>
        <v>0</v>
      </c>
      <c r="N36" s="11">
        <f t="shared" si="4"/>
        <v>0</v>
      </c>
    </row>
    <row r="37" spans="1:16" hidden="1">
      <c r="A37" s="44" t="s">
        <v>293</v>
      </c>
      <c r="B37" s="5">
        <f t="shared" si="5"/>
        <v>44927</v>
      </c>
      <c r="C37" s="1" t="s">
        <v>17</v>
      </c>
      <c r="D37" s="6"/>
      <c r="E37" s="1"/>
      <c r="F37" s="2"/>
      <c r="G37" s="3">
        <f t="shared" si="1"/>
        <v>0</v>
      </c>
      <c r="H37" s="4">
        <f t="shared" si="2"/>
        <v>0</v>
      </c>
      <c r="I37" s="7"/>
      <c r="J37" s="9">
        <v>0</v>
      </c>
      <c r="K37" s="9">
        <v>0</v>
      </c>
      <c r="L37" s="11">
        <f t="shared" si="0"/>
        <v>0</v>
      </c>
      <c r="M37" s="11">
        <f t="shared" si="3"/>
        <v>0</v>
      </c>
      <c r="N37" s="11">
        <f t="shared" si="4"/>
        <v>0</v>
      </c>
    </row>
    <row r="38" spans="1:16" hidden="1">
      <c r="A38" s="44" t="s">
        <v>293</v>
      </c>
      <c r="B38" s="5">
        <f t="shared" si="5"/>
        <v>44927</v>
      </c>
      <c r="C38" s="1" t="s">
        <v>17</v>
      </c>
      <c r="D38" s="6"/>
      <c r="E38" s="1"/>
      <c r="F38" s="2"/>
      <c r="G38" s="3">
        <f t="shared" si="1"/>
        <v>0</v>
      </c>
      <c r="H38" s="4">
        <f t="shared" si="2"/>
        <v>0</v>
      </c>
      <c r="I38" s="7"/>
      <c r="J38" s="9">
        <v>0</v>
      </c>
      <c r="K38" s="9">
        <v>0</v>
      </c>
      <c r="L38" s="11">
        <f t="shared" si="0"/>
        <v>0</v>
      </c>
      <c r="M38" s="11">
        <f t="shared" si="3"/>
        <v>0</v>
      </c>
      <c r="N38" s="11">
        <f t="shared" si="4"/>
        <v>0</v>
      </c>
    </row>
    <row r="39" spans="1:16" hidden="1">
      <c r="A39" s="44" t="s">
        <v>293</v>
      </c>
      <c r="B39" s="5">
        <f>B38</f>
        <v>44927</v>
      </c>
      <c r="C39" s="1" t="s">
        <v>17</v>
      </c>
      <c r="D39" s="10"/>
      <c r="E39" s="118"/>
      <c r="F39" s="2"/>
      <c r="G39" s="3">
        <f>F39-SUM(L39:N39)</f>
        <v>0</v>
      </c>
      <c r="H39" s="4">
        <f t="shared" si="2"/>
        <v>0</v>
      </c>
      <c r="I39" s="7"/>
      <c r="J39" s="9">
        <v>0</v>
      </c>
      <c r="K39" s="9">
        <v>0</v>
      </c>
      <c r="L39" s="11">
        <f t="shared" si="0"/>
        <v>0</v>
      </c>
      <c r="M39" s="11">
        <f t="shared" si="3"/>
        <v>0</v>
      </c>
      <c r="N39" s="11">
        <f t="shared" si="4"/>
        <v>0</v>
      </c>
      <c r="P39" s="45"/>
    </row>
    <row r="40" spans="1:16">
      <c r="A40" s="44"/>
      <c r="B40" s="5">
        <f t="shared" si="5"/>
        <v>44927</v>
      </c>
      <c r="C40" s="1" t="s">
        <v>33</v>
      </c>
      <c r="D40" s="10" t="s">
        <v>333</v>
      </c>
      <c r="E40" s="118">
        <v>30256043</v>
      </c>
      <c r="F40" s="2">
        <v>77748046.019999996</v>
      </c>
      <c r="G40" s="3">
        <f t="shared" ref="G40" si="6">F40-SUM(L40:N40)</f>
        <v>65617407.1397295</v>
      </c>
      <c r="H40" s="4">
        <f>+IF(G40=0,0,G40/E40)</f>
        <v>2.1687372383668775</v>
      </c>
      <c r="I40" s="7">
        <v>7.0000000000000007E-2</v>
      </c>
      <c r="J40" s="7">
        <v>1.6500000000000001E-2</v>
      </c>
      <c r="K40" s="7">
        <v>7.5999999999999998E-2</v>
      </c>
      <c r="L40" s="11">
        <f t="shared" si="0"/>
        <v>5442363.2214000002</v>
      </c>
      <c r="M40" s="11">
        <f t="shared" si="3"/>
        <v>1193043.7661768999</v>
      </c>
      <c r="N40" s="11">
        <f t="shared" si="4"/>
        <v>5495231.8926935988</v>
      </c>
      <c r="P40" s="45"/>
    </row>
    <row r="41" spans="1:16">
      <c r="A41" s="44"/>
      <c r="B41" s="5">
        <f t="shared" si="5"/>
        <v>44927</v>
      </c>
      <c r="C41" s="1" t="s">
        <v>33</v>
      </c>
      <c r="D41" s="6" t="s">
        <v>334</v>
      </c>
      <c r="E41" s="1">
        <v>0</v>
      </c>
      <c r="F41" s="2">
        <v>3319995.59</v>
      </c>
      <c r="G41" s="3">
        <f>F41-SUM(L41:N41)</f>
        <v>2801993.2780702501</v>
      </c>
      <c r="H41" s="4" t="e">
        <f t="shared" si="2"/>
        <v>#DIV/0!</v>
      </c>
      <c r="I41" s="7">
        <v>7.0000000000000007E-2</v>
      </c>
      <c r="J41" s="7">
        <v>1.6500000000000001E-2</v>
      </c>
      <c r="K41" s="7">
        <v>7.5999999999999998E-2</v>
      </c>
      <c r="L41" s="11">
        <f t="shared" si="0"/>
        <v>232399.69130000001</v>
      </c>
      <c r="M41" s="11">
        <f t="shared" si="3"/>
        <v>50945.332328550001</v>
      </c>
      <c r="N41" s="11">
        <f t="shared" si="4"/>
        <v>234657.28830119997</v>
      </c>
      <c r="P41" s="45"/>
    </row>
    <row r="42" spans="1:16">
      <c r="A42" s="44"/>
      <c r="B42" s="5">
        <f t="shared" si="5"/>
        <v>44927</v>
      </c>
      <c r="C42" s="1" t="s">
        <v>37</v>
      </c>
      <c r="D42" s="10" t="s">
        <v>321</v>
      </c>
      <c r="E42" s="1">
        <v>804469</v>
      </c>
      <c r="F42" s="2">
        <v>4276476.76</v>
      </c>
      <c r="G42" s="3">
        <f>F42-SUM(L42:N42)</f>
        <v>3182340.180954</v>
      </c>
      <c r="H42" s="4">
        <f t="shared" si="2"/>
        <v>3.9558269876825585</v>
      </c>
      <c r="I42" s="7">
        <v>0.18</v>
      </c>
      <c r="J42" s="7">
        <v>1.6500000000000001E-2</v>
      </c>
      <c r="K42" s="7">
        <v>7.5999999999999998E-2</v>
      </c>
      <c r="L42" s="11">
        <f>+I42*F42</f>
        <v>769765.81679999991</v>
      </c>
      <c r="M42" s="11">
        <f t="shared" si="3"/>
        <v>57860.730562799996</v>
      </c>
      <c r="N42" s="11">
        <f t="shared" si="4"/>
        <v>266510.03168319998</v>
      </c>
      <c r="O42" s="41"/>
    </row>
    <row r="43" spans="1:16">
      <c r="A43" s="44"/>
      <c r="B43" s="5">
        <f t="shared" si="5"/>
        <v>44927</v>
      </c>
      <c r="C43" s="1" t="s">
        <v>36</v>
      </c>
      <c r="D43" s="10" t="s">
        <v>53</v>
      </c>
      <c r="E43" s="1">
        <v>65658</v>
      </c>
      <c r="F43" s="43">
        <v>339970.56</v>
      </c>
      <c r="G43" s="3">
        <f t="shared" si="1"/>
        <v>252989.09222399999</v>
      </c>
      <c r="H43" s="4">
        <f t="shared" si="2"/>
        <v>3.8531343054007126</v>
      </c>
      <c r="I43" s="7">
        <v>0.18</v>
      </c>
      <c r="J43" s="7">
        <v>1.6500000000000001E-2</v>
      </c>
      <c r="K43" s="7">
        <v>7.5999999999999998E-2</v>
      </c>
      <c r="L43" s="11">
        <f t="shared" si="0"/>
        <v>61194.700799999999</v>
      </c>
      <c r="M43" s="11">
        <f t="shared" si="3"/>
        <v>4599.8016768000007</v>
      </c>
      <c r="N43" s="11">
        <f t="shared" si="4"/>
        <v>21186.965299200001</v>
      </c>
      <c r="P43" s="42"/>
    </row>
    <row r="44" spans="1:16" hidden="1">
      <c r="B44" s="5"/>
      <c r="C44" s="1"/>
      <c r="D44" s="6"/>
      <c r="E44" s="1"/>
      <c r="F44" s="2"/>
      <c r="G44" s="3"/>
      <c r="H44" s="4"/>
      <c r="I44" s="7"/>
      <c r="J44" s="7"/>
      <c r="K44" s="7"/>
      <c r="L44" s="8"/>
      <c r="M44" s="8"/>
      <c r="N44" s="8"/>
    </row>
    <row r="45" spans="1:16" hidden="1">
      <c r="B45" s="5"/>
      <c r="C45" s="1"/>
      <c r="D45" s="6"/>
      <c r="E45" s="1"/>
      <c r="F45" s="2"/>
      <c r="G45" s="3"/>
      <c r="H45" s="4"/>
      <c r="I45" s="7"/>
      <c r="J45" s="7"/>
      <c r="K45" s="7"/>
      <c r="L45" s="8"/>
      <c r="M45" s="8"/>
      <c r="N45" s="8"/>
    </row>
    <row r="46" spans="1:16">
      <c r="E46" s="28">
        <f>SUM(E18:E45)</f>
        <v>44009944</v>
      </c>
      <c r="G46" s="29">
        <f>SUM(G18:G45)</f>
        <v>106450071.88804251</v>
      </c>
    </row>
    <row r="47" spans="1:16">
      <c r="C47" t="s">
        <v>33</v>
      </c>
      <c r="D47" t="s">
        <v>335</v>
      </c>
      <c r="E47" s="137">
        <f>E40+E41</f>
        <v>30256043</v>
      </c>
      <c r="F47" s="137">
        <f>F40+F41</f>
        <v>81068041.609999999</v>
      </c>
      <c r="G47" s="3">
        <f>F47-SUM(L47:N47)</f>
        <v>68419400.417799741</v>
      </c>
      <c r="H47" s="4">
        <f>+IF(G47=0,0,G47/E47)</f>
        <v>2.2613466148828429</v>
      </c>
      <c r="I47" s="7">
        <v>7.0000000000000007E-2</v>
      </c>
      <c r="J47" s="7">
        <v>1.6500000000000001E-2</v>
      </c>
      <c r="K47" s="7">
        <v>7.5999999999999998E-2</v>
      </c>
      <c r="L47" s="11">
        <f t="shared" ref="L47" si="7">+I47*F47</f>
        <v>5674762.9127000002</v>
      </c>
      <c r="M47" s="11">
        <f t="shared" ref="M47" si="8">J47*(F47-L47)</f>
        <v>1243989.0985054502</v>
      </c>
      <c r="N47" s="11">
        <f t="shared" ref="N47" si="9">K47*(F47-L47)</f>
        <v>5729889.1809948003</v>
      </c>
    </row>
    <row r="48" spans="1:16" ht="15.75" thickBot="1"/>
    <row r="49" spans="2:14">
      <c r="B49" s="391" t="s">
        <v>336</v>
      </c>
      <c r="C49" s="383"/>
      <c r="D49" s="383"/>
      <c r="E49" s="383"/>
      <c r="F49" s="383"/>
      <c r="G49" s="383"/>
      <c r="H49" s="383"/>
      <c r="I49" s="383"/>
      <c r="J49" s="383"/>
      <c r="K49" s="383"/>
      <c r="L49" s="383"/>
      <c r="M49" s="383"/>
      <c r="N49" s="384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>
      <c r="B51" s="385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</row>
    <row r="52" spans="2:14">
      <c r="B52" s="385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</row>
    <row r="53" spans="2:14">
      <c r="B53" s="385"/>
      <c r="C53" s="386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7"/>
    </row>
    <row r="54" spans="2:14" ht="142.5" customHeight="1" thickBot="1">
      <c r="B54" s="388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90"/>
    </row>
  </sheetData>
  <mergeCells count="3">
    <mergeCell ref="C2:L2"/>
    <mergeCell ref="L16:N16"/>
    <mergeCell ref="B49:N54"/>
  </mergeCells>
  <conditionalFormatting sqref="D1:D1048576">
    <cfRule type="duplicateValues" dxfId="160" priority="1"/>
  </conditionalFormatting>
  <pageMargins left="0.511811024" right="0.511811024" top="0.78740157499999996" bottom="0.78740157499999996" header="0.31496062000000002" footer="0.31496062000000002"/>
  <pageSetup paperSize="9" scale="5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0D64-4EBD-4CDE-B953-1BF3EBEA3AAB}">
  <sheetPr>
    <pageSetUpPr fitToPage="1"/>
  </sheetPr>
  <dimension ref="A2:P43"/>
  <sheetViews>
    <sheetView showGridLines="0" topLeftCell="A13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26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3.5703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44958</v>
      </c>
    </row>
    <row r="5" spans="2:14">
      <c r="C5" t="s">
        <v>17</v>
      </c>
      <c r="D5" s="14">
        <f ca="1">SUMIF($C$18:$G$30,$C$5:$C$7,$G$18:$G$30)/SUMIF($C$18:$G$30,$C$5:$C$7,$E$18:$E$30)</f>
        <v>2.4378002394714833</v>
      </c>
    </row>
    <row r="6" spans="2:14">
      <c r="C6" t="s">
        <v>33</v>
      </c>
      <c r="D6" s="14">
        <f ca="1">SUMIF($C$18:$G$30,$C$5:$C$7,$G$18:$G$30)/SUMIF($C$18:$G$30,$C$5:$C$7,$E$18:$E$30)</f>
        <v>1.8185551313224728</v>
      </c>
    </row>
    <row r="7" spans="2:14">
      <c r="C7" t="s">
        <v>126</v>
      </c>
      <c r="D7" s="14">
        <f>SUM(G31:G32)/SUM(E31:E32)</f>
        <v>3.6624320719156787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+G35/E35</f>
        <v>2.0534504336908861</v>
      </c>
      <c r="E9" s="14"/>
      <c r="F9" s="32"/>
      <c r="L9" s="16" t="str">
        <f>+C5</f>
        <v>Petrobras</v>
      </c>
      <c r="M9" s="17">
        <f>790000/1580000</f>
        <v>0.5</v>
      </c>
      <c r="N9" s="17">
        <f>+SUM(E18:E29)/E35</f>
        <v>0.33191735807034667</v>
      </c>
    </row>
    <row r="10" spans="2:14">
      <c r="L10" s="16" t="str">
        <f>+C6</f>
        <v>Shell</v>
      </c>
      <c r="M10" s="17">
        <v>0.47468354430379744</v>
      </c>
      <c r="N10" s="17">
        <f>+SUM(E30:E30)/E35</f>
        <v>0.652161242064344</v>
      </c>
    </row>
    <row r="11" spans="2:14">
      <c r="C11" t="s">
        <v>132</v>
      </c>
      <c r="D11" s="14">
        <v>2.0701999999999998</v>
      </c>
      <c r="L11" s="16" t="str">
        <f>+C7</f>
        <v>NFE</v>
      </c>
      <c r="M11" s="18">
        <v>2.5316455696202531E-2</v>
      </c>
      <c r="N11" s="18">
        <f>+SUM(E31:E32)/E35</f>
        <v>1.5921399865309341E-2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1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1:16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1:16">
      <c r="A18" s="44"/>
      <c r="B18" s="5">
        <f>C3</f>
        <v>44958</v>
      </c>
      <c r="C18" s="1" t="s">
        <v>17</v>
      </c>
      <c r="D18" s="6" t="s">
        <v>342</v>
      </c>
      <c r="E18" s="1">
        <v>2693463</v>
      </c>
      <c r="F18" s="2">
        <v>7712659.7699999996</v>
      </c>
      <c r="G18" s="3">
        <f>F18-SUM(L18:N18)</f>
        <v>6509292.0293857493</v>
      </c>
      <c r="H18" s="4">
        <f>+IF(G18=0,0,G18/E18)</f>
        <v>2.4166999989922822</v>
      </c>
      <c r="I18" s="7">
        <v>7.0000000000000007E-2</v>
      </c>
      <c r="J18" s="7">
        <v>1.6500000000000001E-2</v>
      </c>
      <c r="K18" s="7">
        <v>7.5999999999999998E-2</v>
      </c>
      <c r="L18" s="11">
        <f>+I18*F18</f>
        <v>539886.18390000006</v>
      </c>
      <c r="M18" s="11">
        <f>J18*(F18-L18)</f>
        <v>118350.76417064999</v>
      </c>
      <c r="N18" s="11">
        <f>K18*(F18-L18)</f>
        <v>545130.79254359996</v>
      </c>
    </row>
    <row r="19" spans="1:16">
      <c r="A19" s="44"/>
      <c r="B19" s="5">
        <f>B18</f>
        <v>44958</v>
      </c>
      <c r="C19" s="1" t="s">
        <v>17</v>
      </c>
      <c r="D19" s="6" t="s">
        <v>343</v>
      </c>
      <c r="E19" s="1">
        <v>42008</v>
      </c>
      <c r="F19" s="2">
        <v>127123.38</v>
      </c>
      <c r="G19" s="3">
        <f t="shared" ref="G19:G32" si="0">F19-SUM(L19:N19)</f>
        <v>101520.731268</v>
      </c>
      <c r="H19" s="4">
        <f t="shared" ref="H19:H32" si="1">+IF(G19=0,0,G19/E19)</f>
        <v>2.4166999444867643</v>
      </c>
      <c r="I19" s="7">
        <v>0.12</v>
      </c>
      <c r="J19" s="7">
        <v>1.6500000000000001E-2</v>
      </c>
      <c r="K19" s="7">
        <v>7.5999999999999998E-2</v>
      </c>
      <c r="L19" s="11">
        <f t="shared" ref="L19:L32" si="2">+I19*F19</f>
        <v>15254.8056</v>
      </c>
      <c r="M19" s="11">
        <f t="shared" ref="M19:M32" si="3">J19*(F19-L19)</f>
        <v>1845.8314776000002</v>
      </c>
      <c r="N19" s="11">
        <f t="shared" ref="N19:N32" si="4">K19*(F19-L19)</f>
        <v>8502.0116544000011</v>
      </c>
    </row>
    <row r="20" spans="1:16">
      <c r="A20" s="44" t="s">
        <v>160</v>
      </c>
      <c r="B20" s="5">
        <f t="shared" ref="B20:B32" si="5">B19</f>
        <v>44958</v>
      </c>
      <c r="C20" s="1" t="s">
        <v>17</v>
      </c>
      <c r="D20" s="6" t="s">
        <v>344</v>
      </c>
      <c r="E20" s="1">
        <v>64822</v>
      </c>
      <c r="F20" s="2">
        <v>263228.13</v>
      </c>
      <c r="G20" s="3">
        <f t="shared" si="0"/>
        <v>222157.96101675002</v>
      </c>
      <c r="H20" s="4">
        <f t="shared" si="1"/>
        <v>3.4272000403682394</v>
      </c>
      <c r="I20" s="7">
        <v>7.0000000000000007E-2</v>
      </c>
      <c r="J20" s="7">
        <v>1.6500000000000001E-2</v>
      </c>
      <c r="K20" s="7">
        <v>7.5999999999999998E-2</v>
      </c>
      <c r="L20" s="11">
        <f t="shared" si="2"/>
        <v>18425.969100000002</v>
      </c>
      <c r="M20" s="11">
        <f t="shared" si="3"/>
        <v>4039.2356548500006</v>
      </c>
      <c r="N20" s="11">
        <f t="shared" si="4"/>
        <v>18604.9642284</v>
      </c>
    </row>
    <row r="21" spans="1:16">
      <c r="A21" s="44" t="s">
        <v>160</v>
      </c>
      <c r="B21" s="5">
        <f t="shared" si="5"/>
        <v>44958</v>
      </c>
      <c r="C21" s="1" t="s">
        <v>17</v>
      </c>
      <c r="D21" s="6" t="s">
        <v>345</v>
      </c>
      <c r="E21" s="1">
        <v>289</v>
      </c>
      <c r="F21" s="2">
        <v>1240.25</v>
      </c>
      <c r="G21" s="3">
        <f t="shared" si="0"/>
        <v>990.46365000000003</v>
      </c>
      <c r="H21" s="4">
        <f t="shared" si="1"/>
        <v>3.4272098615916957</v>
      </c>
      <c r="I21" s="7">
        <v>0.12</v>
      </c>
      <c r="J21" s="7">
        <v>1.6500000000000001E-2</v>
      </c>
      <c r="K21" s="7">
        <v>7.5999999999999998E-2</v>
      </c>
      <c r="L21" s="11">
        <f t="shared" si="2"/>
        <v>148.82999999999998</v>
      </c>
      <c r="M21" s="11">
        <f t="shared" si="3"/>
        <v>18.008430000000001</v>
      </c>
      <c r="N21" s="11">
        <f t="shared" si="4"/>
        <v>82.947920000000011</v>
      </c>
    </row>
    <row r="22" spans="1:16">
      <c r="A22" s="44" t="s">
        <v>265</v>
      </c>
      <c r="B22" s="5">
        <f t="shared" si="5"/>
        <v>44958</v>
      </c>
      <c r="C22" s="1" t="s">
        <v>17</v>
      </c>
      <c r="D22" s="6" t="s">
        <v>346</v>
      </c>
      <c r="E22" s="1">
        <v>1727</v>
      </c>
      <c r="F22" s="2">
        <v>9080.73</v>
      </c>
      <c r="G22" s="3">
        <f t="shared" si="0"/>
        <v>7663.9091017499995</v>
      </c>
      <c r="H22" s="4">
        <f t="shared" si="1"/>
        <v>4.4377006958598724</v>
      </c>
      <c r="I22" s="7">
        <v>7.0000000000000007E-2</v>
      </c>
      <c r="J22" s="7">
        <v>1.6500000000000001E-2</v>
      </c>
      <c r="K22" s="7">
        <v>7.5999999999999998E-2</v>
      </c>
      <c r="L22" s="11">
        <f t="shared" si="2"/>
        <v>635.65110000000004</v>
      </c>
      <c r="M22" s="11">
        <f t="shared" si="3"/>
        <v>139.34380185000001</v>
      </c>
      <c r="N22" s="11">
        <f t="shared" si="4"/>
        <v>641.82599640000001</v>
      </c>
    </row>
    <row r="23" spans="1:16">
      <c r="A23" s="44" t="s">
        <v>159</v>
      </c>
      <c r="B23" s="5">
        <f t="shared" si="5"/>
        <v>44958</v>
      </c>
      <c r="C23" s="1" t="s">
        <v>17</v>
      </c>
      <c r="D23" s="6" t="s">
        <v>347</v>
      </c>
      <c r="E23" s="1">
        <v>939887.74800000002</v>
      </c>
      <c r="F23" s="2">
        <v>2442394.3199999998</v>
      </c>
      <c r="G23" s="3">
        <f t="shared" si="0"/>
        <v>2271426.7175999996</v>
      </c>
      <c r="H23" s="4">
        <f t="shared" si="1"/>
        <v>2.4166999968170662</v>
      </c>
      <c r="I23" s="7">
        <v>7.0000000000000007E-2</v>
      </c>
      <c r="J23" s="9">
        <v>0</v>
      </c>
      <c r="K23" s="9">
        <v>0</v>
      </c>
      <c r="L23" s="11">
        <f t="shared" si="2"/>
        <v>170967.6024</v>
      </c>
      <c r="M23" s="11">
        <f t="shared" si="3"/>
        <v>0</v>
      </c>
      <c r="N23" s="11">
        <f t="shared" si="4"/>
        <v>0</v>
      </c>
    </row>
    <row r="24" spans="1:16">
      <c r="A24" s="44" t="s">
        <v>159</v>
      </c>
      <c r="B24" s="5">
        <f t="shared" si="5"/>
        <v>44958</v>
      </c>
      <c r="C24" s="1" t="s">
        <v>17</v>
      </c>
      <c r="D24" s="6" t="s">
        <v>348</v>
      </c>
      <c r="E24" s="1">
        <v>9730559.2520000003</v>
      </c>
      <c r="F24" s="2">
        <v>25285852.190000001</v>
      </c>
      <c r="G24" s="3">
        <f>F24-SUM(L24:N24)</f>
        <v>23515842.536700003</v>
      </c>
      <c r="H24" s="4">
        <f>+IF(G24=0,0,G24/E24)</f>
        <v>2.4166999992180926</v>
      </c>
      <c r="I24" s="7">
        <v>7.0000000000000007E-2</v>
      </c>
      <c r="J24" s="9">
        <v>0</v>
      </c>
      <c r="K24" s="9">
        <v>0</v>
      </c>
      <c r="L24" s="11">
        <f t="shared" si="2"/>
        <v>1770009.6533000004</v>
      </c>
      <c r="M24" s="11">
        <f t="shared" si="3"/>
        <v>0</v>
      </c>
      <c r="N24" s="11">
        <f t="shared" si="4"/>
        <v>0</v>
      </c>
    </row>
    <row r="25" spans="1:16">
      <c r="A25" s="44" t="s">
        <v>159</v>
      </c>
      <c r="B25" s="5">
        <f t="shared" si="5"/>
        <v>44958</v>
      </c>
      <c r="C25" s="1" t="s">
        <v>17</v>
      </c>
      <c r="D25" s="6" t="s">
        <v>349</v>
      </c>
      <c r="E25" s="1">
        <v>41385</v>
      </c>
      <c r="F25" s="2">
        <v>113653.56</v>
      </c>
      <c r="G25" s="3">
        <f t="shared" si="0"/>
        <v>100015.13279999999</v>
      </c>
      <c r="H25" s="4">
        <f>+IF(G25=0,0,G25/E25)</f>
        <v>2.4167000797390359</v>
      </c>
      <c r="I25" s="7">
        <v>0.12</v>
      </c>
      <c r="J25" s="9">
        <v>0</v>
      </c>
      <c r="K25" s="9">
        <v>0</v>
      </c>
      <c r="L25" s="11">
        <f t="shared" si="2"/>
        <v>13638.4272</v>
      </c>
      <c r="M25" s="11">
        <f t="shared" si="3"/>
        <v>0</v>
      </c>
      <c r="N25" s="11">
        <f t="shared" si="4"/>
        <v>0</v>
      </c>
    </row>
    <row r="26" spans="1:16">
      <c r="A26" s="44" t="s">
        <v>159</v>
      </c>
      <c r="B26" s="5">
        <f t="shared" si="5"/>
        <v>44958</v>
      </c>
      <c r="C26" s="1" t="s">
        <v>17</v>
      </c>
      <c r="D26" s="6" t="s">
        <v>350</v>
      </c>
      <c r="E26" s="1">
        <v>1068231</v>
      </c>
      <c r="F26" s="2">
        <v>2933629.39</v>
      </c>
      <c r="G26" s="3">
        <f t="shared" si="0"/>
        <v>2581593.8632</v>
      </c>
      <c r="H26" s="4">
        <f t="shared" si="1"/>
        <v>2.4167000051486993</v>
      </c>
      <c r="I26" s="7">
        <v>0.12</v>
      </c>
      <c r="J26" s="9">
        <v>0</v>
      </c>
      <c r="K26" s="9">
        <v>0</v>
      </c>
      <c r="L26" s="11">
        <f t="shared" si="2"/>
        <v>352035.52679999999</v>
      </c>
      <c r="M26" s="11">
        <f t="shared" si="3"/>
        <v>0</v>
      </c>
      <c r="N26" s="11">
        <f t="shared" si="4"/>
        <v>0</v>
      </c>
    </row>
    <row r="27" spans="1:16">
      <c r="A27" s="44" t="s">
        <v>162</v>
      </c>
      <c r="B27" s="5">
        <f t="shared" si="5"/>
        <v>44958</v>
      </c>
      <c r="C27" s="1" t="s">
        <v>17</v>
      </c>
      <c r="D27" s="6" t="s">
        <v>351</v>
      </c>
      <c r="E27" s="1">
        <v>222239</v>
      </c>
      <c r="F27" s="2">
        <v>818986.56</v>
      </c>
      <c r="G27" s="3">
        <f t="shared" si="0"/>
        <v>761657.50080000004</v>
      </c>
      <c r="H27" s="4">
        <f t="shared" si="1"/>
        <v>3.4272</v>
      </c>
      <c r="I27" s="7">
        <v>7.0000000000000007E-2</v>
      </c>
      <c r="J27" s="9">
        <v>0</v>
      </c>
      <c r="K27" s="9">
        <v>0</v>
      </c>
      <c r="L27" s="11">
        <f t="shared" si="2"/>
        <v>57329.059200000011</v>
      </c>
      <c r="M27" s="11">
        <f t="shared" si="3"/>
        <v>0</v>
      </c>
      <c r="N27" s="11">
        <f t="shared" si="4"/>
        <v>0</v>
      </c>
    </row>
    <row r="28" spans="1:16">
      <c r="A28" s="44" t="s">
        <v>162</v>
      </c>
      <c r="B28" s="5">
        <f t="shared" si="5"/>
        <v>44958</v>
      </c>
      <c r="C28" s="1" t="s">
        <v>17</v>
      </c>
      <c r="D28" s="6" t="s">
        <v>352</v>
      </c>
      <c r="E28" s="1">
        <v>6794</v>
      </c>
      <c r="F28" s="2">
        <v>26459.55</v>
      </c>
      <c r="G28" s="3">
        <f t="shared" si="0"/>
        <v>23284.403999999999</v>
      </c>
      <c r="H28" s="4">
        <f t="shared" si="1"/>
        <v>3.4272010597586102</v>
      </c>
      <c r="I28" s="7">
        <v>0.12</v>
      </c>
      <c r="J28" s="9">
        <v>0</v>
      </c>
      <c r="K28" s="9">
        <v>0</v>
      </c>
      <c r="L28" s="11">
        <f t="shared" si="2"/>
        <v>3175.1459999999997</v>
      </c>
      <c r="M28" s="11">
        <f t="shared" si="3"/>
        <v>0</v>
      </c>
      <c r="N28" s="11">
        <f t="shared" si="4"/>
        <v>0</v>
      </c>
    </row>
    <row r="29" spans="1:16">
      <c r="A29" s="44" t="s">
        <v>280</v>
      </c>
      <c r="B29" s="5">
        <f t="shared" si="5"/>
        <v>44958</v>
      </c>
      <c r="C29" s="1" t="s">
        <v>17</v>
      </c>
      <c r="D29" s="6" t="s">
        <v>353</v>
      </c>
      <c r="E29" s="1">
        <v>5901</v>
      </c>
      <c r="F29" s="2">
        <v>28157.919999999998</v>
      </c>
      <c r="G29" s="3">
        <f t="shared" si="0"/>
        <v>26186.865599999997</v>
      </c>
      <c r="H29" s="4">
        <f t="shared" si="1"/>
        <v>4.4376996441281138</v>
      </c>
      <c r="I29" s="7">
        <v>7.0000000000000007E-2</v>
      </c>
      <c r="J29" s="9">
        <v>0</v>
      </c>
      <c r="K29" s="9">
        <v>0</v>
      </c>
      <c r="L29" s="11">
        <f t="shared" si="2"/>
        <v>1971.0544</v>
      </c>
      <c r="M29" s="11">
        <f t="shared" si="3"/>
        <v>0</v>
      </c>
      <c r="N29" s="11">
        <f t="shared" si="4"/>
        <v>0</v>
      </c>
    </row>
    <row r="30" spans="1:16">
      <c r="A30" s="44"/>
      <c r="B30" s="5">
        <f t="shared" si="5"/>
        <v>44958</v>
      </c>
      <c r="C30" s="1" t="s">
        <v>33</v>
      </c>
      <c r="D30" s="10" t="s">
        <v>341</v>
      </c>
      <c r="E30" s="118">
        <v>29113490</v>
      </c>
      <c r="F30" s="2">
        <v>62732292.579999998</v>
      </c>
      <c r="G30" s="3">
        <f t="shared" ref="G30" si="6">F30-SUM(L30:N30)</f>
        <v>52944486.630205497</v>
      </c>
      <c r="H30" s="4">
        <f>+IF(G30=0,0,G30/E30)</f>
        <v>1.8185551313224728</v>
      </c>
      <c r="I30" s="7">
        <v>7.0000000000000007E-2</v>
      </c>
      <c r="J30" s="7">
        <v>1.6500000000000001E-2</v>
      </c>
      <c r="K30" s="7">
        <v>7.5999999999999998E-2</v>
      </c>
      <c r="L30" s="11">
        <f t="shared" si="2"/>
        <v>4391260.4806000004</v>
      </c>
      <c r="M30" s="11">
        <f t="shared" si="3"/>
        <v>962627.02964010008</v>
      </c>
      <c r="N30" s="11">
        <f t="shared" si="4"/>
        <v>4433918.4395543998</v>
      </c>
      <c r="P30" s="45"/>
    </row>
    <row r="31" spans="1:16">
      <c r="A31" s="44"/>
      <c r="B31" s="5">
        <f t="shared" si="5"/>
        <v>44958</v>
      </c>
      <c r="C31" s="1" t="s">
        <v>37</v>
      </c>
      <c r="D31" s="10" t="s">
        <v>290</v>
      </c>
      <c r="E31" s="1">
        <v>644993</v>
      </c>
      <c r="F31" s="2">
        <v>3182653.46</v>
      </c>
      <c r="G31" s="3">
        <f>F31-SUM(L31:N31)</f>
        <v>2368371.572259</v>
      </c>
      <c r="H31" s="4">
        <f t="shared" si="1"/>
        <v>3.671933760922987</v>
      </c>
      <c r="I31" s="7">
        <v>0.18</v>
      </c>
      <c r="J31" s="7">
        <v>1.6500000000000001E-2</v>
      </c>
      <c r="K31" s="7">
        <v>7.5999999999999998E-2</v>
      </c>
      <c r="L31" s="11">
        <f>+I31*F31</f>
        <v>572877.62280000001</v>
      </c>
      <c r="M31" s="11">
        <f t="shared" si="3"/>
        <v>43061.301313800002</v>
      </c>
      <c r="N31" s="11">
        <f t="shared" si="4"/>
        <v>198342.96362719999</v>
      </c>
      <c r="O31" s="41"/>
    </row>
    <row r="32" spans="1:16">
      <c r="A32" s="44"/>
      <c r="B32" s="5">
        <f t="shared" si="5"/>
        <v>44958</v>
      </c>
      <c r="C32" s="1" t="s">
        <v>36</v>
      </c>
      <c r="D32" s="46" t="s">
        <v>339</v>
      </c>
      <c r="E32" s="1">
        <v>65763</v>
      </c>
      <c r="F32" s="2">
        <v>315425.65000000002</v>
      </c>
      <c r="G32" s="3">
        <f t="shared" si="0"/>
        <v>234723.99744750001</v>
      </c>
      <c r="H32" s="4">
        <f t="shared" si="1"/>
        <v>3.569241023789973</v>
      </c>
      <c r="I32" s="7">
        <v>0.18</v>
      </c>
      <c r="J32" s="7">
        <v>1.6500000000000001E-2</v>
      </c>
      <c r="K32" s="7">
        <v>7.5999999999999998E-2</v>
      </c>
      <c r="L32" s="11">
        <f t="shared" si="2"/>
        <v>56776.617000000006</v>
      </c>
      <c r="M32" s="11">
        <f t="shared" si="3"/>
        <v>4267.7090445000003</v>
      </c>
      <c r="N32" s="11">
        <f t="shared" si="4"/>
        <v>19657.326508000002</v>
      </c>
      <c r="P32" s="42"/>
    </row>
    <row r="33" spans="2:14">
      <c r="B33" s="5"/>
      <c r="C33" s="1"/>
      <c r="D33" s="6"/>
      <c r="E33" s="1"/>
      <c r="F33" s="2"/>
      <c r="G33" s="3"/>
      <c r="H33" s="4"/>
      <c r="I33" s="7"/>
      <c r="J33" s="7"/>
      <c r="K33" s="7"/>
      <c r="L33" s="8"/>
      <c r="M33" s="8"/>
      <c r="N33" s="8"/>
    </row>
    <row r="34" spans="2:14">
      <c r="B34" s="5"/>
      <c r="C34" s="1"/>
      <c r="D34" s="6"/>
      <c r="E34" s="1"/>
      <c r="F34" s="2"/>
      <c r="G34" s="3"/>
      <c r="H34" s="4"/>
      <c r="I34" s="7"/>
      <c r="J34" s="7"/>
      <c r="K34" s="7"/>
      <c r="L34" s="8"/>
      <c r="M34" s="8"/>
      <c r="N34" s="8"/>
    </row>
    <row r="35" spans="2:14">
      <c r="E35" s="28">
        <f>SUM(E18:E34)</f>
        <v>44641552</v>
      </c>
      <c r="G35" s="29">
        <f>SUM(G18:G34)</f>
        <v>91669214.31503424</v>
      </c>
    </row>
    <row r="37" spans="2:14" ht="15.75" thickBot="1"/>
    <row r="38" spans="2:14">
      <c r="B38" s="391" t="s">
        <v>340</v>
      </c>
      <c r="C38" s="383"/>
      <c r="D38" s="383"/>
      <c r="E38" s="383"/>
      <c r="F38" s="383"/>
      <c r="G38" s="383"/>
      <c r="H38" s="383"/>
      <c r="I38" s="383"/>
      <c r="J38" s="383"/>
      <c r="K38" s="383"/>
      <c r="L38" s="383"/>
      <c r="M38" s="383"/>
      <c r="N38" s="384"/>
    </row>
    <row r="39" spans="2:14">
      <c r="B39" s="385"/>
      <c r="C39" s="386"/>
      <c r="D39" s="386"/>
      <c r="E39" s="386"/>
      <c r="F39" s="386"/>
      <c r="G39" s="386"/>
      <c r="H39" s="386"/>
      <c r="I39" s="386"/>
      <c r="J39" s="386"/>
      <c r="K39" s="386"/>
      <c r="L39" s="386"/>
      <c r="M39" s="386"/>
      <c r="N39" s="387"/>
    </row>
    <row r="40" spans="2:14">
      <c r="B40" s="385"/>
      <c r="C40" s="386"/>
      <c r="D40" s="386"/>
      <c r="E40" s="386"/>
      <c r="F40" s="386"/>
      <c r="G40" s="386"/>
      <c r="H40" s="386"/>
      <c r="I40" s="386"/>
      <c r="J40" s="386"/>
      <c r="K40" s="386"/>
      <c r="L40" s="386"/>
      <c r="M40" s="386"/>
      <c r="N40" s="387"/>
    </row>
    <row r="41" spans="2:14">
      <c r="B41" s="385"/>
      <c r="C41" s="386"/>
      <c r="D41" s="386"/>
      <c r="E41" s="386"/>
      <c r="F41" s="386"/>
      <c r="G41" s="386"/>
      <c r="H41" s="386"/>
      <c r="I41" s="386"/>
      <c r="J41" s="386"/>
      <c r="K41" s="386"/>
      <c r="L41" s="386"/>
      <c r="M41" s="386"/>
      <c r="N41" s="387"/>
    </row>
    <row r="42" spans="2:14">
      <c r="B42" s="385"/>
      <c r="C42" s="386"/>
      <c r="D42" s="386"/>
      <c r="E42" s="386"/>
      <c r="F42" s="386"/>
      <c r="G42" s="386"/>
      <c r="H42" s="386"/>
      <c r="I42" s="386"/>
      <c r="J42" s="386"/>
      <c r="K42" s="386"/>
      <c r="L42" s="386"/>
      <c r="M42" s="386"/>
      <c r="N42" s="387"/>
    </row>
    <row r="43" spans="2:14" ht="142.5" customHeight="1" thickBot="1">
      <c r="B43" s="388"/>
      <c r="C43" s="389"/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390"/>
    </row>
  </sheetData>
  <mergeCells count="3">
    <mergeCell ref="C2:L2"/>
    <mergeCell ref="L16:N16"/>
    <mergeCell ref="B38:N43"/>
  </mergeCells>
  <conditionalFormatting sqref="D11">
    <cfRule type="duplicateValues" dxfId="159" priority="1"/>
  </conditionalFormatting>
  <conditionalFormatting sqref="D37:D1048576 D1:D10 D12:D35">
    <cfRule type="duplicateValues" dxfId="158" priority="2"/>
  </conditionalFormatting>
  <pageMargins left="0.511811024" right="0.511811024" top="0.78740157499999996" bottom="0.78740157499999996" header="0.31496062000000002" footer="0.31496062000000002"/>
  <pageSetup paperSize="9" scale="53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05B2-B3E1-4D13-8B33-3FD1D284628A}">
  <sheetPr>
    <pageSetUpPr fitToPage="1"/>
  </sheetPr>
  <dimension ref="A2:P50"/>
  <sheetViews>
    <sheetView showGridLines="0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26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6.42578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44986</v>
      </c>
    </row>
    <row r="5" spans="2:14">
      <c r="C5" t="s">
        <v>17</v>
      </c>
      <c r="D5" s="14">
        <f ca="1">SUMIF($C$18:$G$36,$C$5:$C$7,$G$18:$G$36)/SUMIF($C$18:$G$36,$C$5:$C$7,$E$18:$E$36)</f>
        <v>2.418865576741573</v>
      </c>
    </row>
    <row r="6" spans="2:14">
      <c r="C6" t="s">
        <v>33</v>
      </c>
      <c r="D6" s="14">
        <f ca="1">SUMIF($C$18:$G$36,$C$5:$C$7,$G$18:$G$36)/SUMIF($C$18:$G$36,$C$5:$C$7,$E$18:$E$36)</f>
        <v>43410.081998249996</v>
      </c>
    </row>
    <row r="7" spans="2:14">
      <c r="C7" t="s">
        <v>126</v>
      </c>
      <c r="D7" s="14">
        <f>SUM(G38:G39)/SUM(E38:E39)</f>
        <v>3.6629206381435426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+G42/E42</f>
        <v>2.0418107836355333</v>
      </c>
      <c r="E9" s="14"/>
      <c r="F9" s="32"/>
      <c r="L9" s="16" t="str">
        <f>+C5</f>
        <v>Petrobras</v>
      </c>
      <c r="M9" s="17">
        <f>790000/1580000</f>
        <v>0.5</v>
      </c>
      <c r="N9" s="17">
        <f>+SUM(E18:E35)/E42</f>
        <v>0.31529810126831231</v>
      </c>
    </row>
    <row r="10" spans="2:14">
      <c r="L10" s="16" t="str">
        <f>+C6</f>
        <v>Shell</v>
      </c>
      <c r="M10" s="17">
        <v>0.47468354430379744</v>
      </c>
      <c r="N10" s="17">
        <f>+SUM(E36:E36)/E42</f>
        <v>2.0275673737321267E-8</v>
      </c>
    </row>
    <row r="11" spans="2:14">
      <c r="C11" t="s">
        <v>132</v>
      </c>
      <c r="D11" s="14">
        <v>2.0701999999999998</v>
      </c>
      <c r="L11" s="16" t="str">
        <f>+C7</f>
        <v>NFE</v>
      </c>
      <c r="M11" s="18">
        <v>2.5316455696202531E-2</v>
      </c>
      <c r="N11" s="18">
        <f>+SUM(E38:E39)/E42</f>
        <v>1.784518817508109E-2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0.33314330971906714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1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1:14">
      <c r="A18" s="44"/>
      <c r="B18" s="5">
        <f>C3</f>
        <v>44986</v>
      </c>
      <c r="C18" s="1" t="s">
        <v>17</v>
      </c>
      <c r="D18" s="6" t="s">
        <v>369</v>
      </c>
      <c r="E18" s="1">
        <v>8050</v>
      </c>
      <c r="F18" s="2">
        <v>24360.68</v>
      </c>
      <c r="G18" s="3">
        <f>F18-SUM(L18:N18)</f>
        <v>19454.439048</v>
      </c>
      <c r="H18" s="4">
        <f>+IF(G18=0,0,G18/E18)</f>
        <v>2.4167005028571427</v>
      </c>
      <c r="I18" s="7">
        <v>0.12</v>
      </c>
      <c r="J18" s="7">
        <v>1.6500000000000001E-2</v>
      </c>
      <c r="K18" s="7">
        <v>7.5999999999999998E-2</v>
      </c>
      <c r="L18" s="11">
        <f>+I18*F18</f>
        <v>2923.2815999999998</v>
      </c>
      <c r="M18" s="11">
        <f>J18*(F18-L18)</f>
        <v>353.71707360000005</v>
      </c>
      <c r="N18" s="11">
        <f>K18*(F18-L18)</f>
        <v>1629.2422784</v>
      </c>
    </row>
    <row r="19" spans="1:14">
      <c r="A19" s="44"/>
      <c r="B19" s="5">
        <f>B18</f>
        <v>44986</v>
      </c>
      <c r="C19" s="1" t="s">
        <v>17</v>
      </c>
      <c r="D19" s="6" t="s">
        <v>372</v>
      </c>
      <c r="E19" s="1">
        <v>1849870</v>
      </c>
      <c r="F19" s="2">
        <v>5297053.62</v>
      </c>
      <c r="G19" s="3">
        <f t="shared" ref="G19:G39" si="0">F19-SUM(L19:N19)</f>
        <v>4470580.8289395003</v>
      </c>
      <c r="H19" s="4">
        <f t="shared" ref="H19:H39" si="1">+IF(G19=0,0,G19/E19)</f>
        <v>2.4166999999672951</v>
      </c>
      <c r="I19" s="7">
        <v>7.0000000000000007E-2</v>
      </c>
      <c r="J19" s="7">
        <v>1.6500000000000001E-2</v>
      </c>
      <c r="K19" s="7">
        <v>7.5999999999999998E-2</v>
      </c>
      <c r="L19" s="11">
        <f t="shared" ref="L19:L39" si="2">+I19*F19</f>
        <v>370793.75340000005</v>
      </c>
      <c r="M19" s="11">
        <f t="shared" ref="M19:M39" si="3">J19*(F19-L19)</f>
        <v>81283.287798900012</v>
      </c>
      <c r="N19" s="11">
        <f t="shared" ref="N19:N39" si="4">K19*(F19-L19)</f>
        <v>374395.74986159999</v>
      </c>
    </row>
    <row r="20" spans="1:14">
      <c r="A20" s="44"/>
      <c r="B20" s="5">
        <f>B19</f>
        <v>44986</v>
      </c>
      <c r="C20" s="1" t="s">
        <v>17</v>
      </c>
      <c r="D20" s="6" t="s">
        <v>374</v>
      </c>
      <c r="E20" s="1">
        <v>55901</v>
      </c>
      <c r="F20" s="2">
        <v>169165.98</v>
      </c>
      <c r="G20" s="3">
        <f t="shared" ref="G20" si="5">F20-SUM(L20:N20)</f>
        <v>135095.95162800001</v>
      </c>
      <c r="H20" s="4">
        <f t="shared" ref="H20" si="6">+IF(G20=0,0,G20/E20)</f>
        <v>2.4167000881558471</v>
      </c>
      <c r="I20" s="7">
        <v>0.12</v>
      </c>
      <c r="J20" s="7">
        <v>1.6500000000000001E-2</v>
      </c>
      <c r="K20" s="7">
        <v>7.5999999999999998E-2</v>
      </c>
      <c r="L20" s="11">
        <f t="shared" ref="L20" si="7">+I20*F20</f>
        <v>20299.917600000001</v>
      </c>
      <c r="M20" s="11">
        <f t="shared" ref="M20" si="8">J20*(F20-L20)</f>
        <v>2456.2900296000003</v>
      </c>
      <c r="N20" s="11">
        <f t="shared" ref="N20" si="9">K20*(F20-L20)</f>
        <v>11313.820742399999</v>
      </c>
    </row>
    <row r="21" spans="1:14">
      <c r="A21" s="44"/>
      <c r="B21" s="5">
        <f>B20</f>
        <v>44986</v>
      </c>
      <c r="C21" s="1" t="s">
        <v>17</v>
      </c>
      <c r="D21" s="6" t="s">
        <v>377</v>
      </c>
      <c r="E21" s="1">
        <v>304186</v>
      </c>
      <c r="F21" s="2">
        <v>920518.8</v>
      </c>
      <c r="G21" s="3">
        <f t="shared" ref="G21" si="10">F21-SUM(L21:N21)</f>
        <v>735126.31368000002</v>
      </c>
      <c r="H21" s="4">
        <f t="shared" ref="H21" si="11">+IF(G21=0,0,G21/E21)</f>
        <v>2.4167000245902179</v>
      </c>
      <c r="I21" s="7">
        <v>0.12</v>
      </c>
      <c r="J21" s="7">
        <v>1.6500000000000001E-2</v>
      </c>
      <c r="K21" s="7">
        <v>7.5999999999999998E-2</v>
      </c>
      <c r="L21" s="11">
        <f t="shared" ref="L21" si="12">+I21*F21</f>
        <v>110462.25600000001</v>
      </c>
      <c r="M21" s="11">
        <f t="shared" ref="M21" si="13">J21*(F21-L21)</f>
        <v>13365.932976</v>
      </c>
      <c r="N21" s="11">
        <f t="shared" ref="N21" si="14">K21*(F21-L21)</f>
        <v>61564.297343999999</v>
      </c>
    </row>
    <row r="22" spans="1:14">
      <c r="A22" s="44" t="s">
        <v>160</v>
      </c>
      <c r="B22" s="5">
        <f>B19</f>
        <v>44986</v>
      </c>
      <c r="C22" s="1" t="s">
        <v>17</v>
      </c>
      <c r="D22" s="6" t="s">
        <v>363</v>
      </c>
      <c r="E22" s="1">
        <v>215</v>
      </c>
      <c r="F22" s="2">
        <v>922.68</v>
      </c>
      <c r="G22" s="3">
        <f t="shared" si="0"/>
        <v>736.85224799999992</v>
      </c>
      <c r="H22" s="4">
        <f t="shared" si="1"/>
        <v>3.4272197581395347</v>
      </c>
      <c r="I22" s="7">
        <v>0.12</v>
      </c>
      <c r="J22" s="7">
        <v>1.6500000000000001E-2</v>
      </c>
      <c r="K22" s="7">
        <v>7.5999999999999998E-2</v>
      </c>
      <c r="L22" s="11">
        <f t="shared" si="2"/>
        <v>110.7216</v>
      </c>
      <c r="M22" s="11">
        <f t="shared" si="3"/>
        <v>13.3973136</v>
      </c>
      <c r="N22" s="11">
        <f t="shared" si="4"/>
        <v>61.708838399999998</v>
      </c>
    </row>
    <row r="23" spans="1:14">
      <c r="A23" s="44" t="s">
        <v>160</v>
      </c>
      <c r="B23" s="5">
        <f t="shared" ref="B23:B39" si="15">B22</f>
        <v>44986</v>
      </c>
      <c r="C23" s="1" t="s">
        <v>17</v>
      </c>
      <c r="D23" s="6" t="s">
        <v>367</v>
      </c>
      <c r="E23" s="1">
        <v>1098</v>
      </c>
      <c r="F23" s="2">
        <v>4712.08</v>
      </c>
      <c r="G23" s="3">
        <f t="shared" si="0"/>
        <v>3763.0670879999998</v>
      </c>
      <c r="H23" s="4">
        <f t="shared" si="1"/>
        <v>3.4272013551912566</v>
      </c>
      <c r="I23" s="7">
        <v>0.12</v>
      </c>
      <c r="J23" s="7">
        <v>1.6500000000000001E-2</v>
      </c>
      <c r="K23" s="7">
        <v>7.5999999999999998E-2</v>
      </c>
      <c r="L23" s="11">
        <f t="shared" si="2"/>
        <v>565.44959999999992</v>
      </c>
      <c r="M23" s="11">
        <f t="shared" si="3"/>
        <v>68.4194016</v>
      </c>
      <c r="N23" s="11">
        <f t="shared" si="4"/>
        <v>315.14391039999998</v>
      </c>
    </row>
    <row r="24" spans="1:14">
      <c r="A24" s="44" t="s">
        <v>160</v>
      </c>
      <c r="B24" s="5">
        <f t="shared" si="15"/>
        <v>44986</v>
      </c>
      <c r="C24" s="1" t="s">
        <v>17</v>
      </c>
      <c r="D24" s="6" t="s">
        <v>375</v>
      </c>
      <c r="E24" s="1">
        <v>63</v>
      </c>
      <c r="F24" s="2">
        <v>270.36</v>
      </c>
      <c r="G24" s="3">
        <f t="shared" ref="G24" si="16">F24-SUM(L24:N24)</f>
        <v>215.90949600000002</v>
      </c>
      <c r="H24" s="4">
        <f t="shared" ref="H24" si="17">+IF(G24=0,0,G24/E24)</f>
        <v>3.4271348571428573</v>
      </c>
      <c r="I24" s="7">
        <v>0.12</v>
      </c>
      <c r="J24" s="7">
        <v>1.6500000000000001E-2</v>
      </c>
      <c r="K24" s="7">
        <v>7.5999999999999998E-2</v>
      </c>
      <c r="L24" s="11">
        <f t="shared" ref="L24" si="18">+I24*F24</f>
        <v>32.443199999999997</v>
      </c>
      <c r="M24" s="11">
        <f t="shared" ref="M24" si="19">J24*(F24-L24)</f>
        <v>3.9256272000000005</v>
      </c>
      <c r="N24" s="11">
        <f t="shared" ref="N24" si="20">K24*(F24-L24)</f>
        <v>18.0816768</v>
      </c>
    </row>
    <row r="25" spans="1:14">
      <c r="A25" s="44" t="s">
        <v>160</v>
      </c>
      <c r="B25" s="5">
        <f t="shared" si="15"/>
        <v>44986</v>
      </c>
      <c r="C25" s="1" t="s">
        <v>17</v>
      </c>
      <c r="D25" s="6" t="s">
        <v>378</v>
      </c>
      <c r="E25" s="1">
        <v>3427</v>
      </c>
      <c r="F25" s="2">
        <v>13916.3</v>
      </c>
      <c r="G25" s="3">
        <f t="shared" ref="G25" si="21">F25-SUM(L25:N25)</f>
        <v>11745.009292499999</v>
      </c>
      <c r="H25" s="4">
        <f t="shared" ref="H25" si="22">+IF(G25=0,0,G25/E25)</f>
        <v>3.4271985096294131</v>
      </c>
      <c r="I25" s="7">
        <v>7.0000000000000007E-2</v>
      </c>
      <c r="J25" s="7">
        <v>1.6500000000000001E-2</v>
      </c>
      <c r="K25" s="7">
        <v>7.5999999999999998E-2</v>
      </c>
      <c r="L25" s="11">
        <f t="shared" ref="L25" si="23">+I25*F25</f>
        <v>974.14100000000008</v>
      </c>
      <c r="M25" s="11">
        <f t="shared" ref="M25" si="24">J25*(F25-L25)</f>
        <v>213.5456235</v>
      </c>
      <c r="N25" s="11">
        <f t="shared" ref="N25" si="25">K25*(F25-L25)</f>
        <v>983.60408399999994</v>
      </c>
    </row>
    <row r="26" spans="1:14">
      <c r="A26" s="44" t="s">
        <v>265</v>
      </c>
      <c r="B26" s="5">
        <f>B23</f>
        <v>44986</v>
      </c>
      <c r="C26" s="1" t="s">
        <v>17</v>
      </c>
      <c r="D26" s="6"/>
      <c r="E26" s="1"/>
      <c r="F26" s="2"/>
      <c r="G26" s="3">
        <f t="shared" si="0"/>
        <v>0</v>
      </c>
      <c r="H26" s="4">
        <f t="shared" si="1"/>
        <v>0</v>
      </c>
      <c r="I26" s="7"/>
      <c r="J26" s="7">
        <v>1.6500000000000001E-2</v>
      </c>
      <c r="K26" s="7">
        <v>7.5999999999999998E-2</v>
      </c>
      <c r="L26" s="11">
        <f t="shared" si="2"/>
        <v>0</v>
      </c>
      <c r="M26" s="11">
        <f t="shared" si="3"/>
        <v>0</v>
      </c>
      <c r="N26" s="11">
        <f t="shared" si="4"/>
        <v>0</v>
      </c>
    </row>
    <row r="27" spans="1:14">
      <c r="A27" s="44" t="s">
        <v>159</v>
      </c>
      <c r="B27" s="5">
        <f t="shared" si="15"/>
        <v>44986</v>
      </c>
      <c r="C27" s="1" t="s">
        <v>17</v>
      </c>
      <c r="D27" s="6" t="s">
        <v>365</v>
      </c>
      <c r="E27" s="1">
        <v>1438588</v>
      </c>
      <c r="F27" s="2">
        <v>3950722.3</v>
      </c>
      <c r="G27" s="3">
        <f t="shared" si="0"/>
        <v>3476635.6239999998</v>
      </c>
      <c r="H27" s="4">
        <f t="shared" si="1"/>
        <v>2.4167000030585544</v>
      </c>
      <c r="I27" s="7">
        <v>0.12</v>
      </c>
      <c r="J27" s="9">
        <v>0</v>
      </c>
      <c r="K27" s="9">
        <v>0</v>
      </c>
      <c r="L27" s="11">
        <f t="shared" si="2"/>
        <v>474086.67599999998</v>
      </c>
      <c r="M27" s="11">
        <f t="shared" si="3"/>
        <v>0</v>
      </c>
      <c r="N27" s="11">
        <f t="shared" si="4"/>
        <v>0</v>
      </c>
    </row>
    <row r="28" spans="1:14">
      <c r="A28" s="44" t="s">
        <v>159</v>
      </c>
      <c r="B28" s="5">
        <f t="shared" si="15"/>
        <v>44986</v>
      </c>
      <c r="C28" s="1" t="s">
        <v>17</v>
      </c>
      <c r="D28" s="6" t="s">
        <v>370</v>
      </c>
      <c r="E28" s="1">
        <v>11425119</v>
      </c>
      <c r="F28" s="2">
        <v>29689338.809999999</v>
      </c>
      <c r="G28" s="3">
        <f>F28-SUM(L28:N28)</f>
        <v>27611085.0933</v>
      </c>
      <c r="H28" s="4">
        <f>+IF(G28=0,0,G28/E28)</f>
        <v>2.4167000005251587</v>
      </c>
      <c r="I28" s="7">
        <v>7.0000000000000007E-2</v>
      </c>
      <c r="J28" s="9">
        <v>0</v>
      </c>
      <c r="K28" s="9">
        <v>0</v>
      </c>
      <c r="L28" s="11">
        <f t="shared" si="2"/>
        <v>2078253.7167</v>
      </c>
      <c r="M28" s="11">
        <f t="shared" si="3"/>
        <v>0</v>
      </c>
      <c r="N28" s="11">
        <f t="shared" si="4"/>
        <v>0</v>
      </c>
    </row>
    <row r="29" spans="1:14">
      <c r="A29" s="44" t="s">
        <v>159</v>
      </c>
      <c r="B29" s="5">
        <f t="shared" si="15"/>
        <v>44986</v>
      </c>
      <c r="C29" s="1" t="s">
        <v>17</v>
      </c>
      <c r="D29" s="6" t="s">
        <v>371</v>
      </c>
      <c r="E29" s="1">
        <v>97686</v>
      </c>
      <c r="F29" s="2">
        <v>268270.18</v>
      </c>
      <c r="G29" s="3">
        <f t="shared" si="0"/>
        <v>236077.75839999999</v>
      </c>
      <c r="H29" s="4">
        <f>+IF(G29=0,0,G29/E29)</f>
        <v>2.4167000225211392</v>
      </c>
      <c r="I29" s="7">
        <v>0.12</v>
      </c>
      <c r="J29" s="9">
        <v>0</v>
      </c>
      <c r="K29" s="9">
        <v>0</v>
      </c>
      <c r="L29" s="11">
        <f t="shared" si="2"/>
        <v>32192.421599999998</v>
      </c>
      <c r="M29" s="11">
        <f t="shared" si="3"/>
        <v>0</v>
      </c>
      <c r="N29" s="11">
        <f t="shared" si="4"/>
        <v>0</v>
      </c>
    </row>
    <row r="30" spans="1:14">
      <c r="A30" s="44" t="s">
        <v>159</v>
      </c>
      <c r="B30" s="5">
        <f t="shared" si="15"/>
        <v>44986</v>
      </c>
      <c r="C30" s="1" t="s">
        <v>17</v>
      </c>
      <c r="D30" s="6" t="s">
        <v>376</v>
      </c>
      <c r="E30" s="1">
        <v>337835</v>
      </c>
      <c r="F30" s="2">
        <v>927779.36</v>
      </c>
      <c r="G30" s="3">
        <f t="shared" si="0"/>
        <v>816445.83679999993</v>
      </c>
      <c r="H30" s="4">
        <f t="shared" si="1"/>
        <v>2.4166999772078084</v>
      </c>
      <c r="I30" s="7">
        <v>0.12</v>
      </c>
      <c r="J30" s="9">
        <v>0</v>
      </c>
      <c r="K30" s="9">
        <v>0</v>
      </c>
      <c r="L30" s="11">
        <f t="shared" si="2"/>
        <v>111333.5232</v>
      </c>
      <c r="M30" s="11">
        <f t="shared" si="3"/>
        <v>0</v>
      </c>
      <c r="N30" s="11">
        <f t="shared" si="4"/>
        <v>0</v>
      </c>
    </row>
    <row r="31" spans="1:14">
      <c r="A31" s="44" t="s">
        <v>162</v>
      </c>
      <c r="B31" s="5">
        <f t="shared" si="15"/>
        <v>44986</v>
      </c>
      <c r="C31" s="1" t="s">
        <v>17</v>
      </c>
      <c r="D31" s="6" t="s">
        <v>364</v>
      </c>
      <c r="E31" s="1">
        <v>20685</v>
      </c>
      <c r="F31" s="2">
        <v>76227.56</v>
      </c>
      <c r="G31" s="3">
        <f t="shared" si="0"/>
        <v>70891.630799999999</v>
      </c>
      <c r="H31" s="4">
        <f t="shared" si="1"/>
        <v>3.427199941986947</v>
      </c>
      <c r="I31" s="7">
        <v>7.0000000000000007E-2</v>
      </c>
      <c r="J31" s="9">
        <v>0</v>
      </c>
      <c r="K31" s="9">
        <v>0</v>
      </c>
      <c r="L31" s="11">
        <f t="shared" si="2"/>
        <v>5335.9292000000005</v>
      </c>
      <c r="M31" s="11">
        <f t="shared" si="3"/>
        <v>0</v>
      </c>
      <c r="N31" s="11">
        <f t="shared" si="4"/>
        <v>0</v>
      </c>
    </row>
    <row r="32" spans="1:14">
      <c r="A32" s="44" t="s">
        <v>162</v>
      </c>
      <c r="B32" s="5">
        <f t="shared" si="15"/>
        <v>44986</v>
      </c>
      <c r="C32" s="1" t="s">
        <v>17</v>
      </c>
      <c r="D32" s="6" t="s">
        <v>366</v>
      </c>
      <c r="E32" s="1">
        <v>4410</v>
      </c>
      <c r="F32" s="2">
        <v>17174.939999999999</v>
      </c>
      <c r="G32" s="3">
        <f t="shared" si="0"/>
        <v>15113.947199999999</v>
      </c>
      <c r="H32" s="4">
        <f t="shared" si="1"/>
        <v>3.4271989115646257</v>
      </c>
      <c r="I32" s="7">
        <v>0.12</v>
      </c>
      <c r="J32" s="9">
        <v>0</v>
      </c>
      <c r="K32" s="9">
        <v>0</v>
      </c>
      <c r="L32" s="11">
        <f t="shared" si="2"/>
        <v>2060.9928</v>
      </c>
      <c r="M32" s="11">
        <f t="shared" si="3"/>
        <v>0</v>
      </c>
      <c r="N32" s="11">
        <f t="shared" si="4"/>
        <v>0</v>
      </c>
    </row>
    <row r="33" spans="1:16">
      <c r="A33" s="44" t="s">
        <v>162</v>
      </c>
      <c r="B33" s="5">
        <f t="shared" si="15"/>
        <v>44986</v>
      </c>
      <c r="C33" s="1" t="s">
        <v>17</v>
      </c>
      <c r="D33" s="6" t="s">
        <v>368</v>
      </c>
      <c r="E33" s="1">
        <v>769</v>
      </c>
      <c r="F33" s="2">
        <v>2994.91</v>
      </c>
      <c r="G33" s="3">
        <f t="shared" ref="G33" si="26">F33-SUM(L33:N33)</f>
        <v>2635.5207999999998</v>
      </c>
      <c r="H33" s="4">
        <f t="shared" ref="H33" si="27">+IF(G33=0,0,G33/E33)</f>
        <v>3.4272052015604677</v>
      </c>
      <c r="I33" s="7">
        <v>0.12</v>
      </c>
      <c r="J33" s="9">
        <v>0</v>
      </c>
      <c r="K33" s="9">
        <v>0</v>
      </c>
      <c r="L33" s="11">
        <f t="shared" ref="L33" si="28">+I33*F33</f>
        <v>359.38919999999996</v>
      </c>
      <c r="M33" s="11">
        <f t="shared" ref="M33" si="29">J33*(F33-L33)</f>
        <v>0</v>
      </c>
      <c r="N33" s="11">
        <f t="shared" ref="N33" si="30">K33*(F33-L33)</f>
        <v>0</v>
      </c>
    </row>
    <row r="34" spans="1:16">
      <c r="A34" s="44" t="s">
        <v>162</v>
      </c>
      <c r="B34" s="5">
        <f t="shared" si="15"/>
        <v>44986</v>
      </c>
      <c r="C34" s="1" t="s">
        <v>17</v>
      </c>
      <c r="D34" s="6" t="s">
        <v>373</v>
      </c>
      <c r="E34" s="1">
        <v>2659</v>
      </c>
      <c r="F34" s="2">
        <v>10355.59</v>
      </c>
      <c r="G34" s="3">
        <f t="shared" ref="G34" si="31">F34-SUM(L34:N34)</f>
        <v>9112.9192000000003</v>
      </c>
      <c r="H34" s="4">
        <f t="shared" ref="H34" si="32">+IF(G34=0,0,G34/E34)</f>
        <v>3.4271978939450922</v>
      </c>
      <c r="I34" s="7">
        <v>0.12</v>
      </c>
      <c r="J34" s="9">
        <v>0</v>
      </c>
      <c r="K34" s="9">
        <v>0</v>
      </c>
      <c r="L34" s="11">
        <f t="shared" ref="L34" si="33">+I34*F34</f>
        <v>1242.6707999999999</v>
      </c>
      <c r="M34" s="11">
        <f t="shared" ref="M34" si="34">J34*(F34-L34)</f>
        <v>0</v>
      </c>
      <c r="N34" s="11">
        <f t="shared" ref="N34" si="35">K34*(F34-L34)</f>
        <v>0</v>
      </c>
    </row>
    <row r="35" spans="1:16">
      <c r="A35" s="44" t="s">
        <v>280</v>
      </c>
      <c r="B35" s="5">
        <f>B32</f>
        <v>44986</v>
      </c>
      <c r="C35" s="1" t="s">
        <v>17</v>
      </c>
      <c r="D35" s="6"/>
      <c r="E35" s="1"/>
      <c r="F35" s="2"/>
      <c r="G35" s="3">
        <f t="shared" si="0"/>
        <v>0</v>
      </c>
      <c r="H35" s="4">
        <f t="shared" si="1"/>
        <v>0</v>
      </c>
      <c r="I35" s="7"/>
      <c r="J35" s="9">
        <v>0</v>
      </c>
      <c r="K35" s="9">
        <v>0</v>
      </c>
      <c r="L35" s="11">
        <f t="shared" si="2"/>
        <v>0</v>
      </c>
      <c r="M35" s="11">
        <f t="shared" si="3"/>
        <v>0</v>
      </c>
      <c r="N35" s="11">
        <f t="shared" si="4"/>
        <v>0</v>
      </c>
    </row>
    <row r="36" spans="1:16">
      <c r="A36" s="44"/>
      <c r="B36" s="5">
        <f t="shared" si="15"/>
        <v>44986</v>
      </c>
      <c r="C36" s="1" t="s">
        <v>33</v>
      </c>
      <c r="D36" s="10" t="s">
        <v>354</v>
      </c>
      <c r="E36" s="118">
        <v>1</v>
      </c>
      <c r="F36" s="2">
        <v>51435.27</v>
      </c>
      <c r="G36" s="3">
        <f t="shared" si="0"/>
        <v>43410.081998249996</v>
      </c>
      <c r="H36" s="4">
        <f>+IF(G36=0,0,G36/E36)</f>
        <v>43410.081998249996</v>
      </c>
      <c r="I36" s="7">
        <v>7.0000000000000007E-2</v>
      </c>
      <c r="J36" s="7">
        <v>1.6500000000000001E-2</v>
      </c>
      <c r="K36" s="7">
        <v>7.5999999999999998E-2</v>
      </c>
      <c r="L36" s="11">
        <f t="shared" si="2"/>
        <v>3600.4689000000003</v>
      </c>
      <c r="M36" s="11">
        <f t="shared" si="3"/>
        <v>789.27421815000002</v>
      </c>
      <c r="N36" s="11">
        <f t="shared" si="4"/>
        <v>3635.4448835999997</v>
      </c>
      <c r="P36" s="45"/>
    </row>
    <row r="37" spans="1:16">
      <c r="A37" s="44"/>
      <c r="B37" s="5">
        <f t="shared" si="15"/>
        <v>44986</v>
      </c>
      <c r="C37" s="1" t="s">
        <v>33</v>
      </c>
      <c r="D37" s="10" t="s">
        <v>362</v>
      </c>
      <c r="E37" s="118">
        <v>32889496</v>
      </c>
      <c r="F37" s="2">
        <v>70879495.040000007</v>
      </c>
      <c r="G37" s="3">
        <f t="shared" ref="G37" si="36">F37-SUM(L37:N37)</f>
        <v>59820521.826384008</v>
      </c>
      <c r="H37" s="4">
        <f>+IF(G37=0,0,G37/E37)</f>
        <v>1.8188336430082117</v>
      </c>
      <c r="I37" s="7">
        <v>7.0000000000000007E-2</v>
      </c>
      <c r="J37" s="7">
        <v>1.6500000000000001E-2</v>
      </c>
      <c r="K37" s="7">
        <v>7.5999999999999998E-2</v>
      </c>
      <c r="L37" s="11">
        <f t="shared" ref="L37" si="37">+I37*F37</f>
        <v>4961564.6528000012</v>
      </c>
      <c r="M37" s="11">
        <f t="shared" ref="M37" si="38">J37*(F37-L37)</f>
        <v>1087645.8513888002</v>
      </c>
      <c r="N37" s="11">
        <f t="shared" ref="N37" si="39">K37*(F37-L37)</f>
        <v>5009762.7094272003</v>
      </c>
      <c r="P37" s="45"/>
    </row>
    <row r="38" spans="1:16">
      <c r="A38" s="44"/>
      <c r="B38" s="5">
        <f>B36</f>
        <v>44986</v>
      </c>
      <c r="C38" s="1" t="s">
        <v>37</v>
      </c>
      <c r="D38" s="10" t="s">
        <v>380</v>
      </c>
      <c r="E38" s="118">
        <v>802881</v>
      </c>
      <c r="F38" s="2">
        <v>3961736.01</v>
      </c>
      <c r="G38" s="3">
        <f>F38-SUM(L38:N38)</f>
        <v>2948125.8518415</v>
      </c>
      <c r="H38" s="4">
        <f t="shared" si="1"/>
        <v>3.6719337633366589</v>
      </c>
      <c r="I38" s="7">
        <v>0.18</v>
      </c>
      <c r="J38" s="7">
        <v>1.6500000000000001E-2</v>
      </c>
      <c r="K38" s="7">
        <v>7.5999999999999998E-2</v>
      </c>
      <c r="L38" s="11">
        <f>+I38*F38</f>
        <v>713112.48179999995</v>
      </c>
      <c r="M38" s="11">
        <f t="shared" si="3"/>
        <v>53602.288215299995</v>
      </c>
      <c r="N38" s="11">
        <f t="shared" si="4"/>
        <v>246895.38814319996</v>
      </c>
      <c r="O38" s="41"/>
    </row>
    <row r="39" spans="1:16">
      <c r="A39" s="44"/>
      <c r="B39" s="5">
        <f t="shared" si="15"/>
        <v>44986</v>
      </c>
      <c r="C39" s="1" t="s">
        <v>36</v>
      </c>
      <c r="D39" s="46" t="s">
        <v>361</v>
      </c>
      <c r="E39" s="1">
        <v>77247</v>
      </c>
      <c r="F39" s="2">
        <v>370507.51</v>
      </c>
      <c r="G39" s="3">
        <f t="shared" si="0"/>
        <v>275713.16356650001</v>
      </c>
      <c r="H39" s="4">
        <f t="shared" si="1"/>
        <v>3.5692410522932931</v>
      </c>
      <c r="I39" s="7">
        <v>0.18</v>
      </c>
      <c r="J39" s="7">
        <v>1.6500000000000001E-2</v>
      </c>
      <c r="K39" s="7">
        <v>7.5999999999999998E-2</v>
      </c>
      <c r="L39" s="11">
        <f t="shared" si="2"/>
        <v>66691.351800000004</v>
      </c>
      <c r="M39" s="11">
        <f t="shared" si="3"/>
        <v>5012.9666103</v>
      </c>
      <c r="N39" s="11">
        <f t="shared" si="4"/>
        <v>23090.0280232</v>
      </c>
      <c r="P39" s="42"/>
    </row>
    <row r="40" spans="1:16">
      <c r="B40" s="5"/>
      <c r="C40" s="1"/>
      <c r="D40" s="6"/>
      <c r="E40" s="1"/>
      <c r="F40" s="2"/>
      <c r="G40" s="3"/>
      <c r="H40" s="4"/>
      <c r="I40" s="7"/>
      <c r="J40" s="7"/>
      <c r="K40" s="7"/>
      <c r="L40" s="8"/>
      <c r="M40" s="8"/>
      <c r="N40" s="8"/>
    </row>
    <row r="41" spans="1:16">
      <c r="B41" s="5"/>
      <c r="C41" s="1"/>
      <c r="D41" s="6"/>
      <c r="E41" s="1"/>
      <c r="F41" s="2"/>
      <c r="G41" s="3"/>
      <c r="H41" s="4"/>
      <c r="I41" s="7"/>
      <c r="J41" s="7"/>
      <c r="K41" s="7"/>
      <c r="L41" s="8"/>
      <c r="M41" s="8"/>
      <c r="N41" s="8"/>
    </row>
    <row r="42" spans="1:16">
      <c r="E42" s="28">
        <f>SUM(E18:E41)</f>
        <v>49320186</v>
      </c>
      <c r="G42" s="29">
        <f>SUM(G18:G41)</f>
        <v>100702487.62571026</v>
      </c>
    </row>
    <row r="44" spans="1:16" ht="15.75" thickBot="1"/>
    <row r="45" spans="1:16">
      <c r="B45" s="391" t="s">
        <v>394</v>
      </c>
      <c r="C45" s="383"/>
      <c r="D45" s="383"/>
      <c r="E45" s="383"/>
      <c r="F45" s="383"/>
      <c r="G45" s="383"/>
      <c r="H45" s="383"/>
      <c r="I45" s="383"/>
      <c r="J45" s="383"/>
      <c r="K45" s="383"/>
      <c r="L45" s="383"/>
      <c r="M45" s="383"/>
      <c r="N45" s="384"/>
    </row>
    <row r="46" spans="1:16">
      <c r="B46" s="385"/>
      <c r="C46" s="386"/>
      <c r="D46" s="386"/>
      <c r="E46" s="386"/>
      <c r="F46" s="386"/>
      <c r="G46" s="386"/>
      <c r="H46" s="386"/>
      <c r="I46" s="386"/>
      <c r="J46" s="386"/>
      <c r="K46" s="386"/>
      <c r="L46" s="386"/>
      <c r="M46" s="386"/>
      <c r="N46" s="387"/>
    </row>
    <row r="47" spans="1:16">
      <c r="B47" s="385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7"/>
    </row>
    <row r="48" spans="1:16">
      <c r="B48" s="385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 ht="142.5" customHeight="1" thickBot="1">
      <c r="B50" s="388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90"/>
    </row>
  </sheetData>
  <mergeCells count="3">
    <mergeCell ref="C2:L2"/>
    <mergeCell ref="L16:N16"/>
    <mergeCell ref="B45:N50"/>
  </mergeCells>
  <conditionalFormatting sqref="D11">
    <cfRule type="duplicateValues" dxfId="157" priority="1"/>
  </conditionalFormatting>
  <conditionalFormatting sqref="D44:D1048576 D1:D10 D12:D42">
    <cfRule type="duplicateValues" dxfId="156" priority="2"/>
  </conditionalFormatting>
  <pageMargins left="0.511811024" right="0.511811024" top="0.78740157499999996" bottom="0.78740157499999996" header="0.31496062000000002" footer="0.31496062000000002"/>
  <pageSetup paperSize="9" scale="5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759A-6CF5-4E1E-A614-A171B6D84027}">
  <sheetPr>
    <pageSetUpPr fitToPage="1"/>
  </sheetPr>
  <dimension ref="A2:P50"/>
  <sheetViews>
    <sheetView showGridLines="0" topLeftCell="A10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26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6.42578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2:14" ht="23.25">
      <c r="C3" s="13">
        <v>45017</v>
      </c>
    </row>
    <row r="5" spans="2:14">
      <c r="C5" t="s">
        <v>17</v>
      </c>
      <c r="D5" s="14">
        <f ca="1">SUMIF($C$18:$G$39,$C$5:$C$7,$G$18:$G$39)/SUMIF($C$18:$G$39,$C$5:$C$7,$E$18:$E$39)</f>
        <v>2.4898733555247756</v>
      </c>
    </row>
    <row r="6" spans="2:14">
      <c r="C6" t="s">
        <v>33</v>
      </c>
      <c r="D6" s="14">
        <f ca="1">SUMIF($C$18:$G$39,$C$5:$C$7,$G$18:$G$39)/SUMIF($C$18:$G$39,$C$5:$C$7,$E$18:$E$39)</f>
        <v>1.8182597400708918</v>
      </c>
    </row>
    <row r="7" spans="2:14">
      <c r="C7" t="s">
        <v>417</v>
      </c>
      <c r="D7" s="14">
        <f>SUM(G38:G39)/SUM(E38:E39)</f>
        <v>3.6031494241178597</v>
      </c>
    </row>
    <row r="8" spans="2:14">
      <c r="M8" s="15" t="s">
        <v>127</v>
      </c>
      <c r="N8" s="15" t="s">
        <v>128</v>
      </c>
    </row>
    <row r="9" spans="2:14">
      <c r="C9" s="30" t="s">
        <v>129</v>
      </c>
      <c r="D9" s="31">
        <f>+G42/E42</f>
        <v>2.0274108013222136</v>
      </c>
      <c r="E9" s="14"/>
      <c r="F9" s="32"/>
      <c r="L9" s="16" t="str">
        <f>+C5</f>
        <v>Petrobras</v>
      </c>
      <c r="M9" s="17">
        <f>790000/1580000</f>
        <v>0.5</v>
      </c>
      <c r="N9" s="17">
        <f>+SUM(E18:E35)/E42</f>
        <v>0.26248224665047737</v>
      </c>
    </row>
    <row r="10" spans="2:14">
      <c r="L10" s="16" t="str">
        <f>+C6</f>
        <v>Shell</v>
      </c>
      <c r="M10" s="17">
        <v>0.47468354430379744</v>
      </c>
      <c r="N10" s="17">
        <f>+SUM(E36:E36)/E42</f>
        <v>0.71910518092016029</v>
      </c>
    </row>
    <row r="11" spans="2:14">
      <c r="C11" t="s">
        <v>132</v>
      </c>
      <c r="D11" s="14">
        <v>2.0701999999999998</v>
      </c>
      <c r="L11" s="16" t="str">
        <f>+C7</f>
        <v>NFE Fortress</v>
      </c>
      <c r="M11" s="18">
        <v>2.53164556962025E-2</v>
      </c>
      <c r="N11" s="18">
        <f>+SUM(E38:E39)/E42</f>
        <v>1.8412572429362339E-2</v>
      </c>
    </row>
    <row r="12" spans="2:14">
      <c r="D12" s="19"/>
      <c r="L12" s="20" t="s">
        <v>38</v>
      </c>
      <c r="M12" s="21">
        <f>SUM(M9:M11)</f>
        <v>1</v>
      </c>
      <c r="N12" s="21">
        <f>SUM(N9:N11)</f>
        <v>1</v>
      </c>
    </row>
    <row r="13" spans="2:14">
      <c r="D13" s="22"/>
    </row>
    <row r="16" spans="2:14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381" t="s">
        <v>100</v>
      </c>
      <c r="M16" s="381"/>
      <c r="N16" s="381"/>
    </row>
    <row r="17" spans="1:14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7" t="s">
        <v>3</v>
      </c>
      <c r="M17" s="27" t="s">
        <v>97</v>
      </c>
      <c r="N17" s="27" t="s">
        <v>98</v>
      </c>
    </row>
    <row r="18" spans="1:14">
      <c r="A18" s="44" t="s">
        <v>159</v>
      </c>
      <c r="B18" s="5">
        <f>C3</f>
        <v>45017</v>
      </c>
      <c r="C18" s="1" t="s">
        <v>17</v>
      </c>
      <c r="D18" s="6" t="s">
        <v>382</v>
      </c>
      <c r="E18" s="1">
        <v>3759795</v>
      </c>
      <c r="F18" s="2">
        <v>9770211.3800000008</v>
      </c>
      <c r="G18" s="3">
        <f>F18-SUM(L18:N18)</f>
        <v>9086296.5833999999</v>
      </c>
      <c r="H18" s="4">
        <f>+IF(G18=0,0,G18/E18)</f>
        <v>2.4167000018352063</v>
      </c>
      <c r="I18" s="7">
        <v>7.0000000000000007E-2</v>
      </c>
      <c r="J18" s="9">
        <v>0</v>
      </c>
      <c r="K18" s="9">
        <v>0</v>
      </c>
      <c r="L18" s="11">
        <f>+I18*F18</f>
        <v>683914.79660000012</v>
      </c>
      <c r="M18" s="11">
        <f>J18*(F18-L18)</f>
        <v>0</v>
      </c>
      <c r="N18" s="11">
        <f>K18*(F18-L18)</f>
        <v>0</v>
      </c>
    </row>
    <row r="19" spans="1:14">
      <c r="A19" s="44" t="s">
        <v>159</v>
      </c>
      <c r="B19" s="5">
        <f>B18</f>
        <v>45017</v>
      </c>
      <c r="C19" s="1" t="s">
        <v>17</v>
      </c>
      <c r="D19" s="6" t="s">
        <v>383</v>
      </c>
      <c r="E19" s="1">
        <v>3643953</v>
      </c>
      <c r="F19" s="2">
        <v>10007205.93</v>
      </c>
      <c r="G19" s="3">
        <f t="shared" ref="G19:G39" si="0">F19-SUM(L19:N19)</f>
        <v>8806341.2183999997</v>
      </c>
      <c r="H19" s="4">
        <f t="shared" ref="H19:H39" si="1">+IF(G19=0,0,G19/E19)</f>
        <v>2.4167000009056099</v>
      </c>
      <c r="I19" s="7">
        <v>0.12</v>
      </c>
      <c r="J19" s="9">
        <v>0</v>
      </c>
      <c r="K19" s="9">
        <v>0</v>
      </c>
      <c r="L19" s="11">
        <f t="shared" ref="L19:L39" si="2">+I19*F19</f>
        <v>1200864.7115999998</v>
      </c>
      <c r="M19" s="11">
        <f t="shared" ref="M19:M39" si="3">J19*(F19-L19)</f>
        <v>0</v>
      </c>
      <c r="N19" s="11">
        <f t="shared" ref="N19:N39" si="4">K19*(F19-L19)</f>
        <v>0</v>
      </c>
    </row>
    <row r="20" spans="1:14">
      <c r="A20" s="44" t="s">
        <v>159</v>
      </c>
      <c r="B20" s="5">
        <f t="shared" ref="B20:B39" si="5">B19</f>
        <v>45017</v>
      </c>
      <c r="C20" s="1" t="s">
        <v>17</v>
      </c>
      <c r="D20" s="6" t="s">
        <v>384</v>
      </c>
      <c r="E20" s="1">
        <v>2326966</v>
      </c>
      <c r="F20" s="2">
        <v>6390430.3799999999</v>
      </c>
      <c r="G20" s="3">
        <f t="shared" si="0"/>
        <v>5623578.7344000004</v>
      </c>
      <c r="H20" s="4">
        <f t="shared" si="1"/>
        <v>2.4167000009454371</v>
      </c>
      <c r="I20" s="7">
        <v>0.12</v>
      </c>
      <c r="J20" s="9">
        <v>0</v>
      </c>
      <c r="K20" s="9">
        <v>0</v>
      </c>
      <c r="L20" s="11">
        <f t="shared" si="2"/>
        <v>766851.64559999993</v>
      </c>
      <c r="M20" s="11">
        <f t="shared" si="3"/>
        <v>0</v>
      </c>
      <c r="N20" s="11">
        <f t="shared" si="4"/>
        <v>0</v>
      </c>
    </row>
    <row r="21" spans="1:14">
      <c r="A21" s="44" t="s">
        <v>159</v>
      </c>
      <c r="B21" s="5">
        <f t="shared" si="5"/>
        <v>45017</v>
      </c>
      <c r="C21" s="1" t="s">
        <v>17</v>
      </c>
      <c r="D21" s="6" t="s">
        <v>385</v>
      </c>
      <c r="E21" s="1">
        <v>1656889</v>
      </c>
      <c r="F21" s="2">
        <v>4550231.42</v>
      </c>
      <c r="G21" s="3">
        <f t="shared" si="0"/>
        <v>4004203.6496000001</v>
      </c>
      <c r="H21" s="4">
        <f t="shared" si="1"/>
        <v>2.4167000019916847</v>
      </c>
      <c r="I21" s="7">
        <v>0.12</v>
      </c>
      <c r="J21" s="9">
        <v>0</v>
      </c>
      <c r="K21" s="9">
        <v>0</v>
      </c>
      <c r="L21" s="11">
        <f t="shared" si="2"/>
        <v>546027.77039999992</v>
      </c>
      <c r="M21" s="11">
        <f t="shared" si="3"/>
        <v>0</v>
      </c>
      <c r="N21" s="11">
        <f t="shared" si="4"/>
        <v>0</v>
      </c>
    </row>
    <row r="22" spans="1:14">
      <c r="A22" s="44" t="s">
        <v>159</v>
      </c>
      <c r="B22" s="5">
        <f t="shared" si="5"/>
        <v>45017</v>
      </c>
      <c r="C22" s="1" t="s">
        <v>17</v>
      </c>
      <c r="D22" s="6" t="s">
        <v>386</v>
      </c>
      <c r="E22" s="1">
        <v>221902</v>
      </c>
      <c r="F22" s="2">
        <v>609398.36</v>
      </c>
      <c r="G22" s="3">
        <f t="shared" si="0"/>
        <v>536270.55680000002</v>
      </c>
      <c r="H22" s="4">
        <f t="shared" si="1"/>
        <v>2.4166999702571408</v>
      </c>
      <c r="I22" s="7">
        <v>0.12</v>
      </c>
      <c r="J22" s="9">
        <v>0</v>
      </c>
      <c r="K22" s="9">
        <v>0</v>
      </c>
      <c r="L22" s="11">
        <f t="shared" si="2"/>
        <v>73127.803199999995</v>
      </c>
      <c r="M22" s="11">
        <f t="shared" si="3"/>
        <v>0</v>
      </c>
      <c r="N22" s="11">
        <f t="shared" si="4"/>
        <v>0</v>
      </c>
    </row>
    <row r="23" spans="1:14">
      <c r="A23" s="44" t="s">
        <v>162</v>
      </c>
      <c r="B23" s="5">
        <f t="shared" si="5"/>
        <v>45017</v>
      </c>
      <c r="C23" s="1" t="s">
        <v>17</v>
      </c>
      <c r="D23" s="6" t="s">
        <v>387</v>
      </c>
      <c r="E23" s="1">
        <v>107153</v>
      </c>
      <c r="F23" s="2">
        <v>417312.23</v>
      </c>
      <c r="G23" s="3">
        <f t="shared" si="0"/>
        <v>367234.76240000001</v>
      </c>
      <c r="H23" s="4">
        <f t="shared" si="1"/>
        <v>3.4272000074659599</v>
      </c>
      <c r="I23" s="7">
        <v>0.12</v>
      </c>
      <c r="J23" s="9">
        <v>0</v>
      </c>
      <c r="K23" s="9">
        <v>0</v>
      </c>
      <c r="L23" s="11">
        <f t="shared" si="2"/>
        <v>50077.467599999996</v>
      </c>
      <c r="M23" s="11">
        <f t="shared" si="3"/>
        <v>0</v>
      </c>
      <c r="N23" s="11">
        <f t="shared" si="4"/>
        <v>0</v>
      </c>
    </row>
    <row r="24" spans="1:14">
      <c r="A24" s="44" t="s">
        <v>162</v>
      </c>
      <c r="B24" s="5">
        <f t="shared" si="5"/>
        <v>45017</v>
      </c>
      <c r="C24" s="1" t="s">
        <v>17</v>
      </c>
      <c r="D24" s="6" t="s">
        <v>388</v>
      </c>
      <c r="E24" s="1">
        <v>73390</v>
      </c>
      <c r="F24" s="2">
        <v>270453.99</v>
      </c>
      <c r="G24" s="3">
        <f t="shared" si="0"/>
        <v>251522.2107</v>
      </c>
      <c r="H24" s="4">
        <f t="shared" si="1"/>
        <v>3.4272000367897535</v>
      </c>
      <c r="I24" s="7">
        <v>7.0000000000000007E-2</v>
      </c>
      <c r="J24" s="9">
        <v>0</v>
      </c>
      <c r="K24" s="9">
        <v>0</v>
      </c>
      <c r="L24" s="11">
        <f t="shared" si="2"/>
        <v>18931.779300000002</v>
      </c>
      <c r="M24" s="11">
        <f t="shared" si="3"/>
        <v>0</v>
      </c>
      <c r="N24" s="11">
        <f t="shared" si="4"/>
        <v>0</v>
      </c>
    </row>
    <row r="25" spans="1:14">
      <c r="A25" s="44" t="s">
        <v>162</v>
      </c>
      <c r="B25" s="5">
        <f t="shared" si="5"/>
        <v>45017</v>
      </c>
      <c r="C25" s="1" t="s">
        <v>17</v>
      </c>
      <c r="D25" s="6" t="s">
        <v>389</v>
      </c>
      <c r="E25" s="1">
        <v>52254</v>
      </c>
      <c r="F25" s="2">
        <v>203505.58</v>
      </c>
      <c r="G25" s="3">
        <f t="shared" si="0"/>
        <v>179084.91039999999</v>
      </c>
      <c r="H25" s="4">
        <f t="shared" si="1"/>
        <v>3.4272000306196655</v>
      </c>
      <c r="I25" s="7">
        <v>0.12</v>
      </c>
      <c r="J25" s="9">
        <v>0</v>
      </c>
      <c r="K25" s="9">
        <v>0</v>
      </c>
      <c r="L25" s="11">
        <f t="shared" si="2"/>
        <v>24420.669599999997</v>
      </c>
      <c r="M25" s="11">
        <f t="shared" si="3"/>
        <v>0</v>
      </c>
      <c r="N25" s="11">
        <f t="shared" si="4"/>
        <v>0</v>
      </c>
    </row>
    <row r="26" spans="1:14">
      <c r="A26" s="44" t="s">
        <v>162</v>
      </c>
      <c r="B26" s="5">
        <f t="shared" si="5"/>
        <v>45017</v>
      </c>
      <c r="C26" s="1" t="s">
        <v>17</v>
      </c>
      <c r="D26" s="6" t="s">
        <v>390</v>
      </c>
      <c r="E26" s="1">
        <v>1171</v>
      </c>
      <c r="F26" s="2">
        <v>4560.51</v>
      </c>
      <c r="G26" s="3">
        <f t="shared" si="0"/>
        <v>4013.2488000000003</v>
      </c>
      <c r="H26" s="4">
        <f t="shared" si="1"/>
        <v>3.4271979504696843</v>
      </c>
      <c r="I26" s="7">
        <v>0.12</v>
      </c>
      <c r="J26" s="9">
        <v>0</v>
      </c>
      <c r="K26" s="9">
        <v>0</v>
      </c>
      <c r="L26" s="11">
        <f t="shared" si="2"/>
        <v>547.26120000000003</v>
      </c>
      <c r="M26" s="11">
        <f t="shared" si="3"/>
        <v>0</v>
      </c>
      <c r="N26" s="11">
        <f t="shared" si="4"/>
        <v>0</v>
      </c>
    </row>
    <row r="27" spans="1:14">
      <c r="A27" s="44" t="s">
        <v>162</v>
      </c>
      <c r="B27" s="5">
        <f t="shared" si="5"/>
        <v>45017</v>
      </c>
      <c r="C27" s="1" t="s">
        <v>17</v>
      </c>
      <c r="D27" s="6" t="s">
        <v>391</v>
      </c>
      <c r="E27" s="1">
        <v>846</v>
      </c>
      <c r="F27" s="2">
        <v>3294.78</v>
      </c>
      <c r="G27" s="3">
        <f t="shared" si="0"/>
        <v>2899.4064000000003</v>
      </c>
      <c r="H27" s="4">
        <f t="shared" si="1"/>
        <v>3.4271943262411351</v>
      </c>
      <c r="I27" s="7">
        <v>0.12</v>
      </c>
      <c r="J27" s="9">
        <v>0</v>
      </c>
      <c r="K27" s="9">
        <v>0</v>
      </c>
      <c r="L27" s="11">
        <f t="shared" si="2"/>
        <v>395.37360000000001</v>
      </c>
      <c r="M27" s="11">
        <f t="shared" si="3"/>
        <v>0</v>
      </c>
      <c r="N27" s="11">
        <f t="shared" si="4"/>
        <v>0</v>
      </c>
    </row>
    <row r="28" spans="1:14">
      <c r="A28" s="44" t="s">
        <v>280</v>
      </c>
      <c r="B28" s="5">
        <f t="shared" si="5"/>
        <v>45017</v>
      </c>
      <c r="C28" s="1" t="s">
        <v>17</v>
      </c>
      <c r="D28" s="6" t="s">
        <v>392</v>
      </c>
      <c r="E28" s="1">
        <v>319278</v>
      </c>
      <c r="F28" s="2">
        <v>1610068.16</v>
      </c>
      <c r="G28" s="3">
        <f>F28-SUM(L28:N28)</f>
        <v>1416859.9808</v>
      </c>
      <c r="H28" s="4">
        <f>+IF(G28=0,0,G28/E28)</f>
        <v>4.4377000006264131</v>
      </c>
      <c r="I28" s="7">
        <v>0.12</v>
      </c>
      <c r="J28" s="9">
        <v>0</v>
      </c>
      <c r="K28" s="9">
        <v>0</v>
      </c>
      <c r="L28" s="11">
        <f t="shared" si="2"/>
        <v>193208.17919999998</v>
      </c>
      <c r="M28" s="11">
        <f t="shared" si="3"/>
        <v>0</v>
      </c>
      <c r="N28" s="11">
        <f t="shared" si="4"/>
        <v>0</v>
      </c>
    </row>
    <row r="29" spans="1:14">
      <c r="A29" s="44" t="s">
        <v>280</v>
      </c>
      <c r="B29" s="5">
        <f t="shared" si="5"/>
        <v>45017</v>
      </c>
      <c r="C29" s="1" t="s">
        <v>17</v>
      </c>
      <c r="D29" s="6" t="s">
        <v>393</v>
      </c>
      <c r="E29" s="1">
        <v>3856</v>
      </c>
      <c r="F29" s="2">
        <v>19445.189999999999</v>
      </c>
      <c r="G29" s="3">
        <f t="shared" si="0"/>
        <v>17111.767199999998</v>
      </c>
      <c r="H29" s="4">
        <f>+IF(G29=0,0,G29/E29)</f>
        <v>4.4376989626556016</v>
      </c>
      <c r="I29" s="7">
        <v>0.12</v>
      </c>
      <c r="J29" s="9">
        <v>0</v>
      </c>
      <c r="K29" s="9">
        <v>0</v>
      </c>
      <c r="L29" s="11">
        <f t="shared" si="2"/>
        <v>2333.4227999999998</v>
      </c>
      <c r="M29" s="11">
        <f t="shared" si="3"/>
        <v>0</v>
      </c>
      <c r="N29" s="11">
        <f t="shared" si="4"/>
        <v>0</v>
      </c>
    </row>
    <row r="30" spans="1:14" hidden="1">
      <c r="A30" s="44"/>
      <c r="B30" s="5">
        <f t="shared" si="5"/>
        <v>45017</v>
      </c>
      <c r="C30" s="1" t="s">
        <v>17</v>
      </c>
      <c r="D30" s="6"/>
      <c r="E30" s="1"/>
      <c r="F30" s="2"/>
      <c r="G30" s="3">
        <f t="shared" si="0"/>
        <v>0</v>
      </c>
      <c r="H30" s="4">
        <f t="shared" si="1"/>
        <v>0</v>
      </c>
      <c r="I30" s="7"/>
      <c r="J30" s="7">
        <v>1.6500000000000001E-2</v>
      </c>
      <c r="K30" s="7">
        <v>7.5999999999999998E-2</v>
      </c>
      <c r="L30" s="11">
        <f t="shared" si="2"/>
        <v>0</v>
      </c>
      <c r="M30" s="11">
        <f t="shared" si="3"/>
        <v>0</v>
      </c>
      <c r="N30" s="11">
        <f t="shared" si="4"/>
        <v>0</v>
      </c>
    </row>
    <row r="31" spans="1:14" hidden="1">
      <c r="A31" s="44"/>
      <c r="B31" s="5">
        <f t="shared" si="5"/>
        <v>45017</v>
      </c>
      <c r="C31" s="1" t="s">
        <v>17</v>
      </c>
      <c r="D31" s="6"/>
      <c r="E31" s="1"/>
      <c r="F31" s="2"/>
      <c r="G31" s="3">
        <f t="shared" si="0"/>
        <v>0</v>
      </c>
      <c r="H31" s="4">
        <f t="shared" si="1"/>
        <v>0</v>
      </c>
      <c r="I31" s="7"/>
      <c r="J31" s="7">
        <v>1.6500000000000001E-2</v>
      </c>
      <c r="K31" s="7">
        <v>7.5999999999999998E-2</v>
      </c>
      <c r="L31" s="11">
        <f t="shared" si="2"/>
        <v>0</v>
      </c>
      <c r="M31" s="11">
        <f t="shared" si="3"/>
        <v>0</v>
      </c>
      <c r="N31" s="11">
        <f t="shared" si="4"/>
        <v>0</v>
      </c>
    </row>
    <row r="32" spans="1:14" hidden="1">
      <c r="A32" s="44"/>
      <c r="B32" s="5">
        <f t="shared" si="5"/>
        <v>45017</v>
      </c>
      <c r="C32" s="1" t="s">
        <v>17</v>
      </c>
      <c r="D32" s="6"/>
      <c r="E32" s="1"/>
      <c r="F32" s="2"/>
      <c r="G32" s="3">
        <f t="shared" si="0"/>
        <v>0</v>
      </c>
      <c r="H32" s="4">
        <f t="shared" si="1"/>
        <v>0</v>
      </c>
      <c r="I32" s="7"/>
      <c r="J32" s="7">
        <v>1.6500000000000001E-2</v>
      </c>
      <c r="K32" s="7">
        <v>7.5999999999999998E-2</v>
      </c>
      <c r="L32" s="11">
        <f t="shared" si="2"/>
        <v>0</v>
      </c>
      <c r="M32" s="11">
        <f t="shared" si="3"/>
        <v>0</v>
      </c>
      <c r="N32" s="11">
        <f t="shared" si="4"/>
        <v>0</v>
      </c>
    </row>
    <row r="33" spans="1:16" hidden="1">
      <c r="A33" s="44"/>
      <c r="B33" s="5">
        <f t="shared" si="5"/>
        <v>45017</v>
      </c>
      <c r="C33" s="1" t="s">
        <v>17</v>
      </c>
      <c r="D33" s="6"/>
      <c r="E33" s="1"/>
      <c r="F33" s="2"/>
      <c r="G33" s="3">
        <f t="shared" ref="G33" si="6">F33-SUM(L33:N33)</f>
        <v>0</v>
      </c>
      <c r="H33" s="4">
        <f t="shared" si="1"/>
        <v>0</v>
      </c>
      <c r="I33" s="7"/>
      <c r="J33" s="7">
        <v>1.6500000000000001E-2</v>
      </c>
      <c r="K33" s="7">
        <v>7.5999999999999998E-2</v>
      </c>
      <c r="L33" s="11">
        <f t="shared" si="2"/>
        <v>0</v>
      </c>
      <c r="M33" s="11">
        <f t="shared" si="3"/>
        <v>0</v>
      </c>
      <c r="N33" s="11">
        <f t="shared" si="4"/>
        <v>0</v>
      </c>
    </row>
    <row r="34" spans="1:16" hidden="1">
      <c r="A34" s="44"/>
      <c r="B34" s="5">
        <f t="shared" si="5"/>
        <v>45017</v>
      </c>
      <c r="C34" s="1" t="s">
        <v>17</v>
      </c>
      <c r="D34" s="6"/>
      <c r="E34" s="1"/>
      <c r="F34" s="2"/>
      <c r="G34" s="3">
        <f t="shared" ref="G34" si="7">F34-SUM(L34:N34)</f>
        <v>0</v>
      </c>
      <c r="H34" s="4">
        <f t="shared" si="1"/>
        <v>0</v>
      </c>
      <c r="I34" s="7"/>
      <c r="J34" s="7">
        <v>1.6500000000000001E-2</v>
      </c>
      <c r="K34" s="7">
        <v>7.5999999999999998E-2</v>
      </c>
      <c r="L34" s="11">
        <f t="shared" si="2"/>
        <v>0</v>
      </c>
      <c r="M34" s="11">
        <f t="shared" si="3"/>
        <v>0</v>
      </c>
      <c r="N34" s="11">
        <f t="shared" si="4"/>
        <v>0</v>
      </c>
    </row>
    <row r="35" spans="1:16" hidden="1">
      <c r="A35" s="44"/>
      <c r="B35" s="5">
        <f t="shared" si="5"/>
        <v>45017</v>
      </c>
      <c r="C35" s="1" t="s">
        <v>17</v>
      </c>
      <c r="D35" s="6"/>
      <c r="E35" s="1"/>
      <c r="F35" s="2"/>
      <c r="G35" s="3">
        <f t="shared" si="0"/>
        <v>0</v>
      </c>
      <c r="H35" s="4">
        <f t="shared" si="1"/>
        <v>0</v>
      </c>
      <c r="I35" s="7"/>
      <c r="J35" s="7">
        <v>1.6500000000000001E-2</v>
      </c>
      <c r="K35" s="7">
        <v>7.5999999999999998E-2</v>
      </c>
      <c r="L35" s="11">
        <f t="shared" si="2"/>
        <v>0</v>
      </c>
      <c r="M35" s="11">
        <f t="shared" si="3"/>
        <v>0</v>
      </c>
      <c r="N35" s="11">
        <f t="shared" si="4"/>
        <v>0</v>
      </c>
    </row>
    <row r="36" spans="1:16">
      <c r="A36" s="44"/>
      <c r="B36" s="5">
        <f t="shared" si="5"/>
        <v>45017</v>
      </c>
      <c r="C36" s="1" t="s">
        <v>33</v>
      </c>
      <c r="D36" s="10" t="s">
        <v>395</v>
      </c>
      <c r="E36" s="118">
        <v>33334363</v>
      </c>
      <c r="F36" s="2">
        <v>71815551.650000006</v>
      </c>
      <c r="G36" s="3">
        <f t="shared" si="0"/>
        <v>60610530.203808755</v>
      </c>
      <c r="H36" s="4">
        <f>+IF(G36=0,0,G36/E36)</f>
        <v>1.8182597400708918</v>
      </c>
      <c r="I36" s="7">
        <v>7.0000000000000007E-2</v>
      </c>
      <c r="J36" s="7">
        <v>1.6500000000000001E-2</v>
      </c>
      <c r="K36" s="7">
        <v>7.5999999999999998E-2</v>
      </c>
      <c r="L36" s="11">
        <f t="shared" si="2"/>
        <v>5027088.6155000012</v>
      </c>
      <c r="M36" s="11">
        <f t="shared" si="3"/>
        <v>1102009.64006925</v>
      </c>
      <c r="N36" s="11">
        <f t="shared" si="4"/>
        <v>5075923.190622</v>
      </c>
      <c r="P36" s="182"/>
    </row>
    <row r="37" spans="1:16" hidden="1">
      <c r="A37" s="44"/>
      <c r="B37" s="5">
        <f t="shared" si="5"/>
        <v>45017</v>
      </c>
      <c r="C37" s="1" t="s">
        <v>33</v>
      </c>
      <c r="D37" s="10"/>
      <c r="E37" s="118"/>
      <c r="F37" s="2"/>
      <c r="G37" s="3">
        <f t="shared" si="0"/>
        <v>0</v>
      </c>
      <c r="H37" s="4">
        <f>+IF(G37=0,0,G37/E37)</f>
        <v>0</v>
      </c>
      <c r="I37" s="7"/>
      <c r="J37" s="7">
        <v>1.6500000000000001E-2</v>
      </c>
      <c r="K37" s="7">
        <v>7.5999999999999998E-2</v>
      </c>
      <c r="L37" s="11">
        <f t="shared" si="2"/>
        <v>0</v>
      </c>
      <c r="M37" s="11">
        <f t="shared" si="3"/>
        <v>0</v>
      </c>
      <c r="N37" s="11">
        <f t="shared" si="4"/>
        <v>0</v>
      </c>
      <c r="P37" s="182"/>
    </row>
    <row r="38" spans="1:16">
      <c r="A38" s="44"/>
      <c r="B38" s="5">
        <f t="shared" si="5"/>
        <v>45017</v>
      </c>
      <c r="C38" s="1" t="s">
        <v>37</v>
      </c>
      <c r="D38" s="10" t="s">
        <v>396</v>
      </c>
      <c r="E38" s="185">
        <f>74174+178586+531362</f>
        <v>784122</v>
      </c>
      <c r="F38" s="2">
        <v>3806815.7</v>
      </c>
      <c r="G38" s="3">
        <f>F38-SUM(L38:N38)</f>
        <v>2832841.9031549999</v>
      </c>
      <c r="H38" s="4">
        <f t="shared" si="1"/>
        <v>3.612756564864906</v>
      </c>
      <c r="I38" s="7">
        <v>0.18</v>
      </c>
      <c r="J38" s="7">
        <v>1.6500000000000001E-2</v>
      </c>
      <c r="K38" s="7">
        <v>7.5999999999999998E-2</v>
      </c>
      <c r="L38" s="11">
        <f>+I38*F38</f>
        <v>685226.826</v>
      </c>
      <c r="M38" s="11">
        <f t="shared" si="3"/>
        <v>51506.216421000005</v>
      </c>
      <c r="N38" s="11">
        <f t="shared" si="4"/>
        <v>237240.75442400001</v>
      </c>
      <c r="O38" s="41"/>
    </row>
    <row r="39" spans="1:16">
      <c r="A39" s="44"/>
      <c r="B39" s="5">
        <f t="shared" si="5"/>
        <v>45017</v>
      </c>
      <c r="C39" s="1" t="s">
        <v>36</v>
      </c>
      <c r="D39" s="46" t="s">
        <v>397</v>
      </c>
      <c r="E39" s="185">
        <f>8869+20159+40371</f>
        <v>69399</v>
      </c>
      <c r="F39" s="2">
        <v>325904.45</v>
      </c>
      <c r="G39" s="3">
        <f t="shared" si="0"/>
        <v>242521.79646750001</v>
      </c>
      <c r="H39" s="4">
        <f t="shared" si="1"/>
        <v>3.4946007358535427</v>
      </c>
      <c r="I39" s="7">
        <v>0.18</v>
      </c>
      <c r="J39" s="7">
        <v>1.6500000000000001E-2</v>
      </c>
      <c r="K39" s="7">
        <v>7.5999999999999998E-2</v>
      </c>
      <c r="L39" s="11">
        <f t="shared" si="2"/>
        <v>58662.800999999999</v>
      </c>
      <c r="M39" s="11">
        <f t="shared" si="3"/>
        <v>4409.4872085000006</v>
      </c>
      <c r="N39" s="11">
        <f t="shared" si="4"/>
        <v>20310.365324000002</v>
      </c>
      <c r="P39" s="42"/>
    </row>
    <row r="40" spans="1:16" hidden="1">
      <c r="B40" s="5"/>
      <c r="C40" s="1"/>
      <c r="D40" s="6"/>
      <c r="E40" s="1"/>
      <c r="F40" s="2"/>
      <c r="G40" s="3"/>
      <c r="H40" s="4"/>
      <c r="I40" s="7"/>
      <c r="J40" s="7"/>
      <c r="K40" s="7"/>
      <c r="L40" s="8"/>
      <c r="M40" s="8"/>
      <c r="N40" s="8"/>
    </row>
    <row r="41" spans="1:16" hidden="1">
      <c r="B41" s="5"/>
      <c r="C41" s="1"/>
      <c r="D41" s="6"/>
      <c r="E41" s="1"/>
      <c r="F41" s="2"/>
      <c r="G41" s="3"/>
      <c r="H41" s="4"/>
      <c r="I41" s="7"/>
      <c r="J41" s="7"/>
      <c r="K41" s="7"/>
      <c r="L41" s="8"/>
      <c r="M41" s="8"/>
      <c r="N41" s="8"/>
    </row>
    <row r="42" spans="1:16">
      <c r="E42" s="28">
        <f>SUM(E18:E41)</f>
        <v>46355337</v>
      </c>
      <c r="G42" s="29">
        <f>SUM(G18:G41)</f>
        <v>93981310.932731256</v>
      </c>
    </row>
    <row r="44" spans="1:16" ht="15.75" thickBot="1"/>
    <row r="45" spans="1:16">
      <c r="B45" s="391" t="s">
        <v>398</v>
      </c>
      <c r="C45" s="383"/>
      <c r="D45" s="383"/>
      <c r="E45" s="383"/>
      <c r="F45" s="383"/>
      <c r="G45" s="383"/>
      <c r="H45" s="383"/>
      <c r="I45" s="383"/>
      <c r="J45" s="383"/>
      <c r="K45" s="383"/>
      <c r="L45" s="383"/>
      <c r="M45" s="383"/>
      <c r="N45" s="384"/>
    </row>
    <row r="46" spans="1:16">
      <c r="B46" s="385"/>
      <c r="C46" s="386"/>
      <c r="D46" s="386"/>
      <c r="E46" s="386"/>
      <c r="F46" s="386"/>
      <c r="G46" s="386"/>
      <c r="H46" s="386"/>
      <c r="I46" s="386"/>
      <c r="J46" s="386"/>
      <c r="K46" s="386"/>
      <c r="L46" s="386"/>
      <c r="M46" s="386"/>
      <c r="N46" s="387"/>
    </row>
    <row r="47" spans="1:16">
      <c r="B47" s="385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7"/>
    </row>
    <row r="48" spans="1:16">
      <c r="B48" s="385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 ht="142.5" customHeight="1" thickBot="1">
      <c r="B50" s="388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90"/>
    </row>
  </sheetData>
  <mergeCells count="3">
    <mergeCell ref="C2:L2"/>
    <mergeCell ref="L16:N16"/>
    <mergeCell ref="B45:N50"/>
  </mergeCells>
  <conditionalFormatting sqref="D44:D1048576 D1:D42">
    <cfRule type="duplicateValues" dxfId="155" priority="1"/>
  </conditionalFormatting>
  <pageMargins left="0.511811024" right="0.511811024" top="0.78740157499999996" bottom="0.78740157499999996" header="0.31496062000000002" footer="0.31496062000000002"/>
  <pageSetup paperSize="9" scale="5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36E6-7B1E-4329-99FF-389201EF6BA0}">
  <sheetPr>
    <pageSetUpPr fitToPage="1"/>
  </sheetPr>
  <dimension ref="A2:P51"/>
  <sheetViews>
    <sheetView showGridLines="0" topLeftCell="A13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31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6.42578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3:14" ht="23.25">
      <c r="C3" s="13">
        <v>45047</v>
      </c>
    </row>
    <row r="5" spans="3:14">
      <c r="C5" t="s">
        <v>17</v>
      </c>
      <c r="D5" s="14">
        <f ca="1">SUMIF($C$19:$G$41,$C$5:$C$8,$G$19:$G$41)/SUMIF($C$19:$G$41,$C$5:$C$8,$E$19:$E$41)</f>
        <v>2.221330945870625</v>
      </c>
    </row>
    <row r="6" spans="3:14">
      <c r="C6" t="s">
        <v>33</v>
      </c>
      <c r="D6" s="14">
        <f ca="1">SUMIF($C$19:$G$41,$C$5:$C$8,$G$19:$G$41)/SUMIF($C$19:$G$41,$C$5:$C$8,$E$19:$E$41)</f>
        <v>1.4048723452457992</v>
      </c>
    </row>
    <row r="7" spans="3:14">
      <c r="C7" t="s">
        <v>126</v>
      </c>
      <c r="D7" s="14">
        <f>SUM(G39:G40)/SUM(E39:E40)</f>
        <v>3.3635160598525906</v>
      </c>
    </row>
    <row r="8" spans="3:14">
      <c r="C8" t="s">
        <v>402</v>
      </c>
      <c r="D8" s="14">
        <f>H41</f>
        <v>2.9039999999999999</v>
      </c>
      <c r="M8" s="15" t="s">
        <v>127</v>
      </c>
      <c r="N8" s="15" t="s">
        <v>128</v>
      </c>
    </row>
    <row r="9" spans="3:14">
      <c r="C9" s="30" t="s">
        <v>129</v>
      </c>
      <c r="D9" s="31">
        <f>+G43/E43</f>
        <v>1.709703723773351</v>
      </c>
      <c r="E9" s="14"/>
      <c r="F9" s="32"/>
      <c r="L9" s="16" t="str">
        <f>+C5</f>
        <v>Petrobras</v>
      </c>
      <c r="M9" s="17">
        <f>790000/1580000</f>
        <v>0.5</v>
      </c>
      <c r="N9" s="190">
        <f>+SUM(E19:E36)/E43</f>
        <v>0.32480383743912727</v>
      </c>
    </row>
    <row r="10" spans="3:14">
      <c r="L10" s="16" t="str">
        <f>+C6</f>
        <v>Shell</v>
      </c>
      <c r="M10" s="17">
        <v>0.474683544303797</v>
      </c>
      <c r="N10" s="190">
        <f>+SUM(E37:E38)/E43</f>
        <v>0.66217407212309343</v>
      </c>
    </row>
    <row r="11" spans="3:14">
      <c r="D11" s="14"/>
      <c r="L11" s="16" t="str">
        <f>+C7</f>
        <v>NFE</v>
      </c>
      <c r="M11" s="18">
        <v>2.53164556962025E-2</v>
      </c>
      <c r="N11" s="189">
        <f>+SUM(E39:E40)/E43</f>
        <v>1.302209043777928E-2</v>
      </c>
    </row>
    <row r="12" spans="3:14">
      <c r="D12" s="14"/>
      <c r="L12" s="16" t="s">
        <v>402</v>
      </c>
      <c r="M12" s="18">
        <v>0</v>
      </c>
      <c r="N12" s="188">
        <v>0</v>
      </c>
    </row>
    <row r="13" spans="3:14">
      <c r="D13" s="19"/>
      <c r="L13" s="20" t="s">
        <v>38</v>
      </c>
      <c r="M13" s="21">
        <f>SUM(M9:M12)</f>
        <v>0.99999999999999956</v>
      </c>
      <c r="N13" s="21">
        <f>SUM(N9:N12)</f>
        <v>0.99999999999999989</v>
      </c>
    </row>
    <row r="14" spans="3:14">
      <c r="D14" s="22"/>
    </row>
    <row r="17" spans="1:14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381" t="s">
        <v>100</v>
      </c>
      <c r="M17" s="381"/>
      <c r="N17" s="381"/>
    </row>
    <row r="18" spans="1:14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7" t="s">
        <v>3</v>
      </c>
      <c r="M18" s="27" t="s">
        <v>97</v>
      </c>
      <c r="N18" s="27" t="s">
        <v>98</v>
      </c>
    </row>
    <row r="19" spans="1:14">
      <c r="A19" s="44"/>
      <c r="B19" s="5">
        <f>C3</f>
        <v>45047</v>
      </c>
      <c r="C19" s="1" t="s">
        <v>17</v>
      </c>
      <c r="D19" s="6" t="s">
        <v>403</v>
      </c>
      <c r="E19" s="1">
        <v>1000789</v>
      </c>
      <c r="F19" s="2">
        <v>2783687.22</v>
      </c>
      <c r="G19" s="3">
        <f>F19-SUM(L19:N19)</f>
        <v>2223052.6138920002</v>
      </c>
      <c r="H19" s="4">
        <f>+IF(G19=0,0,G19/E19)</f>
        <v>2.2213000081855419</v>
      </c>
      <c r="I19" s="7">
        <v>0.12</v>
      </c>
      <c r="J19" s="7">
        <v>1.6500000000000001E-2</v>
      </c>
      <c r="K19" s="7">
        <v>7.5999999999999998E-2</v>
      </c>
      <c r="L19" s="11">
        <f>+I19*F19</f>
        <v>334042.46640000003</v>
      </c>
      <c r="M19" s="11">
        <f>J19*(F19-L19)</f>
        <v>40419.138434400011</v>
      </c>
      <c r="N19" s="11">
        <f>K19*(F19-L19)</f>
        <v>186173.00127360004</v>
      </c>
    </row>
    <row r="20" spans="1:14">
      <c r="A20" s="44"/>
      <c r="B20" s="5">
        <f>B19</f>
        <v>45047</v>
      </c>
      <c r="C20" s="1" t="s">
        <v>17</v>
      </c>
      <c r="D20" s="6" t="s">
        <v>404</v>
      </c>
      <c r="E20" s="1">
        <v>666640</v>
      </c>
      <c r="F20" s="2">
        <v>1854254.23</v>
      </c>
      <c r="G20" s="3">
        <f t="shared" ref="G20:G40" si="0">F20-SUM(L20:N20)</f>
        <v>1480807.428078</v>
      </c>
      <c r="H20" s="4">
        <f t="shared" ref="H20:H40" si="1">+IF(G20=0,0,G20/E20)</f>
        <v>2.2212999941167646</v>
      </c>
      <c r="I20" s="7">
        <v>0.12</v>
      </c>
      <c r="J20" s="7">
        <v>1.6500000000000001E-2</v>
      </c>
      <c r="K20" s="7">
        <v>7.5999999999999998E-2</v>
      </c>
      <c r="L20" s="11">
        <f t="shared" ref="L20:L40" si="2">+I20*F20</f>
        <v>222510.50759999998</v>
      </c>
      <c r="M20" s="11">
        <f t="shared" ref="M20:M40" si="3">J20*(F20-L20)</f>
        <v>26923.771419600002</v>
      </c>
      <c r="N20" s="11">
        <f t="shared" ref="N20:N40" si="4">K20*(F20-L20)</f>
        <v>124012.5229024</v>
      </c>
    </row>
    <row r="21" spans="1:14">
      <c r="A21" s="44"/>
      <c r="B21" s="5">
        <f t="shared" ref="B21:B41" si="5">B20</f>
        <v>45047</v>
      </c>
      <c r="C21" s="1" t="s">
        <v>17</v>
      </c>
      <c r="D21" s="6" t="s">
        <v>405</v>
      </c>
      <c r="E21" s="1">
        <v>523720</v>
      </c>
      <c r="F21" s="2">
        <v>1456723.32</v>
      </c>
      <c r="G21" s="3">
        <f t="shared" si="0"/>
        <v>1163339.2433520001</v>
      </c>
      <c r="H21" s="4">
        <f t="shared" si="1"/>
        <v>2.2213000140380359</v>
      </c>
      <c r="I21" s="7">
        <v>0.12</v>
      </c>
      <c r="J21" s="7">
        <v>1.6500000000000001E-2</v>
      </c>
      <c r="K21" s="7">
        <v>7.5999999999999998E-2</v>
      </c>
      <c r="L21" s="11">
        <f t="shared" si="2"/>
        <v>174806.7984</v>
      </c>
      <c r="M21" s="11">
        <f t="shared" si="3"/>
        <v>21151.622606400004</v>
      </c>
      <c r="N21" s="11">
        <f t="shared" si="4"/>
        <v>97425.655641600009</v>
      </c>
    </row>
    <row r="22" spans="1:14">
      <c r="A22" s="44"/>
      <c r="B22" s="5">
        <f t="shared" si="5"/>
        <v>45047</v>
      </c>
      <c r="C22" s="1" t="s">
        <v>17</v>
      </c>
      <c r="D22" s="6" t="s">
        <v>406</v>
      </c>
      <c r="E22" s="1">
        <v>145950</v>
      </c>
      <c r="F22" s="2">
        <v>405958.85</v>
      </c>
      <c r="G22" s="3">
        <f t="shared" si="0"/>
        <v>324198.73760999995</v>
      </c>
      <c r="H22" s="4">
        <f t="shared" si="1"/>
        <v>2.2213000178828364</v>
      </c>
      <c r="I22" s="7">
        <v>0.12</v>
      </c>
      <c r="J22" s="7">
        <v>1.6500000000000001E-2</v>
      </c>
      <c r="K22" s="7">
        <v>7.5999999999999998E-2</v>
      </c>
      <c r="L22" s="11">
        <f t="shared" si="2"/>
        <v>48715.061999999998</v>
      </c>
      <c r="M22" s="11">
        <f t="shared" si="3"/>
        <v>5894.5225020000007</v>
      </c>
      <c r="N22" s="11">
        <f t="shared" si="4"/>
        <v>27150.527888000001</v>
      </c>
    </row>
    <row r="23" spans="1:14">
      <c r="A23" s="44"/>
      <c r="B23" s="5">
        <f t="shared" si="5"/>
        <v>45047</v>
      </c>
      <c r="C23" s="1" t="s">
        <v>17</v>
      </c>
      <c r="D23" s="6" t="s">
        <v>407</v>
      </c>
      <c r="E23" s="1">
        <v>118876</v>
      </c>
      <c r="F23" s="2">
        <v>312875.69</v>
      </c>
      <c r="G23" s="3">
        <f t="shared" si="0"/>
        <v>264059.26046775002</v>
      </c>
      <c r="H23" s="4">
        <f t="shared" si="1"/>
        <v>2.2213000140293246</v>
      </c>
      <c r="I23" s="7">
        <v>7.0000000000000007E-2</v>
      </c>
      <c r="J23" s="7">
        <v>1.6500000000000001E-2</v>
      </c>
      <c r="K23" s="7">
        <v>7.5999999999999998E-2</v>
      </c>
      <c r="L23" s="11">
        <f t="shared" si="2"/>
        <v>21901.298300000002</v>
      </c>
      <c r="M23" s="11">
        <f t="shared" si="3"/>
        <v>4801.07746305</v>
      </c>
      <c r="N23" s="11">
        <f t="shared" si="4"/>
        <v>22114.053769199996</v>
      </c>
    </row>
    <row r="24" spans="1:14">
      <c r="A24" s="44" t="s">
        <v>159</v>
      </c>
      <c r="B24" s="5">
        <f t="shared" si="5"/>
        <v>45047</v>
      </c>
      <c r="C24" s="1" t="s">
        <v>17</v>
      </c>
      <c r="D24" s="6" t="s">
        <v>408</v>
      </c>
      <c r="E24" s="1">
        <v>5648794</v>
      </c>
      <c r="F24" s="2">
        <v>14258711.49</v>
      </c>
      <c r="G24" s="3">
        <f t="shared" si="0"/>
        <v>12547666.111200001</v>
      </c>
      <c r="H24" s="4">
        <f t="shared" si="1"/>
        <v>2.2212999998229712</v>
      </c>
      <c r="I24" s="7">
        <v>0.12</v>
      </c>
      <c r="J24" s="9">
        <v>0</v>
      </c>
      <c r="K24" s="9">
        <v>0</v>
      </c>
      <c r="L24" s="11">
        <f t="shared" si="2"/>
        <v>1711045.3788000001</v>
      </c>
      <c r="M24" s="11">
        <f t="shared" si="3"/>
        <v>0</v>
      </c>
      <c r="N24" s="11">
        <f t="shared" si="4"/>
        <v>0</v>
      </c>
    </row>
    <row r="25" spans="1:14">
      <c r="A25" s="44" t="s">
        <v>159</v>
      </c>
      <c r="B25" s="5">
        <f t="shared" si="5"/>
        <v>45047</v>
      </c>
      <c r="C25" s="1" t="s">
        <v>17</v>
      </c>
      <c r="D25" s="6" t="s">
        <v>409</v>
      </c>
      <c r="E25" s="1">
        <v>3504490</v>
      </c>
      <c r="F25" s="2">
        <v>8846049.5899999999</v>
      </c>
      <c r="G25" s="3">
        <f t="shared" si="0"/>
        <v>7784523.6392000001</v>
      </c>
      <c r="H25" s="4">
        <f t="shared" si="1"/>
        <v>2.2213000006277661</v>
      </c>
      <c r="I25" s="7">
        <v>0.12</v>
      </c>
      <c r="J25" s="9">
        <v>0</v>
      </c>
      <c r="K25" s="9">
        <v>0</v>
      </c>
      <c r="L25" s="11">
        <f t="shared" si="2"/>
        <v>1061525.9508</v>
      </c>
      <c r="M25" s="11">
        <f t="shared" si="3"/>
        <v>0</v>
      </c>
      <c r="N25" s="11">
        <f t="shared" si="4"/>
        <v>0</v>
      </c>
    </row>
    <row r="26" spans="1:14">
      <c r="A26" s="44" t="s">
        <v>159</v>
      </c>
      <c r="B26" s="5">
        <f t="shared" si="5"/>
        <v>45047</v>
      </c>
      <c r="C26" s="1" t="s">
        <v>17</v>
      </c>
      <c r="D26" s="6" t="s">
        <v>410</v>
      </c>
      <c r="E26" s="1">
        <v>2496975</v>
      </c>
      <c r="F26" s="2">
        <v>6302875.6500000004</v>
      </c>
      <c r="G26" s="3">
        <f t="shared" si="0"/>
        <v>5546530.5720000006</v>
      </c>
      <c r="H26" s="4">
        <f t="shared" si="1"/>
        <v>2.2213000018021809</v>
      </c>
      <c r="I26" s="7">
        <v>0.12</v>
      </c>
      <c r="J26" s="9">
        <v>0</v>
      </c>
      <c r="K26" s="9">
        <v>0</v>
      </c>
      <c r="L26" s="11">
        <f t="shared" si="2"/>
        <v>756345.07799999998</v>
      </c>
      <c r="M26" s="11">
        <f t="shared" si="3"/>
        <v>0</v>
      </c>
      <c r="N26" s="11">
        <f t="shared" si="4"/>
        <v>0</v>
      </c>
    </row>
    <row r="27" spans="1:14">
      <c r="A27" s="44" t="s">
        <v>159</v>
      </c>
      <c r="B27" s="5">
        <f t="shared" si="5"/>
        <v>45047</v>
      </c>
      <c r="C27" s="1" t="s">
        <v>17</v>
      </c>
      <c r="D27" s="6" t="s">
        <v>411</v>
      </c>
      <c r="E27" s="1">
        <v>830093</v>
      </c>
      <c r="F27" s="2">
        <v>2095324.52</v>
      </c>
      <c r="G27" s="3">
        <f t="shared" si="0"/>
        <v>1843885.5776</v>
      </c>
      <c r="H27" s="4">
        <f t="shared" si="1"/>
        <v>2.2212999960245416</v>
      </c>
      <c r="I27" s="7">
        <v>0.12</v>
      </c>
      <c r="J27" s="9">
        <v>0</v>
      </c>
      <c r="K27" s="9">
        <v>0</v>
      </c>
      <c r="L27" s="11">
        <f t="shared" si="2"/>
        <v>251438.9424</v>
      </c>
      <c r="M27" s="11">
        <f t="shared" si="3"/>
        <v>0</v>
      </c>
      <c r="N27" s="11">
        <f t="shared" si="4"/>
        <v>0</v>
      </c>
    </row>
    <row r="28" spans="1:14">
      <c r="A28" s="44" t="s">
        <v>159</v>
      </c>
      <c r="B28" s="5">
        <f t="shared" si="5"/>
        <v>45047</v>
      </c>
      <c r="C28" s="1" t="s">
        <v>17</v>
      </c>
      <c r="D28" s="6" t="s">
        <v>412</v>
      </c>
      <c r="E28" s="1">
        <v>809381</v>
      </c>
      <c r="F28" s="2">
        <v>1933202.17</v>
      </c>
      <c r="G28" s="3">
        <f t="shared" si="0"/>
        <v>1797878.0181</v>
      </c>
      <c r="H28" s="4">
        <f t="shared" si="1"/>
        <v>2.2213000034594339</v>
      </c>
      <c r="I28" s="7">
        <v>7.0000000000000007E-2</v>
      </c>
      <c r="J28" s="9">
        <v>0</v>
      </c>
      <c r="K28" s="9">
        <v>0</v>
      </c>
      <c r="L28" s="11">
        <f t="shared" si="2"/>
        <v>135324.1519</v>
      </c>
      <c r="M28" s="11">
        <f t="shared" si="3"/>
        <v>0</v>
      </c>
      <c r="N28" s="11">
        <f t="shared" si="4"/>
        <v>0</v>
      </c>
    </row>
    <row r="29" spans="1:14">
      <c r="A29" s="44" t="s">
        <v>162</v>
      </c>
      <c r="B29" s="5">
        <f t="shared" si="5"/>
        <v>45047</v>
      </c>
      <c r="C29" s="1" t="s">
        <v>17</v>
      </c>
      <c r="D29" s="6" t="s">
        <v>413</v>
      </c>
      <c r="E29" s="1">
        <v>217</v>
      </c>
      <c r="F29" s="2">
        <v>772.76</v>
      </c>
      <c r="G29" s="3">
        <f>F29-SUM(L29:N29)</f>
        <v>680.02880000000005</v>
      </c>
      <c r="H29" s="4">
        <f>+IF(G29=0,0,G29/E29)</f>
        <v>3.1337732718894014</v>
      </c>
      <c r="I29" s="7">
        <v>0.12</v>
      </c>
      <c r="J29" s="9">
        <v>0</v>
      </c>
      <c r="K29" s="9">
        <v>0</v>
      </c>
      <c r="L29" s="11">
        <f t="shared" si="2"/>
        <v>92.731200000000001</v>
      </c>
      <c r="M29" s="11">
        <f t="shared" si="3"/>
        <v>0</v>
      </c>
      <c r="N29" s="11">
        <f t="shared" si="4"/>
        <v>0</v>
      </c>
    </row>
    <row r="30" spans="1:14">
      <c r="A30" s="44" t="s">
        <v>162</v>
      </c>
      <c r="B30" s="5">
        <f t="shared" si="5"/>
        <v>45047</v>
      </c>
      <c r="C30" s="1" t="s">
        <v>17</v>
      </c>
      <c r="D30" s="6" t="s">
        <v>414</v>
      </c>
      <c r="E30" s="1">
        <v>243</v>
      </c>
      <c r="F30" s="2">
        <v>865.35</v>
      </c>
      <c r="G30" s="3">
        <f t="shared" si="0"/>
        <v>761.50800000000004</v>
      </c>
      <c r="H30" s="4">
        <f>+IF(G30=0,0,G30/E30)</f>
        <v>3.133777777777778</v>
      </c>
      <c r="I30" s="7">
        <v>0.12</v>
      </c>
      <c r="J30" s="9">
        <v>0</v>
      </c>
      <c r="K30" s="9">
        <v>0</v>
      </c>
      <c r="L30" s="11">
        <f t="shared" si="2"/>
        <v>103.842</v>
      </c>
      <c r="M30" s="11">
        <f t="shared" si="3"/>
        <v>0</v>
      </c>
      <c r="N30" s="11">
        <f t="shared" si="4"/>
        <v>0</v>
      </c>
    </row>
    <row r="31" spans="1:14">
      <c r="A31" s="44" t="s">
        <v>160</v>
      </c>
      <c r="B31" s="5">
        <f t="shared" si="5"/>
        <v>45047</v>
      </c>
      <c r="C31" s="1" t="s">
        <v>17</v>
      </c>
      <c r="D31" s="6" t="s">
        <v>415</v>
      </c>
      <c r="E31" s="1">
        <v>60</v>
      </c>
      <c r="F31" s="2">
        <v>235.45</v>
      </c>
      <c r="G31" s="3">
        <f t="shared" si="0"/>
        <v>188.03037</v>
      </c>
      <c r="H31" s="4">
        <f t="shared" si="1"/>
        <v>3.1338395000000001</v>
      </c>
      <c r="I31" s="7">
        <v>0.12</v>
      </c>
      <c r="J31" s="7">
        <v>1.6500000000000001E-2</v>
      </c>
      <c r="K31" s="7">
        <v>7.5999999999999998E-2</v>
      </c>
      <c r="L31" s="11">
        <f t="shared" si="2"/>
        <v>28.253999999999998</v>
      </c>
      <c r="M31" s="11">
        <f t="shared" si="3"/>
        <v>3.4187340000000002</v>
      </c>
      <c r="N31" s="11">
        <f t="shared" si="4"/>
        <v>15.746896</v>
      </c>
    </row>
    <row r="32" spans="1:14">
      <c r="A32" s="44" t="s">
        <v>160</v>
      </c>
      <c r="B32" s="5">
        <f t="shared" si="5"/>
        <v>45047</v>
      </c>
      <c r="C32" s="1" t="s">
        <v>17</v>
      </c>
      <c r="D32" s="6" t="s">
        <v>416</v>
      </c>
      <c r="E32" s="1">
        <v>14</v>
      </c>
      <c r="F32" s="2">
        <v>54.93</v>
      </c>
      <c r="G32" s="3">
        <f t="shared" si="0"/>
        <v>43.867097999999999</v>
      </c>
      <c r="H32" s="4">
        <f t="shared" si="1"/>
        <v>3.1333641428571428</v>
      </c>
      <c r="I32" s="7">
        <v>0.12</v>
      </c>
      <c r="J32" s="7">
        <v>1.6500000000000001E-2</v>
      </c>
      <c r="K32" s="7">
        <v>7.5999999999999998E-2</v>
      </c>
      <c r="L32" s="11">
        <f t="shared" si="2"/>
        <v>6.5915999999999997</v>
      </c>
      <c r="M32" s="11">
        <f t="shared" si="3"/>
        <v>0.79758360000000006</v>
      </c>
      <c r="N32" s="11">
        <f t="shared" si="4"/>
        <v>3.6737183999999998</v>
      </c>
    </row>
    <row r="33" spans="1:16" hidden="1">
      <c r="A33" s="44"/>
      <c r="B33" s="5">
        <f t="shared" si="5"/>
        <v>45047</v>
      </c>
      <c r="C33" s="1"/>
      <c r="D33" s="6"/>
      <c r="E33" s="1"/>
      <c r="F33" s="2"/>
      <c r="G33" s="3">
        <f t="shared" si="0"/>
        <v>0</v>
      </c>
      <c r="H33" s="4">
        <f t="shared" si="1"/>
        <v>0</v>
      </c>
      <c r="I33" s="7"/>
      <c r="J33" s="7"/>
      <c r="K33" s="7"/>
      <c r="L33" s="11">
        <f t="shared" si="2"/>
        <v>0</v>
      </c>
      <c r="M33" s="11">
        <f t="shared" si="3"/>
        <v>0</v>
      </c>
      <c r="N33" s="11">
        <f t="shared" si="4"/>
        <v>0</v>
      </c>
    </row>
    <row r="34" spans="1:16" hidden="1">
      <c r="A34" s="44"/>
      <c r="B34" s="5">
        <f t="shared" si="5"/>
        <v>45047</v>
      </c>
      <c r="C34" s="1"/>
      <c r="D34" s="6"/>
      <c r="E34" s="1"/>
      <c r="F34" s="2"/>
      <c r="G34" s="3">
        <f t="shared" ref="G34" si="6">F34-SUM(L34:N34)</f>
        <v>0</v>
      </c>
      <c r="H34" s="4">
        <f t="shared" si="1"/>
        <v>0</v>
      </c>
      <c r="I34" s="7"/>
      <c r="J34" s="7"/>
      <c r="K34" s="7"/>
      <c r="L34" s="11">
        <f t="shared" si="2"/>
        <v>0</v>
      </c>
      <c r="M34" s="11">
        <f t="shared" si="3"/>
        <v>0</v>
      </c>
      <c r="N34" s="11">
        <f t="shared" si="4"/>
        <v>0</v>
      </c>
    </row>
    <row r="35" spans="1:16" hidden="1">
      <c r="A35" s="44"/>
      <c r="B35" s="5">
        <f t="shared" si="5"/>
        <v>45047</v>
      </c>
      <c r="C35" s="1"/>
      <c r="D35" s="6"/>
      <c r="E35" s="1"/>
      <c r="F35" s="2"/>
      <c r="G35" s="3">
        <f t="shared" ref="G35" si="7">F35-SUM(L35:N35)</f>
        <v>0</v>
      </c>
      <c r="H35" s="4">
        <f t="shared" si="1"/>
        <v>0</v>
      </c>
      <c r="I35" s="7"/>
      <c r="J35" s="7"/>
      <c r="K35" s="7"/>
      <c r="L35" s="11">
        <f t="shared" si="2"/>
        <v>0</v>
      </c>
      <c r="M35" s="11">
        <f t="shared" si="3"/>
        <v>0</v>
      </c>
      <c r="N35" s="11">
        <f t="shared" si="4"/>
        <v>0</v>
      </c>
    </row>
    <row r="36" spans="1:16" hidden="1">
      <c r="A36" s="44"/>
      <c r="B36" s="5">
        <f t="shared" si="5"/>
        <v>45047</v>
      </c>
      <c r="C36" s="1"/>
      <c r="D36" s="6"/>
      <c r="E36" s="1"/>
      <c r="F36" s="2"/>
      <c r="G36" s="3">
        <f t="shared" si="0"/>
        <v>0</v>
      </c>
      <c r="H36" s="4">
        <f t="shared" si="1"/>
        <v>0</v>
      </c>
      <c r="I36" s="7"/>
      <c r="J36" s="7"/>
      <c r="K36" s="7"/>
      <c r="L36" s="11">
        <f t="shared" si="2"/>
        <v>0</v>
      </c>
      <c r="M36" s="11">
        <f t="shared" si="3"/>
        <v>0</v>
      </c>
      <c r="N36" s="11">
        <f t="shared" si="4"/>
        <v>0</v>
      </c>
    </row>
    <row r="37" spans="1:16">
      <c r="A37" s="44"/>
      <c r="B37" s="5">
        <f t="shared" si="5"/>
        <v>45047</v>
      </c>
      <c r="C37" s="1" t="s">
        <v>33</v>
      </c>
      <c r="D37" s="10" t="s">
        <v>419</v>
      </c>
      <c r="E37" s="118">
        <v>32101693.342</v>
      </c>
      <c r="F37" s="2">
        <v>53436157.719999999</v>
      </c>
      <c r="G37" s="3">
        <f t="shared" si="0"/>
        <v>45098781.211736999</v>
      </c>
      <c r="H37" s="4">
        <f>+IF(G37=0,0,G37/E37)</f>
        <v>1.4048723452457992</v>
      </c>
      <c r="I37" s="7">
        <v>7.0000000000000007E-2</v>
      </c>
      <c r="J37" s="7">
        <v>1.6500000000000001E-2</v>
      </c>
      <c r="K37" s="7">
        <v>7.5999999999999998E-2</v>
      </c>
      <c r="L37" s="11">
        <f t="shared" si="2"/>
        <v>3740531.0404000003</v>
      </c>
      <c r="M37" s="11">
        <f t="shared" si="3"/>
        <v>819977.84021340008</v>
      </c>
      <c r="N37" s="11">
        <f t="shared" si="4"/>
        <v>3776867.6276496002</v>
      </c>
      <c r="P37" s="182"/>
    </row>
    <row r="38" spans="1:16" hidden="1">
      <c r="A38" s="44"/>
      <c r="B38" s="5">
        <f t="shared" si="5"/>
        <v>45047</v>
      </c>
      <c r="C38" s="1" t="s">
        <v>33</v>
      </c>
      <c r="D38" s="10"/>
      <c r="E38" s="118"/>
      <c r="F38" s="2"/>
      <c r="G38" s="3">
        <f t="shared" si="0"/>
        <v>0</v>
      </c>
      <c r="H38" s="4">
        <f>+IF(G38=0,0,G38/E38)</f>
        <v>0</v>
      </c>
      <c r="I38" s="7"/>
      <c r="J38" s="7">
        <v>1.6500000000000001E-2</v>
      </c>
      <c r="K38" s="7">
        <v>7.5999999999999998E-2</v>
      </c>
      <c r="L38" s="11">
        <f t="shared" si="2"/>
        <v>0</v>
      </c>
      <c r="M38" s="11">
        <f t="shared" si="3"/>
        <v>0</v>
      </c>
      <c r="N38" s="11">
        <f t="shared" si="4"/>
        <v>0</v>
      </c>
      <c r="P38" s="182"/>
    </row>
    <row r="39" spans="1:16">
      <c r="A39" s="44"/>
      <c r="B39" s="5">
        <f t="shared" si="5"/>
        <v>45047</v>
      </c>
      <c r="C39" s="1" t="s">
        <v>37</v>
      </c>
      <c r="D39" s="10" t="s">
        <v>75</v>
      </c>
      <c r="E39" s="185">
        <f>265571+292562</f>
        <v>558133</v>
      </c>
      <c r="F39" s="2">
        <v>2532397.96</v>
      </c>
      <c r="G39" s="3">
        <f>F39-SUM(L39:N39)</f>
        <v>1884483.941934</v>
      </c>
      <c r="H39" s="4">
        <f>+IF(G39=0,0,G39/E39)</f>
        <v>3.3764065947256299</v>
      </c>
      <c r="I39" s="7">
        <v>0.18</v>
      </c>
      <c r="J39" s="7">
        <v>1.6500000000000001E-2</v>
      </c>
      <c r="K39" s="7">
        <v>7.5999999999999998E-2</v>
      </c>
      <c r="L39" s="11">
        <f>+I39*F39</f>
        <v>455831.63279999996</v>
      </c>
      <c r="M39" s="11">
        <f t="shared" si="3"/>
        <v>34263.3443988</v>
      </c>
      <c r="N39" s="11">
        <f t="shared" si="4"/>
        <v>157819.0408672</v>
      </c>
      <c r="O39" s="41"/>
    </row>
    <row r="40" spans="1:16">
      <c r="A40" s="44"/>
      <c r="B40" s="5">
        <f t="shared" si="5"/>
        <v>45047</v>
      </c>
      <c r="C40" s="1" t="s">
        <v>36</v>
      </c>
      <c r="D40" s="46" t="s">
        <v>75</v>
      </c>
      <c r="E40" s="185">
        <f>29930+43238</f>
        <v>73168</v>
      </c>
      <c r="F40" s="2">
        <v>321046.98</v>
      </c>
      <c r="G40" s="3">
        <f t="shared" si="0"/>
        <v>238907.11016699998</v>
      </c>
      <c r="H40" s="4">
        <f t="shared" si="1"/>
        <v>3.265185739216597</v>
      </c>
      <c r="I40" s="7">
        <v>0.18</v>
      </c>
      <c r="J40" s="7">
        <v>1.6500000000000001E-2</v>
      </c>
      <c r="K40" s="7">
        <v>7.5999999999999998E-2</v>
      </c>
      <c r="L40" s="11">
        <f t="shared" si="2"/>
        <v>57788.456399999995</v>
      </c>
      <c r="M40" s="11">
        <f t="shared" si="3"/>
        <v>4343.7656393999996</v>
      </c>
      <c r="N40" s="11">
        <f t="shared" si="4"/>
        <v>20007.647793599997</v>
      </c>
      <c r="P40" s="42"/>
    </row>
    <row r="41" spans="1:16">
      <c r="B41" s="5">
        <f t="shared" si="5"/>
        <v>45047</v>
      </c>
      <c r="C41" s="1" t="s">
        <v>402</v>
      </c>
      <c r="D41" s="6" t="s">
        <v>418</v>
      </c>
      <c r="E41" s="186">
        <v>0</v>
      </c>
      <c r="F41" s="2">
        <f>12800*59</f>
        <v>755200</v>
      </c>
      <c r="G41" s="3">
        <f>F41-SUM(L41:N41)</f>
        <v>685344</v>
      </c>
      <c r="H41" s="187">
        <f>G41/(59*4000)</f>
        <v>2.9039999999999999</v>
      </c>
      <c r="I41" s="7">
        <v>0</v>
      </c>
      <c r="J41" s="7">
        <v>1.6500000000000001E-2</v>
      </c>
      <c r="K41" s="7">
        <v>7.5999999999999998E-2</v>
      </c>
      <c r="L41" s="11">
        <f t="shared" ref="L41" si="8">+I41*F41</f>
        <v>0</v>
      </c>
      <c r="M41" s="11">
        <f t="shared" ref="M41" si="9">J41*(F41-L41)</f>
        <v>12460.800000000001</v>
      </c>
      <c r="N41" s="11">
        <f t="shared" ref="N41" si="10">K41*(F41-L41)</f>
        <v>57395.199999999997</v>
      </c>
    </row>
    <row r="42" spans="1:16">
      <c r="B42" s="5"/>
      <c r="C42" s="1"/>
      <c r="E42" s="1"/>
      <c r="F42" s="2"/>
      <c r="G42" s="4"/>
      <c r="H42" s="4"/>
      <c r="I42" s="7"/>
      <c r="J42" s="7"/>
      <c r="K42" s="7"/>
      <c r="L42" s="8"/>
      <c r="M42" s="8"/>
      <c r="N42" s="8"/>
    </row>
    <row r="43" spans="1:16">
      <c r="E43" s="28">
        <f>SUM(E19:E42)</f>
        <v>48479236.342</v>
      </c>
      <c r="G43" s="29">
        <f>SUM(G19:G42)</f>
        <v>82885130.899605766</v>
      </c>
    </row>
    <row r="45" spans="1:16" ht="15.75" thickBot="1"/>
    <row r="46" spans="1:16">
      <c r="B46" s="391" t="s">
        <v>420</v>
      </c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4"/>
    </row>
    <row r="47" spans="1:16">
      <c r="B47" s="385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7"/>
    </row>
    <row r="48" spans="1:16">
      <c r="B48" s="385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 ht="157.5" customHeight="1" thickBot="1">
      <c r="B51" s="388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90"/>
    </row>
  </sheetData>
  <mergeCells count="3">
    <mergeCell ref="C2:L2"/>
    <mergeCell ref="L17:N17"/>
    <mergeCell ref="B46:N51"/>
  </mergeCells>
  <conditionalFormatting sqref="D7">
    <cfRule type="duplicateValues" dxfId="154" priority="1"/>
  </conditionalFormatting>
  <conditionalFormatting sqref="D45:D1048576 D1:D6 D8:D43">
    <cfRule type="duplicateValues" dxfId="153" priority="2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D2FE-1C18-40B2-B11E-D064C35F5F1D}">
  <sheetPr>
    <pageSetUpPr fitToPage="1"/>
  </sheetPr>
  <dimension ref="A2:P51"/>
  <sheetViews>
    <sheetView showGridLines="0" topLeftCell="A16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39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6.42578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3:14" ht="23.25">
      <c r="C3" s="13">
        <v>45078</v>
      </c>
    </row>
    <row r="5" spans="3:14">
      <c r="C5" t="s">
        <v>17</v>
      </c>
      <c r="D5" s="14">
        <f ca="1">SUMIF($C$19:$G$41,$C$5:$C$8,$G$19:$G$41)/SUMIF($C$19:$G$41,$C$5:$C$8,$E$19:$E$41)</f>
        <v>2.222787969141129</v>
      </c>
    </row>
    <row r="6" spans="3:14">
      <c r="C6" t="s">
        <v>33</v>
      </c>
      <c r="D6" s="14">
        <f ca="1">SUMIF($C$19:$G$41,$C$5:$C$8,$G$19:$G$41)/SUMIF($C$19:$G$41,$C$5:$C$8,$E$19:$E$41)</f>
        <v>1.4048554658743999</v>
      </c>
    </row>
    <row r="7" spans="3:14">
      <c r="C7" t="s">
        <v>126</v>
      </c>
      <c r="D7" s="14">
        <f>SUM(G38:G39)/SUM(E38:E39)</f>
        <v>3.450306934129499</v>
      </c>
    </row>
    <row r="8" spans="3:14">
      <c r="C8" t="s">
        <v>402</v>
      </c>
      <c r="D8" s="14">
        <f>H41</f>
        <v>3.0291946666666667</v>
      </c>
      <c r="M8" s="15" t="s">
        <v>127</v>
      </c>
      <c r="N8" s="15" t="s">
        <v>128</v>
      </c>
    </row>
    <row r="9" spans="3:14">
      <c r="C9" s="30" t="s">
        <v>129</v>
      </c>
      <c r="D9" s="31">
        <f>+G43/E43</f>
        <v>1.6933324793557429</v>
      </c>
      <c r="E9" s="14"/>
      <c r="F9" s="32"/>
      <c r="L9" s="16" t="str">
        <f>+C5</f>
        <v>Petrobras</v>
      </c>
      <c r="M9" s="17">
        <f>790000/1580000</f>
        <v>0.5</v>
      </c>
      <c r="N9" s="192">
        <f>+SUM(E19:E36)/E43</f>
        <v>0.32943635645044306</v>
      </c>
    </row>
    <row r="10" spans="3:14">
      <c r="L10" s="16" t="str">
        <f>+C6</f>
        <v>Shell</v>
      </c>
      <c r="M10" s="17">
        <v>0.474683544303797</v>
      </c>
      <c r="N10" s="192">
        <f>+SUM(E37:E37)/E43</f>
        <v>0.66396038820319858</v>
      </c>
    </row>
    <row r="11" spans="3:14">
      <c r="D11" s="14"/>
      <c r="L11" s="16" t="str">
        <f>+C7</f>
        <v>NFE</v>
      </c>
      <c r="M11" s="18">
        <v>2.53164556962025E-2</v>
      </c>
      <c r="N11" s="191">
        <f>+SUM(E38:E39)/E43</f>
        <v>6.6032553463583428E-3</v>
      </c>
    </row>
    <row r="12" spans="3:14">
      <c r="D12" s="14"/>
      <c r="L12" s="16" t="s">
        <v>421</v>
      </c>
      <c r="M12" s="18">
        <v>0</v>
      </c>
      <c r="N12" s="188">
        <v>0</v>
      </c>
    </row>
    <row r="13" spans="3:14">
      <c r="D13" s="19"/>
      <c r="L13" s="20" t="s">
        <v>38</v>
      </c>
      <c r="M13" s="21">
        <f>SUM(M9:M12)</f>
        <v>0.99999999999999956</v>
      </c>
      <c r="N13" s="21">
        <f>SUM(N9:N12)</f>
        <v>0.99999999999999989</v>
      </c>
    </row>
    <row r="14" spans="3:14">
      <c r="D14" s="22"/>
    </row>
    <row r="17" spans="1:14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381" t="s">
        <v>100</v>
      </c>
      <c r="M17" s="381"/>
      <c r="N17" s="381"/>
    </row>
    <row r="18" spans="1:14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7" t="s">
        <v>3</v>
      </c>
      <c r="M18" s="27" t="s">
        <v>97</v>
      </c>
      <c r="N18" s="27" t="s">
        <v>98</v>
      </c>
    </row>
    <row r="19" spans="1:14">
      <c r="A19" s="44"/>
      <c r="B19" s="5">
        <f>C3</f>
        <v>45078</v>
      </c>
      <c r="C19" s="1" t="s">
        <v>17</v>
      </c>
      <c r="D19" s="194" t="s">
        <v>425</v>
      </c>
      <c r="E19" s="1">
        <v>1822158</v>
      </c>
      <c r="F19" s="2">
        <v>5068319.0199999996</v>
      </c>
      <c r="G19" s="3">
        <f>F19-SUM(L19:N19)</f>
        <v>4047559.5693719997</v>
      </c>
      <c r="H19" s="4">
        <f>+IF(G19=0,0,G19/E19)</f>
        <v>2.2213000021798326</v>
      </c>
      <c r="I19" s="7">
        <v>0.12</v>
      </c>
      <c r="J19" s="7">
        <v>1.6500000000000001E-2</v>
      </c>
      <c r="K19" s="7">
        <v>7.5999999999999998E-2</v>
      </c>
      <c r="L19" s="11">
        <f>+I19*F19</f>
        <v>608198.28239999991</v>
      </c>
      <c r="M19" s="11">
        <f>J19*(F19-L19)</f>
        <v>73591.992170400001</v>
      </c>
      <c r="N19" s="11">
        <f>K19*(F19-L19)</f>
        <v>338969.17605759995</v>
      </c>
    </row>
    <row r="20" spans="1:14">
      <c r="A20" s="44"/>
      <c r="B20" s="5">
        <f>B19</f>
        <v>45078</v>
      </c>
      <c r="C20" s="1" t="s">
        <v>17</v>
      </c>
      <c r="D20" s="194" t="s">
        <v>426</v>
      </c>
      <c r="E20" s="1">
        <v>809985</v>
      </c>
      <c r="F20" s="2">
        <v>2252967.29</v>
      </c>
      <c r="G20" s="3">
        <f t="shared" ref="G20:G39" si="0">F20-SUM(L20:N20)</f>
        <v>1799219.6777940001</v>
      </c>
      <c r="H20" s="4">
        <f t="shared" ref="H20:H39" si="1">+IF(G20=0,0,G20/E20)</f>
        <v>2.2212999966591975</v>
      </c>
      <c r="I20" s="7">
        <v>0.12</v>
      </c>
      <c r="J20" s="7">
        <v>1.6500000000000001E-2</v>
      </c>
      <c r="K20" s="7">
        <v>7.5999999999999998E-2</v>
      </c>
      <c r="L20" s="11">
        <f t="shared" ref="L20:L41" si="2">+I20*F20</f>
        <v>270356.0748</v>
      </c>
      <c r="M20" s="11">
        <f t="shared" ref="M20:M41" si="3">J20*(F20-L20)</f>
        <v>32713.0850508</v>
      </c>
      <c r="N20" s="11">
        <f t="shared" ref="N20:N41" si="4">K20*(F20-L20)</f>
        <v>150678.45235519999</v>
      </c>
    </row>
    <row r="21" spans="1:14">
      <c r="A21" s="44"/>
      <c r="B21" s="5">
        <f t="shared" ref="B21:B41" si="5">B20</f>
        <v>45078</v>
      </c>
      <c r="C21" s="1" t="s">
        <v>17</v>
      </c>
      <c r="D21" s="194" t="s">
        <v>424</v>
      </c>
      <c r="E21" s="1">
        <v>287821</v>
      </c>
      <c r="F21" s="2">
        <v>757530.48</v>
      </c>
      <c r="G21" s="3">
        <f t="shared" si="0"/>
        <v>639336.78685799998</v>
      </c>
      <c r="H21" s="4">
        <f t="shared" si="1"/>
        <v>2.2212999984643234</v>
      </c>
      <c r="I21" s="7">
        <v>7.0000000000000007E-2</v>
      </c>
      <c r="J21" s="7">
        <v>1.6500000000000001E-2</v>
      </c>
      <c r="K21" s="7">
        <v>7.5999999999999998E-2</v>
      </c>
      <c r="L21" s="11">
        <f t="shared" si="2"/>
        <v>53027.133600000001</v>
      </c>
      <c r="M21" s="11">
        <f t="shared" si="3"/>
        <v>11624.305215599999</v>
      </c>
      <c r="N21" s="11">
        <f t="shared" si="4"/>
        <v>53542.254326399991</v>
      </c>
    </row>
    <row r="22" spans="1:14">
      <c r="A22" s="44"/>
      <c r="B22" s="5">
        <f t="shared" si="5"/>
        <v>45078</v>
      </c>
      <c r="C22" s="1" t="s">
        <v>17</v>
      </c>
      <c r="D22" s="194" t="s">
        <v>427</v>
      </c>
      <c r="E22" s="1">
        <v>212021</v>
      </c>
      <c r="F22" s="2">
        <v>589734.85</v>
      </c>
      <c r="G22" s="3">
        <f t="shared" si="0"/>
        <v>470962.25120999996</v>
      </c>
      <c r="H22" s="4">
        <f t="shared" si="1"/>
        <v>2.2213000184415694</v>
      </c>
      <c r="I22" s="7">
        <v>0.12</v>
      </c>
      <c r="J22" s="7">
        <v>1.6500000000000001E-2</v>
      </c>
      <c r="K22" s="7">
        <v>7.5999999999999998E-2</v>
      </c>
      <c r="L22" s="11">
        <f t="shared" si="2"/>
        <v>70768.182000000001</v>
      </c>
      <c r="M22" s="11">
        <f t="shared" si="3"/>
        <v>8562.9500219999991</v>
      </c>
      <c r="N22" s="11">
        <f t="shared" si="4"/>
        <v>39441.466767999998</v>
      </c>
    </row>
    <row r="23" spans="1:14">
      <c r="A23" s="44" t="s">
        <v>160</v>
      </c>
      <c r="B23" s="5">
        <f t="shared" si="5"/>
        <v>45078</v>
      </c>
      <c r="C23" s="1" t="s">
        <v>17</v>
      </c>
      <c r="D23" s="194" t="s">
        <v>428</v>
      </c>
      <c r="E23" s="1">
        <v>2453</v>
      </c>
      <c r="F23" s="2">
        <v>9625.86</v>
      </c>
      <c r="G23" s="3">
        <f t="shared" si="0"/>
        <v>7687.2117960000005</v>
      </c>
      <c r="H23" s="4">
        <f t="shared" si="1"/>
        <v>3.1338001614349777</v>
      </c>
      <c r="I23" s="7">
        <v>0.12</v>
      </c>
      <c r="J23" s="7">
        <v>1.6500000000000001E-2</v>
      </c>
      <c r="K23" s="7">
        <v>7.5999999999999998E-2</v>
      </c>
      <c r="L23" s="11">
        <f t="shared" si="2"/>
        <v>1155.1032</v>
      </c>
      <c r="M23" s="11">
        <f t="shared" si="3"/>
        <v>139.76748720000003</v>
      </c>
      <c r="N23" s="11">
        <f t="shared" si="4"/>
        <v>643.77751680000006</v>
      </c>
    </row>
    <row r="24" spans="1:14">
      <c r="A24" s="44" t="s">
        <v>160</v>
      </c>
      <c r="B24" s="5">
        <f t="shared" si="5"/>
        <v>45078</v>
      </c>
      <c r="C24" s="1" t="s">
        <v>17</v>
      </c>
      <c r="D24" s="194" t="s">
        <v>429</v>
      </c>
      <c r="E24" s="1">
        <v>559</v>
      </c>
      <c r="F24" s="2">
        <v>2193.58</v>
      </c>
      <c r="G24" s="3">
        <f t="shared" si="0"/>
        <v>1751.7929879999999</v>
      </c>
      <c r="H24" s="4">
        <f t="shared" si="1"/>
        <v>3.1337978318425761</v>
      </c>
      <c r="I24" s="7">
        <v>0.12</v>
      </c>
      <c r="J24" s="7">
        <v>1.6500000000000001E-2</v>
      </c>
      <c r="K24" s="7">
        <v>7.5999999999999998E-2</v>
      </c>
      <c r="L24" s="11">
        <f t="shared" si="2"/>
        <v>263.2296</v>
      </c>
      <c r="M24" s="11">
        <f t="shared" si="3"/>
        <v>31.850781599999998</v>
      </c>
      <c r="N24" s="11">
        <f t="shared" si="4"/>
        <v>146.70663039999999</v>
      </c>
    </row>
    <row r="25" spans="1:14">
      <c r="A25" s="44" t="s">
        <v>160</v>
      </c>
      <c r="B25" s="5">
        <f t="shared" si="5"/>
        <v>45078</v>
      </c>
      <c r="C25" s="1" t="s">
        <v>17</v>
      </c>
      <c r="D25" s="194" t="s">
        <v>430</v>
      </c>
      <c r="E25" s="1">
        <v>187</v>
      </c>
      <c r="F25" s="2">
        <v>733.81</v>
      </c>
      <c r="G25" s="3">
        <f t="shared" si="0"/>
        <v>586.02066599999989</v>
      </c>
      <c r="H25" s="4">
        <f t="shared" si="1"/>
        <v>3.1338003529411758</v>
      </c>
      <c r="I25" s="7">
        <v>0.12</v>
      </c>
      <c r="J25" s="7">
        <v>1.6500000000000001E-2</v>
      </c>
      <c r="K25" s="7">
        <v>7.5999999999999998E-2</v>
      </c>
      <c r="L25" s="11">
        <f t="shared" si="2"/>
        <v>88.057199999999995</v>
      </c>
      <c r="M25" s="11">
        <f t="shared" si="3"/>
        <v>10.6549212</v>
      </c>
      <c r="N25" s="11">
        <f t="shared" si="4"/>
        <v>49.077212799999998</v>
      </c>
    </row>
    <row r="26" spans="1:14">
      <c r="A26" s="44" t="s">
        <v>162</v>
      </c>
      <c r="B26" s="5">
        <f t="shared" si="5"/>
        <v>45078</v>
      </c>
      <c r="C26" s="1" t="s">
        <v>17</v>
      </c>
      <c r="D26" s="194" t="s">
        <v>431</v>
      </c>
      <c r="E26" s="1">
        <v>17208</v>
      </c>
      <c r="F26" s="2">
        <v>61280.03</v>
      </c>
      <c r="G26" s="3">
        <f t="shared" si="0"/>
        <v>53926.426399999997</v>
      </c>
      <c r="H26" s="4">
        <f t="shared" si="1"/>
        <v>3.1337997675499767</v>
      </c>
      <c r="I26" s="7">
        <v>0.12</v>
      </c>
      <c r="J26" s="193">
        <v>0</v>
      </c>
      <c r="K26" s="193">
        <v>0</v>
      </c>
      <c r="L26" s="11">
        <f t="shared" si="2"/>
        <v>7353.6035999999995</v>
      </c>
      <c r="M26" s="11">
        <f t="shared" si="3"/>
        <v>0</v>
      </c>
      <c r="N26" s="11">
        <f t="shared" si="4"/>
        <v>0</v>
      </c>
    </row>
    <row r="27" spans="1:14">
      <c r="A27" s="44" t="s">
        <v>162</v>
      </c>
      <c r="B27" s="5">
        <f t="shared" si="5"/>
        <v>45078</v>
      </c>
      <c r="C27" s="1" t="s">
        <v>17</v>
      </c>
      <c r="D27" s="194" t="s">
        <v>432</v>
      </c>
      <c r="E27" s="1">
        <v>3733</v>
      </c>
      <c r="F27" s="2">
        <v>13293.73</v>
      </c>
      <c r="G27" s="3">
        <f t="shared" si="0"/>
        <v>11698.482399999999</v>
      </c>
      <c r="H27" s="4">
        <f t="shared" si="1"/>
        <v>3.1338018751674253</v>
      </c>
      <c r="I27" s="7">
        <v>0.12</v>
      </c>
      <c r="J27" s="193">
        <v>0</v>
      </c>
      <c r="K27" s="193">
        <v>0</v>
      </c>
      <c r="L27" s="11">
        <f t="shared" si="2"/>
        <v>1595.2475999999999</v>
      </c>
      <c r="M27" s="11">
        <f t="shared" si="3"/>
        <v>0</v>
      </c>
      <c r="N27" s="11">
        <f t="shared" si="4"/>
        <v>0</v>
      </c>
    </row>
    <row r="28" spans="1:14">
      <c r="A28" s="44" t="s">
        <v>162</v>
      </c>
      <c r="B28" s="5">
        <f t="shared" si="5"/>
        <v>45078</v>
      </c>
      <c r="C28" s="1" t="s">
        <v>17</v>
      </c>
      <c r="D28" s="194" t="s">
        <v>433</v>
      </c>
      <c r="E28" s="1">
        <v>1000</v>
      </c>
      <c r="F28" s="2">
        <v>3561.14</v>
      </c>
      <c r="G28" s="3">
        <f t="shared" si="0"/>
        <v>3133.8031999999998</v>
      </c>
      <c r="H28" s="4">
        <f t="shared" si="1"/>
        <v>3.1338032</v>
      </c>
      <c r="I28" s="7">
        <v>0.12</v>
      </c>
      <c r="J28" s="193">
        <v>0</v>
      </c>
      <c r="K28" s="193">
        <v>0</v>
      </c>
      <c r="L28" s="11">
        <f t="shared" si="2"/>
        <v>427.33679999999998</v>
      </c>
      <c r="M28" s="11">
        <f t="shared" si="3"/>
        <v>0</v>
      </c>
      <c r="N28" s="11">
        <f t="shared" si="4"/>
        <v>0</v>
      </c>
    </row>
    <row r="29" spans="1:14">
      <c r="A29" s="44" t="s">
        <v>159</v>
      </c>
      <c r="B29" s="5">
        <f t="shared" si="5"/>
        <v>45078</v>
      </c>
      <c r="C29" s="1" t="s">
        <v>17</v>
      </c>
      <c r="D29" s="194" t="s">
        <v>434</v>
      </c>
      <c r="E29" s="1">
        <v>5224749</v>
      </c>
      <c r="F29" s="2">
        <v>13188335.17</v>
      </c>
      <c r="G29" s="3">
        <f>F29-SUM(L29:N29)</f>
        <v>11605734.9496</v>
      </c>
      <c r="H29" s="4">
        <f>+IF(G29=0,0,G29/E29)</f>
        <v>2.2212999992152733</v>
      </c>
      <c r="I29" s="7">
        <v>0.12</v>
      </c>
      <c r="J29" s="193">
        <v>0</v>
      </c>
      <c r="K29" s="193">
        <v>0</v>
      </c>
      <c r="L29" s="11">
        <f t="shared" si="2"/>
        <v>1582600.2204</v>
      </c>
      <c r="M29" s="11">
        <f t="shared" si="3"/>
        <v>0</v>
      </c>
      <c r="N29" s="11">
        <f t="shared" si="4"/>
        <v>0</v>
      </c>
    </row>
    <row r="30" spans="1:14">
      <c r="A30" s="44" t="s">
        <v>159</v>
      </c>
      <c r="B30" s="5">
        <f t="shared" si="5"/>
        <v>45078</v>
      </c>
      <c r="C30" s="1" t="s">
        <v>17</v>
      </c>
      <c r="D30" s="194" t="s">
        <v>435</v>
      </c>
      <c r="E30" s="1">
        <v>4212119</v>
      </c>
      <c r="F30" s="2">
        <v>10632249.92</v>
      </c>
      <c r="G30" s="3">
        <f t="shared" si="0"/>
        <v>9356379.9296000004</v>
      </c>
      <c r="H30" s="4">
        <f>+IF(G30=0,0,G30/E30)</f>
        <v>2.2212999987892079</v>
      </c>
      <c r="I30" s="7">
        <v>0.12</v>
      </c>
      <c r="J30" s="193">
        <v>0</v>
      </c>
      <c r="K30" s="193">
        <v>0</v>
      </c>
      <c r="L30" s="11">
        <f t="shared" si="2"/>
        <v>1275869.9904</v>
      </c>
      <c r="M30" s="11">
        <f t="shared" si="3"/>
        <v>0</v>
      </c>
      <c r="N30" s="11">
        <f t="shared" si="4"/>
        <v>0</v>
      </c>
    </row>
    <row r="31" spans="1:14">
      <c r="A31" s="44" t="s">
        <v>159</v>
      </c>
      <c r="B31" s="5">
        <f t="shared" si="5"/>
        <v>45078</v>
      </c>
      <c r="C31" s="1" t="s">
        <v>17</v>
      </c>
      <c r="D31" s="194" t="s">
        <v>436</v>
      </c>
      <c r="E31" s="1">
        <v>1631219</v>
      </c>
      <c r="F31" s="2">
        <v>3896157.81</v>
      </c>
      <c r="G31" s="3">
        <f t="shared" si="0"/>
        <v>3623426.7633000002</v>
      </c>
      <c r="H31" s="4">
        <f t="shared" si="1"/>
        <v>2.2212999991417464</v>
      </c>
      <c r="I31" s="7">
        <v>7.0000000000000007E-2</v>
      </c>
      <c r="J31" s="193">
        <v>0</v>
      </c>
      <c r="K31" s="193">
        <v>0</v>
      </c>
      <c r="L31" s="11">
        <f t="shared" si="2"/>
        <v>272731.04670000001</v>
      </c>
      <c r="M31" s="11">
        <f t="shared" si="3"/>
        <v>0</v>
      </c>
      <c r="N31" s="11">
        <f t="shared" si="4"/>
        <v>0</v>
      </c>
    </row>
    <row r="32" spans="1:14">
      <c r="A32" s="44" t="s">
        <v>159</v>
      </c>
      <c r="B32" s="5">
        <f t="shared" si="5"/>
        <v>45078</v>
      </c>
      <c r="C32" s="1" t="s">
        <v>17</v>
      </c>
      <c r="D32" s="194" t="s">
        <v>437</v>
      </c>
      <c r="E32" s="1">
        <v>1191943</v>
      </c>
      <c r="F32" s="2">
        <v>3008707.94</v>
      </c>
      <c r="G32" s="3">
        <f t="shared" si="0"/>
        <v>2647662.9871999999</v>
      </c>
      <c r="H32" s="4">
        <f t="shared" si="1"/>
        <v>2.2213000010906558</v>
      </c>
      <c r="I32" s="7">
        <v>0.12</v>
      </c>
      <c r="J32" s="193">
        <v>0</v>
      </c>
      <c r="K32" s="193">
        <v>0</v>
      </c>
      <c r="L32" s="11">
        <f t="shared" si="2"/>
        <v>361044.95279999997</v>
      </c>
      <c r="M32" s="11">
        <f t="shared" si="3"/>
        <v>0</v>
      </c>
      <c r="N32" s="11">
        <f t="shared" si="4"/>
        <v>0</v>
      </c>
    </row>
    <row r="33" spans="1:16" hidden="1">
      <c r="A33" s="44"/>
      <c r="B33" s="5">
        <f t="shared" si="5"/>
        <v>45078</v>
      </c>
      <c r="C33" s="1" t="s">
        <v>17</v>
      </c>
      <c r="D33" s="194"/>
      <c r="E33" s="1"/>
      <c r="F33" s="2"/>
      <c r="G33" s="3">
        <f t="shared" si="0"/>
        <v>0</v>
      </c>
      <c r="H33" s="4">
        <f t="shared" si="1"/>
        <v>0</v>
      </c>
      <c r="I33" s="7">
        <v>0.12</v>
      </c>
      <c r="J33" s="7">
        <v>1.6500000000000001E-2</v>
      </c>
      <c r="K33" s="7">
        <v>7.5999999999999998E-2</v>
      </c>
      <c r="L33" s="11">
        <f t="shared" si="2"/>
        <v>0</v>
      </c>
      <c r="M33" s="11">
        <f t="shared" si="3"/>
        <v>0</v>
      </c>
      <c r="N33" s="11">
        <f t="shared" si="4"/>
        <v>0</v>
      </c>
    </row>
    <row r="34" spans="1:16" hidden="1">
      <c r="A34" s="44"/>
      <c r="B34" s="5">
        <f t="shared" si="5"/>
        <v>45078</v>
      </c>
      <c r="C34" s="1" t="s">
        <v>17</v>
      </c>
      <c r="D34" s="194"/>
      <c r="E34" s="1"/>
      <c r="F34" s="2"/>
      <c r="G34" s="3">
        <f t="shared" ref="G34" si="6">F34-SUM(L34:N34)</f>
        <v>0</v>
      </c>
      <c r="H34" s="4">
        <f t="shared" si="1"/>
        <v>0</v>
      </c>
      <c r="I34" s="7">
        <v>0.12</v>
      </c>
      <c r="J34" s="7">
        <v>1.6500000000000001E-2</v>
      </c>
      <c r="K34" s="7">
        <v>7.5999999999999998E-2</v>
      </c>
      <c r="L34" s="11">
        <f t="shared" si="2"/>
        <v>0</v>
      </c>
      <c r="M34" s="11">
        <f t="shared" si="3"/>
        <v>0</v>
      </c>
      <c r="N34" s="11">
        <f t="shared" si="4"/>
        <v>0</v>
      </c>
    </row>
    <row r="35" spans="1:16" hidden="1">
      <c r="A35" s="44"/>
      <c r="B35" s="5">
        <f t="shared" si="5"/>
        <v>45078</v>
      </c>
      <c r="C35" s="1" t="s">
        <v>17</v>
      </c>
      <c r="D35" s="194"/>
      <c r="E35" s="1"/>
      <c r="F35" s="2"/>
      <c r="G35" s="3">
        <f t="shared" ref="G35" si="7">F35-SUM(L35:N35)</f>
        <v>0</v>
      </c>
      <c r="H35" s="4">
        <f t="shared" si="1"/>
        <v>0</v>
      </c>
      <c r="I35" s="7">
        <v>0.12</v>
      </c>
      <c r="J35" s="7">
        <v>1.6500000000000001E-2</v>
      </c>
      <c r="K35" s="7">
        <v>7.5999999999999998E-2</v>
      </c>
      <c r="L35" s="11">
        <f t="shared" si="2"/>
        <v>0</v>
      </c>
      <c r="M35" s="11">
        <f t="shared" si="3"/>
        <v>0</v>
      </c>
      <c r="N35" s="11">
        <f t="shared" si="4"/>
        <v>0</v>
      </c>
    </row>
    <row r="36" spans="1:16" hidden="1">
      <c r="A36" s="44"/>
      <c r="B36" s="5">
        <f t="shared" si="5"/>
        <v>45078</v>
      </c>
      <c r="C36" s="1" t="s">
        <v>17</v>
      </c>
      <c r="D36" s="194"/>
      <c r="E36" s="1"/>
      <c r="F36" s="2"/>
      <c r="G36" s="3">
        <f t="shared" si="0"/>
        <v>0</v>
      </c>
      <c r="H36" s="4">
        <f t="shared" si="1"/>
        <v>0</v>
      </c>
      <c r="I36" s="7">
        <v>0.12</v>
      </c>
      <c r="J36" s="7">
        <v>1.6500000000000001E-2</v>
      </c>
      <c r="K36" s="7">
        <v>7.5999999999999998E-2</v>
      </c>
      <c r="L36" s="11">
        <f t="shared" si="2"/>
        <v>0</v>
      </c>
      <c r="M36" s="11">
        <f t="shared" si="3"/>
        <v>0</v>
      </c>
      <c r="N36" s="11">
        <f t="shared" si="4"/>
        <v>0</v>
      </c>
    </row>
    <row r="37" spans="1:16">
      <c r="A37" s="44"/>
      <c r="B37" s="5">
        <f t="shared" si="5"/>
        <v>45078</v>
      </c>
      <c r="C37" s="1" t="s">
        <v>33</v>
      </c>
      <c r="D37" s="195">
        <v>3200</v>
      </c>
      <c r="E37" s="118">
        <v>31072406</v>
      </c>
      <c r="F37" s="2">
        <v>51722194.859999999</v>
      </c>
      <c r="G37" s="3">
        <f t="shared" si="0"/>
        <v>43652239.406968497</v>
      </c>
      <c r="H37" s="4">
        <f>+IF(G37=0,0,G37/E37)</f>
        <v>1.4048554658743999</v>
      </c>
      <c r="I37" s="7">
        <v>7.0000000000000007E-2</v>
      </c>
      <c r="J37" s="7">
        <v>1.6500000000000001E-2</v>
      </c>
      <c r="K37" s="7">
        <v>7.5999999999999998E-2</v>
      </c>
      <c r="L37" s="11">
        <f t="shared" si="2"/>
        <v>3620553.6402000003</v>
      </c>
      <c r="M37" s="11">
        <f t="shared" si="3"/>
        <v>793677.08012669999</v>
      </c>
      <c r="N37" s="11">
        <f t="shared" si="4"/>
        <v>3655724.7327047996</v>
      </c>
      <c r="P37" s="182"/>
    </row>
    <row r="38" spans="1:16">
      <c r="A38" s="44"/>
      <c r="B38" s="5">
        <f t="shared" si="5"/>
        <v>45078</v>
      </c>
      <c r="C38" s="1" t="s">
        <v>37</v>
      </c>
      <c r="D38" s="195">
        <v>42</v>
      </c>
      <c r="E38" s="185">
        <v>257910</v>
      </c>
      <c r="F38" s="2">
        <v>1201705.8500000001</v>
      </c>
      <c r="G38" s="3">
        <f>F38-SUM(L38:N38)</f>
        <v>894249.40827750007</v>
      </c>
      <c r="H38" s="4">
        <f>+IF(G38=0,0,G38/E38)</f>
        <v>3.467292498458765</v>
      </c>
      <c r="I38" s="7">
        <v>0.18</v>
      </c>
      <c r="J38" s="7">
        <v>1.6500000000000001E-2</v>
      </c>
      <c r="K38" s="7">
        <v>7.5999999999999998E-2</v>
      </c>
      <c r="L38" s="11">
        <f>+I38*F38</f>
        <v>216307.05300000001</v>
      </c>
      <c r="M38" s="11">
        <f t="shared" si="3"/>
        <v>16259.080150500002</v>
      </c>
      <c r="N38" s="11">
        <f t="shared" si="4"/>
        <v>74890.308571999994</v>
      </c>
      <c r="O38" s="41"/>
    </row>
    <row r="39" spans="1:16">
      <c r="A39" s="44"/>
      <c r="B39" s="5">
        <f t="shared" si="5"/>
        <v>45078</v>
      </c>
      <c r="C39" s="1" t="s">
        <v>36</v>
      </c>
      <c r="D39" s="195">
        <v>40</v>
      </c>
      <c r="E39" s="185">
        <v>51113</v>
      </c>
      <c r="F39" s="2">
        <v>231102.32</v>
      </c>
      <c r="G39" s="3">
        <f t="shared" si="0"/>
        <v>171974.791428</v>
      </c>
      <c r="H39" s="4">
        <f t="shared" si="1"/>
        <v>3.3645998362060534</v>
      </c>
      <c r="I39" s="7">
        <v>0.18</v>
      </c>
      <c r="J39" s="7">
        <v>1.6500000000000001E-2</v>
      </c>
      <c r="K39" s="7">
        <v>7.5999999999999998E-2</v>
      </c>
      <c r="L39" s="11">
        <f t="shared" si="2"/>
        <v>41598.417600000001</v>
      </c>
      <c r="M39" s="11">
        <f t="shared" si="3"/>
        <v>3126.8143896000006</v>
      </c>
      <c r="N39" s="11">
        <f t="shared" si="4"/>
        <v>14402.296582400002</v>
      </c>
      <c r="P39" s="42"/>
    </row>
    <row r="40" spans="1:16">
      <c r="A40" s="44"/>
      <c r="B40" s="5">
        <f t="shared" si="5"/>
        <v>45078</v>
      </c>
      <c r="C40" s="1" t="s">
        <v>422</v>
      </c>
      <c r="D40" s="195">
        <v>4850</v>
      </c>
      <c r="E40" s="186">
        <v>0</v>
      </c>
      <c r="F40" s="2">
        <f>22000*2</f>
        <v>44000</v>
      </c>
      <c r="G40" s="3">
        <f>F40-SUM(L40:N40)</f>
        <v>39930</v>
      </c>
      <c r="H40" s="187"/>
      <c r="I40" s="193">
        <v>0</v>
      </c>
      <c r="J40" s="7">
        <v>1.6500000000000001E-2</v>
      </c>
      <c r="K40" s="7">
        <v>7.5999999999999998E-2</v>
      </c>
      <c r="L40" s="11">
        <f t="shared" ref="L40" si="8">+I40*F40</f>
        <v>0</v>
      </c>
      <c r="M40" s="11">
        <f t="shared" ref="M40" si="9">J40*(F40-L40)</f>
        <v>726</v>
      </c>
      <c r="N40" s="11">
        <f t="shared" ref="N40" si="10">K40*(F40-L40)</f>
        <v>3344</v>
      </c>
      <c r="P40" s="42"/>
    </row>
    <row r="41" spans="1:16">
      <c r="B41" s="5">
        <f t="shared" si="5"/>
        <v>45078</v>
      </c>
      <c r="C41" s="1" t="s">
        <v>423</v>
      </c>
      <c r="D41" s="194" t="s">
        <v>438</v>
      </c>
      <c r="E41" s="186">
        <v>0</v>
      </c>
      <c r="F41" s="2">
        <f>(12800*17)+(10000*1)+12732.8</f>
        <v>240332.79999999999</v>
      </c>
      <c r="G41" s="3">
        <f>F41-SUM(L41:N41)</f>
        <v>218102.016</v>
      </c>
      <c r="H41" s="187">
        <f>G41/(18*4000)</f>
        <v>3.0291946666666667</v>
      </c>
      <c r="I41" s="193">
        <v>0</v>
      </c>
      <c r="J41" s="7">
        <v>1.6500000000000001E-2</v>
      </c>
      <c r="K41" s="7">
        <v>7.5999999999999998E-2</v>
      </c>
      <c r="L41" s="11">
        <f t="shared" si="2"/>
        <v>0</v>
      </c>
      <c r="M41" s="11">
        <f t="shared" si="3"/>
        <v>3965.4911999999999</v>
      </c>
      <c r="N41" s="11">
        <f t="shared" si="4"/>
        <v>18265.292799999999</v>
      </c>
    </row>
    <row r="42" spans="1:16">
      <c r="B42" s="5"/>
      <c r="C42" s="1"/>
      <c r="E42" s="1"/>
      <c r="F42" s="2"/>
      <c r="G42" s="4"/>
      <c r="H42" s="4"/>
      <c r="I42" s="7"/>
      <c r="J42" s="7"/>
      <c r="K42" s="7"/>
    </row>
    <row r="43" spans="1:16">
      <c r="E43" s="28">
        <f>SUM(E19:E42)</f>
        <v>46798584</v>
      </c>
      <c r="G43" s="29">
        <f>SUM(G19:G42)</f>
        <v>79245562.275058001</v>
      </c>
    </row>
    <row r="45" spans="1:16" ht="15.75" thickBot="1"/>
    <row r="46" spans="1:16">
      <c r="B46" s="391" t="s">
        <v>439</v>
      </c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4"/>
    </row>
    <row r="47" spans="1:16">
      <c r="B47" s="385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7"/>
    </row>
    <row r="48" spans="1:16">
      <c r="B48" s="385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 ht="157.5" customHeight="1" thickBot="1">
      <c r="B51" s="388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90"/>
    </row>
  </sheetData>
  <mergeCells count="3">
    <mergeCell ref="C2:L2"/>
    <mergeCell ref="L17:N17"/>
    <mergeCell ref="B46:N51"/>
  </mergeCells>
  <conditionalFormatting sqref="D7">
    <cfRule type="duplicateValues" dxfId="152" priority="1"/>
  </conditionalFormatting>
  <conditionalFormatting sqref="D45:D1048576 D1:D6 D8:D43">
    <cfRule type="duplicateValues" dxfId="151" priority="2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BCF2-59B0-4E3D-A449-6EAE82A7BC39}">
  <sheetPr>
    <pageSetUpPr fitToPage="1"/>
  </sheetPr>
  <dimension ref="A2:P51"/>
  <sheetViews>
    <sheetView showGridLines="0" topLeftCell="B1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39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6.42578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3:14" ht="23.25">
      <c r="C3" s="13">
        <v>45108</v>
      </c>
    </row>
    <row r="5" spans="3:14">
      <c r="C5" t="s">
        <v>17</v>
      </c>
      <c r="D5" s="14">
        <f ca="1">SUMIF($C$19:$G$41,$C$5:$C$8,$G$19:$G$41)/SUMIF($C$19:$G$41,$C$5:$C$8,$E$19:$E$41)</f>
        <v>2.2212999998896206</v>
      </c>
    </row>
    <row r="6" spans="3:14">
      <c r="C6" t="s">
        <v>33</v>
      </c>
      <c r="D6" s="14">
        <f ca="1">SUMIF($C$19:$G$41,$C$5:$C$8,$G$19:$G$41)/SUMIF($C$19:$G$41,$C$5:$C$8,$E$19:$E$41)</f>
        <v>1.4049314235751877</v>
      </c>
    </row>
    <row r="7" spans="3:14">
      <c r="C7" t="s">
        <v>126</v>
      </c>
      <c r="D7" s="14">
        <f>SUM(G38:G39)/SUM(E38:E39)</f>
        <v>3.4469122214866714</v>
      </c>
    </row>
    <row r="8" spans="3:14">
      <c r="C8" t="s">
        <v>402</v>
      </c>
      <c r="D8" s="14">
        <f>H41</f>
        <v>0</v>
      </c>
      <c r="M8" s="15" t="s">
        <v>127</v>
      </c>
      <c r="N8" s="15" t="s">
        <v>128</v>
      </c>
    </row>
    <row r="9" spans="3:14">
      <c r="C9" s="30" t="s">
        <v>129</v>
      </c>
      <c r="D9" s="31">
        <f>+G43/E43</f>
        <v>1.6845292423333404</v>
      </c>
      <c r="E9" s="14"/>
      <c r="F9" s="32"/>
      <c r="L9" s="16" t="str">
        <f>+C5</f>
        <v>Petrobras</v>
      </c>
      <c r="M9" s="17">
        <f>790000/1580000</f>
        <v>0.5</v>
      </c>
      <c r="N9" s="192">
        <f>+SUM(E19:E36)/E43</f>
        <v>0.30922543418747434</v>
      </c>
    </row>
    <row r="10" spans="3:14">
      <c r="L10" s="16" t="str">
        <f>+C6</f>
        <v>Shell</v>
      </c>
      <c r="M10" s="17">
        <v>0.474683544303797</v>
      </c>
      <c r="N10" s="192">
        <f>+SUM(E37:E37)/E43</f>
        <v>0.68238598239682835</v>
      </c>
    </row>
    <row r="11" spans="3:14">
      <c r="D11" s="14"/>
      <c r="L11" s="16" t="str">
        <f>+C7</f>
        <v>NFE</v>
      </c>
      <c r="M11" s="18">
        <v>2.53164556962025E-2</v>
      </c>
      <c r="N11" s="191">
        <f>+SUM(E38:E39)/E43</f>
        <v>8.3885834156972785E-3</v>
      </c>
    </row>
    <row r="12" spans="3:14">
      <c r="D12" s="14"/>
      <c r="L12" s="16" t="s">
        <v>421</v>
      </c>
      <c r="M12" s="18">
        <v>0</v>
      </c>
      <c r="N12" s="188">
        <v>0</v>
      </c>
    </row>
    <row r="13" spans="3:14">
      <c r="D13" s="19"/>
      <c r="L13" s="20" t="s">
        <v>38</v>
      </c>
      <c r="M13" s="21">
        <f>SUM(M9:M12)</f>
        <v>0.99999999999999956</v>
      </c>
      <c r="N13" s="21">
        <f>SUM(N9:N12)</f>
        <v>0.99999999999999989</v>
      </c>
    </row>
    <row r="14" spans="3:14">
      <c r="D14" s="22"/>
    </row>
    <row r="17" spans="1:14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381" t="s">
        <v>100</v>
      </c>
      <c r="M17" s="381"/>
      <c r="N17" s="381"/>
    </row>
    <row r="18" spans="1:14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7" t="s">
        <v>3</v>
      </c>
      <c r="M18" s="27" t="s">
        <v>97</v>
      </c>
      <c r="N18" s="27" t="s">
        <v>98</v>
      </c>
    </row>
    <row r="19" spans="1:14">
      <c r="A19" s="44"/>
      <c r="B19" s="5">
        <f>C3</f>
        <v>45108</v>
      </c>
      <c r="C19" s="1" t="s">
        <v>17</v>
      </c>
      <c r="D19" s="194" t="s">
        <v>446</v>
      </c>
      <c r="E19" s="1">
        <v>241292</v>
      </c>
      <c r="F19" s="2">
        <v>671151.92</v>
      </c>
      <c r="G19" s="3">
        <f>F19-SUM(L19:N19)</f>
        <v>535981.923312</v>
      </c>
      <c r="H19" s="4">
        <f>+IF(G19=0,0,G19/E19)</f>
        <v>2.2213000153838505</v>
      </c>
      <c r="I19" s="7">
        <v>0.12</v>
      </c>
      <c r="J19" s="7">
        <v>1.6500000000000001E-2</v>
      </c>
      <c r="K19" s="7">
        <v>7.5999999999999998E-2</v>
      </c>
      <c r="L19" s="11">
        <f>+I19*F19</f>
        <v>80538.2304</v>
      </c>
      <c r="M19" s="11">
        <f>J19*(F19-L19)</f>
        <v>9745.125878400002</v>
      </c>
      <c r="N19" s="11">
        <f>K19*(F19-L19)</f>
        <v>44886.640409600004</v>
      </c>
    </row>
    <row r="20" spans="1:14">
      <c r="A20" s="44"/>
      <c r="B20" s="5">
        <f>B19</f>
        <v>45108</v>
      </c>
      <c r="C20" s="1" t="s">
        <v>17</v>
      </c>
      <c r="D20" s="194" t="s">
        <v>447</v>
      </c>
      <c r="E20" s="1">
        <v>2654793</v>
      </c>
      <c r="F20" s="2">
        <v>7384287.1100000003</v>
      </c>
      <c r="G20" s="3">
        <f t="shared" ref="G20:G39" si="0">F20-SUM(L20:N20)</f>
        <v>5897091.6860460006</v>
      </c>
      <c r="H20" s="4">
        <f t="shared" ref="H20:H39" si="1">+IF(G20=0,0,G20/E20)</f>
        <v>2.2212999981716091</v>
      </c>
      <c r="I20" s="7">
        <v>0.12</v>
      </c>
      <c r="J20" s="7">
        <v>1.6500000000000001E-2</v>
      </c>
      <c r="K20" s="7">
        <v>7.5999999999999998E-2</v>
      </c>
      <c r="L20" s="11">
        <f t="shared" ref="L20:L41" si="2">+I20*F20</f>
        <v>886114.45319999999</v>
      </c>
      <c r="M20" s="11">
        <f t="shared" ref="M20:M41" si="3">J20*(F20-L20)</f>
        <v>107219.8488372</v>
      </c>
      <c r="N20" s="11">
        <f t="shared" ref="N20:N41" si="4">K20*(F20-L20)</f>
        <v>493861.12191679998</v>
      </c>
    </row>
    <row r="21" spans="1:14">
      <c r="A21" s="44"/>
      <c r="B21" s="5">
        <f t="shared" ref="B21:B41" si="5">B20</f>
        <v>45108</v>
      </c>
      <c r="C21" s="1" t="s">
        <v>17</v>
      </c>
      <c r="D21" s="194" t="s">
        <v>448</v>
      </c>
      <c r="E21" s="1">
        <v>5097922</v>
      </c>
      <c r="F21" s="2">
        <v>14179832.380000001</v>
      </c>
      <c r="G21" s="3">
        <f t="shared" si="0"/>
        <v>11324014.138668001</v>
      </c>
      <c r="H21" s="4">
        <f t="shared" si="1"/>
        <v>2.2213000000133389</v>
      </c>
      <c r="I21" s="7">
        <v>0.12</v>
      </c>
      <c r="J21" s="7">
        <v>1.6500000000000001E-2</v>
      </c>
      <c r="K21" s="7">
        <v>7.5999999999999998E-2</v>
      </c>
      <c r="L21" s="11">
        <f t="shared" si="2"/>
        <v>1701579.8855999999</v>
      </c>
      <c r="M21" s="11">
        <f t="shared" si="3"/>
        <v>205891.1661576</v>
      </c>
      <c r="N21" s="11">
        <f t="shared" si="4"/>
        <v>948347.18957439996</v>
      </c>
    </row>
    <row r="22" spans="1:14">
      <c r="A22" s="44"/>
      <c r="B22" s="5">
        <f t="shared" si="5"/>
        <v>45108</v>
      </c>
      <c r="C22" s="1" t="s">
        <v>17</v>
      </c>
      <c r="D22" s="194" t="s">
        <v>449</v>
      </c>
      <c r="E22" s="1">
        <v>4586654</v>
      </c>
      <c r="F22" s="2">
        <v>12071843.99</v>
      </c>
      <c r="G22" s="3">
        <f t="shared" si="0"/>
        <v>10188334.53146025</v>
      </c>
      <c r="H22" s="4">
        <f t="shared" si="1"/>
        <v>2.2213000002747645</v>
      </c>
      <c r="I22" s="7">
        <v>7.0000000000000007E-2</v>
      </c>
      <c r="J22" s="7">
        <v>1.6500000000000001E-2</v>
      </c>
      <c r="K22" s="7">
        <v>7.5999999999999998E-2</v>
      </c>
      <c r="L22" s="11">
        <f t="shared" si="2"/>
        <v>845029.0793000001</v>
      </c>
      <c r="M22" s="11">
        <f t="shared" si="3"/>
        <v>185242.44602655002</v>
      </c>
      <c r="N22" s="11">
        <f t="shared" si="4"/>
        <v>853237.93321320007</v>
      </c>
    </row>
    <row r="23" spans="1:14">
      <c r="A23" s="44"/>
      <c r="B23" s="5">
        <f t="shared" si="5"/>
        <v>45108</v>
      </c>
      <c r="C23" s="1" t="s">
        <v>17</v>
      </c>
      <c r="D23" s="194" t="s">
        <v>450</v>
      </c>
      <c r="E23" s="1">
        <v>1406576</v>
      </c>
      <c r="F23" s="2">
        <v>3912380.75</v>
      </c>
      <c r="G23" s="3">
        <f t="shared" si="0"/>
        <v>3124427.2669500001</v>
      </c>
      <c r="H23" s="4">
        <f t="shared" si="1"/>
        <v>2.2212999986847493</v>
      </c>
      <c r="I23" s="7">
        <v>0.12</v>
      </c>
      <c r="J23" s="7">
        <v>1.6500000000000001E-2</v>
      </c>
      <c r="K23" s="7">
        <v>7.5999999999999998E-2</v>
      </c>
      <c r="L23" s="11">
        <f t="shared" si="2"/>
        <v>469485.69</v>
      </c>
      <c r="M23" s="11">
        <f t="shared" si="3"/>
        <v>56807.768490000002</v>
      </c>
      <c r="N23" s="11">
        <f t="shared" si="4"/>
        <v>261660.02455999999</v>
      </c>
    </row>
    <row r="24" spans="1:14">
      <c r="A24" s="44"/>
      <c r="B24" s="5">
        <f t="shared" si="5"/>
        <v>45108</v>
      </c>
      <c r="C24" s="1" t="s">
        <v>17</v>
      </c>
      <c r="D24" s="194" t="s">
        <v>451</v>
      </c>
      <c r="E24" s="1">
        <v>524041</v>
      </c>
      <c r="F24" s="2">
        <v>1457616.17</v>
      </c>
      <c r="G24" s="3">
        <f t="shared" si="0"/>
        <v>1164052.273362</v>
      </c>
      <c r="H24" s="4">
        <f t="shared" si="1"/>
        <v>2.2213000001183114</v>
      </c>
      <c r="I24" s="7">
        <v>0.12</v>
      </c>
      <c r="J24" s="7">
        <v>1.6500000000000001E-2</v>
      </c>
      <c r="K24" s="7">
        <v>7.5999999999999998E-2</v>
      </c>
      <c r="L24" s="11">
        <f t="shared" si="2"/>
        <v>174913.94039999999</v>
      </c>
      <c r="M24" s="11">
        <f t="shared" si="3"/>
        <v>21164.5867884</v>
      </c>
      <c r="N24" s="11">
        <f t="shared" si="4"/>
        <v>97485.369449599995</v>
      </c>
    </row>
    <row r="25" spans="1:14" hidden="1">
      <c r="A25" s="44"/>
      <c r="B25" s="5">
        <f t="shared" si="5"/>
        <v>45108</v>
      </c>
      <c r="C25" s="1" t="s">
        <v>17</v>
      </c>
      <c r="D25" s="194"/>
      <c r="E25" s="1"/>
      <c r="F25" s="2"/>
      <c r="G25" s="3">
        <f t="shared" si="0"/>
        <v>0</v>
      </c>
      <c r="H25" s="4">
        <f t="shared" si="1"/>
        <v>0</v>
      </c>
      <c r="I25" s="7"/>
      <c r="J25" s="7">
        <v>1.6500000000000001E-2</v>
      </c>
      <c r="K25" s="7">
        <v>7.5999999999999998E-2</v>
      </c>
      <c r="L25" s="11">
        <f t="shared" si="2"/>
        <v>0</v>
      </c>
      <c r="M25" s="11">
        <f t="shared" si="3"/>
        <v>0</v>
      </c>
      <c r="N25" s="11">
        <f t="shared" si="4"/>
        <v>0</v>
      </c>
    </row>
    <row r="26" spans="1:14" hidden="1">
      <c r="A26" s="44"/>
      <c r="B26" s="5">
        <f t="shared" si="5"/>
        <v>45108</v>
      </c>
      <c r="C26" s="1" t="s">
        <v>17</v>
      </c>
      <c r="D26" s="194"/>
      <c r="E26" s="1"/>
      <c r="F26" s="2"/>
      <c r="G26" s="3">
        <f t="shared" si="0"/>
        <v>0</v>
      </c>
      <c r="H26" s="4">
        <f t="shared" si="1"/>
        <v>0</v>
      </c>
      <c r="I26" s="7"/>
      <c r="J26" s="7">
        <v>1.6500000000000001E-2</v>
      </c>
      <c r="K26" s="7">
        <v>7.5999999999999998E-2</v>
      </c>
      <c r="L26" s="11">
        <f t="shared" si="2"/>
        <v>0</v>
      </c>
      <c r="M26" s="11">
        <f t="shared" si="3"/>
        <v>0</v>
      </c>
      <c r="N26" s="11">
        <f t="shared" si="4"/>
        <v>0</v>
      </c>
    </row>
    <row r="27" spans="1:14" hidden="1">
      <c r="A27" s="44"/>
      <c r="B27" s="5">
        <f t="shared" si="5"/>
        <v>45108</v>
      </c>
      <c r="C27" s="1" t="s">
        <v>17</v>
      </c>
      <c r="D27" s="194"/>
      <c r="E27" s="1"/>
      <c r="F27" s="2"/>
      <c r="G27" s="3">
        <f t="shared" si="0"/>
        <v>0</v>
      </c>
      <c r="H27" s="4">
        <f t="shared" si="1"/>
        <v>0</v>
      </c>
      <c r="I27" s="7"/>
      <c r="J27" s="7">
        <v>1.6500000000000001E-2</v>
      </c>
      <c r="K27" s="7">
        <v>7.5999999999999998E-2</v>
      </c>
      <c r="L27" s="11">
        <f t="shared" si="2"/>
        <v>0</v>
      </c>
      <c r="M27" s="11">
        <f t="shared" si="3"/>
        <v>0</v>
      </c>
      <c r="N27" s="11">
        <f t="shared" si="4"/>
        <v>0</v>
      </c>
    </row>
    <row r="28" spans="1:14" hidden="1">
      <c r="A28" s="44"/>
      <c r="B28" s="5">
        <f t="shared" si="5"/>
        <v>45108</v>
      </c>
      <c r="C28" s="1" t="s">
        <v>17</v>
      </c>
      <c r="D28" s="194"/>
      <c r="E28" s="1"/>
      <c r="F28" s="2"/>
      <c r="G28" s="3">
        <f t="shared" si="0"/>
        <v>0</v>
      </c>
      <c r="H28" s="4">
        <f t="shared" si="1"/>
        <v>0</v>
      </c>
      <c r="I28" s="7"/>
      <c r="J28" s="7">
        <v>1.6500000000000001E-2</v>
      </c>
      <c r="K28" s="7">
        <v>7.5999999999999998E-2</v>
      </c>
      <c r="L28" s="11">
        <f t="shared" si="2"/>
        <v>0</v>
      </c>
      <c r="M28" s="11">
        <f t="shared" si="3"/>
        <v>0</v>
      </c>
      <c r="N28" s="11">
        <f t="shared" si="4"/>
        <v>0</v>
      </c>
    </row>
    <row r="29" spans="1:14" hidden="1">
      <c r="A29" s="44"/>
      <c r="B29" s="5">
        <f t="shared" si="5"/>
        <v>45108</v>
      </c>
      <c r="C29" s="1" t="s">
        <v>17</v>
      </c>
      <c r="D29" s="194"/>
      <c r="E29" s="1"/>
      <c r="F29" s="2"/>
      <c r="G29" s="3">
        <f>F29-SUM(L29:N29)</f>
        <v>0</v>
      </c>
      <c r="H29" s="4">
        <f>+IF(G29=0,0,G29/E29)</f>
        <v>0</v>
      </c>
      <c r="I29" s="7"/>
      <c r="J29" s="7">
        <v>1.6500000000000001E-2</v>
      </c>
      <c r="K29" s="7">
        <v>7.5999999999999998E-2</v>
      </c>
      <c r="L29" s="11">
        <f t="shared" si="2"/>
        <v>0</v>
      </c>
      <c r="M29" s="11">
        <f t="shared" si="3"/>
        <v>0</v>
      </c>
      <c r="N29" s="11">
        <f t="shared" si="4"/>
        <v>0</v>
      </c>
    </row>
    <row r="30" spans="1:14" hidden="1">
      <c r="A30" s="44"/>
      <c r="B30" s="5">
        <f t="shared" si="5"/>
        <v>45108</v>
      </c>
      <c r="C30" s="1" t="s">
        <v>17</v>
      </c>
      <c r="D30" s="194"/>
      <c r="E30" s="1"/>
      <c r="F30" s="2"/>
      <c r="G30" s="3">
        <f t="shared" si="0"/>
        <v>0</v>
      </c>
      <c r="H30" s="4">
        <f>+IF(G30=0,0,G30/E30)</f>
        <v>0</v>
      </c>
      <c r="I30" s="7"/>
      <c r="J30" s="7">
        <v>1.6500000000000001E-2</v>
      </c>
      <c r="K30" s="7">
        <v>7.5999999999999998E-2</v>
      </c>
      <c r="L30" s="11">
        <f t="shared" si="2"/>
        <v>0</v>
      </c>
      <c r="M30" s="11">
        <f t="shared" si="3"/>
        <v>0</v>
      </c>
      <c r="N30" s="11">
        <f t="shared" si="4"/>
        <v>0</v>
      </c>
    </row>
    <row r="31" spans="1:14" hidden="1">
      <c r="A31" s="44"/>
      <c r="B31" s="5">
        <f t="shared" si="5"/>
        <v>45108</v>
      </c>
      <c r="C31" s="1" t="s">
        <v>17</v>
      </c>
      <c r="D31" s="194"/>
      <c r="E31" s="1"/>
      <c r="F31" s="2"/>
      <c r="G31" s="3">
        <f t="shared" si="0"/>
        <v>0</v>
      </c>
      <c r="H31" s="4">
        <f t="shared" si="1"/>
        <v>0</v>
      </c>
      <c r="I31" s="7"/>
      <c r="J31" s="7">
        <v>1.6500000000000001E-2</v>
      </c>
      <c r="K31" s="7">
        <v>7.5999999999999998E-2</v>
      </c>
      <c r="L31" s="11">
        <f t="shared" si="2"/>
        <v>0</v>
      </c>
      <c r="M31" s="11">
        <f t="shared" si="3"/>
        <v>0</v>
      </c>
      <c r="N31" s="11">
        <f t="shared" si="4"/>
        <v>0</v>
      </c>
    </row>
    <row r="32" spans="1:14" hidden="1">
      <c r="A32" s="44"/>
      <c r="B32" s="5">
        <f t="shared" si="5"/>
        <v>45108</v>
      </c>
      <c r="C32" s="1" t="s">
        <v>17</v>
      </c>
      <c r="D32" s="194"/>
      <c r="E32" s="1"/>
      <c r="F32" s="2"/>
      <c r="G32" s="3">
        <f t="shared" si="0"/>
        <v>0</v>
      </c>
      <c r="H32" s="4">
        <f t="shared" si="1"/>
        <v>0</v>
      </c>
      <c r="I32" s="7"/>
      <c r="J32" s="7">
        <v>1.6500000000000001E-2</v>
      </c>
      <c r="K32" s="7">
        <v>7.5999999999999998E-2</v>
      </c>
      <c r="L32" s="11">
        <f t="shared" si="2"/>
        <v>0</v>
      </c>
      <c r="M32" s="11">
        <f t="shared" si="3"/>
        <v>0</v>
      </c>
      <c r="N32" s="11">
        <f t="shared" si="4"/>
        <v>0</v>
      </c>
    </row>
    <row r="33" spans="1:16" hidden="1">
      <c r="A33" s="44"/>
      <c r="B33" s="5">
        <f t="shared" si="5"/>
        <v>45108</v>
      </c>
      <c r="C33" s="1" t="s">
        <v>17</v>
      </c>
      <c r="D33" s="194"/>
      <c r="E33" s="1"/>
      <c r="F33" s="2"/>
      <c r="G33" s="3">
        <f t="shared" si="0"/>
        <v>0</v>
      </c>
      <c r="H33" s="4">
        <f t="shared" si="1"/>
        <v>0</v>
      </c>
      <c r="I33" s="7"/>
      <c r="J33" s="7">
        <v>1.6500000000000001E-2</v>
      </c>
      <c r="K33" s="7">
        <v>7.5999999999999998E-2</v>
      </c>
      <c r="L33" s="11">
        <f t="shared" si="2"/>
        <v>0</v>
      </c>
      <c r="M33" s="11">
        <f t="shared" si="3"/>
        <v>0</v>
      </c>
      <c r="N33" s="11">
        <f t="shared" si="4"/>
        <v>0</v>
      </c>
    </row>
    <row r="34" spans="1:16" hidden="1">
      <c r="A34" s="44"/>
      <c r="B34" s="5">
        <f t="shared" si="5"/>
        <v>45108</v>
      </c>
      <c r="C34" s="1" t="s">
        <v>17</v>
      </c>
      <c r="D34" s="194"/>
      <c r="E34" s="1"/>
      <c r="F34" s="2"/>
      <c r="G34" s="3">
        <f t="shared" ref="G34" si="6">F34-SUM(L34:N34)</f>
        <v>0</v>
      </c>
      <c r="H34" s="4">
        <f t="shared" si="1"/>
        <v>0</v>
      </c>
      <c r="I34" s="7"/>
      <c r="J34" s="7">
        <v>1.6500000000000001E-2</v>
      </c>
      <c r="K34" s="7">
        <v>7.5999999999999998E-2</v>
      </c>
      <c r="L34" s="11">
        <f t="shared" si="2"/>
        <v>0</v>
      </c>
      <c r="M34" s="11">
        <f t="shared" si="3"/>
        <v>0</v>
      </c>
      <c r="N34" s="11">
        <f t="shared" si="4"/>
        <v>0</v>
      </c>
    </row>
    <row r="35" spans="1:16" hidden="1">
      <c r="A35" s="44"/>
      <c r="B35" s="5">
        <f t="shared" si="5"/>
        <v>45108</v>
      </c>
      <c r="C35" s="1" t="s">
        <v>17</v>
      </c>
      <c r="D35" s="194"/>
      <c r="E35" s="1"/>
      <c r="F35" s="2"/>
      <c r="G35" s="3">
        <f t="shared" ref="G35" si="7">F35-SUM(L35:N35)</f>
        <v>0</v>
      </c>
      <c r="H35" s="4">
        <f t="shared" si="1"/>
        <v>0</v>
      </c>
      <c r="I35" s="7"/>
      <c r="J35" s="7">
        <v>1.6500000000000001E-2</v>
      </c>
      <c r="K35" s="7">
        <v>7.5999999999999998E-2</v>
      </c>
      <c r="L35" s="11">
        <f t="shared" si="2"/>
        <v>0</v>
      </c>
      <c r="M35" s="11">
        <f t="shared" si="3"/>
        <v>0</v>
      </c>
      <c r="N35" s="11">
        <f t="shared" si="4"/>
        <v>0</v>
      </c>
    </row>
    <row r="36" spans="1:16" hidden="1">
      <c r="A36" s="44"/>
      <c r="B36" s="5">
        <f t="shared" si="5"/>
        <v>45108</v>
      </c>
      <c r="C36" s="1" t="s">
        <v>17</v>
      </c>
      <c r="D36" s="194"/>
      <c r="E36" s="1"/>
      <c r="F36" s="2"/>
      <c r="G36" s="3">
        <f t="shared" si="0"/>
        <v>0</v>
      </c>
      <c r="H36" s="4">
        <f t="shared" si="1"/>
        <v>0</v>
      </c>
      <c r="I36" s="7"/>
      <c r="J36" s="7">
        <v>1.6500000000000001E-2</v>
      </c>
      <c r="K36" s="7">
        <v>7.5999999999999998E-2</v>
      </c>
      <c r="L36" s="11">
        <f t="shared" si="2"/>
        <v>0</v>
      </c>
      <c r="M36" s="11">
        <f t="shared" si="3"/>
        <v>0</v>
      </c>
      <c r="N36" s="11">
        <f t="shared" si="4"/>
        <v>0</v>
      </c>
    </row>
    <row r="37" spans="1:16">
      <c r="A37" s="44"/>
      <c r="B37" s="5">
        <f t="shared" si="5"/>
        <v>45108</v>
      </c>
      <c r="C37" s="1" t="s">
        <v>33</v>
      </c>
      <c r="D37" s="195" t="s">
        <v>445</v>
      </c>
      <c r="E37" s="118">
        <v>32022892.0363</v>
      </c>
      <c r="F37" s="2">
        <v>53307227.460000001</v>
      </c>
      <c r="G37" s="3">
        <f t="shared" si="0"/>
        <v>44989967.295553498</v>
      </c>
      <c r="H37" s="4">
        <f>+IF(G37=0,0,G37/E37)</f>
        <v>1.4049314235751877</v>
      </c>
      <c r="I37" s="7">
        <v>7.0000000000000007E-2</v>
      </c>
      <c r="J37" s="7">
        <v>1.6500000000000001E-2</v>
      </c>
      <c r="K37" s="7">
        <v>7.5999999999999998E-2</v>
      </c>
      <c r="L37" s="11">
        <f t="shared" si="2"/>
        <v>3731505.9222000004</v>
      </c>
      <c r="M37" s="11">
        <f t="shared" si="3"/>
        <v>817999.40537370008</v>
      </c>
      <c r="N37" s="11">
        <f t="shared" si="4"/>
        <v>3767754.8368727998</v>
      </c>
      <c r="P37" s="182"/>
    </row>
    <row r="38" spans="1:16">
      <c r="A38" s="44"/>
      <c r="B38" s="5">
        <f t="shared" si="5"/>
        <v>45108</v>
      </c>
      <c r="C38" s="1" t="s">
        <v>37</v>
      </c>
      <c r="D38" s="195" t="s">
        <v>452</v>
      </c>
      <c r="E38" s="185">
        <v>315533</v>
      </c>
      <c r="F38" s="2">
        <v>1470194.46</v>
      </c>
      <c r="G38" s="3">
        <f>F38-SUM(L38:N38)</f>
        <v>1094045.207409</v>
      </c>
      <c r="H38" s="4">
        <f>+IF(G38=0,0,G38/E38)</f>
        <v>3.4672925095283218</v>
      </c>
      <c r="I38" s="7">
        <v>0.18</v>
      </c>
      <c r="J38" s="7">
        <v>1.6500000000000001E-2</v>
      </c>
      <c r="K38" s="7">
        <v>7.5999999999999998E-2</v>
      </c>
      <c r="L38" s="11">
        <f t="shared" si="2"/>
        <v>264635.00279999996</v>
      </c>
      <c r="M38" s="11">
        <f t="shared" si="3"/>
        <v>19891.731043800002</v>
      </c>
      <c r="N38" s="11">
        <f t="shared" si="4"/>
        <v>91622.518747199996</v>
      </c>
      <c r="O38" s="41"/>
    </row>
    <row r="39" spans="1:16">
      <c r="A39" s="44"/>
      <c r="B39" s="5">
        <f t="shared" si="5"/>
        <v>45108</v>
      </c>
      <c r="C39" s="1" t="s">
        <v>36</v>
      </c>
      <c r="D39" s="195" t="s">
        <v>453</v>
      </c>
      <c r="E39" s="185">
        <v>78125</v>
      </c>
      <c r="F39" s="2">
        <v>353234.38</v>
      </c>
      <c r="G39" s="3">
        <f t="shared" si="0"/>
        <v>262859.363877</v>
      </c>
      <c r="H39" s="4">
        <f t="shared" si="1"/>
        <v>3.3645998576256</v>
      </c>
      <c r="I39" s="7">
        <v>0.18</v>
      </c>
      <c r="J39" s="7">
        <v>1.6500000000000001E-2</v>
      </c>
      <c r="K39" s="7">
        <v>7.5999999999999998E-2</v>
      </c>
      <c r="L39" s="11">
        <f t="shared" si="2"/>
        <v>63582.188399999999</v>
      </c>
      <c r="M39" s="11">
        <f t="shared" si="3"/>
        <v>4779.2611614000007</v>
      </c>
      <c r="N39" s="11">
        <f t="shared" si="4"/>
        <v>22013.566561600001</v>
      </c>
      <c r="P39" s="42"/>
    </row>
    <row r="40" spans="1:16">
      <c r="A40" s="44"/>
      <c r="B40" s="5">
        <f t="shared" si="5"/>
        <v>45108</v>
      </c>
      <c r="C40" s="1" t="s">
        <v>422</v>
      </c>
      <c r="D40" s="195">
        <v>5098</v>
      </c>
      <c r="E40" s="186">
        <v>0</v>
      </c>
      <c r="F40" s="2">
        <v>46866.66</v>
      </c>
      <c r="G40" s="3">
        <f>F40-SUM(L40:N40)</f>
        <v>42531.493950000004</v>
      </c>
      <c r="H40" s="187"/>
      <c r="I40" s="193">
        <v>0</v>
      </c>
      <c r="J40" s="7">
        <v>1.6500000000000001E-2</v>
      </c>
      <c r="K40" s="7">
        <v>7.5999999999999998E-2</v>
      </c>
      <c r="L40" s="11">
        <f t="shared" si="2"/>
        <v>0</v>
      </c>
      <c r="M40" s="11">
        <f t="shared" si="3"/>
        <v>773.29989000000012</v>
      </c>
      <c r="N40" s="11">
        <f t="shared" si="4"/>
        <v>3561.86616</v>
      </c>
      <c r="P40" s="42"/>
    </row>
    <row r="41" spans="1:16">
      <c r="B41" s="5">
        <f t="shared" si="5"/>
        <v>45108</v>
      </c>
      <c r="C41" s="1" t="s">
        <v>423</v>
      </c>
      <c r="D41" s="194" t="s">
        <v>454</v>
      </c>
      <c r="E41" s="186">
        <v>0</v>
      </c>
      <c r="F41" s="2">
        <f>450000+952.5+20665.6</f>
        <v>471618.1</v>
      </c>
      <c r="G41" s="3">
        <f>F41-SUM(L41:N41)</f>
        <v>427993.42574999999</v>
      </c>
      <c r="H41" s="187"/>
      <c r="I41" s="193">
        <v>0</v>
      </c>
      <c r="J41" s="7">
        <v>1.6500000000000001E-2</v>
      </c>
      <c r="K41" s="7">
        <v>7.5999999999999998E-2</v>
      </c>
      <c r="L41" s="11">
        <f t="shared" si="2"/>
        <v>0</v>
      </c>
      <c r="M41" s="11">
        <f t="shared" si="3"/>
        <v>7781.6986500000003</v>
      </c>
      <c r="N41" s="11">
        <f t="shared" si="4"/>
        <v>35842.975599999998</v>
      </c>
    </row>
    <row r="42" spans="1:16">
      <c r="B42" s="5"/>
      <c r="C42" s="1"/>
      <c r="E42" s="1"/>
      <c r="F42" s="2"/>
      <c r="G42" s="4"/>
      <c r="H42" s="4"/>
      <c r="I42" s="7"/>
      <c r="J42" s="7"/>
      <c r="K42" s="7"/>
    </row>
    <row r="43" spans="1:16">
      <c r="E43" s="28">
        <f>SUM(E19:E42)</f>
        <v>46927828.036300004</v>
      </c>
      <c r="G43" s="29">
        <f>SUM(G19:G42)</f>
        <v>79051298.606337741</v>
      </c>
    </row>
    <row r="45" spans="1:16" ht="15.75" thickBot="1"/>
    <row r="46" spans="1:16">
      <c r="B46" s="391" t="s">
        <v>455</v>
      </c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4"/>
    </row>
    <row r="47" spans="1:16">
      <c r="B47" s="385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7"/>
    </row>
    <row r="48" spans="1:16">
      <c r="B48" s="385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 ht="44.25" customHeight="1" thickBot="1">
      <c r="B51" s="388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90"/>
    </row>
  </sheetData>
  <mergeCells count="3">
    <mergeCell ref="C2:L2"/>
    <mergeCell ref="L17:N17"/>
    <mergeCell ref="B46:N51"/>
  </mergeCells>
  <conditionalFormatting sqref="D7">
    <cfRule type="duplicateValues" dxfId="150" priority="1"/>
  </conditionalFormatting>
  <conditionalFormatting sqref="D45:D1048576 D1:D6 D8:D43">
    <cfRule type="duplicateValues" dxfId="149" priority="2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E659-7B20-412A-A999-93FE0988FE52}">
  <sheetPr>
    <pageSetUpPr fitToPage="1"/>
  </sheetPr>
  <dimension ref="A2:P51"/>
  <sheetViews>
    <sheetView showGridLines="0" topLeftCell="A13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39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6.42578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3:14" ht="23.25">
      <c r="C3" s="13">
        <v>45139</v>
      </c>
    </row>
    <row r="5" spans="3:14">
      <c r="C5" t="s">
        <v>17</v>
      </c>
      <c r="D5" s="14">
        <f ca="1">SUMIF($C$19:$G$41,$C$5:$C$8,$G$19:$G$41)/SUMIF($C$19:$G$41,$C$5:$C$8,$E$19:$E$41)</f>
        <v>2.0676000007276287</v>
      </c>
    </row>
    <row r="6" spans="3:14">
      <c r="C6" t="s">
        <v>33</v>
      </c>
      <c r="D6" s="14">
        <f ca="1">SUMIF($C$19:$G$41,$C$5:$C$8,$G$19:$G$41)/SUMIF($C$19:$G$41,$C$5:$C$8,$E$19:$E$41)</f>
        <v>1.4251361849326207</v>
      </c>
    </row>
    <row r="7" spans="3:14">
      <c r="C7" t="s">
        <v>126</v>
      </c>
      <c r="D7" s="14">
        <f>SUM(G38:G39)/SUM(E38:E39)</f>
        <v>2.9736889799265609</v>
      </c>
    </row>
    <row r="8" spans="3:14">
      <c r="C8" t="s">
        <v>402</v>
      </c>
      <c r="D8" s="14">
        <f>H41</f>
        <v>0</v>
      </c>
      <c r="M8" s="15" t="s">
        <v>127</v>
      </c>
      <c r="N8" s="15" t="s">
        <v>128</v>
      </c>
    </row>
    <row r="9" spans="3:14">
      <c r="C9" s="30" t="s">
        <v>129</v>
      </c>
      <c r="D9" s="31">
        <f>+G43/E43</f>
        <v>1.5839178670944665</v>
      </c>
      <c r="E9" s="14"/>
      <c r="F9" s="32"/>
      <c r="L9" s="16" t="str">
        <f>+C5</f>
        <v>Petrobras</v>
      </c>
      <c r="M9" s="17">
        <f>790000/1580000</f>
        <v>0.5</v>
      </c>
      <c r="N9" s="190">
        <f>+SUM(E19:E36)/E43</f>
        <v>0.19628909492249613</v>
      </c>
    </row>
    <row r="10" spans="3:14">
      <c r="L10" s="16" t="str">
        <f>+C6</f>
        <v>Shell</v>
      </c>
      <c r="M10" s="17">
        <v>0.474683544303797</v>
      </c>
      <c r="N10" s="190">
        <f>+SUM(E37:E37)/E43</f>
        <v>0.80179333363660565</v>
      </c>
    </row>
    <row r="11" spans="3:14">
      <c r="D11" s="14"/>
      <c r="L11" s="16" t="str">
        <f>+C7</f>
        <v>NFE</v>
      </c>
      <c r="M11" s="18">
        <v>2.53164556962025E-2</v>
      </c>
      <c r="N11" s="189">
        <f>+SUM(E38:E39)/E43</f>
        <v>1.9175714408982162E-3</v>
      </c>
    </row>
    <row r="12" spans="3:14">
      <c r="D12" s="14"/>
      <c r="L12" s="16" t="s">
        <v>421</v>
      </c>
      <c r="M12" s="18">
        <v>0</v>
      </c>
      <c r="N12" s="188">
        <v>0</v>
      </c>
    </row>
    <row r="13" spans="3:14">
      <c r="D13" s="19"/>
      <c r="L13" s="20" t="s">
        <v>38</v>
      </c>
      <c r="M13" s="21">
        <f>SUM(M9:M12)</f>
        <v>0.99999999999999956</v>
      </c>
      <c r="N13" s="21">
        <f>SUM(N9:N12)</f>
        <v>1</v>
      </c>
    </row>
    <row r="14" spans="3:14">
      <c r="D14" s="22"/>
    </row>
    <row r="17" spans="1:14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381" t="s">
        <v>100</v>
      </c>
      <c r="M17" s="381"/>
      <c r="N17" s="381"/>
    </row>
    <row r="18" spans="1:14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7" t="s">
        <v>3</v>
      </c>
      <c r="M18" s="27" t="s">
        <v>97</v>
      </c>
      <c r="N18" s="27" t="s">
        <v>98</v>
      </c>
    </row>
    <row r="19" spans="1:14">
      <c r="A19" s="44"/>
      <c r="B19" s="5">
        <f>C3</f>
        <v>45139</v>
      </c>
      <c r="C19" s="1" t="s">
        <v>17</v>
      </c>
      <c r="D19" s="194" t="s">
        <v>456</v>
      </c>
      <c r="E19" s="1">
        <v>53430</v>
      </c>
      <c r="F19" s="2">
        <v>138331.92000000001</v>
      </c>
      <c r="G19" s="3">
        <f>F19-SUM(L19:N19)</f>
        <v>110471.871312</v>
      </c>
      <c r="H19" s="4">
        <f>+IF(G19=0,0,G19/E19)</f>
        <v>2.0676000619876476</v>
      </c>
      <c r="I19" s="7">
        <v>0.12</v>
      </c>
      <c r="J19" s="7">
        <v>1.6500000000000001E-2</v>
      </c>
      <c r="K19" s="7">
        <v>7.5999999999999998E-2</v>
      </c>
      <c r="L19" s="11">
        <f>+I19*F19</f>
        <v>16599.830400000003</v>
      </c>
      <c r="M19" s="11">
        <f>J19*(F19-L19)</f>
        <v>2008.5794784000002</v>
      </c>
      <c r="N19" s="11">
        <f>K19*(F19-L19)</f>
        <v>9251.638809600001</v>
      </c>
    </row>
    <row r="20" spans="1:14">
      <c r="A20" s="44"/>
      <c r="B20" s="5">
        <f>B19</f>
        <v>45139</v>
      </c>
      <c r="C20" s="1" t="s">
        <v>17</v>
      </c>
      <c r="D20" s="194" t="s">
        <v>457</v>
      </c>
      <c r="E20" s="1">
        <v>2684895</v>
      </c>
      <c r="F20" s="2">
        <v>6951275.8600000003</v>
      </c>
      <c r="G20" s="3">
        <f t="shared" ref="G20:G39" si="0">F20-SUM(L20:N20)</f>
        <v>5551288.9017960001</v>
      </c>
      <c r="H20" s="4">
        <f t="shared" ref="H20:H39" si="1">+IF(G20=0,0,G20/E20)</f>
        <v>2.0675999999240195</v>
      </c>
      <c r="I20" s="7">
        <v>0.12</v>
      </c>
      <c r="J20" s="7">
        <v>1.6500000000000001E-2</v>
      </c>
      <c r="K20" s="7">
        <v>7.5999999999999998E-2</v>
      </c>
      <c r="L20" s="11">
        <f t="shared" ref="L20:L41" si="2">+I20*F20</f>
        <v>834153.10320000001</v>
      </c>
      <c r="M20" s="11">
        <f t="shared" ref="M20:M41" si="3">J20*(F20-L20)</f>
        <v>100932.52548720001</v>
      </c>
      <c r="N20" s="11">
        <f t="shared" ref="N20:N41" si="4">K20*(F20-L20)</f>
        <v>464901.3295168</v>
      </c>
    </row>
    <row r="21" spans="1:14">
      <c r="A21" s="44"/>
      <c r="B21" s="5">
        <f t="shared" ref="B21:B41" si="5">B20</f>
        <v>45139</v>
      </c>
      <c r="C21" s="1" t="s">
        <v>17</v>
      </c>
      <c r="D21" s="194" t="s">
        <v>458</v>
      </c>
      <c r="E21" s="1">
        <v>1435818</v>
      </c>
      <c r="F21" s="2">
        <v>3717377.03</v>
      </c>
      <c r="G21" s="3">
        <f t="shared" si="0"/>
        <v>2968697.2961579999</v>
      </c>
      <c r="H21" s="4">
        <f t="shared" si="1"/>
        <v>2.067599999552868</v>
      </c>
      <c r="I21" s="7">
        <v>0.12</v>
      </c>
      <c r="J21" s="7">
        <v>1.6500000000000001E-2</v>
      </c>
      <c r="K21" s="7">
        <v>7.5999999999999998E-2</v>
      </c>
      <c r="L21" s="11">
        <f t="shared" si="2"/>
        <v>446085.24359999999</v>
      </c>
      <c r="M21" s="11">
        <f t="shared" si="3"/>
        <v>53976.314475599997</v>
      </c>
      <c r="N21" s="11">
        <f t="shared" si="4"/>
        <v>248618.17576639997</v>
      </c>
    </row>
    <row r="22" spans="1:14">
      <c r="A22" s="44"/>
      <c r="B22" s="5">
        <f t="shared" si="5"/>
        <v>45139</v>
      </c>
      <c r="C22" s="1" t="s">
        <v>17</v>
      </c>
      <c r="D22" s="194" t="s">
        <v>459</v>
      </c>
      <c r="E22" s="1">
        <v>2051595</v>
      </c>
      <c r="F22" s="2">
        <v>5311642.6500000004</v>
      </c>
      <c r="G22" s="3">
        <f t="shared" si="0"/>
        <v>4241877.8202900002</v>
      </c>
      <c r="H22" s="4">
        <f t="shared" si="1"/>
        <v>2.0675999991665024</v>
      </c>
      <c r="I22" s="7">
        <v>0.12</v>
      </c>
      <c r="J22" s="7">
        <v>1.6500000000000001E-2</v>
      </c>
      <c r="K22" s="7">
        <v>7.5999999999999998E-2</v>
      </c>
      <c r="L22" s="11">
        <f t="shared" si="2"/>
        <v>637397.11800000002</v>
      </c>
      <c r="M22" s="11">
        <f t="shared" si="3"/>
        <v>77125.051278000014</v>
      </c>
      <c r="N22" s="11">
        <f t="shared" si="4"/>
        <v>355242.66043200006</v>
      </c>
    </row>
    <row r="23" spans="1:14">
      <c r="A23" s="44"/>
      <c r="B23" s="5">
        <f t="shared" si="5"/>
        <v>45139</v>
      </c>
      <c r="C23" s="1" t="s">
        <v>17</v>
      </c>
      <c r="D23" s="194" t="s">
        <v>460</v>
      </c>
      <c r="E23" s="1">
        <v>1508526</v>
      </c>
      <c r="F23" s="2">
        <v>3905620.29</v>
      </c>
      <c r="G23" s="3">
        <f t="shared" si="0"/>
        <v>3119028.3635940002</v>
      </c>
      <c r="H23" s="4">
        <f t="shared" si="1"/>
        <v>2.0676000039734155</v>
      </c>
      <c r="I23" s="7">
        <v>0.12</v>
      </c>
      <c r="J23" s="7">
        <v>1.6500000000000001E-2</v>
      </c>
      <c r="K23" s="7">
        <v>7.5999999999999998E-2</v>
      </c>
      <c r="L23" s="11">
        <f t="shared" si="2"/>
        <v>468674.43479999999</v>
      </c>
      <c r="M23" s="11">
        <f t="shared" si="3"/>
        <v>56709.606610800001</v>
      </c>
      <c r="N23" s="11">
        <f t="shared" si="4"/>
        <v>261207.8849952</v>
      </c>
    </row>
    <row r="24" spans="1:14">
      <c r="A24" s="44"/>
      <c r="B24" s="5">
        <f t="shared" si="5"/>
        <v>45139</v>
      </c>
      <c r="C24" s="1" t="s">
        <v>17</v>
      </c>
      <c r="D24" s="194" t="s">
        <v>462</v>
      </c>
      <c r="E24" s="1">
        <v>21137</v>
      </c>
      <c r="F24" s="2">
        <v>54724.34</v>
      </c>
      <c r="G24" s="3">
        <f t="shared" si="0"/>
        <v>43702.857923999996</v>
      </c>
      <c r="H24" s="4">
        <f t="shared" si="1"/>
        <v>2.0675998450111179</v>
      </c>
      <c r="I24" s="7">
        <v>0.12</v>
      </c>
      <c r="J24" s="7">
        <v>1.6500000000000001E-2</v>
      </c>
      <c r="K24" s="7">
        <v>7.5999999999999998E-2</v>
      </c>
      <c r="L24" s="11">
        <f t="shared" si="2"/>
        <v>6566.920799999999</v>
      </c>
      <c r="M24" s="11">
        <f t="shared" si="3"/>
        <v>794.59741680000002</v>
      </c>
      <c r="N24" s="11">
        <f t="shared" si="4"/>
        <v>3659.9638591999997</v>
      </c>
    </row>
    <row r="25" spans="1:14">
      <c r="A25" s="44"/>
      <c r="B25" s="5">
        <f t="shared" si="5"/>
        <v>45139</v>
      </c>
      <c r="C25" s="1" t="s">
        <v>17</v>
      </c>
      <c r="D25" s="194" t="s">
        <v>463</v>
      </c>
      <c r="E25" s="1">
        <v>1404025.8419999999</v>
      </c>
      <c r="F25" s="2">
        <v>3439632.49</v>
      </c>
      <c r="G25" s="3">
        <f t="shared" si="0"/>
        <v>2902963.8307477501</v>
      </c>
      <c r="H25" s="4">
        <f t="shared" si="1"/>
        <v>2.0675999998778871</v>
      </c>
      <c r="I25" s="7">
        <v>7.0000000000000007E-2</v>
      </c>
      <c r="J25" s="7">
        <v>1.6500000000000001E-2</v>
      </c>
      <c r="K25" s="7">
        <v>7.5999999999999998E-2</v>
      </c>
      <c r="L25" s="11">
        <f t="shared" si="2"/>
        <v>240774.27430000005</v>
      </c>
      <c r="M25" s="11">
        <f t="shared" si="3"/>
        <v>52781.160559050004</v>
      </c>
      <c r="N25" s="11">
        <f t="shared" si="4"/>
        <v>243113.22439320001</v>
      </c>
    </row>
    <row r="26" spans="1:14">
      <c r="A26" s="44"/>
      <c r="B26" s="5">
        <f t="shared" si="5"/>
        <v>45139</v>
      </c>
      <c r="C26" s="1" t="s">
        <v>17</v>
      </c>
      <c r="D26" s="194" t="s">
        <v>464</v>
      </c>
      <c r="E26" s="1">
        <v>39970.158000000003</v>
      </c>
      <c r="F26" s="2">
        <v>97920.320000000007</v>
      </c>
      <c r="G26" s="3">
        <f t="shared" si="0"/>
        <v>82642.302072000006</v>
      </c>
      <c r="H26" s="4">
        <f t="shared" si="1"/>
        <v>2.0676000848432974</v>
      </c>
      <c r="I26" s="7">
        <v>7.0000000000000007E-2</v>
      </c>
      <c r="J26" s="7">
        <v>1.6500000000000001E-2</v>
      </c>
      <c r="K26" s="7">
        <v>7.5999999999999998E-2</v>
      </c>
      <c r="L26" s="11">
        <f t="shared" si="2"/>
        <v>6854.4224000000013</v>
      </c>
      <c r="M26" s="11">
        <f t="shared" si="3"/>
        <v>1502.5873104000002</v>
      </c>
      <c r="N26" s="11">
        <f t="shared" si="4"/>
        <v>6921.0082176000005</v>
      </c>
    </row>
    <row r="27" spans="1:14" hidden="1">
      <c r="A27" s="44"/>
      <c r="B27" s="5">
        <f t="shared" si="5"/>
        <v>45139</v>
      </c>
      <c r="C27" s="1" t="s">
        <v>17</v>
      </c>
      <c r="D27" s="194"/>
      <c r="E27" s="1"/>
      <c r="F27" s="2"/>
      <c r="G27" s="3">
        <f t="shared" si="0"/>
        <v>0</v>
      </c>
      <c r="H27" s="4">
        <f t="shared" si="1"/>
        <v>0</v>
      </c>
      <c r="I27" s="7"/>
      <c r="J27" s="7">
        <v>1.6500000000000001E-2</v>
      </c>
      <c r="K27" s="7">
        <v>7.5999999999999998E-2</v>
      </c>
      <c r="L27" s="11">
        <f t="shared" si="2"/>
        <v>0</v>
      </c>
      <c r="M27" s="11">
        <f t="shared" si="3"/>
        <v>0</v>
      </c>
      <c r="N27" s="11">
        <f t="shared" si="4"/>
        <v>0</v>
      </c>
    </row>
    <row r="28" spans="1:14" hidden="1">
      <c r="A28" s="44"/>
      <c r="B28" s="5">
        <f t="shared" si="5"/>
        <v>45139</v>
      </c>
      <c r="C28" s="1" t="s">
        <v>17</v>
      </c>
      <c r="D28" s="194"/>
      <c r="E28" s="1"/>
      <c r="F28" s="2"/>
      <c r="G28" s="3">
        <f t="shared" si="0"/>
        <v>0</v>
      </c>
      <c r="H28" s="4">
        <f t="shared" si="1"/>
        <v>0</v>
      </c>
      <c r="I28" s="7"/>
      <c r="J28" s="7">
        <v>1.6500000000000001E-2</v>
      </c>
      <c r="K28" s="7">
        <v>7.5999999999999998E-2</v>
      </c>
      <c r="L28" s="11">
        <f t="shared" si="2"/>
        <v>0</v>
      </c>
      <c r="M28" s="11">
        <f t="shared" si="3"/>
        <v>0</v>
      </c>
      <c r="N28" s="11">
        <f t="shared" si="4"/>
        <v>0</v>
      </c>
    </row>
    <row r="29" spans="1:14" hidden="1">
      <c r="A29" s="44"/>
      <c r="B29" s="5">
        <f t="shared" si="5"/>
        <v>45139</v>
      </c>
      <c r="C29" s="1" t="s">
        <v>17</v>
      </c>
      <c r="D29" s="194"/>
      <c r="E29" s="1"/>
      <c r="F29" s="2"/>
      <c r="G29" s="3">
        <f>F29-SUM(L29:N29)</f>
        <v>0</v>
      </c>
      <c r="H29" s="4">
        <f>+IF(G29=0,0,G29/E29)</f>
        <v>0</v>
      </c>
      <c r="I29" s="7"/>
      <c r="J29" s="7">
        <v>1.6500000000000001E-2</v>
      </c>
      <c r="K29" s="7">
        <v>7.5999999999999998E-2</v>
      </c>
      <c r="L29" s="11">
        <f t="shared" si="2"/>
        <v>0</v>
      </c>
      <c r="M29" s="11">
        <f t="shared" si="3"/>
        <v>0</v>
      </c>
      <c r="N29" s="11">
        <f t="shared" si="4"/>
        <v>0</v>
      </c>
    </row>
    <row r="30" spans="1:14" hidden="1">
      <c r="A30" s="44"/>
      <c r="B30" s="5">
        <f t="shared" si="5"/>
        <v>45139</v>
      </c>
      <c r="C30" s="1" t="s">
        <v>17</v>
      </c>
      <c r="D30" s="194"/>
      <c r="E30" s="1"/>
      <c r="F30" s="2"/>
      <c r="G30" s="3">
        <f t="shared" si="0"/>
        <v>0</v>
      </c>
      <c r="H30" s="4">
        <f>+IF(G30=0,0,G30/E30)</f>
        <v>0</v>
      </c>
      <c r="I30" s="7"/>
      <c r="J30" s="7">
        <v>1.6500000000000001E-2</v>
      </c>
      <c r="K30" s="7">
        <v>7.5999999999999998E-2</v>
      </c>
      <c r="L30" s="11">
        <f t="shared" si="2"/>
        <v>0</v>
      </c>
      <c r="M30" s="11">
        <f t="shared" si="3"/>
        <v>0</v>
      </c>
      <c r="N30" s="11">
        <f t="shared" si="4"/>
        <v>0</v>
      </c>
    </row>
    <row r="31" spans="1:14" hidden="1">
      <c r="A31" s="44"/>
      <c r="B31" s="5">
        <f t="shared" si="5"/>
        <v>45139</v>
      </c>
      <c r="C31" s="1" t="s">
        <v>17</v>
      </c>
      <c r="D31" s="194"/>
      <c r="E31" s="1"/>
      <c r="F31" s="2"/>
      <c r="G31" s="3">
        <f t="shared" si="0"/>
        <v>0</v>
      </c>
      <c r="H31" s="4">
        <f t="shared" si="1"/>
        <v>0</v>
      </c>
      <c r="I31" s="7"/>
      <c r="J31" s="7">
        <v>1.6500000000000001E-2</v>
      </c>
      <c r="K31" s="7">
        <v>7.5999999999999998E-2</v>
      </c>
      <c r="L31" s="11">
        <f t="shared" si="2"/>
        <v>0</v>
      </c>
      <c r="M31" s="11">
        <f t="shared" si="3"/>
        <v>0</v>
      </c>
      <c r="N31" s="11">
        <f t="shared" si="4"/>
        <v>0</v>
      </c>
    </row>
    <row r="32" spans="1:14" hidden="1">
      <c r="A32" s="44"/>
      <c r="B32" s="5">
        <f t="shared" si="5"/>
        <v>45139</v>
      </c>
      <c r="C32" s="1" t="s">
        <v>17</v>
      </c>
      <c r="D32" s="194"/>
      <c r="E32" s="1"/>
      <c r="F32" s="2"/>
      <c r="G32" s="3">
        <f t="shared" si="0"/>
        <v>0</v>
      </c>
      <c r="H32" s="4">
        <f t="shared" si="1"/>
        <v>0</v>
      </c>
      <c r="I32" s="7"/>
      <c r="J32" s="7">
        <v>1.6500000000000001E-2</v>
      </c>
      <c r="K32" s="7">
        <v>7.5999999999999998E-2</v>
      </c>
      <c r="L32" s="11">
        <f t="shared" si="2"/>
        <v>0</v>
      </c>
      <c r="M32" s="11">
        <f t="shared" si="3"/>
        <v>0</v>
      </c>
      <c r="N32" s="11">
        <f t="shared" si="4"/>
        <v>0</v>
      </c>
    </row>
    <row r="33" spans="1:16" hidden="1">
      <c r="A33" s="44"/>
      <c r="B33" s="5">
        <f t="shared" si="5"/>
        <v>45139</v>
      </c>
      <c r="C33" s="1" t="s">
        <v>17</v>
      </c>
      <c r="D33" s="194"/>
      <c r="E33" s="1"/>
      <c r="F33" s="2"/>
      <c r="G33" s="3">
        <f t="shared" si="0"/>
        <v>0</v>
      </c>
      <c r="H33" s="4">
        <f t="shared" si="1"/>
        <v>0</v>
      </c>
      <c r="I33" s="7"/>
      <c r="J33" s="7">
        <v>1.6500000000000001E-2</v>
      </c>
      <c r="K33" s="7">
        <v>7.5999999999999998E-2</v>
      </c>
      <c r="L33" s="11">
        <f t="shared" si="2"/>
        <v>0</v>
      </c>
      <c r="M33" s="11">
        <f t="shared" si="3"/>
        <v>0</v>
      </c>
      <c r="N33" s="11">
        <f t="shared" si="4"/>
        <v>0</v>
      </c>
    </row>
    <row r="34" spans="1:16" hidden="1">
      <c r="A34" s="44"/>
      <c r="B34" s="5">
        <f t="shared" si="5"/>
        <v>45139</v>
      </c>
      <c r="C34" s="1" t="s">
        <v>17</v>
      </c>
      <c r="D34" s="194"/>
      <c r="E34" s="1"/>
      <c r="F34" s="2"/>
      <c r="G34" s="3">
        <f t="shared" ref="G34" si="6">F34-SUM(L34:N34)</f>
        <v>0</v>
      </c>
      <c r="H34" s="4">
        <f t="shared" si="1"/>
        <v>0</v>
      </c>
      <c r="I34" s="7"/>
      <c r="J34" s="7">
        <v>1.6500000000000001E-2</v>
      </c>
      <c r="K34" s="7">
        <v>7.5999999999999998E-2</v>
      </c>
      <c r="L34" s="11">
        <f t="shared" si="2"/>
        <v>0</v>
      </c>
      <c r="M34" s="11">
        <f t="shared" si="3"/>
        <v>0</v>
      </c>
      <c r="N34" s="11">
        <f t="shared" si="4"/>
        <v>0</v>
      </c>
    </row>
    <row r="35" spans="1:16" hidden="1">
      <c r="A35" s="44"/>
      <c r="B35" s="5">
        <f t="shared" si="5"/>
        <v>45139</v>
      </c>
      <c r="C35" s="1" t="s">
        <v>17</v>
      </c>
      <c r="D35" s="194"/>
      <c r="E35" s="1"/>
      <c r="F35" s="2"/>
      <c r="G35" s="3">
        <f t="shared" ref="G35" si="7">F35-SUM(L35:N35)</f>
        <v>0</v>
      </c>
      <c r="H35" s="4">
        <f t="shared" si="1"/>
        <v>0</v>
      </c>
      <c r="I35" s="7"/>
      <c r="J35" s="7">
        <v>1.6500000000000001E-2</v>
      </c>
      <c r="K35" s="7">
        <v>7.5999999999999998E-2</v>
      </c>
      <c r="L35" s="11">
        <f t="shared" si="2"/>
        <v>0</v>
      </c>
      <c r="M35" s="11">
        <f t="shared" si="3"/>
        <v>0</v>
      </c>
      <c r="N35" s="11">
        <f t="shared" si="4"/>
        <v>0</v>
      </c>
    </row>
    <row r="36" spans="1:16" hidden="1">
      <c r="A36" s="44"/>
      <c r="B36" s="5">
        <f t="shared" si="5"/>
        <v>45139</v>
      </c>
      <c r="C36" s="1" t="s">
        <v>17</v>
      </c>
      <c r="D36" s="194"/>
      <c r="E36" s="1"/>
      <c r="F36" s="2"/>
      <c r="G36" s="3">
        <f t="shared" si="0"/>
        <v>0</v>
      </c>
      <c r="H36" s="4">
        <f t="shared" si="1"/>
        <v>0</v>
      </c>
      <c r="I36" s="7"/>
      <c r="J36" s="7">
        <v>1.6500000000000001E-2</v>
      </c>
      <c r="K36" s="7">
        <v>7.5999999999999998E-2</v>
      </c>
      <c r="L36" s="11">
        <f t="shared" si="2"/>
        <v>0</v>
      </c>
      <c r="M36" s="11">
        <f t="shared" si="3"/>
        <v>0</v>
      </c>
      <c r="N36" s="11">
        <f t="shared" si="4"/>
        <v>0</v>
      </c>
    </row>
    <row r="37" spans="1:16">
      <c r="A37" s="44"/>
      <c r="B37" s="5">
        <f t="shared" si="5"/>
        <v>45139</v>
      </c>
      <c r="C37" s="1" t="s">
        <v>33</v>
      </c>
      <c r="D37" s="195" t="s">
        <v>461</v>
      </c>
      <c r="E37" s="118">
        <v>37577305</v>
      </c>
      <c r="F37" s="2">
        <v>63453037.219999999</v>
      </c>
      <c r="G37" s="3">
        <f t="shared" si="0"/>
        <v>53552777.087749496</v>
      </c>
      <c r="H37" s="4">
        <f>+IF(G37=0,0,G37/E37)</f>
        <v>1.4251361849326207</v>
      </c>
      <c r="I37" s="7">
        <v>7.0000000000000007E-2</v>
      </c>
      <c r="J37" s="7">
        <v>1.6500000000000001E-2</v>
      </c>
      <c r="K37" s="7">
        <v>7.5999999999999998E-2</v>
      </c>
      <c r="L37" s="11">
        <f t="shared" si="2"/>
        <v>4441712.6054000007</v>
      </c>
      <c r="M37" s="11">
        <f t="shared" si="3"/>
        <v>973686.85614089994</v>
      </c>
      <c r="N37" s="11">
        <f t="shared" si="4"/>
        <v>4484860.6707095997</v>
      </c>
      <c r="P37" s="182"/>
    </row>
    <row r="38" spans="1:16">
      <c r="A38" s="44"/>
      <c r="B38" s="5">
        <f t="shared" si="5"/>
        <v>45139</v>
      </c>
      <c r="C38" s="1" t="s">
        <v>37</v>
      </c>
      <c r="D38" s="195" t="s">
        <v>465</v>
      </c>
      <c r="E38" s="185">
        <v>56218</v>
      </c>
      <c r="F38" s="2">
        <v>227559.22</v>
      </c>
      <c r="G38" s="3">
        <f>F38-SUM(L38:N38)</f>
        <v>169338.19356300001</v>
      </c>
      <c r="H38" s="4">
        <f>+IF(G38=0,0,G38/E38)</f>
        <v>3.0121703647052547</v>
      </c>
      <c r="I38" s="7">
        <v>0.18</v>
      </c>
      <c r="J38" s="7">
        <v>1.6500000000000001E-2</v>
      </c>
      <c r="K38" s="7">
        <v>7.5999999999999998E-2</v>
      </c>
      <c r="L38" s="11">
        <f t="shared" si="2"/>
        <v>40960.659599999999</v>
      </c>
      <c r="M38" s="11">
        <f t="shared" si="3"/>
        <v>3078.8762466000003</v>
      </c>
      <c r="N38" s="11">
        <f t="shared" si="4"/>
        <v>14181.490590400001</v>
      </c>
      <c r="O38" s="41"/>
    </row>
    <row r="39" spans="1:16">
      <c r="A39" s="44"/>
      <c r="B39" s="5">
        <f t="shared" si="5"/>
        <v>45139</v>
      </c>
      <c r="C39" s="1" t="s">
        <v>36</v>
      </c>
      <c r="D39" s="195" t="s">
        <v>466</v>
      </c>
      <c r="E39" s="185">
        <v>33652</v>
      </c>
      <c r="F39" s="2">
        <v>131569.22</v>
      </c>
      <c r="G39" s="3">
        <f t="shared" si="0"/>
        <v>97907.235063</v>
      </c>
      <c r="H39" s="4">
        <f t="shared" si="1"/>
        <v>2.9094031577023656</v>
      </c>
      <c r="I39" s="7">
        <v>0.18</v>
      </c>
      <c r="J39" s="7">
        <v>1.6500000000000001E-2</v>
      </c>
      <c r="K39" s="7">
        <v>7.5999999999999998E-2</v>
      </c>
      <c r="L39" s="11">
        <f t="shared" si="2"/>
        <v>23682.459599999998</v>
      </c>
      <c r="M39" s="11">
        <f t="shared" si="3"/>
        <v>1780.1315466000001</v>
      </c>
      <c r="N39" s="11">
        <f t="shared" si="4"/>
        <v>8199.3937903999995</v>
      </c>
      <c r="P39" s="42"/>
    </row>
    <row r="40" spans="1:16">
      <c r="A40" s="44"/>
      <c r="B40" s="5">
        <f t="shared" si="5"/>
        <v>45139</v>
      </c>
      <c r="C40" s="1" t="s">
        <v>422</v>
      </c>
      <c r="D40" s="195">
        <v>5225</v>
      </c>
      <c r="E40" s="186">
        <v>0</v>
      </c>
      <c r="F40" s="2">
        <v>74000</v>
      </c>
      <c r="G40" s="3">
        <f>F40-SUM(L40:N40)</f>
        <v>67155</v>
      </c>
      <c r="H40" s="187"/>
      <c r="I40" s="193">
        <v>0</v>
      </c>
      <c r="J40" s="7">
        <v>1.6500000000000001E-2</v>
      </c>
      <c r="K40" s="7">
        <v>7.5999999999999998E-2</v>
      </c>
      <c r="L40" s="11">
        <f t="shared" si="2"/>
        <v>0</v>
      </c>
      <c r="M40" s="11">
        <f t="shared" si="3"/>
        <v>1221</v>
      </c>
      <c r="N40" s="11">
        <f t="shared" si="4"/>
        <v>5624</v>
      </c>
      <c r="P40" s="42"/>
    </row>
    <row r="41" spans="1:16">
      <c r="B41" s="5">
        <f t="shared" si="5"/>
        <v>45139</v>
      </c>
      <c r="C41" s="1" t="s">
        <v>423</v>
      </c>
      <c r="D41" s="194" t="s">
        <v>467</v>
      </c>
      <c r="E41" s="186">
        <v>0</v>
      </c>
      <c r="F41" s="2">
        <v>1460000</v>
      </c>
      <c r="G41" s="3">
        <f>F41-SUM(L41:N41)</f>
        <v>1324950</v>
      </c>
      <c r="H41" s="187"/>
      <c r="I41" s="193">
        <v>0</v>
      </c>
      <c r="J41" s="7">
        <v>1.6500000000000001E-2</v>
      </c>
      <c r="K41" s="7">
        <v>7.5999999999999998E-2</v>
      </c>
      <c r="L41" s="11">
        <f t="shared" si="2"/>
        <v>0</v>
      </c>
      <c r="M41" s="11">
        <f t="shared" si="3"/>
        <v>24090</v>
      </c>
      <c r="N41" s="11">
        <f t="shared" si="4"/>
        <v>110960</v>
      </c>
    </row>
    <row r="42" spans="1:16">
      <c r="B42" s="5"/>
      <c r="C42" s="1"/>
      <c r="E42" s="1"/>
      <c r="F42" s="2"/>
      <c r="G42" s="4"/>
      <c r="H42" s="4"/>
      <c r="I42" s="7"/>
      <c r="J42" s="7"/>
      <c r="K42" s="7"/>
    </row>
    <row r="43" spans="1:16">
      <c r="E43" s="28">
        <f>SUM(E19:E42)</f>
        <v>46866572</v>
      </c>
      <c r="G43" s="29">
        <f>SUM(G19:G42)</f>
        <v>74232800.76026924</v>
      </c>
    </row>
    <row r="44" spans="1:16">
      <c r="E44" s="137"/>
    </row>
    <row r="45" spans="1:16" ht="15.75" thickBot="1"/>
    <row r="46" spans="1:16">
      <c r="B46" s="391" t="s">
        <v>468</v>
      </c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4"/>
    </row>
    <row r="47" spans="1:16">
      <c r="B47" s="385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7"/>
    </row>
    <row r="48" spans="1:16">
      <c r="B48" s="385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 ht="44.25" customHeight="1" thickBot="1">
      <c r="B51" s="388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90"/>
    </row>
  </sheetData>
  <mergeCells count="3">
    <mergeCell ref="C2:L2"/>
    <mergeCell ref="L17:N17"/>
    <mergeCell ref="B46:N51"/>
  </mergeCells>
  <conditionalFormatting sqref="D7">
    <cfRule type="duplicateValues" dxfId="148" priority="1"/>
  </conditionalFormatting>
  <conditionalFormatting sqref="D45:D1048576 D1:D6 D8:D43">
    <cfRule type="duplicateValues" dxfId="147" priority="2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1978-3BFB-4426-A786-E3E7061C4B1A}">
  <sheetPr>
    <pageSetUpPr fitToPage="1"/>
  </sheetPr>
  <dimension ref="A2:P51"/>
  <sheetViews>
    <sheetView showGridLines="0" topLeftCell="A3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39.5703125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6.42578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3:14" ht="23.25">
      <c r="C3" s="13">
        <v>45170</v>
      </c>
    </row>
    <row r="5" spans="3:14">
      <c r="C5" t="s">
        <v>17</v>
      </c>
      <c r="D5" s="14">
        <f ca="1">SUMIF($C$19:$G$41,$C$5:$C$8,$G$19:$G$41)/SUMIF($C$19:$G$41,$C$5:$C$8,$E$19:$E$41)</f>
        <v>2.0675999994667409</v>
      </c>
    </row>
    <row r="6" spans="3:14">
      <c r="C6" t="s">
        <v>33</v>
      </c>
      <c r="D6" s="14">
        <f ca="1">SUMIF($C$19:$G$41,$C$5:$C$8,$G$19:$G$41)/SUMIF($C$19:$G$41,$C$5:$C$8,$E$19:$E$41)</f>
        <v>1.425085546573515</v>
      </c>
    </row>
    <row r="7" spans="3:14">
      <c r="C7" t="s">
        <v>126</v>
      </c>
      <c r="D7" s="14" t="str">
        <f>IFERROR(SUM(G38:G39)/SUM(E38:E39),"")</f>
        <v/>
      </c>
    </row>
    <row r="8" spans="3:14">
      <c r="C8" t="s">
        <v>478</v>
      </c>
      <c r="D8" s="14">
        <f>H41+H40</f>
        <v>0</v>
      </c>
      <c r="M8" s="15" t="s">
        <v>127</v>
      </c>
      <c r="N8" s="15" t="s">
        <v>128</v>
      </c>
    </row>
    <row r="9" spans="3:14">
      <c r="C9" s="30" t="s">
        <v>129</v>
      </c>
      <c r="D9" s="31">
        <f>+G43/E43</f>
        <v>1.6574473875965732</v>
      </c>
      <c r="E9" s="14"/>
      <c r="F9" s="32"/>
      <c r="L9" s="16" t="str">
        <f>+C5</f>
        <v>Petrobras</v>
      </c>
      <c r="M9" s="17">
        <f>790000/1580000</f>
        <v>0.5</v>
      </c>
      <c r="N9" s="190">
        <f>+SUM(E19:E36)/E43</f>
        <v>0.32077761913885333</v>
      </c>
    </row>
    <row r="10" spans="3:14">
      <c r="L10" s="16" t="str">
        <f>+C6</f>
        <v>Shell</v>
      </c>
      <c r="M10" s="17">
        <v>0.474683544303797</v>
      </c>
      <c r="N10" s="190">
        <f>+SUM(E37:E37)/E43</f>
        <v>0.67922238086114672</v>
      </c>
    </row>
    <row r="11" spans="3:14">
      <c r="D11" s="14"/>
      <c r="L11" s="16" t="str">
        <f>+C7</f>
        <v>NFE</v>
      </c>
      <c r="M11" s="18">
        <v>2.53164556962025E-2</v>
      </c>
      <c r="N11" s="189">
        <f>+SUM(E38:E39)/E43</f>
        <v>0</v>
      </c>
    </row>
    <row r="12" spans="3:14">
      <c r="D12" s="14"/>
      <c r="L12" s="16" t="s">
        <v>421</v>
      </c>
      <c r="M12" s="18">
        <v>0</v>
      </c>
      <c r="N12" s="188">
        <v>0</v>
      </c>
    </row>
    <row r="13" spans="3:14">
      <c r="D13" s="19"/>
      <c r="L13" s="20" t="s">
        <v>38</v>
      </c>
      <c r="M13" s="21">
        <f>SUM(M9:M12)</f>
        <v>0.99999999999999956</v>
      </c>
      <c r="N13" s="21">
        <f>SUM(N9:N12)</f>
        <v>1</v>
      </c>
    </row>
    <row r="14" spans="3:14">
      <c r="D14" s="22"/>
    </row>
    <row r="17" spans="1:14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381" t="s">
        <v>100</v>
      </c>
      <c r="M17" s="381"/>
      <c r="N17" s="381"/>
    </row>
    <row r="18" spans="1:14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7" t="s">
        <v>3</v>
      </c>
      <c r="M18" s="27" t="s">
        <v>97</v>
      </c>
      <c r="N18" s="27" t="s">
        <v>98</v>
      </c>
    </row>
    <row r="19" spans="1:14">
      <c r="A19" s="44"/>
      <c r="B19" s="5">
        <f>C3</f>
        <v>45170</v>
      </c>
      <c r="C19" s="1" t="s">
        <v>17</v>
      </c>
      <c r="D19" s="194" t="s">
        <v>470</v>
      </c>
      <c r="E19" s="1">
        <v>545002</v>
      </c>
      <c r="F19" s="2">
        <v>1411026.97</v>
      </c>
      <c r="G19" s="3">
        <f>F19-SUM(L19:N19)</f>
        <v>1126846.138242</v>
      </c>
      <c r="H19" s="4">
        <f>+IF(G19=0,0,G19/E19)</f>
        <v>2.0676000055816308</v>
      </c>
      <c r="I19" s="7">
        <v>0.12</v>
      </c>
      <c r="J19" s="7">
        <v>1.6500000000000001E-2</v>
      </c>
      <c r="K19" s="7">
        <v>7.5999999999999998E-2</v>
      </c>
      <c r="L19" s="11">
        <f>+I19*F19</f>
        <v>169323.23639999999</v>
      </c>
      <c r="M19" s="11">
        <f>J19*(F19-L19)</f>
        <v>20488.111604400001</v>
      </c>
      <c r="N19" s="11">
        <f>K19*(F19-L19)</f>
        <v>94369.483753599998</v>
      </c>
    </row>
    <row r="20" spans="1:14">
      <c r="A20" s="44"/>
      <c r="B20" s="5">
        <f>B19</f>
        <v>45170</v>
      </c>
      <c r="C20" s="1" t="s">
        <v>17</v>
      </c>
      <c r="D20" s="194" t="s">
        <v>471</v>
      </c>
      <c r="E20" s="1">
        <v>1360111</v>
      </c>
      <c r="F20" s="2">
        <v>3521369.27</v>
      </c>
      <c r="G20" s="3">
        <f t="shared" ref="G20:G39" si="0">F20-SUM(L20:N20)</f>
        <v>2812165.499022</v>
      </c>
      <c r="H20" s="4">
        <f t="shared" ref="H20:H39" si="1">+IF(G20=0,0,G20/E20)</f>
        <v>2.0675999966340983</v>
      </c>
      <c r="I20" s="7">
        <v>0.12</v>
      </c>
      <c r="J20" s="7">
        <v>1.6500000000000001E-2</v>
      </c>
      <c r="K20" s="7">
        <v>7.5999999999999998E-2</v>
      </c>
      <c r="L20" s="11">
        <f t="shared" ref="L20:L41" si="2">+I20*F20</f>
        <v>422564.3124</v>
      </c>
      <c r="M20" s="11">
        <f t="shared" ref="M20:M41" si="3">J20*(F20-L20)</f>
        <v>51130.2818004</v>
      </c>
      <c r="N20" s="11">
        <f t="shared" ref="N20:N41" si="4">K20*(F20-L20)</f>
        <v>235509.17677759999</v>
      </c>
    </row>
    <row r="21" spans="1:14">
      <c r="A21" s="44"/>
      <c r="B21" s="5">
        <f t="shared" ref="B21:B41" si="5">B20</f>
        <v>45170</v>
      </c>
      <c r="C21" s="1" t="s">
        <v>17</v>
      </c>
      <c r="D21" s="194" t="s">
        <v>472</v>
      </c>
      <c r="E21" s="1">
        <v>1827681</v>
      </c>
      <c r="F21" s="2">
        <v>4731922.41</v>
      </c>
      <c r="G21" s="3">
        <f t="shared" si="0"/>
        <v>3778913.2366260001</v>
      </c>
      <c r="H21" s="4">
        <f t="shared" si="1"/>
        <v>2.0676000005613671</v>
      </c>
      <c r="I21" s="7">
        <v>0.12</v>
      </c>
      <c r="J21" s="7">
        <v>1.6500000000000001E-2</v>
      </c>
      <c r="K21" s="7">
        <v>7.5999999999999998E-2</v>
      </c>
      <c r="L21" s="11">
        <f t="shared" si="2"/>
        <v>567830.68920000002</v>
      </c>
      <c r="M21" s="11">
        <f t="shared" si="3"/>
        <v>68707.513393200003</v>
      </c>
      <c r="N21" s="11">
        <f t="shared" si="4"/>
        <v>316470.97078080004</v>
      </c>
    </row>
    <row r="22" spans="1:14">
      <c r="A22" s="44"/>
      <c r="B22" s="5">
        <f t="shared" si="5"/>
        <v>45170</v>
      </c>
      <c r="C22" s="1" t="s">
        <v>17</v>
      </c>
      <c r="D22" s="194" t="s">
        <v>473</v>
      </c>
      <c r="E22" s="1">
        <v>7031955</v>
      </c>
      <c r="F22" s="2">
        <v>18205948.109999999</v>
      </c>
      <c r="G22" s="3">
        <f t="shared" si="0"/>
        <v>14539270.160645999</v>
      </c>
      <c r="H22" s="4">
        <f t="shared" si="1"/>
        <v>2.0676000003762822</v>
      </c>
      <c r="I22" s="7">
        <v>0.12</v>
      </c>
      <c r="J22" s="7">
        <v>1.6500000000000001E-2</v>
      </c>
      <c r="K22" s="7">
        <v>7.5999999999999998E-2</v>
      </c>
      <c r="L22" s="11">
        <f t="shared" si="2"/>
        <v>2184713.7731999997</v>
      </c>
      <c r="M22" s="11">
        <f t="shared" si="3"/>
        <v>264350.36655720003</v>
      </c>
      <c r="N22" s="11">
        <f t="shared" si="4"/>
        <v>1217613.8095968</v>
      </c>
    </row>
    <row r="23" spans="1:14">
      <c r="A23" s="44"/>
      <c r="B23" s="5">
        <f t="shared" si="5"/>
        <v>45170</v>
      </c>
      <c r="C23" s="1" t="s">
        <v>17</v>
      </c>
      <c r="D23" s="194" t="s">
        <v>474</v>
      </c>
      <c r="E23" s="1">
        <v>83674</v>
      </c>
      <c r="F23" s="2">
        <v>216634.56</v>
      </c>
      <c r="G23" s="3">
        <f t="shared" si="0"/>
        <v>173004.359616</v>
      </c>
      <c r="H23" s="4">
        <f t="shared" si="1"/>
        <v>2.0675999667280158</v>
      </c>
      <c r="I23" s="7">
        <v>0.12</v>
      </c>
      <c r="J23" s="7">
        <v>1.6500000000000001E-2</v>
      </c>
      <c r="K23" s="7">
        <v>7.5999999999999998E-2</v>
      </c>
      <c r="L23" s="11">
        <f t="shared" si="2"/>
        <v>25996.147199999999</v>
      </c>
      <c r="M23" s="11">
        <f t="shared" si="3"/>
        <v>3145.5338111999999</v>
      </c>
      <c r="N23" s="11">
        <f t="shared" si="4"/>
        <v>14488.519372799999</v>
      </c>
    </row>
    <row r="24" spans="1:14">
      <c r="A24" s="44"/>
      <c r="B24" s="5">
        <f t="shared" si="5"/>
        <v>45170</v>
      </c>
      <c r="C24" s="1" t="s">
        <v>17</v>
      </c>
      <c r="D24" s="194" t="s">
        <v>475</v>
      </c>
      <c r="E24" s="1">
        <v>3522837</v>
      </c>
      <c r="F24" s="2">
        <v>8630371.4900000002</v>
      </c>
      <c r="G24" s="3">
        <f t="shared" si="0"/>
        <v>7283817.7782727499</v>
      </c>
      <c r="H24" s="4">
        <f t="shared" si="1"/>
        <v>2.0675999991690643</v>
      </c>
      <c r="I24" s="7">
        <v>7.0000000000000007E-2</v>
      </c>
      <c r="J24" s="7">
        <v>1.6500000000000001E-2</v>
      </c>
      <c r="K24" s="7">
        <v>7.5999999999999998E-2</v>
      </c>
      <c r="L24" s="11">
        <f t="shared" si="2"/>
        <v>604126.00430000003</v>
      </c>
      <c r="M24" s="11">
        <f t="shared" si="3"/>
        <v>132433.05051405</v>
      </c>
      <c r="N24" s="11">
        <f t="shared" si="4"/>
        <v>609994.65691320004</v>
      </c>
    </row>
    <row r="25" spans="1:14">
      <c r="A25" s="44"/>
      <c r="B25" s="5">
        <f t="shared" si="5"/>
        <v>45170</v>
      </c>
      <c r="C25" s="1" t="s">
        <v>17</v>
      </c>
      <c r="D25" s="194" t="s">
        <v>476</v>
      </c>
      <c r="E25" s="1">
        <v>918219</v>
      </c>
      <c r="F25" s="2">
        <v>2377297.27</v>
      </c>
      <c r="G25" s="3">
        <f t="shared" si="0"/>
        <v>1898509.5998220001</v>
      </c>
      <c r="H25" s="4">
        <f t="shared" si="1"/>
        <v>2.0675999950142616</v>
      </c>
      <c r="I25" s="7">
        <v>0.12</v>
      </c>
      <c r="J25" s="7">
        <v>1.6500000000000001E-2</v>
      </c>
      <c r="K25" s="7">
        <v>7.5999999999999998E-2</v>
      </c>
      <c r="L25" s="11">
        <f t="shared" si="2"/>
        <v>285275.67239999998</v>
      </c>
      <c r="M25" s="11">
        <f t="shared" si="3"/>
        <v>34518.356360400001</v>
      </c>
      <c r="N25" s="11">
        <f t="shared" si="4"/>
        <v>158993.64141759998</v>
      </c>
    </row>
    <row r="26" spans="1:14" hidden="1">
      <c r="A26" s="44"/>
      <c r="B26" s="5">
        <f t="shared" si="5"/>
        <v>45170</v>
      </c>
      <c r="C26" s="1" t="s">
        <v>17</v>
      </c>
      <c r="D26" s="194"/>
      <c r="E26" s="1"/>
      <c r="F26" s="2"/>
      <c r="G26" s="3">
        <f t="shared" si="0"/>
        <v>0</v>
      </c>
      <c r="H26" s="4">
        <f t="shared" si="1"/>
        <v>0</v>
      </c>
      <c r="I26" s="7"/>
      <c r="J26" s="7">
        <v>1.6500000000000001E-2</v>
      </c>
      <c r="K26" s="7">
        <v>7.5999999999999998E-2</v>
      </c>
      <c r="L26" s="11">
        <f t="shared" si="2"/>
        <v>0</v>
      </c>
      <c r="M26" s="11">
        <f t="shared" si="3"/>
        <v>0</v>
      </c>
      <c r="N26" s="11">
        <f t="shared" si="4"/>
        <v>0</v>
      </c>
    </row>
    <row r="27" spans="1:14" hidden="1">
      <c r="A27" s="44"/>
      <c r="B27" s="5">
        <f t="shared" si="5"/>
        <v>45170</v>
      </c>
      <c r="C27" s="1" t="s">
        <v>17</v>
      </c>
      <c r="D27" s="194"/>
      <c r="E27" s="1"/>
      <c r="F27" s="2"/>
      <c r="G27" s="3">
        <f t="shared" si="0"/>
        <v>0</v>
      </c>
      <c r="H27" s="4">
        <f t="shared" si="1"/>
        <v>0</v>
      </c>
      <c r="I27" s="7"/>
      <c r="J27" s="7">
        <v>1.6500000000000001E-2</v>
      </c>
      <c r="K27" s="7">
        <v>7.5999999999999998E-2</v>
      </c>
      <c r="L27" s="11">
        <f t="shared" si="2"/>
        <v>0</v>
      </c>
      <c r="M27" s="11">
        <f t="shared" si="3"/>
        <v>0</v>
      </c>
      <c r="N27" s="11">
        <f t="shared" si="4"/>
        <v>0</v>
      </c>
    </row>
    <row r="28" spans="1:14" hidden="1">
      <c r="A28" s="44"/>
      <c r="B28" s="5">
        <f t="shared" si="5"/>
        <v>45170</v>
      </c>
      <c r="C28" s="1" t="s">
        <v>17</v>
      </c>
      <c r="D28" s="194"/>
      <c r="E28" s="1"/>
      <c r="F28" s="2"/>
      <c r="G28" s="3">
        <f t="shared" si="0"/>
        <v>0</v>
      </c>
      <c r="H28" s="4">
        <f t="shared" si="1"/>
        <v>0</v>
      </c>
      <c r="I28" s="7"/>
      <c r="J28" s="7">
        <v>1.6500000000000001E-2</v>
      </c>
      <c r="K28" s="7">
        <v>7.5999999999999998E-2</v>
      </c>
      <c r="L28" s="11">
        <f t="shared" si="2"/>
        <v>0</v>
      </c>
      <c r="M28" s="11">
        <f t="shared" si="3"/>
        <v>0</v>
      </c>
      <c r="N28" s="11">
        <f t="shared" si="4"/>
        <v>0</v>
      </c>
    </row>
    <row r="29" spans="1:14" hidden="1">
      <c r="A29" s="44"/>
      <c r="B29" s="5">
        <f t="shared" si="5"/>
        <v>45170</v>
      </c>
      <c r="C29" s="1" t="s">
        <v>17</v>
      </c>
      <c r="D29" s="194"/>
      <c r="E29" s="1"/>
      <c r="F29" s="2"/>
      <c r="G29" s="3">
        <f>F29-SUM(L29:N29)</f>
        <v>0</v>
      </c>
      <c r="H29" s="4">
        <f>+IF(G29=0,0,G29/E29)</f>
        <v>0</v>
      </c>
      <c r="I29" s="7"/>
      <c r="J29" s="7">
        <v>1.6500000000000001E-2</v>
      </c>
      <c r="K29" s="7">
        <v>7.5999999999999998E-2</v>
      </c>
      <c r="L29" s="11">
        <f t="shared" si="2"/>
        <v>0</v>
      </c>
      <c r="M29" s="11">
        <f t="shared" si="3"/>
        <v>0</v>
      </c>
      <c r="N29" s="11">
        <f t="shared" si="4"/>
        <v>0</v>
      </c>
    </row>
    <row r="30" spans="1:14" hidden="1">
      <c r="A30" s="44"/>
      <c r="B30" s="5">
        <f t="shared" si="5"/>
        <v>45170</v>
      </c>
      <c r="C30" s="1" t="s">
        <v>17</v>
      </c>
      <c r="D30" s="194"/>
      <c r="E30" s="1"/>
      <c r="F30" s="2"/>
      <c r="G30" s="3">
        <f t="shared" si="0"/>
        <v>0</v>
      </c>
      <c r="H30" s="4">
        <f>+IF(G30=0,0,G30/E30)</f>
        <v>0</v>
      </c>
      <c r="I30" s="7"/>
      <c r="J30" s="7">
        <v>1.6500000000000001E-2</v>
      </c>
      <c r="K30" s="7">
        <v>7.5999999999999998E-2</v>
      </c>
      <c r="L30" s="11">
        <f t="shared" si="2"/>
        <v>0</v>
      </c>
      <c r="M30" s="11">
        <f t="shared" si="3"/>
        <v>0</v>
      </c>
      <c r="N30" s="11">
        <f t="shared" si="4"/>
        <v>0</v>
      </c>
    </row>
    <row r="31" spans="1:14" hidden="1">
      <c r="A31" s="44"/>
      <c r="B31" s="5">
        <f t="shared" si="5"/>
        <v>45170</v>
      </c>
      <c r="C31" s="1" t="s">
        <v>17</v>
      </c>
      <c r="D31" s="194"/>
      <c r="E31" s="1"/>
      <c r="F31" s="2"/>
      <c r="G31" s="3">
        <f t="shared" si="0"/>
        <v>0</v>
      </c>
      <c r="H31" s="4">
        <f t="shared" si="1"/>
        <v>0</v>
      </c>
      <c r="I31" s="7"/>
      <c r="J31" s="7">
        <v>1.6500000000000001E-2</v>
      </c>
      <c r="K31" s="7">
        <v>7.5999999999999998E-2</v>
      </c>
      <c r="L31" s="11">
        <f t="shared" si="2"/>
        <v>0</v>
      </c>
      <c r="M31" s="11">
        <f t="shared" si="3"/>
        <v>0</v>
      </c>
      <c r="N31" s="11">
        <f t="shared" si="4"/>
        <v>0</v>
      </c>
    </row>
    <row r="32" spans="1:14" hidden="1">
      <c r="A32" s="44"/>
      <c r="B32" s="5">
        <f t="shared" si="5"/>
        <v>45170</v>
      </c>
      <c r="C32" s="1" t="s">
        <v>17</v>
      </c>
      <c r="D32" s="194"/>
      <c r="E32" s="1"/>
      <c r="F32" s="2"/>
      <c r="G32" s="3">
        <f t="shared" si="0"/>
        <v>0</v>
      </c>
      <c r="H32" s="4">
        <f t="shared" si="1"/>
        <v>0</v>
      </c>
      <c r="I32" s="7"/>
      <c r="J32" s="7">
        <v>1.6500000000000001E-2</v>
      </c>
      <c r="K32" s="7">
        <v>7.5999999999999998E-2</v>
      </c>
      <c r="L32" s="11">
        <f t="shared" si="2"/>
        <v>0</v>
      </c>
      <c r="M32" s="11">
        <f t="shared" si="3"/>
        <v>0</v>
      </c>
      <c r="N32" s="11">
        <f t="shared" si="4"/>
        <v>0</v>
      </c>
    </row>
    <row r="33" spans="1:16" hidden="1">
      <c r="A33" s="44"/>
      <c r="B33" s="5">
        <f t="shared" si="5"/>
        <v>45170</v>
      </c>
      <c r="C33" s="1" t="s">
        <v>17</v>
      </c>
      <c r="D33" s="194"/>
      <c r="E33" s="1"/>
      <c r="F33" s="2"/>
      <c r="G33" s="3">
        <f t="shared" si="0"/>
        <v>0</v>
      </c>
      <c r="H33" s="4">
        <f t="shared" si="1"/>
        <v>0</v>
      </c>
      <c r="I33" s="7"/>
      <c r="J33" s="7">
        <v>1.6500000000000001E-2</v>
      </c>
      <c r="K33" s="7">
        <v>7.5999999999999998E-2</v>
      </c>
      <c r="L33" s="11">
        <f t="shared" si="2"/>
        <v>0</v>
      </c>
      <c r="M33" s="11">
        <f t="shared" si="3"/>
        <v>0</v>
      </c>
      <c r="N33" s="11">
        <f t="shared" si="4"/>
        <v>0</v>
      </c>
    </row>
    <row r="34" spans="1:16" hidden="1">
      <c r="A34" s="44"/>
      <c r="B34" s="5">
        <f t="shared" si="5"/>
        <v>45170</v>
      </c>
      <c r="C34" s="1" t="s">
        <v>17</v>
      </c>
      <c r="D34" s="194"/>
      <c r="E34" s="1"/>
      <c r="F34" s="2"/>
      <c r="G34" s="3">
        <f t="shared" ref="G34" si="6">F34-SUM(L34:N34)</f>
        <v>0</v>
      </c>
      <c r="H34" s="4">
        <f t="shared" si="1"/>
        <v>0</v>
      </c>
      <c r="I34" s="7"/>
      <c r="J34" s="7">
        <v>1.6500000000000001E-2</v>
      </c>
      <c r="K34" s="7">
        <v>7.5999999999999998E-2</v>
      </c>
      <c r="L34" s="11">
        <f t="shared" si="2"/>
        <v>0</v>
      </c>
      <c r="M34" s="11">
        <f t="shared" si="3"/>
        <v>0</v>
      </c>
      <c r="N34" s="11">
        <f t="shared" si="4"/>
        <v>0</v>
      </c>
    </row>
    <row r="35" spans="1:16" hidden="1">
      <c r="A35" s="44"/>
      <c r="B35" s="5">
        <f t="shared" si="5"/>
        <v>45170</v>
      </c>
      <c r="C35" s="1" t="s">
        <v>17</v>
      </c>
      <c r="D35" s="194"/>
      <c r="E35" s="1"/>
      <c r="F35" s="2"/>
      <c r="G35" s="3">
        <f t="shared" ref="G35" si="7">F35-SUM(L35:N35)</f>
        <v>0</v>
      </c>
      <c r="H35" s="4">
        <f t="shared" si="1"/>
        <v>0</v>
      </c>
      <c r="I35" s="7"/>
      <c r="J35" s="7">
        <v>1.6500000000000001E-2</v>
      </c>
      <c r="K35" s="7">
        <v>7.5999999999999998E-2</v>
      </c>
      <c r="L35" s="11">
        <f t="shared" si="2"/>
        <v>0</v>
      </c>
      <c r="M35" s="11">
        <f t="shared" si="3"/>
        <v>0</v>
      </c>
      <c r="N35" s="11">
        <f t="shared" si="4"/>
        <v>0</v>
      </c>
    </row>
    <row r="36" spans="1:16" hidden="1">
      <c r="A36" s="44"/>
      <c r="B36" s="5">
        <f t="shared" si="5"/>
        <v>45170</v>
      </c>
      <c r="C36" s="1" t="s">
        <v>17</v>
      </c>
      <c r="D36" s="194"/>
      <c r="E36" s="1"/>
      <c r="F36" s="2"/>
      <c r="G36" s="3">
        <f t="shared" si="0"/>
        <v>0</v>
      </c>
      <c r="H36" s="4">
        <f t="shared" si="1"/>
        <v>0</v>
      </c>
      <c r="I36" s="7"/>
      <c r="J36" s="7">
        <v>1.6500000000000001E-2</v>
      </c>
      <c r="K36" s="7">
        <v>7.5999999999999998E-2</v>
      </c>
      <c r="L36" s="11">
        <f t="shared" si="2"/>
        <v>0</v>
      </c>
      <c r="M36" s="11">
        <f t="shared" si="3"/>
        <v>0</v>
      </c>
      <c r="N36" s="11">
        <f t="shared" si="4"/>
        <v>0</v>
      </c>
    </row>
    <row r="37" spans="1:16">
      <c r="A37" s="44"/>
      <c r="B37" s="5">
        <f t="shared" si="5"/>
        <v>45170</v>
      </c>
      <c r="C37" s="1" t="s">
        <v>33</v>
      </c>
      <c r="D37" s="195" t="s">
        <v>477</v>
      </c>
      <c r="E37" s="118">
        <v>32374317</v>
      </c>
      <c r="F37" s="2">
        <v>54665329.229999997</v>
      </c>
      <c r="G37" s="3">
        <f t="shared" si="0"/>
        <v>46136171.236889243</v>
      </c>
      <c r="H37" s="4">
        <f>+IF(G37=0,0,G37/E37)</f>
        <v>1.425085546573515</v>
      </c>
      <c r="I37" s="7">
        <v>7.0000000000000007E-2</v>
      </c>
      <c r="J37" s="7">
        <v>1.6500000000000001E-2</v>
      </c>
      <c r="K37" s="7">
        <v>7.5999999999999998E-2</v>
      </c>
      <c r="L37" s="11">
        <f t="shared" si="2"/>
        <v>3826573.0460999999</v>
      </c>
      <c r="M37" s="11">
        <f t="shared" si="3"/>
        <v>838839.47703435004</v>
      </c>
      <c r="N37" s="11">
        <f t="shared" si="4"/>
        <v>3863745.4699764</v>
      </c>
      <c r="P37" s="182"/>
    </row>
    <row r="38" spans="1:16" ht="15" hidden="1" customHeight="1">
      <c r="A38" s="44"/>
      <c r="B38" s="5">
        <f t="shared" si="5"/>
        <v>45170</v>
      </c>
      <c r="C38" s="1" t="s">
        <v>37</v>
      </c>
      <c r="D38" s="195"/>
      <c r="E38" s="185">
        <v>0</v>
      </c>
      <c r="F38" s="2"/>
      <c r="G38" s="3">
        <f>F38-SUM(L38:N38)</f>
        <v>0</v>
      </c>
      <c r="H38" s="4">
        <f>+IF(G38=0,0,G38/E38)</f>
        <v>0</v>
      </c>
      <c r="I38" s="7"/>
      <c r="J38" s="7">
        <v>1.6500000000000001E-2</v>
      </c>
      <c r="K38" s="7">
        <v>7.5999999999999998E-2</v>
      </c>
      <c r="L38" s="11">
        <f t="shared" si="2"/>
        <v>0</v>
      </c>
      <c r="M38" s="11">
        <f t="shared" si="3"/>
        <v>0</v>
      </c>
      <c r="N38" s="11">
        <f t="shared" si="4"/>
        <v>0</v>
      </c>
      <c r="O38" s="41"/>
    </row>
    <row r="39" spans="1:16" hidden="1">
      <c r="A39" s="44"/>
      <c r="B39" s="5">
        <f t="shared" si="5"/>
        <v>45170</v>
      </c>
      <c r="C39" s="1" t="s">
        <v>36</v>
      </c>
      <c r="D39" s="195"/>
      <c r="E39" s="185"/>
      <c r="F39" s="2"/>
      <c r="G39" s="3">
        <f t="shared" si="0"/>
        <v>0</v>
      </c>
      <c r="H39" s="4">
        <f t="shared" si="1"/>
        <v>0</v>
      </c>
      <c r="I39" s="7"/>
      <c r="J39" s="7">
        <v>1.6500000000000001E-2</v>
      </c>
      <c r="K39" s="7">
        <v>7.5999999999999998E-2</v>
      </c>
      <c r="L39" s="11">
        <f t="shared" si="2"/>
        <v>0</v>
      </c>
      <c r="M39" s="11">
        <f t="shared" si="3"/>
        <v>0</v>
      </c>
      <c r="N39" s="11">
        <f t="shared" si="4"/>
        <v>0</v>
      </c>
      <c r="P39" s="42"/>
    </row>
    <row r="40" spans="1:16">
      <c r="A40" s="44"/>
      <c r="B40" s="5">
        <f t="shared" si="5"/>
        <v>45170</v>
      </c>
      <c r="C40" s="1" t="s">
        <v>422</v>
      </c>
      <c r="D40" s="195" t="s">
        <v>469</v>
      </c>
      <c r="E40" s="186">
        <v>0</v>
      </c>
      <c r="F40" s="2">
        <f>74000+49333.2</f>
        <v>123333.2</v>
      </c>
      <c r="G40" s="3">
        <f>F40-SUM(L40:N40)</f>
        <v>111924.879</v>
      </c>
      <c r="H40" s="187"/>
      <c r="I40" s="193">
        <v>0</v>
      </c>
      <c r="J40" s="7">
        <v>1.6500000000000001E-2</v>
      </c>
      <c r="K40" s="7">
        <v>7.5999999999999998E-2</v>
      </c>
      <c r="L40" s="11">
        <f t="shared" si="2"/>
        <v>0</v>
      </c>
      <c r="M40" s="11">
        <f t="shared" si="3"/>
        <v>2034.9978000000001</v>
      </c>
      <c r="N40" s="11">
        <f t="shared" si="4"/>
        <v>9373.3231999999989</v>
      </c>
      <c r="P40" s="42"/>
    </row>
    <row r="41" spans="1:16">
      <c r="B41" s="5">
        <f t="shared" si="5"/>
        <v>45170</v>
      </c>
      <c r="C41" s="1" t="s">
        <v>423</v>
      </c>
      <c r="D41" s="194" t="s">
        <v>479</v>
      </c>
      <c r="E41" s="186">
        <v>0</v>
      </c>
      <c r="F41" s="2">
        <f>1222800+32970</f>
        <v>1255770</v>
      </c>
      <c r="G41" s="3">
        <f>F41-SUM(L41:N41)</f>
        <v>1139611.2749999999</v>
      </c>
      <c r="H41" s="187"/>
      <c r="I41" s="193">
        <v>0</v>
      </c>
      <c r="J41" s="7">
        <v>1.6500000000000001E-2</v>
      </c>
      <c r="K41" s="7">
        <v>7.5999999999999998E-2</v>
      </c>
      <c r="L41" s="11">
        <f t="shared" si="2"/>
        <v>0</v>
      </c>
      <c r="M41" s="11">
        <f t="shared" si="3"/>
        <v>20720.205000000002</v>
      </c>
      <c r="N41" s="11">
        <f t="shared" si="4"/>
        <v>95438.52</v>
      </c>
    </row>
    <row r="42" spans="1:16">
      <c r="B42" s="5"/>
      <c r="C42" s="1"/>
      <c r="E42" s="1"/>
      <c r="F42" s="2"/>
      <c r="G42" s="4"/>
      <c r="H42" s="4"/>
      <c r="I42" s="7"/>
      <c r="J42" s="7"/>
      <c r="K42" s="7"/>
    </row>
    <row r="43" spans="1:16">
      <c r="E43" s="28">
        <f>SUM(E19:E42)</f>
        <v>47663796</v>
      </c>
      <c r="G43" s="29">
        <f>SUM(G19:G42)</f>
        <v>79000234.163135991</v>
      </c>
    </row>
    <row r="44" spans="1:16">
      <c r="E44" s="137"/>
    </row>
    <row r="45" spans="1:16" ht="15.75" thickBot="1"/>
    <row r="46" spans="1:16">
      <c r="B46" s="391" t="s">
        <v>480</v>
      </c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4"/>
    </row>
    <row r="47" spans="1:16">
      <c r="B47" s="385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7"/>
    </row>
    <row r="48" spans="1:16">
      <c r="B48" s="385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 ht="44.25" customHeight="1" thickBot="1">
      <c r="B51" s="388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90"/>
    </row>
  </sheetData>
  <mergeCells count="3">
    <mergeCell ref="C2:L2"/>
    <mergeCell ref="L17:N17"/>
    <mergeCell ref="B46:N51"/>
  </mergeCells>
  <conditionalFormatting sqref="D7">
    <cfRule type="duplicateValues" dxfId="146" priority="1"/>
  </conditionalFormatting>
  <conditionalFormatting sqref="D45:D1048576 D1:D6 D8:D43">
    <cfRule type="duplicateValues" dxfId="145" priority="2"/>
  </conditionalFormatting>
  <pageMargins left="0.511811024" right="0.511811024" top="0.78740157499999996" bottom="0.78740157499999996" header="0.31496062000000002" footer="0.31496062000000002"/>
  <pageSetup paperSize="9" scale="54" orientation="landscape" r:id="rId1"/>
  <ignoredErrors>
    <ignoredError sqref="D7 N11 N9" formulaRange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C269-5190-4596-918F-B68C1CD0D8D4}">
  <sheetPr>
    <pageSetUpPr fitToPage="1"/>
  </sheetPr>
  <dimension ref="A2:P51"/>
  <sheetViews>
    <sheetView showGridLines="0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39.5703125" bestFit="1" customWidth="1"/>
    <col min="4" max="4" width="19.570312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6.42578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2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3:12" ht="23.25">
      <c r="C3" s="13">
        <v>45200</v>
      </c>
    </row>
    <row r="5" spans="3:12">
      <c r="C5" t="s">
        <v>17</v>
      </c>
      <c r="D5" s="14">
        <f ca="1">SUMIF($C$19:$G$41,$C$5:$C$8,$G$19:$G$41)/SUMIF($C$19:$G$41,$C$5:$C$8,$E$19:$E$41)</f>
        <v>2.0676028767882917</v>
      </c>
    </row>
    <row r="6" spans="3:12">
      <c r="C6" t="s">
        <v>33</v>
      </c>
      <c r="D6" s="14">
        <f ca="1">SUMIF($C$19:$G$41,$C$5:$C$8,$G$19:$G$41)/SUMIF($C$19:$G$41,$C$5:$C$8,$E$19:$E$41)</f>
        <v>1.4250855465191381</v>
      </c>
    </row>
    <row r="7" spans="3:12">
      <c r="C7" t="s">
        <v>126</v>
      </c>
      <c r="D7" s="14">
        <f>IFERROR(SUM(G38:G39)/SUM(E38:E39),"")</f>
        <v>1.9232514909473684</v>
      </c>
    </row>
    <row r="8" spans="3:12">
      <c r="C8" t="s">
        <v>478</v>
      </c>
      <c r="D8" s="14">
        <f>H41+H40</f>
        <v>0</v>
      </c>
    </row>
    <row r="9" spans="3:12">
      <c r="C9" s="30" t="s">
        <v>129</v>
      </c>
      <c r="D9" s="31">
        <f>+G43/E43</f>
        <v>1.6828177004207527</v>
      </c>
      <c r="E9" s="14"/>
      <c r="F9" s="32"/>
    </row>
    <row r="11" spans="3:12">
      <c r="D11" s="14"/>
    </row>
    <row r="12" spans="3:12">
      <c r="D12" s="14"/>
    </row>
    <row r="13" spans="3:12">
      <c r="D13" s="19"/>
    </row>
    <row r="14" spans="3:12">
      <c r="D14" s="22"/>
    </row>
    <row r="17" spans="1:14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381" t="s">
        <v>100</v>
      </c>
      <c r="M17" s="381"/>
      <c r="N17" s="381"/>
    </row>
    <row r="18" spans="1:14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7" t="s">
        <v>3</v>
      </c>
      <c r="M18" s="27" t="s">
        <v>97</v>
      </c>
      <c r="N18" s="27" t="s">
        <v>98</v>
      </c>
    </row>
    <row r="19" spans="1:14">
      <c r="A19" s="44"/>
      <c r="B19" s="5">
        <f>C3</f>
        <v>45200</v>
      </c>
      <c r="C19" s="1" t="s">
        <v>17</v>
      </c>
      <c r="D19" s="194" t="s">
        <v>485</v>
      </c>
      <c r="E19" s="1">
        <v>12594880</v>
      </c>
      <c r="F19" s="2">
        <v>32608532.289999999</v>
      </c>
      <c r="G19" s="3">
        <f>F19-SUM(L19:N19)</f>
        <v>26041173.886794001</v>
      </c>
      <c r="H19" s="4">
        <f>+IF(G19=0,0,G19/E19)</f>
        <v>2.0675999999042469</v>
      </c>
      <c r="I19" s="7">
        <v>0.12</v>
      </c>
      <c r="J19" s="7">
        <v>1.6500000000000001E-2</v>
      </c>
      <c r="K19" s="7">
        <v>7.5999999999999998E-2</v>
      </c>
      <c r="L19" s="11">
        <f>+I19*F19</f>
        <v>3913023.8747999999</v>
      </c>
      <c r="M19" s="11">
        <f>J19*(F19-L19)</f>
        <v>473475.88885079999</v>
      </c>
      <c r="N19" s="11">
        <f>K19*(F19-L19)</f>
        <v>2180858.6395552</v>
      </c>
    </row>
    <row r="20" spans="1:14">
      <c r="A20" s="44"/>
      <c r="B20" s="5">
        <f>B19</f>
        <v>45200</v>
      </c>
      <c r="C20" s="1" t="s">
        <v>17</v>
      </c>
      <c r="D20" s="194" t="s">
        <v>486</v>
      </c>
      <c r="E20" s="1">
        <v>3732478</v>
      </c>
      <c r="F20" s="2">
        <v>9663500.5099999998</v>
      </c>
      <c r="G20" s="3">
        <f t="shared" ref="G20:G39" si="0">F20-SUM(L20:N20)</f>
        <v>7717271.5072860001</v>
      </c>
      <c r="H20" s="4">
        <f t="shared" ref="H20:H39" si="1">+IF(G20=0,0,G20/E20)</f>
        <v>2.0675999985226974</v>
      </c>
      <c r="I20" s="7">
        <v>0.12</v>
      </c>
      <c r="J20" s="7">
        <v>1.6500000000000001E-2</v>
      </c>
      <c r="K20" s="7">
        <v>7.5999999999999998E-2</v>
      </c>
      <c r="L20" s="11">
        <f t="shared" ref="L20:L41" si="2">+I20*F20</f>
        <v>1159620.0611999999</v>
      </c>
      <c r="M20" s="11">
        <f t="shared" ref="M20:M41" si="3">J20*(F20-L20)</f>
        <v>140314.0274052</v>
      </c>
      <c r="N20" s="11">
        <f t="shared" ref="N20:N41" si="4">K20*(F20-L20)</f>
        <v>646294.91410879989</v>
      </c>
    </row>
    <row r="21" spans="1:14">
      <c r="A21" s="44"/>
      <c r="B21" s="5">
        <f t="shared" ref="B21:B41" si="5">B20</f>
        <v>45200</v>
      </c>
      <c r="C21" s="1" t="s">
        <v>17</v>
      </c>
      <c r="D21" s="196" t="s">
        <v>487</v>
      </c>
      <c r="E21" s="1">
        <v>438544</v>
      </c>
      <c r="F21" s="2">
        <v>1135403.92</v>
      </c>
      <c r="G21" s="3">
        <f t="shared" si="0"/>
        <v>906733.57051200001</v>
      </c>
      <c r="H21" s="4">
        <f t="shared" si="1"/>
        <v>2.067599991134299</v>
      </c>
      <c r="I21" s="7">
        <v>0.12</v>
      </c>
      <c r="J21" s="7">
        <v>1.6500000000000001E-2</v>
      </c>
      <c r="K21" s="7">
        <v>7.5999999999999998E-2</v>
      </c>
      <c r="L21" s="11">
        <f t="shared" si="2"/>
        <v>136248.47039999999</v>
      </c>
      <c r="M21" s="11">
        <f t="shared" si="3"/>
        <v>16486.064918399999</v>
      </c>
      <c r="N21" s="11">
        <f t="shared" si="4"/>
        <v>75935.814169599995</v>
      </c>
    </row>
    <row r="22" spans="1:14">
      <c r="A22" s="44"/>
      <c r="B22" s="5">
        <f t="shared" si="5"/>
        <v>45200</v>
      </c>
      <c r="C22" s="1" t="s">
        <v>17</v>
      </c>
      <c r="D22" s="194" t="s">
        <v>488</v>
      </c>
      <c r="E22" s="1">
        <v>659533</v>
      </c>
      <c r="F22" s="2">
        <v>1707551.25</v>
      </c>
      <c r="G22" s="3">
        <f t="shared" si="0"/>
        <v>1363650.4282499999</v>
      </c>
      <c r="H22" s="4">
        <f t="shared" si="1"/>
        <v>2.0675999961336275</v>
      </c>
      <c r="I22" s="7">
        <v>0.12</v>
      </c>
      <c r="J22" s="7">
        <v>1.6500000000000001E-2</v>
      </c>
      <c r="K22" s="7">
        <v>7.5999999999999998E-2</v>
      </c>
      <c r="L22" s="11">
        <f t="shared" si="2"/>
        <v>204906.15</v>
      </c>
      <c r="M22" s="11">
        <f t="shared" si="3"/>
        <v>24793.644150000004</v>
      </c>
      <c r="N22" s="11">
        <f t="shared" si="4"/>
        <v>114201.0276</v>
      </c>
    </row>
    <row r="23" spans="1:14">
      <c r="A23" s="44"/>
      <c r="B23" s="5">
        <f t="shared" si="5"/>
        <v>45200</v>
      </c>
      <c r="C23" s="1" t="s">
        <v>17</v>
      </c>
      <c r="D23" s="194" t="s">
        <v>489</v>
      </c>
      <c r="E23" s="1">
        <v>43</v>
      </c>
      <c r="F23" s="2">
        <v>156.32</v>
      </c>
      <c r="G23" s="3">
        <f t="shared" si="0"/>
        <v>124.837152</v>
      </c>
      <c r="H23" s="4">
        <f t="shared" si="1"/>
        <v>2.903189581395349</v>
      </c>
      <c r="I23" s="7">
        <v>0.12</v>
      </c>
      <c r="J23" s="7">
        <v>1.6500000000000001E-2</v>
      </c>
      <c r="K23" s="7">
        <v>7.5999999999999998E-2</v>
      </c>
      <c r="L23" s="11">
        <f t="shared" si="2"/>
        <v>18.758399999999998</v>
      </c>
      <c r="M23" s="11">
        <f t="shared" si="3"/>
        <v>2.2697664</v>
      </c>
      <c r="N23" s="11">
        <f t="shared" si="4"/>
        <v>10.454681599999999</v>
      </c>
    </row>
    <row r="24" spans="1:14">
      <c r="A24" s="44"/>
      <c r="B24" s="5">
        <f t="shared" si="5"/>
        <v>45200</v>
      </c>
      <c r="C24" s="1" t="s">
        <v>17</v>
      </c>
      <c r="D24" s="194" t="s">
        <v>490</v>
      </c>
      <c r="E24" s="1">
        <v>17</v>
      </c>
      <c r="F24" s="2">
        <v>61.81</v>
      </c>
      <c r="G24" s="3">
        <f t="shared" si="0"/>
        <v>49.361466</v>
      </c>
      <c r="H24" s="4">
        <f t="shared" si="1"/>
        <v>2.9036156470588237</v>
      </c>
      <c r="I24" s="7">
        <v>0.12</v>
      </c>
      <c r="J24" s="7">
        <v>1.6500000000000001E-2</v>
      </c>
      <c r="K24" s="7">
        <v>7.5999999999999998E-2</v>
      </c>
      <c r="L24" s="11">
        <f t="shared" si="2"/>
        <v>7.4172000000000002</v>
      </c>
      <c r="M24" s="11">
        <f t="shared" si="3"/>
        <v>0.89748120000000009</v>
      </c>
      <c r="N24" s="11">
        <f t="shared" si="4"/>
        <v>4.1338527999999997</v>
      </c>
    </row>
    <row r="25" spans="1:14" hidden="1">
      <c r="A25" s="44"/>
      <c r="B25" s="5">
        <f t="shared" si="5"/>
        <v>45200</v>
      </c>
      <c r="C25" s="1" t="s">
        <v>17</v>
      </c>
      <c r="D25" s="194"/>
      <c r="E25" s="1"/>
      <c r="F25" s="2"/>
      <c r="G25" s="3">
        <f t="shared" si="0"/>
        <v>0</v>
      </c>
      <c r="H25" s="4">
        <f t="shared" si="1"/>
        <v>0</v>
      </c>
      <c r="I25" s="7"/>
      <c r="J25" s="7">
        <v>1.6500000000000001E-2</v>
      </c>
      <c r="K25" s="7">
        <v>7.5999999999999998E-2</v>
      </c>
      <c r="L25" s="11">
        <f t="shared" si="2"/>
        <v>0</v>
      </c>
      <c r="M25" s="11">
        <f t="shared" si="3"/>
        <v>0</v>
      </c>
      <c r="N25" s="11">
        <f t="shared" si="4"/>
        <v>0</v>
      </c>
    </row>
    <row r="26" spans="1:14" hidden="1">
      <c r="A26" s="44"/>
      <c r="B26" s="5">
        <f t="shared" si="5"/>
        <v>45200</v>
      </c>
      <c r="C26" s="1" t="s">
        <v>17</v>
      </c>
      <c r="D26" s="194"/>
      <c r="E26" s="1"/>
      <c r="F26" s="2"/>
      <c r="G26" s="3">
        <f t="shared" si="0"/>
        <v>0</v>
      </c>
      <c r="H26" s="4">
        <f t="shared" si="1"/>
        <v>0</v>
      </c>
      <c r="I26" s="7"/>
      <c r="J26" s="7">
        <v>1.6500000000000001E-2</v>
      </c>
      <c r="K26" s="7">
        <v>7.5999999999999998E-2</v>
      </c>
      <c r="L26" s="11">
        <f t="shared" si="2"/>
        <v>0</v>
      </c>
      <c r="M26" s="11">
        <f t="shared" si="3"/>
        <v>0</v>
      </c>
      <c r="N26" s="11">
        <f t="shared" si="4"/>
        <v>0</v>
      </c>
    </row>
    <row r="27" spans="1:14" hidden="1">
      <c r="A27" s="44"/>
      <c r="B27" s="5">
        <f t="shared" si="5"/>
        <v>45200</v>
      </c>
      <c r="C27" s="1" t="s">
        <v>17</v>
      </c>
      <c r="D27" s="194"/>
      <c r="E27" s="1"/>
      <c r="F27" s="2"/>
      <c r="G27" s="3">
        <f t="shared" si="0"/>
        <v>0</v>
      </c>
      <c r="H27" s="4">
        <f t="shared" si="1"/>
        <v>0</v>
      </c>
      <c r="I27" s="7"/>
      <c r="J27" s="7">
        <v>1.6500000000000001E-2</v>
      </c>
      <c r="K27" s="7">
        <v>7.5999999999999998E-2</v>
      </c>
      <c r="L27" s="11">
        <f t="shared" si="2"/>
        <v>0</v>
      </c>
      <c r="M27" s="11">
        <f t="shared" si="3"/>
        <v>0</v>
      </c>
      <c r="N27" s="11">
        <f t="shared" si="4"/>
        <v>0</v>
      </c>
    </row>
    <row r="28" spans="1:14" hidden="1">
      <c r="A28" s="44"/>
      <c r="B28" s="5">
        <f t="shared" si="5"/>
        <v>45200</v>
      </c>
      <c r="C28" s="1" t="s">
        <v>17</v>
      </c>
      <c r="D28" s="194"/>
      <c r="E28" s="1"/>
      <c r="F28" s="2"/>
      <c r="G28" s="3">
        <f t="shared" si="0"/>
        <v>0</v>
      </c>
      <c r="H28" s="4">
        <f t="shared" si="1"/>
        <v>0</v>
      </c>
      <c r="I28" s="7"/>
      <c r="J28" s="7">
        <v>1.6500000000000001E-2</v>
      </c>
      <c r="K28" s="7">
        <v>7.5999999999999998E-2</v>
      </c>
      <c r="L28" s="11">
        <f t="shared" si="2"/>
        <v>0</v>
      </c>
      <c r="M28" s="11">
        <f t="shared" si="3"/>
        <v>0</v>
      </c>
      <c r="N28" s="11">
        <f t="shared" si="4"/>
        <v>0</v>
      </c>
    </row>
    <row r="29" spans="1:14" hidden="1">
      <c r="A29" s="44"/>
      <c r="B29" s="5">
        <f t="shared" si="5"/>
        <v>45200</v>
      </c>
      <c r="C29" s="1" t="s">
        <v>17</v>
      </c>
      <c r="D29" s="194"/>
      <c r="E29" s="1"/>
      <c r="F29" s="2"/>
      <c r="G29" s="3">
        <f>F29-SUM(L29:N29)</f>
        <v>0</v>
      </c>
      <c r="H29" s="4">
        <f>+IF(G29=0,0,G29/E29)</f>
        <v>0</v>
      </c>
      <c r="I29" s="7"/>
      <c r="J29" s="7">
        <v>1.6500000000000001E-2</v>
      </c>
      <c r="K29" s="7">
        <v>7.5999999999999998E-2</v>
      </c>
      <c r="L29" s="11">
        <f t="shared" si="2"/>
        <v>0</v>
      </c>
      <c r="M29" s="11">
        <f t="shared" si="3"/>
        <v>0</v>
      </c>
      <c r="N29" s="11">
        <f t="shared" si="4"/>
        <v>0</v>
      </c>
    </row>
    <row r="30" spans="1:14" hidden="1">
      <c r="A30" s="44"/>
      <c r="B30" s="5">
        <f t="shared" si="5"/>
        <v>45200</v>
      </c>
      <c r="C30" s="1" t="s">
        <v>17</v>
      </c>
      <c r="D30" s="194"/>
      <c r="E30" s="1"/>
      <c r="F30" s="2"/>
      <c r="G30" s="3">
        <f t="shared" si="0"/>
        <v>0</v>
      </c>
      <c r="H30" s="4">
        <f>+IF(G30=0,0,G30/E30)</f>
        <v>0</v>
      </c>
      <c r="I30" s="7"/>
      <c r="J30" s="7">
        <v>1.6500000000000001E-2</v>
      </c>
      <c r="K30" s="7">
        <v>7.5999999999999998E-2</v>
      </c>
      <c r="L30" s="11">
        <f t="shared" si="2"/>
        <v>0</v>
      </c>
      <c r="M30" s="11">
        <f t="shared" si="3"/>
        <v>0</v>
      </c>
      <c r="N30" s="11">
        <f t="shared" si="4"/>
        <v>0</v>
      </c>
    </row>
    <row r="31" spans="1:14" hidden="1">
      <c r="A31" s="44"/>
      <c r="B31" s="5">
        <f t="shared" si="5"/>
        <v>45200</v>
      </c>
      <c r="C31" s="1" t="s">
        <v>17</v>
      </c>
      <c r="D31" s="194"/>
      <c r="E31" s="1"/>
      <c r="F31" s="2"/>
      <c r="G31" s="3">
        <f t="shared" si="0"/>
        <v>0</v>
      </c>
      <c r="H31" s="4">
        <f t="shared" si="1"/>
        <v>0</v>
      </c>
      <c r="I31" s="7"/>
      <c r="J31" s="7">
        <v>1.6500000000000001E-2</v>
      </c>
      <c r="K31" s="7">
        <v>7.5999999999999998E-2</v>
      </c>
      <c r="L31" s="11">
        <f t="shared" si="2"/>
        <v>0</v>
      </c>
      <c r="M31" s="11">
        <f t="shared" si="3"/>
        <v>0</v>
      </c>
      <c r="N31" s="11">
        <f t="shared" si="4"/>
        <v>0</v>
      </c>
    </row>
    <row r="32" spans="1:14" hidden="1">
      <c r="A32" s="44"/>
      <c r="B32" s="5">
        <f t="shared" si="5"/>
        <v>45200</v>
      </c>
      <c r="C32" s="1" t="s">
        <v>17</v>
      </c>
      <c r="D32" s="194"/>
      <c r="E32" s="1"/>
      <c r="F32" s="2"/>
      <c r="G32" s="3">
        <f t="shared" si="0"/>
        <v>0</v>
      </c>
      <c r="H32" s="4">
        <f t="shared" si="1"/>
        <v>0</v>
      </c>
      <c r="I32" s="7"/>
      <c r="J32" s="7">
        <v>1.6500000000000001E-2</v>
      </c>
      <c r="K32" s="7">
        <v>7.5999999999999998E-2</v>
      </c>
      <c r="L32" s="11">
        <f t="shared" si="2"/>
        <v>0</v>
      </c>
      <c r="M32" s="11">
        <f t="shared" si="3"/>
        <v>0</v>
      </c>
      <c r="N32" s="11">
        <f t="shared" si="4"/>
        <v>0</v>
      </c>
    </row>
    <row r="33" spans="1:16" hidden="1">
      <c r="A33" s="44"/>
      <c r="B33" s="5">
        <f t="shared" si="5"/>
        <v>45200</v>
      </c>
      <c r="C33" s="1" t="s">
        <v>17</v>
      </c>
      <c r="D33" s="194"/>
      <c r="E33" s="1"/>
      <c r="F33" s="2"/>
      <c r="G33" s="3">
        <f t="shared" si="0"/>
        <v>0</v>
      </c>
      <c r="H33" s="4">
        <f t="shared" si="1"/>
        <v>0</v>
      </c>
      <c r="I33" s="7"/>
      <c r="J33" s="7">
        <v>1.6500000000000001E-2</v>
      </c>
      <c r="K33" s="7">
        <v>7.5999999999999998E-2</v>
      </c>
      <c r="L33" s="11">
        <f t="shared" si="2"/>
        <v>0</v>
      </c>
      <c r="M33" s="11">
        <f t="shared" si="3"/>
        <v>0</v>
      </c>
      <c r="N33" s="11">
        <f t="shared" si="4"/>
        <v>0</v>
      </c>
    </row>
    <row r="34" spans="1:16" hidden="1">
      <c r="A34" s="44"/>
      <c r="B34" s="5">
        <f t="shared" si="5"/>
        <v>45200</v>
      </c>
      <c r="C34" s="1" t="s">
        <v>17</v>
      </c>
      <c r="D34" s="194"/>
      <c r="E34" s="1"/>
      <c r="F34" s="2"/>
      <c r="G34" s="3">
        <f t="shared" ref="G34" si="6">F34-SUM(L34:N34)</f>
        <v>0</v>
      </c>
      <c r="H34" s="4">
        <f t="shared" si="1"/>
        <v>0</v>
      </c>
      <c r="I34" s="7"/>
      <c r="J34" s="7">
        <v>1.6500000000000001E-2</v>
      </c>
      <c r="K34" s="7">
        <v>7.5999999999999998E-2</v>
      </c>
      <c r="L34" s="11">
        <f t="shared" si="2"/>
        <v>0</v>
      </c>
      <c r="M34" s="11">
        <f t="shared" si="3"/>
        <v>0</v>
      </c>
      <c r="N34" s="11">
        <f t="shared" si="4"/>
        <v>0</v>
      </c>
    </row>
    <row r="35" spans="1:16" hidden="1">
      <c r="A35" s="44"/>
      <c r="B35" s="5">
        <f t="shared" si="5"/>
        <v>45200</v>
      </c>
      <c r="C35" s="1" t="s">
        <v>17</v>
      </c>
      <c r="D35" s="194"/>
      <c r="E35" s="1"/>
      <c r="F35" s="2"/>
      <c r="G35" s="3">
        <f t="shared" ref="G35" si="7">F35-SUM(L35:N35)</f>
        <v>0</v>
      </c>
      <c r="H35" s="4">
        <f t="shared" si="1"/>
        <v>0</v>
      </c>
      <c r="I35" s="7"/>
      <c r="J35" s="7">
        <v>1.6500000000000001E-2</v>
      </c>
      <c r="K35" s="7">
        <v>7.5999999999999998E-2</v>
      </c>
      <c r="L35" s="11">
        <f t="shared" si="2"/>
        <v>0</v>
      </c>
      <c r="M35" s="11">
        <f t="shared" si="3"/>
        <v>0</v>
      </c>
      <c r="N35" s="11">
        <f t="shared" si="4"/>
        <v>0</v>
      </c>
    </row>
    <row r="36" spans="1:16" hidden="1">
      <c r="A36" s="44"/>
      <c r="B36" s="5">
        <f t="shared" si="5"/>
        <v>45200</v>
      </c>
      <c r="C36" s="1" t="s">
        <v>17</v>
      </c>
      <c r="D36" s="194"/>
      <c r="E36" s="1"/>
      <c r="F36" s="2"/>
      <c r="G36" s="3">
        <f t="shared" si="0"/>
        <v>0</v>
      </c>
      <c r="H36" s="4">
        <f t="shared" si="1"/>
        <v>0</v>
      </c>
      <c r="I36" s="7"/>
      <c r="J36" s="7">
        <v>1.6500000000000001E-2</v>
      </c>
      <c r="K36" s="7">
        <v>7.5999999999999998E-2</v>
      </c>
      <c r="L36" s="11">
        <f t="shared" si="2"/>
        <v>0</v>
      </c>
      <c r="M36" s="11">
        <f t="shared" si="3"/>
        <v>0</v>
      </c>
      <c r="N36" s="11">
        <f t="shared" si="4"/>
        <v>0</v>
      </c>
    </row>
    <row r="37" spans="1:16">
      <c r="A37" s="44"/>
      <c r="B37" s="5">
        <f t="shared" si="5"/>
        <v>45200</v>
      </c>
      <c r="C37" s="1" t="s">
        <v>33</v>
      </c>
      <c r="D37" s="195">
        <v>4953</v>
      </c>
      <c r="E37" s="118">
        <v>32633569</v>
      </c>
      <c r="F37" s="2">
        <v>55103086.600000001</v>
      </c>
      <c r="G37" s="3">
        <f t="shared" si="0"/>
        <v>46505627.513235003</v>
      </c>
      <c r="H37" s="4">
        <f>+IF(G37=0,0,G37/E37)</f>
        <v>1.4250855465191381</v>
      </c>
      <c r="I37" s="7">
        <v>7.0000000000000007E-2</v>
      </c>
      <c r="J37" s="7">
        <v>1.6500000000000001E-2</v>
      </c>
      <c r="K37" s="7">
        <v>7.5999999999999998E-2</v>
      </c>
      <c r="L37" s="11">
        <f t="shared" si="2"/>
        <v>3857216.0620000004</v>
      </c>
      <c r="M37" s="11">
        <f t="shared" si="3"/>
        <v>845556.86387700005</v>
      </c>
      <c r="N37" s="11">
        <f t="shared" si="4"/>
        <v>3894686.1608879999</v>
      </c>
      <c r="P37" s="182"/>
    </row>
    <row r="38" spans="1:16">
      <c r="A38" s="44"/>
      <c r="B38" s="5">
        <f t="shared" si="5"/>
        <v>45200</v>
      </c>
      <c r="C38" s="1" t="s">
        <v>440</v>
      </c>
      <c r="D38" s="195">
        <v>119</v>
      </c>
      <c r="E38" s="185">
        <v>413000</v>
      </c>
      <c r="F38" s="2">
        <v>1165320.8</v>
      </c>
      <c r="G38" s="3">
        <f>F38-SUM(L38:N38)</f>
        <v>983501.62218000006</v>
      </c>
      <c r="H38" s="4">
        <f>+IF(G38=0,0,G38/E38)</f>
        <v>2.3813598600000003</v>
      </c>
      <c r="I38" s="7">
        <v>7.0000000000000007E-2</v>
      </c>
      <c r="J38" s="7">
        <v>1.6500000000000001E-2</v>
      </c>
      <c r="K38" s="7">
        <v>7.5999999999999998E-2</v>
      </c>
      <c r="L38" s="11">
        <f t="shared" si="2"/>
        <v>81572.456000000006</v>
      </c>
      <c r="M38" s="11">
        <f t="shared" si="3"/>
        <v>17881.847676000001</v>
      </c>
      <c r="N38" s="11">
        <f t="shared" si="4"/>
        <v>82364.874144000001</v>
      </c>
      <c r="O38" s="41"/>
    </row>
    <row r="39" spans="1:16">
      <c r="A39" s="44"/>
      <c r="B39" s="5">
        <f t="shared" si="5"/>
        <v>45200</v>
      </c>
      <c r="C39" s="1" t="s">
        <v>491</v>
      </c>
      <c r="D39" s="195">
        <v>6155</v>
      </c>
      <c r="E39" s="185">
        <v>537000</v>
      </c>
      <c r="F39" s="2">
        <v>1056332.7</v>
      </c>
      <c r="G39" s="3">
        <f t="shared" si="0"/>
        <v>843587.29422000004</v>
      </c>
      <c r="H39" s="4">
        <f t="shared" si="1"/>
        <v>1.5709260600000001</v>
      </c>
      <c r="I39" s="7">
        <v>0.12</v>
      </c>
      <c r="J39" s="7">
        <v>1.6500000000000001E-2</v>
      </c>
      <c r="K39" s="7">
        <v>7.5999999999999998E-2</v>
      </c>
      <c r="L39" s="11">
        <f t="shared" si="2"/>
        <v>126759.92399999998</v>
      </c>
      <c r="M39" s="11">
        <f t="shared" si="3"/>
        <v>15337.950804</v>
      </c>
      <c r="N39" s="11">
        <f t="shared" si="4"/>
        <v>70647.530975999995</v>
      </c>
      <c r="P39" s="42"/>
    </row>
    <row r="40" spans="1:16">
      <c r="A40" s="44"/>
      <c r="B40" s="5">
        <f t="shared" si="5"/>
        <v>45200</v>
      </c>
      <c r="C40" s="1" t="s">
        <v>422</v>
      </c>
      <c r="D40" s="195" t="s">
        <v>483</v>
      </c>
      <c r="E40" s="186">
        <v>0</v>
      </c>
      <c r="F40" s="2">
        <f>74000+37000</f>
        <v>111000</v>
      </c>
      <c r="G40" s="3">
        <f>F40-SUM(L40:N40)</f>
        <v>100732.5</v>
      </c>
      <c r="H40" s="187"/>
      <c r="I40" s="193">
        <v>0</v>
      </c>
      <c r="J40" s="7">
        <v>1.6500000000000001E-2</v>
      </c>
      <c r="K40" s="7">
        <v>7.5999999999999998E-2</v>
      </c>
      <c r="L40" s="11">
        <f t="shared" si="2"/>
        <v>0</v>
      </c>
      <c r="M40" s="11">
        <f t="shared" si="3"/>
        <v>1831.5</v>
      </c>
      <c r="N40" s="11">
        <f t="shared" si="4"/>
        <v>8436</v>
      </c>
      <c r="P40" s="42"/>
    </row>
    <row r="41" spans="1:16">
      <c r="B41" s="5">
        <f t="shared" si="5"/>
        <v>45200</v>
      </c>
      <c r="C41" s="1" t="s">
        <v>423</v>
      </c>
      <c r="D41" s="195" t="s">
        <v>484</v>
      </c>
      <c r="E41" s="186">
        <v>0</v>
      </c>
      <c r="F41" s="2">
        <f>1302048+214760</f>
        <v>1516808</v>
      </c>
      <c r="G41" s="3">
        <f>F41-SUM(L41:N41)</f>
        <v>1376503.26</v>
      </c>
      <c r="H41" s="187"/>
      <c r="I41" s="193">
        <v>0</v>
      </c>
      <c r="J41" s="7">
        <v>1.6500000000000001E-2</v>
      </c>
      <c r="K41" s="7">
        <v>7.5999999999999998E-2</v>
      </c>
      <c r="L41" s="11">
        <f t="shared" si="2"/>
        <v>0</v>
      </c>
      <c r="M41" s="11">
        <f t="shared" si="3"/>
        <v>25027.332000000002</v>
      </c>
      <c r="N41" s="11">
        <f t="shared" si="4"/>
        <v>115277.408</v>
      </c>
    </row>
    <row r="42" spans="1:16">
      <c r="B42" s="5"/>
      <c r="C42" s="1"/>
      <c r="E42" s="1"/>
      <c r="F42" s="2"/>
      <c r="G42" s="4"/>
      <c r="H42" s="4"/>
      <c r="I42" s="7"/>
      <c r="J42" s="7"/>
      <c r="K42" s="7"/>
    </row>
    <row r="43" spans="1:16">
      <c r="E43" s="28">
        <f>SUM(E19:E42)</f>
        <v>51009064</v>
      </c>
      <c r="G43" s="29">
        <f>SUM(G19:G42)</f>
        <v>85838955.781094998</v>
      </c>
    </row>
    <row r="44" spans="1:16">
      <c r="E44" s="137"/>
    </row>
    <row r="45" spans="1:16" ht="15.75" thickBot="1"/>
    <row r="46" spans="1:16">
      <c r="B46" s="391" t="s">
        <v>496</v>
      </c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4"/>
    </row>
    <row r="47" spans="1:16">
      <c r="B47" s="385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7"/>
    </row>
    <row r="48" spans="1:16">
      <c r="B48" s="385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 ht="44.25" customHeight="1" thickBot="1">
      <c r="B51" s="388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90"/>
    </row>
  </sheetData>
  <mergeCells count="3">
    <mergeCell ref="C2:L2"/>
    <mergeCell ref="L17:N17"/>
    <mergeCell ref="B46:N51"/>
  </mergeCells>
  <conditionalFormatting sqref="D7">
    <cfRule type="duplicateValues" dxfId="144" priority="3"/>
  </conditionalFormatting>
  <conditionalFormatting sqref="D19:D21">
    <cfRule type="duplicateValues" dxfId="143" priority="2"/>
  </conditionalFormatting>
  <conditionalFormatting sqref="D19:D37">
    <cfRule type="duplicateValues" dxfId="142" priority="1"/>
  </conditionalFormatting>
  <conditionalFormatting sqref="D45:D1048576 D1:D6 D8:D18 D22:D43">
    <cfRule type="duplicateValues" dxfId="141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11D4-C849-4CAA-A6F3-1E418071588E}">
  <sheetPr>
    <pageSetUpPr fitToPage="1"/>
  </sheetPr>
  <dimension ref="A2:P51"/>
  <sheetViews>
    <sheetView showGridLines="0" topLeftCell="A5" zoomScale="80" zoomScaleNormal="8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39.5703125" bestFit="1" customWidth="1"/>
    <col min="4" max="4" width="19.5703125" bestFit="1" customWidth="1"/>
    <col min="5" max="5" width="12.28515625" bestFit="1" customWidth="1"/>
    <col min="6" max="6" width="19.85546875" bestFit="1" customWidth="1"/>
    <col min="7" max="7" width="21" bestFit="1" customWidth="1"/>
    <col min="8" max="8" width="16.42578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3:14" ht="23.25">
      <c r="C3" s="13">
        <v>45231</v>
      </c>
    </row>
    <row r="5" spans="3:14">
      <c r="C5" t="s">
        <v>17</v>
      </c>
      <c r="D5" s="14">
        <f ca="1">SUMIF($C$19:$G$41,$C$5:$C$8,$G$19:$G$41)/SUMIF($C$19:$G$41,$C$5:$C$8,$E$19:$E$41)</f>
        <v>2.2280999999506759</v>
      </c>
    </row>
    <row r="6" spans="3:14">
      <c r="C6" t="s">
        <v>33</v>
      </c>
      <c r="D6" s="14">
        <f ca="1">SUMIF($C$19:$G$41,$C$5:$C$8,$G$19:$G$41)/SUMIF($C$19:$G$41,$C$5:$C$8,$E$19:$E$41)</f>
        <v>1.5834405756340799</v>
      </c>
    </row>
    <row r="7" spans="3:14">
      <c r="C7" t="s">
        <v>126</v>
      </c>
      <c r="D7" s="14">
        <f>IFERROR(SUM(G38:G39)/SUM(E38:E39),"")</f>
        <v>2.3290334105626491</v>
      </c>
    </row>
    <row r="8" spans="3:14">
      <c r="C8" t="s">
        <v>478</v>
      </c>
      <c r="D8" s="14">
        <f>H41+H40</f>
        <v>0</v>
      </c>
      <c r="M8" s="15" t="s">
        <v>127</v>
      </c>
      <c r="N8" s="15" t="s">
        <v>128</v>
      </c>
    </row>
    <row r="9" spans="3:14">
      <c r="C9" s="30" t="s">
        <v>129</v>
      </c>
      <c r="D9" s="31">
        <f>+G43/E43</f>
        <v>1.8278355801158039</v>
      </c>
      <c r="E9" s="14"/>
      <c r="F9" s="32"/>
      <c r="L9" s="16" t="str">
        <f>+C5</f>
        <v>Petrobras</v>
      </c>
      <c r="M9" s="17">
        <f>790000/1580000</f>
        <v>0.5</v>
      </c>
      <c r="N9" s="190">
        <f>+SUM(E19:E36)/E43</f>
        <v>0.31956619162200989</v>
      </c>
    </row>
    <row r="10" spans="3:14">
      <c r="L10" s="16" t="str">
        <f>+C6</f>
        <v>Shell</v>
      </c>
      <c r="M10" s="17">
        <v>0.474683544303797</v>
      </c>
      <c r="N10" s="190">
        <f>+SUM(E37:E37)/E43</f>
        <v>0.6737760194142578</v>
      </c>
    </row>
    <row r="11" spans="3:14">
      <c r="D11" s="14"/>
      <c r="L11" s="16" t="str">
        <f>+C7</f>
        <v>NFE</v>
      </c>
      <c r="M11" s="18">
        <v>2.53164556962025E-2</v>
      </c>
      <c r="N11" s="189">
        <f>+SUM(E38:E39)/E43</f>
        <v>6.6577889637322984E-3</v>
      </c>
    </row>
    <row r="12" spans="3:14">
      <c r="D12" s="14"/>
      <c r="L12" s="16" t="s">
        <v>421</v>
      </c>
      <c r="M12" s="18">
        <v>0</v>
      </c>
      <c r="N12" s="188">
        <v>0</v>
      </c>
    </row>
    <row r="13" spans="3:14">
      <c r="D13" s="19"/>
      <c r="L13" s="20" t="s">
        <v>38</v>
      </c>
      <c r="M13" s="21">
        <f>SUM(M9:M12)</f>
        <v>0.99999999999999956</v>
      </c>
      <c r="N13" s="21">
        <f>SUM(N9:N12)</f>
        <v>1</v>
      </c>
    </row>
    <row r="14" spans="3:14">
      <c r="D14" s="22"/>
    </row>
    <row r="17" spans="1:14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381" t="s">
        <v>100</v>
      </c>
      <c r="M17" s="381"/>
      <c r="N17" s="381"/>
    </row>
    <row r="18" spans="1:14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7" t="s">
        <v>3</v>
      </c>
      <c r="M18" s="27" t="s">
        <v>97</v>
      </c>
      <c r="N18" s="27" t="s">
        <v>98</v>
      </c>
    </row>
    <row r="19" spans="1:14">
      <c r="A19" s="44"/>
      <c r="B19" s="5">
        <f>C3</f>
        <v>45231</v>
      </c>
      <c r="C19" s="1" t="s">
        <v>17</v>
      </c>
      <c r="D19" s="194" t="s">
        <v>497</v>
      </c>
      <c r="E19" s="1">
        <v>978807</v>
      </c>
      <c r="F19" s="2">
        <v>2730878.89</v>
      </c>
      <c r="G19" s="3">
        <f>F19-SUM(L19:N19)</f>
        <v>2180879.8815540001</v>
      </c>
      <c r="H19" s="4">
        <f>+IF(G19=0,0,G19/E19)</f>
        <v>2.2281000049590984</v>
      </c>
      <c r="I19" s="7">
        <v>0.12</v>
      </c>
      <c r="J19" s="7">
        <v>1.6500000000000001E-2</v>
      </c>
      <c r="K19" s="7">
        <v>7.5999999999999998E-2</v>
      </c>
      <c r="L19" s="11">
        <f>+I19*F19</f>
        <v>327705.46679999999</v>
      </c>
      <c r="M19" s="11">
        <f>J19*(F19-L19)</f>
        <v>39652.361482800006</v>
      </c>
      <c r="N19" s="11">
        <f>K19*(F19-L19)</f>
        <v>182641.18016320001</v>
      </c>
    </row>
    <row r="20" spans="1:14">
      <c r="A20" s="44"/>
      <c r="B20" s="5">
        <f>B19</f>
        <v>45231</v>
      </c>
      <c r="C20" s="1" t="s">
        <v>17</v>
      </c>
      <c r="D20" s="194" t="s">
        <v>498</v>
      </c>
      <c r="E20" s="1">
        <v>121463</v>
      </c>
      <c r="F20" s="2">
        <v>338882.68</v>
      </c>
      <c r="G20" s="3">
        <f t="shared" ref="G20:G39" si="0">F20-SUM(L20:N20)</f>
        <v>270631.70824800001</v>
      </c>
      <c r="H20" s="4">
        <f t="shared" ref="H20:H39" si="1">+IF(G20=0,0,G20/E20)</f>
        <v>2.2280999831059667</v>
      </c>
      <c r="I20" s="7">
        <v>0.12</v>
      </c>
      <c r="J20" s="7">
        <v>1.6500000000000001E-2</v>
      </c>
      <c r="K20" s="7">
        <v>7.5999999999999998E-2</v>
      </c>
      <c r="L20" s="11">
        <f t="shared" ref="L20:L41" si="2">+I20*F20</f>
        <v>40665.921599999994</v>
      </c>
      <c r="M20" s="11">
        <f t="shared" ref="M20:M41" si="3">J20*(F20-L20)</f>
        <v>4920.5765136</v>
      </c>
      <c r="N20" s="11">
        <f t="shared" ref="N20:N41" si="4">K20*(F20-L20)</f>
        <v>22664.473638399999</v>
      </c>
    </row>
    <row r="21" spans="1:14">
      <c r="A21" s="44"/>
      <c r="B21" s="5">
        <f t="shared" ref="B21:B41" si="5">B20</f>
        <v>45231</v>
      </c>
      <c r="C21" s="1" t="s">
        <v>17</v>
      </c>
      <c r="D21" s="196" t="s">
        <v>499</v>
      </c>
      <c r="E21" s="1">
        <v>1352361</v>
      </c>
      <c r="F21" s="2">
        <v>3570242.65</v>
      </c>
      <c r="G21" s="3">
        <f t="shared" si="0"/>
        <v>3013195.5405337499</v>
      </c>
      <c r="H21" s="4">
        <f t="shared" si="1"/>
        <v>2.228099997362945</v>
      </c>
      <c r="I21" s="7">
        <v>7.0000000000000007E-2</v>
      </c>
      <c r="J21" s="7">
        <v>1.6500000000000001E-2</v>
      </c>
      <c r="K21" s="7">
        <v>7.5999999999999998E-2</v>
      </c>
      <c r="L21" s="11">
        <f t="shared" si="2"/>
        <v>249916.98550000001</v>
      </c>
      <c r="M21" s="11">
        <f t="shared" si="3"/>
        <v>54785.373464249999</v>
      </c>
      <c r="N21" s="11">
        <f t="shared" si="4"/>
        <v>252344.75050199998</v>
      </c>
    </row>
    <row r="22" spans="1:14">
      <c r="A22" s="44"/>
      <c r="B22" s="5">
        <f t="shared" si="5"/>
        <v>45231</v>
      </c>
      <c r="C22" s="1" t="s">
        <v>17</v>
      </c>
      <c r="D22" s="194" t="s">
        <v>500</v>
      </c>
      <c r="E22" s="1">
        <v>1528028</v>
      </c>
      <c r="F22" s="2">
        <v>4263209.5999999996</v>
      </c>
      <c r="G22" s="3">
        <f t="shared" si="0"/>
        <v>3404599.1865599998</v>
      </c>
      <c r="H22" s="4">
        <f t="shared" si="1"/>
        <v>2.2280999998429345</v>
      </c>
      <c r="I22" s="7">
        <v>0.12</v>
      </c>
      <c r="J22" s="7">
        <v>1.6500000000000001E-2</v>
      </c>
      <c r="K22" s="7">
        <v>7.5999999999999998E-2</v>
      </c>
      <c r="L22" s="11">
        <f t="shared" si="2"/>
        <v>511585.15199999994</v>
      </c>
      <c r="M22" s="11">
        <f t="shared" si="3"/>
        <v>61901.803392000002</v>
      </c>
      <c r="N22" s="11">
        <f t="shared" si="4"/>
        <v>285123.458048</v>
      </c>
    </row>
    <row r="23" spans="1:14">
      <c r="A23" s="44"/>
      <c r="B23" s="5">
        <f t="shared" si="5"/>
        <v>45231</v>
      </c>
      <c r="C23" s="1" t="s">
        <v>17</v>
      </c>
      <c r="D23" s="194" t="s">
        <v>501</v>
      </c>
      <c r="E23" s="1">
        <v>3085433</v>
      </c>
      <c r="F23" s="2">
        <v>8608381.25</v>
      </c>
      <c r="G23" s="3">
        <f t="shared" si="0"/>
        <v>6874653.2662500003</v>
      </c>
      <c r="H23" s="4">
        <f t="shared" si="1"/>
        <v>2.2280999996596913</v>
      </c>
      <c r="I23" s="7">
        <v>0.12</v>
      </c>
      <c r="J23" s="7">
        <v>1.6500000000000001E-2</v>
      </c>
      <c r="K23" s="7">
        <v>7.5999999999999998E-2</v>
      </c>
      <c r="L23" s="11">
        <f t="shared" si="2"/>
        <v>1033005.75</v>
      </c>
      <c r="M23" s="11">
        <f t="shared" si="3"/>
        <v>124993.69575</v>
      </c>
      <c r="N23" s="11">
        <f t="shared" si="4"/>
        <v>575728.53799999994</v>
      </c>
    </row>
    <row r="24" spans="1:14">
      <c r="A24" s="44"/>
      <c r="B24" s="5">
        <f t="shared" si="5"/>
        <v>45231</v>
      </c>
      <c r="C24" s="1" t="s">
        <v>17</v>
      </c>
      <c r="D24" s="194" t="s">
        <v>502</v>
      </c>
      <c r="E24" s="1">
        <v>7333586</v>
      </c>
      <c r="F24" s="2">
        <v>20460760.039999999</v>
      </c>
      <c r="G24" s="3">
        <f t="shared" si="0"/>
        <v>16339962.967944</v>
      </c>
      <c r="H24" s="4">
        <f t="shared" si="1"/>
        <v>2.2281000001832663</v>
      </c>
      <c r="I24" s="7">
        <v>0.12</v>
      </c>
      <c r="J24" s="7">
        <v>1.6500000000000001E-2</v>
      </c>
      <c r="K24" s="7">
        <v>7.5999999999999998E-2</v>
      </c>
      <c r="L24" s="11">
        <f t="shared" si="2"/>
        <v>2455291.2047999999</v>
      </c>
      <c r="M24" s="11">
        <f t="shared" si="3"/>
        <v>297090.23578079999</v>
      </c>
      <c r="N24" s="11">
        <f t="shared" si="4"/>
        <v>1368415.6314751999</v>
      </c>
    </row>
    <row r="25" spans="1:14" hidden="1">
      <c r="A25" s="44"/>
      <c r="B25" s="5">
        <f t="shared" si="5"/>
        <v>45231</v>
      </c>
      <c r="C25" s="1" t="s">
        <v>17</v>
      </c>
      <c r="D25" s="194"/>
      <c r="E25" s="1"/>
      <c r="F25" s="2"/>
      <c r="G25" s="3">
        <f t="shared" si="0"/>
        <v>0</v>
      </c>
      <c r="H25" s="4">
        <f t="shared" si="1"/>
        <v>0</v>
      </c>
      <c r="I25" s="7"/>
      <c r="J25" s="7">
        <v>1.6500000000000001E-2</v>
      </c>
      <c r="K25" s="7">
        <v>7.5999999999999998E-2</v>
      </c>
      <c r="L25" s="11">
        <f t="shared" si="2"/>
        <v>0</v>
      </c>
      <c r="M25" s="11">
        <f t="shared" si="3"/>
        <v>0</v>
      </c>
      <c r="N25" s="11">
        <f t="shared" si="4"/>
        <v>0</v>
      </c>
    </row>
    <row r="26" spans="1:14" hidden="1">
      <c r="A26" s="44"/>
      <c r="B26" s="5">
        <f t="shared" si="5"/>
        <v>45231</v>
      </c>
      <c r="C26" s="1" t="s">
        <v>17</v>
      </c>
      <c r="D26" s="194"/>
      <c r="E26" s="1"/>
      <c r="F26" s="2"/>
      <c r="G26" s="3">
        <f t="shared" si="0"/>
        <v>0</v>
      </c>
      <c r="H26" s="4">
        <f t="shared" si="1"/>
        <v>0</v>
      </c>
      <c r="I26" s="7"/>
      <c r="J26" s="7">
        <v>1.6500000000000001E-2</v>
      </c>
      <c r="K26" s="7">
        <v>7.5999999999999998E-2</v>
      </c>
      <c r="L26" s="11">
        <f t="shared" si="2"/>
        <v>0</v>
      </c>
      <c r="M26" s="11">
        <f t="shared" si="3"/>
        <v>0</v>
      </c>
      <c r="N26" s="11">
        <f t="shared" si="4"/>
        <v>0</v>
      </c>
    </row>
    <row r="27" spans="1:14" hidden="1">
      <c r="A27" s="44"/>
      <c r="B27" s="5">
        <f t="shared" si="5"/>
        <v>45231</v>
      </c>
      <c r="C27" s="1" t="s">
        <v>17</v>
      </c>
      <c r="D27" s="194"/>
      <c r="E27" s="1"/>
      <c r="F27" s="2"/>
      <c r="G27" s="3">
        <f t="shared" si="0"/>
        <v>0</v>
      </c>
      <c r="H27" s="4">
        <f t="shared" si="1"/>
        <v>0</v>
      </c>
      <c r="I27" s="7"/>
      <c r="J27" s="7">
        <v>1.6500000000000001E-2</v>
      </c>
      <c r="K27" s="7">
        <v>7.5999999999999998E-2</v>
      </c>
      <c r="L27" s="11">
        <f t="shared" si="2"/>
        <v>0</v>
      </c>
      <c r="M27" s="11">
        <f t="shared" si="3"/>
        <v>0</v>
      </c>
      <c r="N27" s="11">
        <f t="shared" si="4"/>
        <v>0</v>
      </c>
    </row>
    <row r="28" spans="1:14" hidden="1">
      <c r="A28" s="44"/>
      <c r="B28" s="5">
        <f t="shared" si="5"/>
        <v>45231</v>
      </c>
      <c r="C28" s="1" t="s">
        <v>17</v>
      </c>
      <c r="D28" s="194"/>
      <c r="E28" s="1"/>
      <c r="F28" s="2"/>
      <c r="G28" s="3">
        <f t="shared" si="0"/>
        <v>0</v>
      </c>
      <c r="H28" s="4">
        <f t="shared" si="1"/>
        <v>0</v>
      </c>
      <c r="I28" s="7"/>
      <c r="J28" s="7">
        <v>1.6500000000000001E-2</v>
      </c>
      <c r="K28" s="7">
        <v>7.5999999999999998E-2</v>
      </c>
      <c r="L28" s="11">
        <f t="shared" si="2"/>
        <v>0</v>
      </c>
      <c r="M28" s="11">
        <f t="shared" si="3"/>
        <v>0</v>
      </c>
      <c r="N28" s="11">
        <f t="shared" si="4"/>
        <v>0</v>
      </c>
    </row>
    <row r="29" spans="1:14" hidden="1">
      <c r="A29" s="44"/>
      <c r="B29" s="5">
        <f t="shared" si="5"/>
        <v>45231</v>
      </c>
      <c r="C29" s="1" t="s">
        <v>17</v>
      </c>
      <c r="D29" s="194"/>
      <c r="E29" s="1"/>
      <c r="F29" s="2"/>
      <c r="G29" s="3">
        <f>F29-SUM(L29:N29)</f>
        <v>0</v>
      </c>
      <c r="H29" s="4">
        <f>+IF(G29=0,0,G29/E29)</f>
        <v>0</v>
      </c>
      <c r="I29" s="7"/>
      <c r="J29" s="7">
        <v>1.6500000000000001E-2</v>
      </c>
      <c r="K29" s="7">
        <v>7.5999999999999998E-2</v>
      </c>
      <c r="L29" s="11">
        <f t="shared" si="2"/>
        <v>0</v>
      </c>
      <c r="M29" s="11">
        <f t="shared" si="3"/>
        <v>0</v>
      </c>
      <c r="N29" s="11">
        <f t="shared" si="4"/>
        <v>0</v>
      </c>
    </row>
    <row r="30" spans="1:14" hidden="1">
      <c r="A30" s="44"/>
      <c r="B30" s="5">
        <f t="shared" si="5"/>
        <v>45231</v>
      </c>
      <c r="C30" s="1" t="s">
        <v>17</v>
      </c>
      <c r="D30" s="194"/>
      <c r="E30" s="1"/>
      <c r="F30" s="2"/>
      <c r="G30" s="3">
        <f t="shared" si="0"/>
        <v>0</v>
      </c>
      <c r="H30" s="4">
        <f>+IF(G30=0,0,G30/E30)</f>
        <v>0</v>
      </c>
      <c r="I30" s="7"/>
      <c r="J30" s="7">
        <v>1.6500000000000001E-2</v>
      </c>
      <c r="K30" s="7">
        <v>7.5999999999999998E-2</v>
      </c>
      <c r="L30" s="11">
        <f t="shared" si="2"/>
        <v>0</v>
      </c>
      <c r="M30" s="11">
        <f t="shared" si="3"/>
        <v>0</v>
      </c>
      <c r="N30" s="11">
        <f t="shared" si="4"/>
        <v>0</v>
      </c>
    </row>
    <row r="31" spans="1:14" hidden="1">
      <c r="A31" s="44"/>
      <c r="B31" s="5">
        <f t="shared" si="5"/>
        <v>45231</v>
      </c>
      <c r="C31" s="1" t="s">
        <v>17</v>
      </c>
      <c r="D31" s="194"/>
      <c r="E31" s="1"/>
      <c r="F31" s="2"/>
      <c r="G31" s="3">
        <f t="shared" si="0"/>
        <v>0</v>
      </c>
      <c r="H31" s="4">
        <f t="shared" si="1"/>
        <v>0</v>
      </c>
      <c r="I31" s="7"/>
      <c r="J31" s="7">
        <v>1.6500000000000001E-2</v>
      </c>
      <c r="K31" s="7">
        <v>7.5999999999999998E-2</v>
      </c>
      <c r="L31" s="11">
        <f t="shared" si="2"/>
        <v>0</v>
      </c>
      <c r="M31" s="11">
        <f t="shared" si="3"/>
        <v>0</v>
      </c>
      <c r="N31" s="11">
        <f t="shared" si="4"/>
        <v>0</v>
      </c>
    </row>
    <row r="32" spans="1:14" hidden="1">
      <c r="A32" s="44"/>
      <c r="B32" s="5">
        <f t="shared" si="5"/>
        <v>45231</v>
      </c>
      <c r="C32" s="1" t="s">
        <v>17</v>
      </c>
      <c r="D32" s="194"/>
      <c r="E32" s="1"/>
      <c r="F32" s="2"/>
      <c r="G32" s="3">
        <f t="shared" si="0"/>
        <v>0</v>
      </c>
      <c r="H32" s="4">
        <f t="shared" si="1"/>
        <v>0</v>
      </c>
      <c r="I32" s="7"/>
      <c r="J32" s="7">
        <v>1.6500000000000001E-2</v>
      </c>
      <c r="K32" s="7">
        <v>7.5999999999999998E-2</v>
      </c>
      <c r="L32" s="11">
        <f t="shared" si="2"/>
        <v>0</v>
      </c>
      <c r="M32" s="11">
        <f t="shared" si="3"/>
        <v>0</v>
      </c>
      <c r="N32" s="11">
        <f t="shared" si="4"/>
        <v>0</v>
      </c>
    </row>
    <row r="33" spans="1:16" hidden="1">
      <c r="A33" s="44"/>
      <c r="B33" s="5">
        <f t="shared" si="5"/>
        <v>45231</v>
      </c>
      <c r="C33" s="1" t="s">
        <v>17</v>
      </c>
      <c r="D33" s="194"/>
      <c r="E33" s="1"/>
      <c r="F33" s="2"/>
      <c r="G33" s="3">
        <f t="shared" si="0"/>
        <v>0</v>
      </c>
      <c r="H33" s="4">
        <f t="shared" si="1"/>
        <v>0</v>
      </c>
      <c r="I33" s="7"/>
      <c r="J33" s="7">
        <v>1.6500000000000001E-2</v>
      </c>
      <c r="K33" s="7">
        <v>7.5999999999999998E-2</v>
      </c>
      <c r="L33" s="11">
        <f t="shared" si="2"/>
        <v>0</v>
      </c>
      <c r="M33" s="11">
        <f t="shared" si="3"/>
        <v>0</v>
      </c>
      <c r="N33" s="11">
        <f t="shared" si="4"/>
        <v>0</v>
      </c>
    </row>
    <row r="34" spans="1:16" hidden="1">
      <c r="A34" s="44"/>
      <c r="B34" s="5">
        <f t="shared" si="5"/>
        <v>45231</v>
      </c>
      <c r="C34" s="1" t="s">
        <v>17</v>
      </c>
      <c r="D34" s="194"/>
      <c r="E34" s="1"/>
      <c r="F34" s="2"/>
      <c r="G34" s="3">
        <f t="shared" ref="G34" si="6">F34-SUM(L34:N34)</f>
        <v>0</v>
      </c>
      <c r="H34" s="4">
        <f t="shared" si="1"/>
        <v>0</v>
      </c>
      <c r="I34" s="7"/>
      <c r="J34" s="7">
        <v>1.6500000000000001E-2</v>
      </c>
      <c r="K34" s="7">
        <v>7.5999999999999998E-2</v>
      </c>
      <c r="L34" s="11">
        <f t="shared" si="2"/>
        <v>0</v>
      </c>
      <c r="M34" s="11">
        <f t="shared" si="3"/>
        <v>0</v>
      </c>
      <c r="N34" s="11">
        <f t="shared" si="4"/>
        <v>0</v>
      </c>
    </row>
    <row r="35" spans="1:16" hidden="1">
      <c r="A35" s="44"/>
      <c r="B35" s="5">
        <f t="shared" si="5"/>
        <v>45231</v>
      </c>
      <c r="C35" s="1" t="s">
        <v>17</v>
      </c>
      <c r="D35" s="194"/>
      <c r="E35" s="1"/>
      <c r="F35" s="2"/>
      <c r="G35" s="3">
        <f t="shared" ref="G35" si="7">F35-SUM(L35:N35)</f>
        <v>0</v>
      </c>
      <c r="H35" s="4">
        <f t="shared" si="1"/>
        <v>0</v>
      </c>
      <c r="I35" s="7"/>
      <c r="J35" s="7">
        <v>1.6500000000000001E-2</v>
      </c>
      <c r="K35" s="7">
        <v>7.5999999999999998E-2</v>
      </c>
      <c r="L35" s="11">
        <f t="shared" si="2"/>
        <v>0</v>
      </c>
      <c r="M35" s="11">
        <f t="shared" si="3"/>
        <v>0</v>
      </c>
      <c r="N35" s="11">
        <f t="shared" si="4"/>
        <v>0</v>
      </c>
    </row>
    <row r="36" spans="1:16" hidden="1">
      <c r="A36" s="44"/>
      <c r="B36" s="5">
        <f t="shared" si="5"/>
        <v>45231</v>
      </c>
      <c r="C36" s="1" t="s">
        <v>17</v>
      </c>
      <c r="D36" s="194"/>
      <c r="E36" s="1"/>
      <c r="F36" s="2"/>
      <c r="G36" s="3">
        <f t="shared" si="0"/>
        <v>0</v>
      </c>
      <c r="H36" s="4">
        <f t="shared" si="1"/>
        <v>0</v>
      </c>
      <c r="I36" s="7"/>
      <c r="J36" s="7">
        <v>1.6500000000000001E-2</v>
      </c>
      <c r="K36" s="7">
        <v>7.5999999999999998E-2</v>
      </c>
      <c r="L36" s="11">
        <f t="shared" si="2"/>
        <v>0</v>
      </c>
      <c r="M36" s="11">
        <f t="shared" si="3"/>
        <v>0</v>
      </c>
      <c r="N36" s="11">
        <f t="shared" si="4"/>
        <v>0</v>
      </c>
    </row>
    <row r="37" spans="1:16">
      <c r="A37" s="44"/>
      <c r="B37" s="5">
        <f t="shared" si="5"/>
        <v>45231</v>
      </c>
      <c r="C37" s="1" t="s">
        <v>33</v>
      </c>
      <c r="D37" s="195" t="s">
        <v>503</v>
      </c>
      <c r="E37" s="118">
        <v>30360401</v>
      </c>
      <c r="F37" s="2">
        <v>56961273.539999999</v>
      </c>
      <c r="G37" s="3">
        <f t="shared" si="0"/>
        <v>48073890.835921496</v>
      </c>
      <c r="H37" s="4">
        <f>+IF(G37=0,0,G37/E37)</f>
        <v>1.5834405756340799</v>
      </c>
      <c r="I37" s="7">
        <v>7.0000000000000007E-2</v>
      </c>
      <c r="J37" s="7">
        <v>1.6500000000000001E-2</v>
      </c>
      <c r="K37" s="7">
        <v>7.5999999999999998E-2</v>
      </c>
      <c r="L37" s="11">
        <f t="shared" si="2"/>
        <v>3987289.1478000004</v>
      </c>
      <c r="M37" s="11">
        <f t="shared" si="3"/>
        <v>874070.74247130007</v>
      </c>
      <c r="N37" s="11">
        <f t="shared" si="4"/>
        <v>4026022.8138072002</v>
      </c>
      <c r="P37" s="182"/>
    </row>
    <row r="38" spans="1:16" ht="15" customHeight="1">
      <c r="A38" s="44"/>
      <c r="B38" s="5">
        <f t="shared" si="5"/>
        <v>45231</v>
      </c>
      <c r="C38" s="1" t="s">
        <v>440</v>
      </c>
      <c r="D38" s="195" t="s">
        <v>504</v>
      </c>
      <c r="E38" s="185">
        <v>300000.5</v>
      </c>
      <c r="F38" s="2">
        <v>827881.38</v>
      </c>
      <c r="G38" s="3">
        <f>F38-SUM(L38:N38)</f>
        <v>698711.18768550002</v>
      </c>
      <c r="H38" s="4">
        <f>+IF(G38=0,0,G38/E38)</f>
        <v>2.3290334105626491</v>
      </c>
      <c r="I38" s="7">
        <v>7.0000000000000007E-2</v>
      </c>
      <c r="J38" s="7">
        <v>1.6500000000000001E-2</v>
      </c>
      <c r="K38" s="7">
        <v>7.5999999999999998E-2</v>
      </c>
      <c r="L38" s="11">
        <f t="shared" si="2"/>
        <v>57951.696600000003</v>
      </c>
      <c r="M38" s="11">
        <f t="shared" si="3"/>
        <v>12703.8397761</v>
      </c>
      <c r="N38" s="11">
        <f t="shared" si="4"/>
        <v>58514.655938399999</v>
      </c>
      <c r="O38" s="41"/>
    </row>
    <row r="39" spans="1:16">
      <c r="A39" s="44"/>
      <c r="B39" s="5">
        <f t="shared" si="5"/>
        <v>45231</v>
      </c>
      <c r="C39" s="1" t="s">
        <v>491</v>
      </c>
      <c r="D39" s="195"/>
      <c r="E39" s="185"/>
      <c r="F39" s="2"/>
      <c r="G39" s="3">
        <f t="shared" si="0"/>
        <v>0</v>
      </c>
      <c r="H39" s="4">
        <f t="shared" si="1"/>
        <v>0</v>
      </c>
      <c r="I39" s="7"/>
      <c r="J39" s="7">
        <v>1.6500000000000001E-2</v>
      </c>
      <c r="K39" s="7">
        <v>7.5999999999999998E-2</v>
      </c>
      <c r="L39" s="11">
        <f t="shared" si="2"/>
        <v>0</v>
      </c>
      <c r="M39" s="11">
        <f t="shared" si="3"/>
        <v>0</v>
      </c>
      <c r="N39" s="11">
        <f t="shared" si="4"/>
        <v>0</v>
      </c>
      <c r="P39" s="42"/>
    </row>
    <row r="40" spans="1:16">
      <c r="A40" s="44"/>
      <c r="B40" s="5">
        <f t="shared" si="5"/>
        <v>45231</v>
      </c>
      <c r="C40" s="1" t="s">
        <v>422</v>
      </c>
      <c r="D40" s="195">
        <v>5612</v>
      </c>
      <c r="E40" s="186">
        <v>0</v>
      </c>
      <c r="F40" s="2">
        <f>37000+37000</f>
        <v>74000</v>
      </c>
      <c r="G40" s="3">
        <f>F40-SUM(L40:N40)</f>
        <v>67155</v>
      </c>
      <c r="H40" s="187"/>
      <c r="I40" s="193">
        <v>0</v>
      </c>
      <c r="J40" s="7">
        <v>1.6500000000000001E-2</v>
      </c>
      <c r="K40" s="7">
        <v>7.5999999999999998E-2</v>
      </c>
      <c r="L40" s="11">
        <f t="shared" si="2"/>
        <v>0</v>
      </c>
      <c r="M40" s="11">
        <f t="shared" si="3"/>
        <v>1221</v>
      </c>
      <c r="N40" s="11">
        <f t="shared" si="4"/>
        <v>5624</v>
      </c>
      <c r="P40" s="42"/>
    </row>
    <row r="41" spans="1:16">
      <c r="B41" s="5">
        <f t="shared" si="5"/>
        <v>45231</v>
      </c>
      <c r="C41" s="1" t="s">
        <v>423</v>
      </c>
      <c r="D41" s="195" t="s">
        <v>484</v>
      </c>
      <c r="E41" s="186">
        <v>0</v>
      </c>
      <c r="F41" s="2">
        <f>1403017.6+182367.5</f>
        <v>1585385.1</v>
      </c>
      <c r="G41" s="3">
        <f>F41-SUM(L41:N41)</f>
        <v>1438736.9782500002</v>
      </c>
      <c r="H41" s="187"/>
      <c r="I41" s="193">
        <v>0</v>
      </c>
      <c r="J41" s="7">
        <v>1.6500000000000001E-2</v>
      </c>
      <c r="K41" s="7">
        <v>7.5999999999999998E-2</v>
      </c>
      <c r="L41" s="11">
        <f t="shared" si="2"/>
        <v>0</v>
      </c>
      <c r="M41" s="11">
        <f t="shared" si="3"/>
        <v>26158.854150000003</v>
      </c>
      <c r="N41" s="11">
        <f t="shared" si="4"/>
        <v>120489.26760000001</v>
      </c>
    </row>
    <row r="42" spans="1:16">
      <c r="B42" s="5"/>
      <c r="C42" s="1"/>
      <c r="E42" s="1"/>
      <c r="F42" s="2"/>
      <c r="G42" s="4"/>
      <c r="H42" s="4"/>
      <c r="I42" s="7"/>
      <c r="J42" s="7"/>
      <c r="K42" s="7"/>
    </row>
    <row r="43" spans="1:16">
      <c r="E43" s="28">
        <f>SUM(E19:E42)</f>
        <v>45060079.5</v>
      </c>
      <c r="G43" s="29">
        <f>SUM(G19:G42)</f>
        <v>82362416.552946746</v>
      </c>
    </row>
    <row r="44" spans="1:16">
      <c r="E44" s="137"/>
    </row>
    <row r="45" spans="1:16" ht="15.75" thickBot="1"/>
    <row r="46" spans="1:16">
      <c r="B46" s="391" t="s">
        <v>505</v>
      </c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4"/>
    </row>
    <row r="47" spans="1:16">
      <c r="B47" s="385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7"/>
    </row>
    <row r="48" spans="1:16">
      <c r="B48" s="385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 ht="44.25" customHeight="1" thickBot="1">
      <c r="B51" s="388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90"/>
    </row>
  </sheetData>
  <mergeCells count="3">
    <mergeCell ref="C2:L2"/>
    <mergeCell ref="L17:N17"/>
    <mergeCell ref="B46:N51"/>
  </mergeCells>
  <conditionalFormatting sqref="D7">
    <cfRule type="duplicateValues" dxfId="140" priority="3"/>
  </conditionalFormatting>
  <conditionalFormatting sqref="D19:D37">
    <cfRule type="duplicateValues" dxfId="139" priority="1"/>
  </conditionalFormatting>
  <conditionalFormatting sqref="D45:D1048576 D1:D6 D8:D43">
    <cfRule type="duplicateValues" dxfId="138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7E09-BDAC-4C43-A584-2CEB7C15569A}">
  <sheetPr>
    <pageSetUpPr fitToPage="1"/>
  </sheetPr>
  <dimension ref="A2:P51"/>
  <sheetViews>
    <sheetView showGridLines="0" topLeftCell="A8" zoomScale="70" zoomScaleNormal="7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19.85546875" bestFit="1" customWidth="1"/>
    <col min="7" max="7" width="27.85546875" bestFit="1" customWidth="1"/>
    <col min="8" max="8" width="16.42578125" bestFit="1" customWidth="1"/>
    <col min="9" max="9" width="7.7109375" bestFit="1" customWidth="1"/>
    <col min="10" max="10" width="6.5703125" bestFit="1" customWidth="1"/>
    <col min="11" max="11" width="8.5703125" bestFit="1" customWidth="1"/>
    <col min="12" max="12" width="17" customWidth="1"/>
    <col min="13" max="13" width="17" bestFit="1" customWidth="1"/>
    <col min="14" max="14" width="17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3:14" ht="23.25">
      <c r="C3" s="13">
        <v>45261</v>
      </c>
    </row>
    <row r="5" spans="3:14">
      <c r="C5" t="s">
        <v>17</v>
      </c>
      <c r="D5" s="14">
        <f ca="1">SUMIF($C$19:$G$41,$C$5:$C$8,$G$19:$G$41)/SUMIF($C$19:$G$41,$C$5:$C$8,$E$19:$E$41)</f>
        <v>2.2289820144195103</v>
      </c>
    </row>
    <row r="6" spans="3:14">
      <c r="C6" t="s">
        <v>33</v>
      </c>
      <c r="D6" s="14">
        <f ca="1">SUMIF($C$19:$G$41,$C$5:$C$8,$G$19:$G$41)/SUMIF($C$19:$G$41,$C$5:$C$8,$E$19:$E$41)</f>
        <v>1.5834996540488171</v>
      </c>
    </row>
    <row r="7" spans="3:14">
      <c r="C7" t="s">
        <v>126</v>
      </c>
      <c r="D7" s="14" t="str">
        <f>IFERROR(SUM(G38:G39)/SUM(E38:E39),"")</f>
        <v/>
      </c>
    </row>
    <row r="8" spans="3:14">
      <c r="C8" t="s">
        <v>478</v>
      </c>
      <c r="D8" s="14">
        <f>H41+H40</f>
        <v>0</v>
      </c>
      <c r="M8" s="15" t="s">
        <v>127</v>
      </c>
      <c r="N8" s="15" t="s">
        <v>128</v>
      </c>
    </row>
    <row r="9" spans="3:14">
      <c r="C9" s="30" t="s">
        <v>129</v>
      </c>
      <c r="D9" s="31">
        <f>+G43/E43</f>
        <v>1.7968560484132781</v>
      </c>
      <c r="E9" s="14"/>
      <c r="F9" s="32"/>
      <c r="L9" s="16" t="str">
        <f>+C5</f>
        <v>Petrobras</v>
      </c>
      <c r="M9" s="17">
        <f>790000/1580000</f>
        <v>0.5</v>
      </c>
      <c r="N9" s="190">
        <f>+SUM(E19:E36)/E43</f>
        <v>0.31519657900630815</v>
      </c>
    </row>
    <row r="10" spans="3:14">
      <c r="L10" s="16" t="str">
        <f>+C6</f>
        <v>Shell</v>
      </c>
      <c r="M10" s="17">
        <v>0.474683544303797</v>
      </c>
      <c r="N10" s="190">
        <f>+SUM(E37:E37)/E43</f>
        <v>0.68480342099369185</v>
      </c>
    </row>
    <row r="11" spans="3:14">
      <c r="D11" s="14"/>
      <c r="L11" s="16" t="str">
        <f>+C7</f>
        <v>NFE</v>
      </c>
      <c r="M11" s="18">
        <v>2.53164556962025E-2</v>
      </c>
      <c r="N11" s="189">
        <f>+SUM(E38:E39)/E43</f>
        <v>0</v>
      </c>
    </row>
    <row r="12" spans="3:14">
      <c r="D12" s="14"/>
      <c r="L12" s="16" t="s">
        <v>421</v>
      </c>
      <c r="M12" s="18">
        <v>0</v>
      </c>
      <c r="N12" s="188">
        <v>0</v>
      </c>
    </row>
    <row r="13" spans="3:14">
      <c r="D13" s="19"/>
      <c r="L13" s="20" t="s">
        <v>38</v>
      </c>
      <c r="M13" s="21">
        <f>SUM(M9:M12)</f>
        <v>0.99999999999999956</v>
      </c>
      <c r="N13" s="21">
        <f>SUM(N9:N12)</f>
        <v>1</v>
      </c>
    </row>
    <row r="14" spans="3:14">
      <c r="D14" s="22"/>
    </row>
    <row r="17" spans="1:14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381" t="s">
        <v>100</v>
      </c>
      <c r="M17" s="381"/>
      <c r="N17" s="381"/>
    </row>
    <row r="18" spans="1:14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7" t="s">
        <v>3</v>
      </c>
      <c r="M18" s="27" t="s">
        <v>97</v>
      </c>
      <c r="N18" s="27" t="s">
        <v>98</v>
      </c>
    </row>
    <row r="19" spans="1:14">
      <c r="A19" s="44"/>
      <c r="B19" s="5">
        <f>C3</f>
        <v>45261</v>
      </c>
      <c r="C19" s="1" t="s">
        <v>17</v>
      </c>
      <c r="D19" s="194" t="s">
        <v>506</v>
      </c>
      <c r="E19" s="1">
        <v>743897</v>
      </c>
      <c r="F19" s="2">
        <v>2075478.22</v>
      </c>
      <c r="G19" s="3">
        <f>F19-SUM(L19:N19)</f>
        <v>1657476.906492</v>
      </c>
      <c r="H19" s="4">
        <f>+IF(G19=0,0,G19/E19)</f>
        <v>2.2281000010646634</v>
      </c>
      <c r="I19" s="7">
        <v>0.12</v>
      </c>
      <c r="J19" s="7">
        <v>1.6500000000000001E-2</v>
      </c>
      <c r="K19" s="7">
        <v>7.5999999999999998E-2</v>
      </c>
      <c r="L19" s="11">
        <f>+I19*F19</f>
        <v>249057.38639999999</v>
      </c>
      <c r="M19" s="11">
        <f>J19*(F19-L19)</f>
        <v>30135.943754400003</v>
      </c>
      <c r="N19" s="11">
        <f>K19*(F19-L19)</f>
        <v>138807.98335359999</v>
      </c>
    </row>
    <row r="20" spans="1:14">
      <c r="A20" s="44"/>
      <c r="B20" s="5">
        <f>B19</f>
        <v>45261</v>
      </c>
      <c r="C20" s="1" t="s">
        <v>17</v>
      </c>
      <c r="D20" s="194" t="s">
        <v>507</v>
      </c>
      <c r="E20" s="1">
        <v>1274954</v>
      </c>
      <c r="F20" s="2">
        <v>3557131.24</v>
      </c>
      <c r="G20" s="3">
        <f t="shared" ref="G20:G39" si="0">F20-SUM(L20:N20)</f>
        <v>2840725.0082640005</v>
      </c>
      <c r="H20" s="4">
        <f t="shared" ref="H20:H39" si="1">+IF(G20=0,0,G20/E20)</f>
        <v>2.2281000006776721</v>
      </c>
      <c r="I20" s="7">
        <v>0.12</v>
      </c>
      <c r="J20" s="7">
        <v>1.6500000000000001E-2</v>
      </c>
      <c r="K20" s="7">
        <v>7.5999999999999998E-2</v>
      </c>
      <c r="L20" s="11">
        <f t="shared" ref="L20:L41" si="2">+I20*F20</f>
        <v>426855.7488</v>
      </c>
      <c r="M20" s="11">
        <f t="shared" ref="M20:M41" si="3">J20*(F20-L20)</f>
        <v>51649.545604800005</v>
      </c>
      <c r="N20" s="11">
        <f t="shared" ref="N20:N41" si="4">K20*(F20-L20)</f>
        <v>237900.9373312</v>
      </c>
    </row>
    <row r="21" spans="1:14">
      <c r="A21" s="44"/>
      <c r="B21" s="5">
        <f t="shared" ref="B21:B41" si="5">B20</f>
        <v>45261</v>
      </c>
      <c r="C21" s="1" t="s">
        <v>17</v>
      </c>
      <c r="D21" s="196" t="s">
        <v>508</v>
      </c>
      <c r="E21" s="1">
        <v>636300</v>
      </c>
      <c r="F21" s="2">
        <v>1679836.52</v>
      </c>
      <c r="G21" s="3">
        <f t="shared" si="0"/>
        <v>1417740.026967</v>
      </c>
      <c r="H21" s="4">
        <f t="shared" si="1"/>
        <v>2.2280999952333804</v>
      </c>
      <c r="I21" s="7">
        <v>7.0000000000000007E-2</v>
      </c>
      <c r="J21" s="7">
        <v>1.6500000000000001E-2</v>
      </c>
      <c r="K21" s="7">
        <v>7.5999999999999998E-2</v>
      </c>
      <c r="L21" s="11">
        <f t="shared" si="2"/>
        <v>117588.55640000002</v>
      </c>
      <c r="M21" s="11">
        <f t="shared" si="3"/>
        <v>25777.0913994</v>
      </c>
      <c r="N21" s="11">
        <f t="shared" si="4"/>
        <v>118730.84523359999</v>
      </c>
    </row>
    <row r="22" spans="1:14">
      <c r="A22" s="44"/>
      <c r="B22" s="5">
        <f t="shared" si="5"/>
        <v>45261</v>
      </c>
      <c r="C22" s="1" t="s">
        <v>17</v>
      </c>
      <c r="D22" s="194" t="s">
        <v>509</v>
      </c>
      <c r="E22" s="1">
        <v>5986025</v>
      </c>
      <c r="F22" s="2">
        <v>16701054.720000001</v>
      </c>
      <c r="G22" s="3">
        <f t="shared" si="0"/>
        <v>13337462.299392</v>
      </c>
      <c r="H22" s="4">
        <f t="shared" si="1"/>
        <v>2.2280999994807908</v>
      </c>
      <c r="I22" s="7">
        <v>0.12</v>
      </c>
      <c r="J22" s="7">
        <v>1.6500000000000001E-2</v>
      </c>
      <c r="K22" s="7">
        <v>7.5999999999999998E-2</v>
      </c>
      <c r="L22" s="11">
        <f t="shared" si="2"/>
        <v>2004126.5663999999</v>
      </c>
      <c r="M22" s="11">
        <f t="shared" si="3"/>
        <v>242499.31453440001</v>
      </c>
      <c r="N22" s="11">
        <f t="shared" si="4"/>
        <v>1116966.5396735999</v>
      </c>
    </row>
    <row r="23" spans="1:14">
      <c r="A23" s="44"/>
      <c r="B23" s="5">
        <f t="shared" si="5"/>
        <v>45261</v>
      </c>
      <c r="C23" s="1" t="s">
        <v>17</v>
      </c>
      <c r="D23" s="194" t="s">
        <v>511</v>
      </c>
      <c r="E23" s="1">
        <v>151935</v>
      </c>
      <c r="F23" s="2">
        <v>423899.79</v>
      </c>
      <c r="G23" s="3">
        <f t="shared" si="0"/>
        <v>338526.372294</v>
      </c>
      <c r="H23" s="4">
        <f t="shared" si="1"/>
        <v>2.2280999920623952</v>
      </c>
      <c r="I23" s="7">
        <v>0.12</v>
      </c>
      <c r="J23" s="7">
        <v>1.6500000000000001E-2</v>
      </c>
      <c r="K23" s="7">
        <v>7.5999999999999998E-2</v>
      </c>
      <c r="L23" s="11">
        <f t="shared" si="2"/>
        <v>50867.974799999996</v>
      </c>
      <c r="M23" s="11">
        <f t="shared" si="3"/>
        <v>6155.0249507999997</v>
      </c>
      <c r="N23" s="11">
        <f t="shared" si="4"/>
        <v>28350.417955199995</v>
      </c>
    </row>
    <row r="24" spans="1:14">
      <c r="A24" s="44"/>
      <c r="B24" s="5">
        <f t="shared" si="5"/>
        <v>45261</v>
      </c>
      <c r="C24" s="1" t="s">
        <v>17</v>
      </c>
      <c r="D24" s="194" t="s">
        <v>512</v>
      </c>
      <c r="E24" s="1">
        <v>4217569</v>
      </c>
      <c r="F24" s="2">
        <v>11767049.199999999</v>
      </c>
      <c r="G24" s="3">
        <f t="shared" si="0"/>
        <v>9397165.4911199994</v>
      </c>
      <c r="H24" s="4">
        <f t="shared" si="1"/>
        <v>2.2281000005263696</v>
      </c>
      <c r="I24" s="7">
        <v>0.12</v>
      </c>
      <c r="J24" s="7">
        <v>1.6500000000000001E-2</v>
      </c>
      <c r="K24" s="7">
        <v>7.5999999999999998E-2</v>
      </c>
      <c r="L24" s="11">
        <f t="shared" si="2"/>
        <v>1412045.9039999999</v>
      </c>
      <c r="M24" s="11">
        <f t="shared" si="3"/>
        <v>170857.55438400002</v>
      </c>
      <c r="N24" s="11">
        <f t="shared" si="4"/>
        <v>786980.25049599994</v>
      </c>
    </row>
    <row r="25" spans="1:14">
      <c r="A25" s="44"/>
      <c r="B25" s="5">
        <f t="shared" si="5"/>
        <v>45261</v>
      </c>
      <c r="C25" s="1" t="s">
        <v>17</v>
      </c>
      <c r="D25" s="194" t="s">
        <v>513</v>
      </c>
      <c r="E25" s="1">
        <v>1306727</v>
      </c>
      <c r="F25" s="2">
        <v>3645778.15</v>
      </c>
      <c r="G25" s="3">
        <f t="shared" si="0"/>
        <v>2911518.43059</v>
      </c>
      <c r="H25" s="4">
        <f t="shared" si="1"/>
        <v>2.2281000014463617</v>
      </c>
      <c r="I25" s="7">
        <v>0.12</v>
      </c>
      <c r="J25" s="7">
        <v>1.6500000000000001E-2</v>
      </c>
      <c r="K25" s="7">
        <v>7.5999999999999998E-2</v>
      </c>
      <c r="L25" s="11">
        <f t="shared" si="2"/>
        <v>437493.37799999997</v>
      </c>
      <c r="M25" s="11">
        <f t="shared" si="3"/>
        <v>52936.698737999999</v>
      </c>
      <c r="N25" s="11">
        <f t="shared" si="4"/>
        <v>243829.64267199999</v>
      </c>
    </row>
    <row r="26" spans="1:14">
      <c r="A26" s="44"/>
      <c r="B26" s="5">
        <f t="shared" si="5"/>
        <v>45261</v>
      </c>
      <c r="C26" s="1" t="s">
        <v>17</v>
      </c>
      <c r="D26" s="194" t="s">
        <v>510</v>
      </c>
      <c r="E26" s="1">
        <v>13801</v>
      </c>
      <c r="F26" s="2">
        <v>54333.01</v>
      </c>
      <c r="G26" s="3">
        <f t="shared" si="0"/>
        <v>43390.341786000005</v>
      </c>
      <c r="H26" s="4">
        <f t="shared" si="1"/>
        <v>3.1439998395768427</v>
      </c>
      <c r="I26" s="7">
        <v>0.12</v>
      </c>
      <c r="J26" s="7">
        <v>1.6500000000000001E-2</v>
      </c>
      <c r="K26" s="7">
        <v>7.5999999999999998E-2</v>
      </c>
      <c r="L26" s="11">
        <f t="shared" si="2"/>
        <v>6519.9611999999997</v>
      </c>
      <c r="M26" s="11">
        <f t="shared" si="3"/>
        <v>788.91530520000015</v>
      </c>
      <c r="N26" s="11">
        <f t="shared" si="4"/>
        <v>3633.7917088000004</v>
      </c>
    </row>
    <row r="27" spans="1:14" hidden="1">
      <c r="A27" s="44"/>
      <c r="B27" s="5">
        <f t="shared" si="5"/>
        <v>45261</v>
      </c>
      <c r="C27" s="1" t="s">
        <v>17</v>
      </c>
      <c r="D27" s="194"/>
      <c r="E27" s="1"/>
      <c r="F27" s="2"/>
      <c r="G27" s="3">
        <f t="shared" si="0"/>
        <v>0</v>
      </c>
      <c r="H27" s="4">
        <f t="shared" si="1"/>
        <v>0</v>
      </c>
      <c r="I27" s="7"/>
      <c r="J27" s="7">
        <v>1.6500000000000001E-2</v>
      </c>
      <c r="K27" s="7">
        <v>7.5999999999999998E-2</v>
      </c>
      <c r="L27" s="11">
        <f t="shared" si="2"/>
        <v>0</v>
      </c>
      <c r="M27" s="11">
        <f t="shared" si="3"/>
        <v>0</v>
      </c>
      <c r="N27" s="11">
        <f t="shared" si="4"/>
        <v>0</v>
      </c>
    </row>
    <row r="28" spans="1:14" hidden="1">
      <c r="A28" s="44"/>
      <c r="B28" s="5">
        <f t="shared" si="5"/>
        <v>45261</v>
      </c>
      <c r="C28" s="1" t="s">
        <v>17</v>
      </c>
      <c r="D28" s="194"/>
      <c r="E28" s="1"/>
      <c r="F28" s="2"/>
      <c r="G28" s="3">
        <f t="shared" si="0"/>
        <v>0</v>
      </c>
      <c r="H28" s="4">
        <f t="shared" si="1"/>
        <v>0</v>
      </c>
      <c r="I28" s="7"/>
      <c r="J28" s="7">
        <v>1.6500000000000001E-2</v>
      </c>
      <c r="K28" s="7">
        <v>7.5999999999999998E-2</v>
      </c>
      <c r="L28" s="11">
        <f t="shared" si="2"/>
        <v>0</v>
      </c>
      <c r="M28" s="11">
        <f t="shared" si="3"/>
        <v>0</v>
      </c>
      <c r="N28" s="11">
        <f t="shared" si="4"/>
        <v>0</v>
      </c>
    </row>
    <row r="29" spans="1:14" hidden="1">
      <c r="A29" s="44"/>
      <c r="B29" s="5">
        <f t="shared" si="5"/>
        <v>45261</v>
      </c>
      <c r="C29" s="1" t="s">
        <v>17</v>
      </c>
      <c r="D29" s="194"/>
      <c r="E29" s="1"/>
      <c r="F29" s="2"/>
      <c r="G29" s="3">
        <f>F29-SUM(L29:N29)</f>
        <v>0</v>
      </c>
      <c r="H29" s="4">
        <f>+IF(G29=0,0,G29/E29)</f>
        <v>0</v>
      </c>
      <c r="I29" s="7"/>
      <c r="J29" s="7">
        <v>1.6500000000000001E-2</v>
      </c>
      <c r="K29" s="7">
        <v>7.5999999999999998E-2</v>
      </c>
      <c r="L29" s="11">
        <f t="shared" si="2"/>
        <v>0</v>
      </c>
      <c r="M29" s="11">
        <f t="shared" si="3"/>
        <v>0</v>
      </c>
      <c r="N29" s="11">
        <f t="shared" si="4"/>
        <v>0</v>
      </c>
    </row>
    <row r="30" spans="1:14" hidden="1">
      <c r="A30" s="44"/>
      <c r="B30" s="5">
        <f t="shared" si="5"/>
        <v>45261</v>
      </c>
      <c r="C30" s="1" t="s">
        <v>17</v>
      </c>
      <c r="D30" s="194"/>
      <c r="E30" s="1"/>
      <c r="F30" s="2"/>
      <c r="G30" s="3">
        <f t="shared" si="0"/>
        <v>0</v>
      </c>
      <c r="H30" s="4">
        <f>+IF(G30=0,0,G30/E30)</f>
        <v>0</v>
      </c>
      <c r="I30" s="7"/>
      <c r="J30" s="7">
        <v>1.6500000000000001E-2</v>
      </c>
      <c r="K30" s="7">
        <v>7.5999999999999998E-2</v>
      </c>
      <c r="L30" s="11">
        <f t="shared" si="2"/>
        <v>0</v>
      </c>
      <c r="M30" s="11">
        <f t="shared" si="3"/>
        <v>0</v>
      </c>
      <c r="N30" s="11">
        <f t="shared" si="4"/>
        <v>0</v>
      </c>
    </row>
    <row r="31" spans="1:14" hidden="1">
      <c r="A31" s="44"/>
      <c r="B31" s="5">
        <f t="shared" si="5"/>
        <v>45261</v>
      </c>
      <c r="C31" s="1" t="s">
        <v>17</v>
      </c>
      <c r="D31" s="194"/>
      <c r="E31" s="1"/>
      <c r="F31" s="2"/>
      <c r="G31" s="3">
        <f t="shared" si="0"/>
        <v>0</v>
      </c>
      <c r="H31" s="4">
        <f t="shared" si="1"/>
        <v>0</v>
      </c>
      <c r="I31" s="7"/>
      <c r="J31" s="7">
        <v>1.6500000000000001E-2</v>
      </c>
      <c r="K31" s="7">
        <v>7.5999999999999998E-2</v>
      </c>
      <c r="L31" s="11">
        <f t="shared" si="2"/>
        <v>0</v>
      </c>
      <c r="M31" s="11">
        <f t="shared" si="3"/>
        <v>0</v>
      </c>
      <c r="N31" s="11">
        <f t="shared" si="4"/>
        <v>0</v>
      </c>
    </row>
    <row r="32" spans="1:14" hidden="1">
      <c r="A32" s="44"/>
      <c r="B32" s="5">
        <f t="shared" si="5"/>
        <v>45261</v>
      </c>
      <c r="C32" s="1" t="s">
        <v>17</v>
      </c>
      <c r="D32" s="194"/>
      <c r="E32" s="1"/>
      <c r="F32" s="2"/>
      <c r="G32" s="3">
        <f t="shared" si="0"/>
        <v>0</v>
      </c>
      <c r="H32" s="4">
        <f t="shared" si="1"/>
        <v>0</v>
      </c>
      <c r="I32" s="7"/>
      <c r="J32" s="7">
        <v>1.6500000000000001E-2</v>
      </c>
      <c r="K32" s="7">
        <v>7.5999999999999998E-2</v>
      </c>
      <c r="L32" s="11">
        <f t="shared" si="2"/>
        <v>0</v>
      </c>
      <c r="M32" s="11">
        <f t="shared" si="3"/>
        <v>0</v>
      </c>
      <c r="N32" s="11">
        <f t="shared" si="4"/>
        <v>0</v>
      </c>
    </row>
    <row r="33" spans="1:16" hidden="1">
      <c r="A33" s="44"/>
      <c r="B33" s="5">
        <f t="shared" si="5"/>
        <v>45261</v>
      </c>
      <c r="C33" s="1" t="s">
        <v>17</v>
      </c>
      <c r="D33" s="194"/>
      <c r="E33" s="1"/>
      <c r="F33" s="2"/>
      <c r="G33" s="3">
        <f t="shared" si="0"/>
        <v>0</v>
      </c>
      <c r="H33" s="4">
        <f t="shared" si="1"/>
        <v>0</v>
      </c>
      <c r="I33" s="7"/>
      <c r="J33" s="7">
        <v>1.6500000000000001E-2</v>
      </c>
      <c r="K33" s="7">
        <v>7.5999999999999998E-2</v>
      </c>
      <c r="L33" s="11">
        <f t="shared" si="2"/>
        <v>0</v>
      </c>
      <c r="M33" s="11">
        <f t="shared" si="3"/>
        <v>0</v>
      </c>
      <c r="N33" s="11">
        <f t="shared" si="4"/>
        <v>0</v>
      </c>
    </row>
    <row r="34" spans="1:16" hidden="1">
      <c r="A34" s="44"/>
      <c r="B34" s="5">
        <f t="shared" si="5"/>
        <v>45261</v>
      </c>
      <c r="C34" s="1" t="s">
        <v>17</v>
      </c>
      <c r="D34" s="194"/>
      <c r="E34" s="1"/>
      <c r="F34" s="2"/>
      <c r="G34" s="3">
        <f t="shared" ref="G34" si="6">F34-SUM(L34:N34)</f>
        <v>0</v>
      </c>
      <c r="H34" s="4">
        <f t="shared" si="1"/>
        <v>0</v>
      </c>
      <c r="I34" s="7"/>
      <c r="J34" s="7">
        <v>1.6500000000000001E-2</v>
      </c>
      <c r="K34" s="7">
        <v>7.5999999999999998E-2</v>
      </c>
      <c r="L34" s="11">
        <f t="shared" si="2"/>
        <v>0</v>
      </c>
      <c r="M34" s="11">
        <f t="shared" si="3"/>
        <v>0</v>
      </c>
      <c r="N34" s="11">
        <f t="shared" si="4"/>
        <v>0</v>
      </c>
    </row>
    <row r="35" spans="1:16" hidden="1">
      <c r="A35" s="44"/>
      <c r="B35" s="5">
        <f t="shared" si="5"/>
        <v>45261</v>
      </c>
      <c r="C35" s="1" t="s">
        <v>17</v>
      </c>
      <c r="D35" s="194"/>
      <c r="E35" s="1"/>
      <c r="F35" s="2"/>
      <c r="G35" s="3">
        <f t="shared" ref="G35" si="7">F35-SUM(L35:N35)</f>
        <v>0</v>
      </c>
      <c r="H35" s="4">
        <f t="shared" si="1"/>
        <v>0</v>
      </c>
      <c r="I35" s="7"/>
      <c r="J35" s="7">
        <v>1.6500000000000001E-2</v>
      </c>
      <c r="K35" s="7">
        <v>7.5999999999999998E-2</v>
      </c>
      <c r="L35" s="11">
        <f t="shared" si="2"/>
        <v>0</v>
      </c>
      <c r="M35" s="11">
        <f t="shared" si="3"/>
        <v>0</v>
      </c>
      <c r="N35" s="11">
        <f t="shared" si="4"/>
        <v>0</v>
      </c>
    </row>
    <row r="36" spans="1:16">
      <c r="A36" s="44"/>
      <c r="B36" s="5">
        <f t="shared" si="5"/>
        <v>45261</v>
      </c>
      <c r="C36" s="1" t="s">
        <v>440</v>
      </c>
      <c r="D36" s="194" t="s">
        <v>515</v>
      </c>
      <c r="E36" s="1">
        <v>310451</v>
      </c>
      <c r="F36" s="2">
        <v>857527.75</v>
      </c>
      <c r="G36" s="3">
        <f t="shared" si="0"/>
        <v>723731.98280624999</v>
      </c>
      <c r="H36" s="4">
        <f t="shared" si="1"/>
        <v>2.3312277390192011</v>
      </c>
      <c r="I36" s="7">
        <v>7.0000000000000007E-2</v>
      </c>
      <c r="J36" s="7">
        <v>1.6500000000000001E-2</v>
      </c>
      <c r="K36" s="7">
        <v>7.5999999999999998E-2</v>
      </c>
      <c r="L36" s="11">
        <f t="shared" si="2"/>
        <v>60026.942500000005</v>
      </c>
      <c r="M36" s="11">
        <f t="shared" si="3"/>
        <v>13158.763323750001</v>
      </c>
      <c r="N36" s="11">
        <f t="shared" si="4"/>
        <v>60610.061369999996</v>
      </c>
    </row>
    <row r="37" spans="1:16">
      <c r="A37" s="44"/>
      <c r="B37" s="5">
        <f t="shared" si="5"/>
        <v>45261</v>
      </c>
      <c r="C37" s="1" t="s">
        <v>33</v>
      </c>
      <c r="D37" s="195" t="s">
        <v>514</v>
      </c>
      <c r="E37" s="118">
        <v>31810809</v>
      </c>
      <c r="F37" s="2">
        <v>59684712.280000001</v>
      </c>
      <c r="G37" s="3">
        <f t="shared" si="0"/>
        <v>50372405.046512999</v>
      </c>
      <c r="H37" s="4">
        <f>+IF(G37=0,0,G37/E37)</f>
        <v>1.5834996540488171</v>
      </c>
      <c r="I37" s="7">
        <v>7.0000000000000007E-2</v>
      </c>
      <c r="J37" s="7">
        <v>1.6500000000000001E-2</v>
      </c>
      <c r="K37" s="7">
        <v>7.5999999999999998E-2</v>
      </c>
      <c r="L37" s="11">
        <f t="shared" si="2"/>
        <v>4177929.8596000005</v>
      </c>
      <c r="M37" s="11">
        <f t="shared" si="3"/>
        <v>915861.90993660002</v>
      </c>
      <c r="N37" s="11">
        <f t="shared" si="4"/>
        <v>4218515.4639504002</v>
      </c>
      <c r="P37" s="182"/>
    </row>
    <row r="38" spans="1:16" ht="15" customHeight="1">
      <c r="A38" s="44"/>
      <c r="B38" s="5">
        <f t="shared" si="5"/>
        <v>45261</v>
      </c>
      <c r="C38" s="1" t="s">
        <v>37</v>
      </c>
      <c r="D38" s="195"/>
      <c r="E38" s="185">
        <v>0</v>
      </c>
      <c r="F38" s="2"/>
      <c r="G38" s="3">
        <f>F38-SUM(L38:N38)</f>
        <v>0</v>
      </c>
      <c r="H38" s="4">
        <f>+IF(G38=0,0,G38/E38)</f>
        <v>0</v>
      </c>
      <c r="I38" s="7"/>
      <c r="J38" s="7">
        <v>1.6500000000000001E-2</v>
      </c>
      <c r="K38" s="7">
        <v>7.5999999999999998E-2</v>
      </c>
      <c r="L38" s="11">
        <f t="shared" si="2"/>
        <v>0</v>
      </c>
      <c r="M38" s="11">
        <f t="shared" si="3"/>
        <v>0</v>
      </c>
      <c r="N38" s="11">
        <f t="shared" si="4"/>
        <v>0</v>
      </c>
      <c r="O38" s="41"/>
    </row>
    <row r="39" spans="1:16">
      <c r="A39" s="44"/>
      <c r="B39" s="5">
        <f t="shared" si="5"/>
        <v>45261</v>
      </c>
      <c r="C39" s="1" t="s">
        <v>36</v>
      </c>
      <c r="D39" s="195"/>
      <c r="E39" s="185"/>
      <c r="F39" s="2"/>
      <c r="G39" s="3">
        <f t="shared" si="0"/>
        <v>0</v>
      </c>
      <c r="H39" s="4">
        <f t="shared" si="1"/>
        <v>0</v>
      </c>
      <c r="I39" s="7"/>
      <c r="J39" s="7">
        <v>1.6500000000000001E-2</v>
      </c>
      <c r="K39" s="7">
        <v>7.5999999999999998E-2</v>
      </c>
      <c r="L39" s="11">
        <f t="shared" si="2"/>
        <v>0</v>
      </c>
      <c r="M39" s="11">
        <f t="shared" si="3"/>
        <v>0</v>
      </c>
      <c r="N39" s="11">
        <f t="shared" si="4"/>
        <v>0</v>
      </c>
      <c r="P39" s="42"/>
    </row>
    <row r="40" spans="1:16">
      <c r="A40" s="44"/>
      <c r="B40" s="5">
        <f t="shared" si="5"/>
        <v>45261</v>
      </c>
      <c r="C40" s="1" t="s">
        <v>422</v>
      </c>
      <c r="D40" s="195" t="s">
        <v>469</v>
      </c>
      <c r="E40" s="186">
        <v>0</v>
      </c>
      <c r="F40" s="2">
        <f>37000+37000+9866.67+9866.67</f>
        <v>93733.34</v>
      </c>
      <c r="G40" s="3">
        <f>F40-SUM(L40:N40)</f>
        <v>85063.006049999996</v>
      </c>
      <c r="H40" s="187"/>
      <c r="I40" s="193">
        <v>0</v>
      </c>
      <c r="J40" s="7">
        <v>1.6500000000000001E-2</v>
      </c>
      <c r="K40" s="7">
        <v>7.5999999999999998E-2</v>
      </c>
      <c r="L40" s="11">
        <f t="shared" si="2"/>
        <v>0</v>
      </c>
      <c r="M40" s="11">
        <f t="shared" si="3"/>
        <v>1546.6001100000001</v>
      </c>
      <c r="N40" s="11">
        <f t="shared" si="4"/>
        <v>7123.7338399999999</v>
      </c>
      <c r="P40" s="42"/>
    </row>
    <row r="41" spans="1:16">
      <c r="B41" s="5">
        <f t="shared" si="5"/>
        <v>45261</v>
      </c>
      <c r="C41" s="1" t="s">
        <v>423</v>
      </c>
      <c r="D41" s="195" t="s">
        <v>484</v>
      </c>
      <c r="E41" s="186">
        <v>0</v>
      </c>
      <c r="F41" s="2">
        <f>330316.8+47857.5</f>
        <v>378174.3</v>
      </c>
      <c r="G41" s="3">
        <f>F41-SUM(L41:N41)</f>
        <v>343193.17725000001</v>
      </c>
      <c r="H41" s="187"/>
      <c r="I41" s="193">
        <v>0</v>
      </c>
      <c r="J41" s="7">
        <v>1.6500000000000001E-2</v>
      </c>
      <c r="K41" s="7">
        <v>7.5999999999999998E-2</v>
      </c>
      <c r="L41" s="11">
        <f t="shared" si="2"/>
        <v>0</v>
      </c>
      <c r="M41" s="11">
        <f t="shared" si="3"/>
        <v>6239.8759499999996</v>
      </c>
      <c r="N41" s="11">
        <f t="shared" si="4"/>
        <v>28741.246799999997</v>
      </c>
    </row>
    <row r="42" spans="1:16">
      <c r="B42" s="5"/>
      <c r="C42" s="1"/>
      <c r="E42" s="1"/>
      <c r="F42" s="2"/>
      <c r="G42" s="4"/>
      <c r="H42" s="4"/>
      <c r="I42" s="7"/>
      <c r="J42" s="7"/>
      <c r="K42" s="7"/>
    </row>
    <row r="43" spans="1:16">
      <c r="E43" s="28">
        <f>SUM(E19:E42)</f>
        <v>46452468</v>
      </c>
      <c r="F43" s="133"/>
      <c r="G43" s="29">
        <f>SUM(G19:G42)</f>
        <v>83468398.089524254</v>
      </c>
    </row>
    <row r="44" spans="1:16">
      <c r="E44" s="137"/>
    </row>
    <row r="45" spans="1:16" ht="15.75" thickBot="1"/>
    <row r="46" spans="1:16">
      <c r="B46" s="391" t="s">
        <v>518</v>
      </c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4"/>
    </row>
    <row r="47" spans="1:16">
      <c r="B47" s="385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7"/>
    </row>
    <row r="48" spans="1:16">
      <c r="B48" s="385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>
      <c r="B50" s="385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</row>
    <row r="51" spans="2:14" ht="44.25" customHeight="1" thickBot="1">
      <c r="B51" s="388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90"/>
    </row>
  </sheetData>
  <mergeCells count="3">
    <mergeCell ref="C2:L2"/>
    <mergeCell ref="L17:N17"/>
    <mergeCell ref="B46:N51"/>
  </mergeCells>
  <conditionalFormatting sqref="D7">
    <cfRule type="duplicateValues" dxfId="137" priority="2"/>
  </conditionalFormatting>
  <conditionalFormatting sqref="D19:D37">
    <cfRule type="duplicateValues" dxfId="136" priority="1"/>
  </conditionalFormatting>
  <conditionalFormatting sqref="D45:D1048576 D1:D6 D8:D43">
    <cfRule type="duplicateValues" dxfId="135" priority="3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3300-1332-44A7-9565-A4F11EAA69E6}">
  <sheetPr>
    <pageSetUpPr fitToPage="1"/>
  </sheetPr>
  <dimension ref="A2:P50"/>
  <sheetViews>
    <sheetView showGridLines="0" topLeftCell="A2" zoomScale="70" zoomScaleNormal="70" workbookViewId="0">
      <selection activeCell="I54" sqref="I54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3.140625" bestFit="1" customWidth="1"/>
    <col min="9" max="9" width="9.5703125" bestFit="1" customWidth="1"/>
    <col min="10" max="10" width="7.7109375" bestFit="1" customWidth="1"/>
    <col min="11" max="11" width="8.5703125" bestFit="1" customWidth="1"/>
    <col min="12" max="12" width="19.5703125" bestFit="1" customWidth="1"/>
    <col min="13" max="14" width="20" bestFit="1" customWidth="1"/>
    <col min="15" max="15" width="17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4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</row>
    <row r="3" spans="3:14" ht="23.25">
      <c r="C3" s="13">
        <v>45292</v>
      </c>
    </row>
    <row r="5" spans="3:14">
      <c r="C5" t="s">
        <v>17</v>
      </c>
      <c r="D5" s="14">
        <f ca="1">SUMIF($C$19:$G$40,$C$5:$C$8,$G$19:$G$40)/SUMIF($C$19:$G$40,$C$5:$C$8,$E$19:$E$40)</f>
        <v>2.3490000006672798</v>
      </c>
    </row>
    <row r="6" spans="3:14">
      <c r="C6" t="s">
        <v>33</v>
      </c>
      <c r="D6" s="14" t="e">
        <f ca="1">SUMIF($C$19:$G$40,$C$5:$C$8,$G$19:$G$40)/SUMIF($C$19:$G$40,$C$5:$C$8,$E$19:$E$40)</f>
        <v>#DIV/0!</v>
      </c>
    </row>
    <row r="7" spans="3:14">
      <c r="C7" t="s">
        <v>126</v>
      </c>
      <c r="D7" s="14">
        <f>IFERROR(SUM(G37:G38)/SUM(E37:E38),"")</f>
        <v>6.5887562972004083</v>
      </c>
    </row>
    <row r="8" spans="3:14">
      <c r="C8" t="s">
        <v>478</v>
      </c>
      <c r="D8" s="14">
        <f>H40+H39</f>
        <v>0</v>
      </c>
      <c r="M8" s="15" t="s">
        <v>127</v>
      </c>
      <c r="N8" s="15" t="s">
        <v>128</v>
      </c>
    </row>
    <row r="9" spans="3:14">
      <c r="C9" s="30" t="s">
        <v>129</v>
      </c>
      <c r="D9" s="31">
        <f>+G42/E42</f>
        <v>2.3933782232283827</v>
      </c>
      <c r="E9" s="14"/>
      <c r="F9" s="32"/>
      <c r="L9" s="16" t="str">
        <f>+C5</f>
        <v>Petrobras</v>
      </c>
      <c r="M9" s="17">
        <f>790000/1580000</f>
        <v>0.5</v>
      </c>
      <c r="N9" s="190">
        <f>+SUM(E19:E34)/E42</f>
        <v>0.87440792782209698</v>
      </c>
    </row>
    <row r="10" spans="3:14">
      <c r="L10" s="16" t="s">
        <v>440</v>
      </c>
      <c r="M10" s="17"/>
      <c r="N10" s="190">
        <f>+SUM(E35)/E42</f>
        <v>7.1935087262365921E-3</v>
      </c>
    </row>
    <row r="11" spans="3:14">
      <c r="D11" s="14"/>
      <c r="L11" s="16" t="s">
        <v>491</v>
      </c>
      <c r="M11" s="17">
        <v>0.474683544303797</v>
      </c>
      <c r="N11" s="190">
        <f>+SUM(E36:E36)/E42</f>
        <v>0.10790263089354887</v>
      </c>
    </row>
    <row r="12" spans="3:14">
      <c r="D12" s="14"/>
      <c r="L12" s="16" t="str">
        <f>+C7</f>
        <v>NFE</v>
      </c>
      <c r="M12" s="18">
        <v>2.53164556962025E-2</v>
      </c>
      <c r="N12" s="189">
        <f>+SUM(E37:E38)/E42</f>
        <v>1.0495932558117517E-2</v>
      </c>
    </row>
    <row r="13" spans="3:14">
      <c r="D13" s="19"/>
      <c r="L13" s="16" t="s">
        <v>421</v>
      </c>
      <c r="M13" s="18">
        <v>0</v>
      </c>
      <c r="N13" s="188">
        <v>0</v>
      </c>
    </row>
    <row r="14" spans="3:14">
      <c r="D14" s="22"/>
      <c r="L14" s="20" t="s">
        <v>38</v>
      </c>
      <c r="M14" s="21">
        <f>SUM(M9:M13)</f>
        <v>0.99999999999999956</v>
      </c>
      <c r="N14" s="21">
        <f>SUM(N9:N13)</f>
        <v>1</v>
      </c>
    </row>
    <row r="17" spans="1:14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381" t="s">
        <v>100</v>
      </c>
      <c r="M17" s="381"/>
      <c r="N17" s="381"/>
    </row>
    <row r="18" spans="1:14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7" t="s">
        <v>3</v>
      </c>
      <c r="M18" s="27" t="s">
        <v>97</v>
      </c>
      <c r="N18" s="27" t="s">
        <v>98</v>
      </c>
    </row>
    <row r="19" spans="1:14">
      <c r="A19" s="44"/>
      <c r="B19" s="5">
        <f>C3</f>
        <v>45292</v>
      </c>
      <c r="C19" s="1" t="s">
        <v>17</v>
      </c>
      <c r="D19" s="194" t="s">
        <v>525</v>
      </c>
      <c r="E19" s="1">
        <v>143365</v>
      </c>
      <c r="F19" s="2">
        <v>421693.45</v>
      </c>
      <c r="G19" s="3">
        <f>F19-SUM(L19:N19)</f>
        <v>336764.38916999998</v>
      </c>
      <c r="H19" s="4">
        <f>+IF(G19=0,0,G19/E19)</f>
        <v>2.3490000290865969</v>
      </c>
      <c r="I19" s="7">
        <v>0.12</v>
      </c>
      <c r="J19" s="7">
        <v>1.6500000000000001E-2</v>
      </c>
      <c r="K19" s="7">
        <v>7.5999999999999998E-2</v>
      </c>
      <c r="L19" s="11">
        <f>+I19*F19</f>
        <v>50603.214</v>
      </c>
      <c r="M19" s="11">
        <f>J19*(F19-L19)</f>
        <v>6122.988894000001</v>
      </c>
      <c r="N19" s="11">
        <f>K19*(F19-L19)</f>
        <v>28202.857936</v>
      </c>
    </row>
    <row r="20" spans="1:14">
      <c r="A20" s="44"/>
      <c r="B20" s="5">
        <f>B19</f>
        <v>45292</v>
      </c>
      <c r="C20" s="1" t="s">
        <v>17</v>
      </c>
      <c r="D20" s="194" t="s">
        <v>526</v>
      </c>
      <c r="E20" s="1">
        <v>513155</v>
      </c>
      <c r="F20" s="2">
        <v>1509392.81</v>
      </c>
      <c r="G20" s="3">
        <f t="shared" ref="G20:G38" si="0">F20-SUM(L20:N20)</f>
        <v>1205401.098066</v>
      </c>
      <c r="H20" s="4">
        <f t="shared" ref="H20:H35" si="1">+IF(G20=0,0,G20/E20)</f>
        <v>2.3490000059748031</v>
      </c>
      <c r="I20" s="7">
        <v>0.12</v>
      </c>
      <c r="J20" s="7">
        <v>1.6500000000000001E-2</v>
      </c>
      <c r="K20" s="7">
        <v>7.5999999999999998E-2</v>
      </c>
      <c r="L20" s="11">
        <f t="shared" ref="L20:L40" si="2">+I20*F20</f>
        <v>181127.1372</v>
      </c>
      <c r="M20" s="11">
        <f t="shared" ref="M20:M40" si="3">J20*(F20-L20)</f>
        <v>21916.383601200003</v>
      </c>
      <c r="N20" s="11">
        <f t="shared" ref="N20:N40" si="4">K20*(F20-L20)</f>
        <v>100948.1911328</v>
      </c>
    </row>
    <row r="21" spans="1:14">
      <c r="A21" s="44"/>
      <c r="B21" s="5">
        <f t="shared" ref="B21:B40" si="5">B20</f>
        <v>45292</v>
      </c>
      <c r="C21" s="1" t="s">
        <v>17</v>
      </c>
      <c r="D21" s="196" t="s">
        <v>527</v>
      </c>
      <c r="E21" s="1">
        <v>19210731</v>
      </c>
      <c r="F21" s="2">
        <v>56506395.090000004</v>
      </c>
      <c r="G21" s="3">
        <f t="shared" si="0"/>
        <v>45126007.118874006</v>
      </c>
      <c r="H21" s="4">
        <f>+IF(G21=0,0,G21/E21)</f>
        <v>2.3489999999934414</v>
      </c>
      <c r="I21" s="7">
        <v>0.12</v>
      </c>
      <c r="J21" s="7">
        <v>1.6500000000000001E-2</v>
      </c>
      <c r="K21" s="7">
        <v>7.5999999999999998E-2</v>
      </c>
      <c r="L21" s="11">
        <f t="shared" si="2"/>
        <v>6780767.4107999997</v>
      </c>
      <c r="M21" s="11">
        <f t="shared" si="3"/>
        <v>820472.85670680006</v>
      </c>
      <c r="N21" s="11">
        <f t="shared" si="4"/>
        <v>3779147.7036191998</v>
      </c>
    </row>
    <row r="22" spans="1:14">
      <c r="A22" s="44"/>
      <c r="B22" s="5">
        <f t="shared" si="5"/>
        <v>45292</v>
      </c>
      <c r="C22" s="1" t="s">
        <v>17</v>
      </c>
      <c r="D22" s="194" t="s">
        <v>528</v>
      </c>
      <c r="E22" s="1">
        <v>2760112</v>
      </c>
      <c r="F22" s="2">
        <v>8118586.3899999997</v>
      </c>
      <c r="G22" s="3">
        <f t="shared" si="0"/>
        <v>6483503.091054</v>
      </c>
      <c r="H22" s="4">
        <f t="shared" si="1"/>
        <v>2.3490000011064769</v>
      </c>
      <c r="I22" s="7">
        <v>0.12</v>
      </c>
      <c r="J22" s="7">
        <v>1.6500000000000001E-2</v>
      </c>
      <c r="K22" s="7">
        <v>7.5999999999999998E-2</v>
      </c>
      <c r="L22" s="11">
        <f t="shared" si="2"/>
        <v>974230.36679999996</v>
      </c>
      <c r="M22" s="11">
        <f t="shared" si="3"/>
        <v>117881.8743828</v>
      </c>
      <c r="N22" s="11">
        <f t="shared" si="4"/>
        <v>542971.05776320002</v>
      </c>
    </row>
    <row r="23" spans="1:14">
      <c r="A23" s="44"/>
      <c r="B23" s="5">
        <f t="shared" si="5"/>
        <v>45292</v>
      </c>
      <c r="C23" s="1" t="s">
        <v>17</v>
      </c>
      <c r="D23" s="194" t="s">
        <v>529</v>
      </c>
      <c r="E23" s="1">
        <v>1250975</v>
      </c>
      <c r="F23" s="2">
        <v>3679614.68</v>
      </c>
      <c r="G23" s="3">
        <f t="shared" si="0"/>
        <v>2938540.283448</v>
      </c>
      <c r="H23" s="4">
        <f t="shared" si="1"/>
        <v>2.3490000067531325</v>
      </c>
      <c r="I23" s="7">
        <v>0.12</v>
      </c>
      <c r="J23" s="7">
        <v>1.6500000000000001E-2</v>
      </c>
      <c r="K23" s="7">
        <v>7.5999999999999998E-2</v>
      </c>
      <c r="L23" s="11">
        <f t="shared" si="2"/>
        <v>441553.76160000003</v>
      </c>
      <c r="M23" s="11">
        <f t="shared" si="3"/>
        <v>53428.00515360001</v>
      </c>
      <c r="N23" s="11">
        <f t="shared" si="4"/>
        <v>246092.62979840001</v>
      </c>
    </row>
    <row r="24" spans="1:14">
      <c r="A24" s="44"/>
      <c r="B24" s="5">
        <f t="shared" si="5"/>
        <v>45292</v>
      </c>
      <c r="C24" s="1" t="s">
        <v>17</v>
      </c>
      <c r="D24" s="194" t="s">
        <v>530</v>
      </c>
      <c r="E24" s="1">
        <v>3669849.2579999999</v>
      </c>
      <c r="F24" s="2">
        <v>10794485.24</v>
      </c>
      <c r="G24" s="3">
        <f t="shared" si="0"/>
        <v>8620475.9126639999</v>
      </c>
      <c r="H24" s="4">
        <f t="shared" si="1"/>
        <v>2.3490000015319432</v>
      </c>
      <c r="I24" s="7">
        <v>0.12</v>
      </c>
      <c r="J24" s="7">
        <v>1.6500000000000001E-2</v>
      </c>
      <c r="K24" s="7">
        <v>7.5999999999999998E-2</v>
      </c>
      <c r="L24" s="11">
        <f t="shared" si="2"/>
        <v>1295338.2287999999</v>
      </c>
      <c r="M24" s="11">
        <f t="shared" si="3"/>
        <v>156735.92568479999</v>
      </c>
      <c r="N24" s="11">
        <f t="shared" si="4"/>
        <v>721935.17285119998</v>
      </c>
    </row>
    <row r="25" spans="1:14">
      <c r="A25" s="44"/>
      <c r="B25" s="5">
        <f t="shared" si="5"/>
        <v>45292</v>
      </c>
      <c r="C25" s="1" t="s">
        <v>17</v>
      </c>
      <c r="D25" s="194" t="s">
        <v>531</v>
      </c>
      <c r="E25" s="1">
        <v>6858601.7419999996</v>
      </c>
      <c r="F25" s="2">
        <v>20173873.640000001</v>
      </c>
      <c r="G25" s="3">
        <f t="shared" si="0"/>
        <v>16110855.488903999</v>
      </c>
      <c r="H25" s="4">
        <f t="shared" si="1"/>
        <v>2.3489999995547199</v>
      </c>
      <c r="I25" s="7">
        <v>0.12</v>
      </c>
      <c r="J25" s="7">
        <v>1.6500000000000001E-2</v>
      </c>
      <c r="K25" s="7">
        <v>7.5999999999999998E-2</v>
      </c>
      <c r="L25" s="11">
        <f t="shared" si="2"/>
        <v>2420864.8368000002</v>
      </c>
      <c r="M25" s="11">
        <f t="shared" si="3"/>
        <v>292924.64525280002</v>
      </c>
      <c r="N25" s="11">
        <f t="shared" si="4"/>
        <v>1349228.6690431999</v>
      </c>
    </row>
    <row r="26" spans="1:14">
      <c r="A26" s="44"/>
      <c r="B26" s="5">
        <f t="shared" si="5"/>
        <v>45292</v>
      </c>
      <c r="C26" s="1" t="s">
        <v>17</v>
      </c>
      <c r="D26" s="194" t="s">
        <v>532</v>
      </c>
      <c r="E26" s="1">
        <v>3275303</v>
      </c>
      <c r="F26" s="2">
        <v>9116012.6199999992</v>
      </c>
      <c r="G26" s="3">
        <f>F26-SUM(L26:N26)</f>
        <v>7693686.7509644991</v>
      </c>
      <c r="H26" s="4">
        <f t="shared" si="1"/>
        <v>2.3490000012104222</v>
      </c>
      <c r="I26" s="7">
        <v>7.0000000000000007E-2</v>
      </c>
      <c r="J26" s="7">
        <v>1.6500000000000001E-2</v>
      </c>
      <c r="K26" s="7">
        <v>7.5999999999999998E-2</v>
      </c>
      <c r="L26" s="11">
        <f t="shared" si="2"/>
        <v>638120.88340000005</v>
      </c>
      <c r="M26" s="11">
        <f t="shared" si="3"/>
        <v>139885.21365389999</v>
      </c>
      <c r="N26" s="11">
        <f t="shared" si="4"/>
        <v>644319.77198159986</v>
      </c>
    </row>
    <row r="27" spans="1:14" hidden="1">
      <c r="A27" s="44"/>
      <c r="B27" s="5">
        <f t="shared" si="5"/>
        <v>45292</v>
      </c>
      <c r="C27" s="1" t="s">
        <v>17</v>
      </c>
      <c r="D27" s="194"/>
      <c r="E27" s="1"/>
      <c r="F27" s="2"/>
      <c r="G27" s="3">
        <f t="shared" si="0"/>
        <v>0</v>
      </c>
      <c r="H27" s="4">
        <f t="shared" si="1"/>
        <v>0</v>
      </c>
      <c r="I27" s="7"/>
      <c r="J27" s="7">
        <v>1.6500000000000001E-2</v>
      </c>
      <c r="K27" s="7">
        <v>7.5999999999999998E-2</v>
      </c>
      <c r="L27" s="11">
        <f t="shared" si="2"/>
        <v>0</v>
      </c>
      <c r="M27" s="11">
        <f t="shared" si="3"/>
        <v>0</v>
      </c>
      <c r="N27" s="11">
        <f t="shared" si="4"/>
        <v>0</v>
      </c>
    </row>
    <row r="28" spans="1:14" hidden="1">
      <c r="A28" s="44"/>
      <c r="B28" s="5">
        <f t="shared" si="5"/>
        <v>45292</v>
      </c>
      <c r="C28" s="1" t="s">
        <v>17</v>
      </c>
      <c r="D28" s="194"/>
      <c r="E28" s="1"/>
      <c r="F28" s="2"/>
      <c r="G28" s="3">
        <f t="shared" si="0"/>
        <v>0</v>
      </c>
      <c r="H28" s="4">
        <f t="shared" si="1"/>
        <v>0</v>
      </c>
      <c r="I28" s="7"/>
      <c r="J28" s="7">
        <v>1.6500000000000001E-2</v>
      </c>
      <c r="K28" s="7">
        <v>7.5999999999999998E-2</v>
      </c>
      <c r="L28" s="11">
        <f t="shared" si="2"/>
        <v>0</v>
      </c>
      <c r="M28" s="11">
        <f t="shared" si="3"/>
        <v>0</v>
      </c>
      <c r="N28" s="11">
        <f t="shared" si="4"/>
        <v>0</v>
      </c>
    </row>
    <row r="29" spans="1:14" hidden="1">
      <c r="A29" s="44"/>
      <c r="B29" s="5">
        <f t="shared" si="5"/>
        <v>45292</v>
      </c>
      <c r="C29" s="1" t="s">
        <v>17</v>
      </c>
      <c r="D29" s="194"/>
      <c r="E29" s="1"/>
      <c r="F29" s="2"/>
      <c r="G29" s="3">
        <f>F29-SUM(L29:N29)</f>
        <v>0</v>
      </c>
      <c r="H29" s="4">
        <f>+IF(G29=0,0,G29/E29)</f>
        <v>0</v>
      </c>
      <c r="I29" s="7"/>
      <c r="J29" s="7">
        <v>1.6500000000000001E-2</v>
      </c>
      <c r="K29" s="7">
        <v>7.5999999999999998E-2</v>
      </c>
      <c r="L29" s="11">
        <f t="shared" si="2"/>
        <v>0</v>
      </c>
      <c r="M29" s="11">
        <f t="shared" si="3"/>
        <v>0</v>
      </c>
      <c r="N29" s="11">
        <f t="shared" si="4"/>
        <v>0</v>
      </c>
    </row>
    <row r="30" spans="1:14" hidden="1">
      <c r="A30" s="44"/>
      <c r="B30" s="5">
        <f t="shared" si="5"/>
        <v>45292</v>
      </c>
      <c r="C30" s="1" t="s">
        <v>17</v>
      </c>
      <c r="D30" s="194"/>
      <c r="E30" s="1"/>
      <c r="F30" s="2"/>
      <c r="G30" s="3">
        <f t="shared" si="0"/>
        <v>0</v>
      </c>
      <c r="H30" s="4">
        <f>+IF(G30=0,0,G30/E30)</f>
        <v>0</v>
      </c>
      <c r="I30" s="7"/>
      <c r="J30" s="7">
        <v>1.6500000000000001E-2</v>
      </c>
      <c r="K30" s="7">
        <v>7.5999999999999998E-2</v>
      </c>
      <c r="L30" s="11">
        <f t="shared" si="2"/>
        <v>0</v>
      </c>
      <c r="M30" s="11">
        <f t="shared" si="3"/>
        <v>0</v>
      </c>
      <c r="N30" s="11">
        <f t="shared" si="4"/>
        <v>0</v>
      </c>
    </row>
    <row r="31" spans="1:14" hidden="1">
      <c r="A31" s="44"/>
      <c r="B31" s="5">
        <f t="shared" si="5"/>
        <v>45292</v>
      </c>
      <c r="C31" s="1" t="s">
        <v>17</v>
      </c>
      <c r="D31" s="194"/>
      <c r="E31" s="1"/>
      <c r="F31" s="2"/>
      <c r="G31" s="3">
        <f t="shared" si="0"/>
        <v>0</v>
      </c>
      <c r="H31" s="4">
        <f t="shared" si="1"/>
        <v>0</v>
      </c>
      <c r="I31" s="7"/>
      <c r="J31" s="7">
        <v>1.6500000000000001E-2</v>
      </c>
      <c r="K31" s="7">
        <v>7.5999999999999998E-2</v>
      </c>
      <c r="L31" s="11">
        <f t="shared" si="2"/>
        <v>0</v>
      </c>
      <c r="M31" s="11">
        <f t="shared" si="3"/>
        <v>0</v>
      </c>
      <c r="N31" s="11">
        <f t="shared" si="4"/>
        <v>0</v>
      </c>
    </row>
    <row r="32" spans="1:14" hidden="1">
      <c r="A32" s="44"/>
      <c r="B32" s="5">
        <f t="shared" si="5"/>
        <v>45292</v>
      </c>
      <c r="C32" s="1" t="s">
        <v>17</v>
      </c>
      <c r="D32" s="194"/>
      <c r="E32" s="1"/>
      <c r="F32" s="2"/>
      <c r="G32" s="3">
        <f t="shared" si="0"/>
        <v>0</v>
      </c>
      <c r="H32" s="4">
        <f t="shared" si="1"/>
        <v>0</v>
      </c>
      <c r="I32" s="7"/>
      <c r="J32" s="7">
        <v>1.6500000000000001E-2</v>
      </c>
      <c r="K32" s="7">
        <v>7.5999999999999998E-2</v>
      </c>
      <c r="L32" s="11">
        <f t="shared" si="2"/>
        <v>0</v>
      </c>
      <c r="M32" s="11">
        <f t="shared" si="3"/>
        <v>0</v>
      </c>
      <c r="N32" s="11">
        <f t="shared" si="4"/>
        <v>0</v>
      </c>
    </row>
    <row r="33" spans="1:16" hidden="1">
      <c r="A33" s="44"/>
      <c r="B33" s="5">
        <f t="shared" si="5"/>
        <v>45292</v>
      </c>
      <c r="C33" s="1" t="s">
        <v>17</v>
      </c>
      <c r="D33" s="194"/>
      <c r="E33" s="1"/>
      <c r="F33" s="2"/>
      <c r="G33" s="3">
        <f t="shared" si="0"/>
        <v>0</v>
      </c>
      <c r="H33" s="4">
        <f t="shared" si="1"/>
        <v>0</v>
      </c>
      <c r="I33" s="7"/>
      <c r="J33" s="7">
        <v>1.6500000000000001E-2</v>
      </c>
      <c r="K33" s="7">
        <v>7.5999999999999998E-2</v>
      </c>
      <c r="L33" s="11">
        <f t="shared" si="2"/>
        <v>0</v>
      </c>
      <c r="M33" s="11">
        <f t="shared" si="3"/>
        <v>0</v>
      </c>
      <c r="N33" s="11">
        <f t="shared" si="4"/>
        <v>0</v>
      </c>
    </row>
    <row r="34" spans="1:16" hidden="1">
      <c r="A34" s="44"/>
      <c r="B34" s="5">
        <f t="shared" si="5"/>
        <v>45292</v>
      </c>
      <c r="C34" s="1" t="s">
        <v>17</v>
      </c>
      <c r="D34" s="194"/>
      <c r="E34" s="1"/>
      <c r="F34" s="2"/>
      <c r="G34" s="3">
        <f t="shared" ref="G34" si="6">F34-SUM(L34:N34)</f>
        <v>0</v>
      </c>
      <c r="H34" s="4">
        <f t="shared" si="1"/>
        <v>0</v>
      </c>
      <c r="I34" s="7"/>
      <c r="J34" s="7">
        <v>1.6500000000000001E-2</v>
      </c>
      <c r="K34" s="7">
        <v>7.5999999999999998E-2</v>
      </c>
      <c r="L34" s="11">
        <f t="shared" si="2"/>
        <v>0</v>
      </c>
      <c r="M34" s="11">
        <f t="shared" si="3"/>
        <v>0</v>
      </c>
      <c r="N34" s="11">
        <f t="shared" si="4"/>
        <v>0</v>
      </c>
    </row>
    <row r="35" spans="1:16">
      <c r="A35" s="44"/>
      <c r="B35" s="5">
        <f t="shared" si="5"/>
        <v>45292</v>
      </c>
      <c r="C35" s="1" t="s">
        <v>440</v>
      </c>
      <c r="D35" s="194" t="s">
        <v>523</v>
      </c>
      <c r="E35" s="1">
        <v>310000</v>
      </c>
      <c r="F35" s="2">
        <v>837868</v>
      </c>
      <c r="G35" s="3">
        <f t="shared" si="0"/>
        <v>707139.64529999997</v>
      </c>
      <c r="H35" s="4">
        <f t="shared" si="1"/>
        <v>2.2810956299999998</v>
      </c>
      <c r="I35" s="7">
        <v>7.0000000000000007E-2</v>
      </c>
      <c r="J35" s="7">
        <v>1.6500000000000001E-2</v>
      </c>
      <c r="K35" s="7">
        <v>7.5999999999999998E-2</v>
      </c>
      <c r="L35" s="11">
        <f t="shared" si="2"/>
        <v>58650.76</v>
      </c>
      <c r="M35" s="11">
        <f t="shared" si="3"/>
        <v>12857.08446</v>
      </c>
      <c r="N35" s="11">
        <f t="shared" si="4"/>
        <v>59220.510239999996</v>
      </c>
    </row>
    <row r="36" spans="1:16">
      <c r="A36" s="44"/>
      <c r="B36" s="5">
        <f t="shared" si="5"/>
        <v>45292</v>
      </c>
      <c r="C36" s="1" t="s">
        <v>491</v>
      </c>
      <c r="D36" s="195" t="s">
        <v>524</v>
      </c>
      <c r="E36" s="118">
        <v>4650000</v>
      </c>
      <c r="F36" s="2">
        <v>12121620</v>
      </c>
      <c r="G36" s="3">
        <f t="shared" si="0"/>
        <v>9680325.7320000008</v>
      </c>
      <c r="H36" s="4">
        <f>+IF(G36=0,0,G36/E36)</f>
        <v>2.08179048</v>
      </c>
      <c r="I36" s="7">
        <v>0.12</v>
      </c>
      <c r="J36" s="7">
        <v>1.6500000000000001E-2</v>
      </c>
      <c r="K36" s="7">
        <v>7.5999999999999998E-2</v>
      </c>
      <c r="L36" s="11">
        <f t="shared" si="2"/>
        <v>1454594.4</v>
      </c>
      <c r="M36" s="11">
        <f t="shared" si="3"/>
        <v>176005.92240000001</v>
      </c>
      <c r="N36" s="11">
        <f t="shared" si="4"/>
        <v>810693.94559999998</v>
      </c>
      <c r="P36" s="182"/>
    </row>
    <row r="37" spans="1:16" ht="15" customHeight="1">
      <c r="A37" s="44"/>
      <c r="B37" s="5">
        <f t="shared" si="5"/>
        <v>45292</v>
      </c>
      <c r="C37" s="1" t="s">
        <v>37</v>
      </c>
      <c r="D37" s="195" t="s">
        <v>522</v>
      </c>
      <c r="E37" s="185">
        <v>343991</v>
      </c>
      <c r="F37" s="2">
        <v>3141497.81</v>
      </c>
      <c r="G37" s="3">
        <f>F37-SUM(L37:N37)</f>
        <v>2266472.863747125</v>
      </c>
      <c r="H37" s="4">
        <f>+IF(G37=0,0,G37/E37)</f>
        <v>6.5887562864933242</v>
      </c>
      <c r="I37" s="7">
        <v>0.20499999999999999</v>
      </c>
      <c r="J37" s="7">
        <v>1.6500000000000001E-2</v>
      </c>
      <c r="K37" s="7">
        <v>7.5999999999999998E-2</v>
      </c>
      <c r="L37" s="11">
        <f t="shared" si="2"/>
        <v>644007.05105000001</v>
      </c>
      <c r="M37" s="11">
        <f>J37*(F37-L37)</f>
        <v>41208.597522675002</v>
      </c>
      <c r="N37" s="11">
        <f t="shared" si="4"/>
        <v>189809.29768020002</v>
      </c>
      <c r="O37" s="14"/>
    </row>
    <row r="38" spans="1:16">
      <c r="A38" s="44"/>
      <c r="B38" s="5">
        <f t="shared" si="5"/>
        <v>45292</v>
      </c>
      <c r="C38" s="1" t="s">
        <v>36</v>
      </c>
      <c r="D38" s="195" t="s">
        <v>521</v>
      </c>
      <c r="E38" s="185">
        <f>104395+3930</f>
        <v>108325</v>
      </c>
      <c r="F38" s="2">
        <f>953387.34+35890.73</f>
        <v>989278.07</v>
      </c>
      <c r="G38" s="3">
        <f t="shared" si="0"/>
        <v>713727.02957737492</v>
      </c>
      <c r="H38" s="4">
        <f>+IF(G38=0,0,G38/E38)</f>
        <v>6.5887563312012452</v>
      </c>
      <c r="I38" s="7">
        <v>0.20499999999999999</v>
      </c>
      <c r="J38" s="7">
        <v>1.6500000000000001E-2</v>
      </c>
      <c r="K38" s="7">
        <v>7.5999999999999998E-2</v>
      </c>
      <c r="L38" s="11">
        <f t="shared" si="2"/>
        <v>202802.00434999997</v>
      </c>
      <c r="M38" s="11">
        <f>J38*(F38-L38)</f>
        <v>12976.855083225</v>
      </c>
      <c r="N38" s="11">
        <f t="shared" si="4"/>
        <v>59772.180989399996</v>
      </c>
      <c r="P38" s="42"/>
    </row>
    <row r="39" spans="1:16">
      <c r="A39" s="44"/>
      <c r="B39" s="5">
        <f t="shared" si="5"/>
        <v>45292</v>
      </c>
      <c r="C39" s="1" t="s">
        <v>422</v>
      </c>
      <c r="D39" s="195" t="s">
        <v>519</v>
      </c>
      <c r="E39" s="186">
        <v>0</v>
      </c>
      <c r="F39" s="2">
        <f>56733.34+23433.33+24666.67</f>
        <v>104833.34</v>
      </c>
      <c r="G39" s="3">
        <f>F39-SUM(L39:N39)</f>
        <v>95136.256049999996</v>
      </c>
      <c r="H39" s="187"/>
      <c r="I39" s="193">
        <v>0</v>
      </c>
      <c r="J39" s="7">
        <v>1.6500000000000001E-2</v>
      </c>
      <c r="K39" s="7">
        <v>7.5999999999999998E-2</v>
      </c>
      <c r="L39" s="11">
        <f t="shared" si="2"/>
        <v>0</v>
      </c>
      <c r="M39" s="11">
        <f t="shared" si="3"/>
        <v>1729.7501099999999</v>
      </c>
      <c r="N39" s="11">
        <f t="shared" si="4"/>
        <v>7967.3338399999993</v>
      </c>
      <c r="P39" s="42"/>
    </row>
    <row r="40" spans="1:16">
      <c r="B40" s="5">
        <f t="shared" si="5"/>
        <v>45292</v>
      </c>
      <c r="C40" s="1" t="s">
        <v>423</v>
      </c>
      <c r="D40" s="195" t="s">
        <v>519</v>
      </c>
      <c r="E40" s="186">
        <v>0</v>
      </c>
      <c r="F40" s="2">
        <f>97914.44+758068.85+425759.95</f>
        <v>1281743.24</v>
      </c>
      <c r="G40" s="3">
        <f>F40-SUM(L40:N40)</f>
        <v>1163181.9902999999</v>
      </c>
      <c r="H40" s="187"/>
      <c r="I40" s="193">
        <v>0</v>
      </c>
      <c r="J40" s="7">
        <v>1.6500000000000001E-2</v>
      </c>
      <c r="K40" s="7">
        <v>7.5999999999999998E-2</v>
      </c>
      <c r="L40" s="11">
        <f t="shared" si="2"/>
        <v>0</v>
      </c>
      <c r="M40" s="11">
        <f t="shared" si="3"/>
        <v>21148.763460000002</v>
      </c>
      <c r="N40" s="11">
        <f t="shared" si="4"/>
        <v>97412.486239999998</v>
      </c>
    </row>
    <row r="41" spans="1:16">
      <c r="B41" s="5"/>
      <c r="C41" s="1"/>
      <c r="E41" s="1"/>
      <c r="F41" s="2"/>
      <c r="G41" s="4"/>
      <c r="H41" s="4"/>
      <c r="I41" s="7"/>
      <c r="J41" s="7"/>
      <c r="K41" s="7"/>
    </row>
    <row r="42" spans="1:16">
      <c r="E42" s="28">
        <f>SUM(E19:E41)</f>
        <v>43094408</v>
      </c>
      <c r="F42" s="133"/>
      <c r="G42" s="29">
        <f>SUM(G19:G41)</f>
        <v>103141217.65011899</v>
      </c>
    </row>
    <row r="43" spans="1:16">
      <c r="E43" s="137"/>
    </row>
    <row r="44" spans="1:16" ht="15.75" thickBot="1"/>
    <row r="45" spans="1:16">
      <c r="B45" s="391" t="s">
        <v>520</v>
      </c>
      <c r="C45" s="383"/>
      <c r="D45" s="383"/>
      <c r="E45" s="383"/>
      <c r="F45" s="383"/>
      <c r="G45" s="383"/>
      <c r="H45" s="383"/>
      <c r="I45" s="383"/>
      <c r="J45" s="383"/>
      <c r="K45" s="383"/>
      <c r="L45" s="383"/>
      <c r="M45" s="383"/>
      <c r="N45" s="384"/>
    </row>
    <row r="46" spans="1:16">
      <c r="B46" s="385"/>
      <c r="C46" s="386"/>
      <c r="D46" s="386"/>
      <c r="E46" s="386"/>
      <c r="F46" s="386"/>
      <c r="G46" s="386"/>
      <c r="H46" s="386"/>
      <c r="I46" s="386"/>
      <c r="J46" s="386"/>
      <c r="K46" s="386"/>
      <c r="L46" s="386"/>
      <c r="M46" s="386"/>
      <c r="N46" s="387"/>
    </row>
    <row r="47" spans="1:16">
      <c r="B47" s="385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7"/>
    </row>
    <row r="48" spans="1:16">
      <c r="B48" s="385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</row>
    <row r="49" spans="2:14">
      <c r="B49" s="385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</row>
    <row r="50" spans="2:14" ht="44.25" customHeight="1" thickBot="1">
      <c r="B50" s="388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90"/>
    </row>
  </sheetData>
  <mergeCells count="3">
    <mergeCell ref="C2:L2"/>
    <mergeCell ref="L17:N17"/>
    <mergeCell ref="B45:N50"/>
  </mergeCells>
  <conditionalFormatting sqref="D7">
    <cfRule type="duplicateValues" dxfId="134" priority="2"/>
  </conditionalFormatting>
  <conditionalFormatting sqref="D19:D36">
    <cfRule type="duplicateValues" dxfId="133" priority="5"/>
  </conditionalFormatting>
  <conditionalFormatting sqref="D44:D1048576 D1:D6 D8:D42">
    <cfRule type="duplicateValues" dxfId="132" priority="3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25B3-9CEC-4F95-935E-40C1DAE01F2A}">
  <sheetPr>
    <pageSetUpPr fitToPage="1"/>
  </sheetPr>
  <dimension ref="A2:Q85"/>
  <sheetViews>
    <sheetView showGridLines="0" topLeftCell="A37" zoomScale="70" zoomScaleNormal="70" workbookViewId="0">
      <selection activeCell="D74" sqref="D74"/>
    </sheetView>
  </sheetViews>
  <sheetFormatPr defaultColWidth="8.7109375" defaultRowHeight="15"/>
  <cols>
    <col min="1" max="1" width="10.85546875" bestFit="1" customWidth="1"/>
    <col min="2" max="2" width="7.710937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3.140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5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5" ht="23.25">
      <c r="C3" s="13">
        <v>45323</v>
      </c>
    </row>
    <row r="5" spans="3:15">
      <c r="C5" t="s">
        <v>17</v>
      </c>
      <c r="D5" s="14">
        <f t="shared" ref="D5:D11" ca="1" si="0">SUMIF($C$19:$G$75,$C$5:$C$11,$G$19:$G$75)/SUMIF($C$19:$G$75,$C$5:$C$11,$E$19:$E$75)</f>
        <v>2.3079000005561419</v>
      </c>
    </row>
    <row r="6" spans="3:15">
      <c r="C6" t="s">
        <v>440</v>
      </c>
      <c r="D6" s="14">
        <f t="shared" ca="1" si="0"/>
        <v>1.6981831968750001</v>
      </c>
    </row>
    <row r="7" spans="3:15">
      <c r="C7" t="s">
        <v>491</v>
      </c>
      <c r="D7" s="14">
        <f t="shared" ca="1" si="0"/>
        <v>2.0341140599999998</v>
      </c>
    </row>
    <row r="8" spans="3:15">
      <c r="C8" t="s">
        <v>37</v>
      </c>
      <c r="D8" s="14">
        <f t="shared" ca="1" si="0"/>
        <v>6.0364483333258265</v>
      </c>
      <c r="I8" s="19"/>
      <c r="N8" s="15" t="s">
        <v>127</v>
      </c>
      <c r="O8" s="15" t="s">
        <v>128</v>
      </c>
    </row>
    <row r="9" spans="3:15">
      <c r="C9" t="s">
        <v>36</v>
      </c>
      <c r="D9" s="14">
        <f t="shared" ca="1" si="0"/>
        <v>6.5887562639995414</v>
      </c>
      <c r="E9" s="14"/>
      <c r="F9" s="32"/>
      <c r="I9" s="19"/>
      <c r="M9" s="16" t="s">
        <v>17</v>
      </c>
      <c r="N9" s="17">
        <f>1415000/1620000</f>
        <v>0.87345679012345678</v>
      </c>
      <c r="O9" s="17">
        <f>+SUM(E19:E32)/E77</f>
        <v>0.86968091406459302</v>
      </c>
    </row>
    <row r="10" spans="3:15">
      <c r="C10" t="s">
        <v>534</v>
      </c>
      <c r="D10" s="14" t="e">
        <f t="shared" ca="1" si="0"/>
        <v>#DIV/0!</v>
      </c>
      <c r="M10" s="16" t="s">
        <v>440</v>
      </c>
      <c r="N10" s="17">
        <f>10000/1620000</f>
        <v>6.1728395061728392E-3</v>
      </c>
      <c r="O10" s="17">
        <f>+SUM(E33)/E77</f>
        <v>2.6142380449099285E-2</v>
      </c>
    </row>
    <row r="11" spans="3:15">
      <c r="C11" t="s">
        <v>533</v>
      </c>
      <c r="D11" s="14" t="e">
        <f t="shared" ca="1" si="0"/>
        <v>#DIV/0!</v>
      </c>
      <c r="M11" s="16" t="s">
        <v>491</v>
      </c>
      <c r="N11" s="17">
        <f>150000/1620000</f>
        <v>9.2592592592592587E-2</v>
      </c>
      <c r="O11" s="17">
        <f>+SUM(E34)/E77</f>
        <v>7.8427141347297849E-2</v>
      </c>
    </row>
    <row r="12" spans="3:15">
      <c r="C12" s="30" t="s">
        <v>129</v>
      </c>
      <c r="D12" s="31">
        <f>+G77/E77</f>
        <v>2.4274375771885843</v>
      </c>
      <c r="M12" s="16" t="s">
        <v>544</v>
      </c>
      <c r="N12" s="17">
        <f>45000/1620000</f>
        <v>2.7777777777777776E-2</v>
      </c>
      <c r="O12" s="18">
        <f>+SUM(E37:E49)/E77</f>
        <v>2.4617851700119615E-2</v>
      </c>
    </row>
    <row r="13" spans="3:15">
      <c r="D13" s="19"/>
      <c r="M13" s="20" t="s">
        <v>38</v>
      </c>
      <c r="N13" s="197">
        <f>SUM(N9:N12)</f>
        <v>1</v>
      </c>
      <c r="O13" s="197">
        <f>SUM(O9:O12)</f>
        <v>0.9988682875611099</v>
      </c>
    </row>
    <row r="14" spans="3:15">
      <c r="D14" s="22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>
      <c r="A19" s="44"/>
      <c r="B19" s="5">
        <f>C3</f>
        <v>45323</v>
      </c>
      <c r="C19" s="1" t="s">
        <v>17</v>
      </c>
      <c r="D19" s="194" t="s">
        <v>538</v>
      </c>
      <c r="E19" s="1">
        <v>290618</v>
      </c>
      <c r="F19" s="2">
        <v>839866.37</v>
      </c>
      <c r="G19" s="3">
        <f t="shared" ref="G19:G48" si="1">F19-SUM(M19:P19)</f>
        <v>670717.28308199998</v>
      </c>
      <c r="H19" s="4">
        <f>+IF(G19=0,0,G19/E19)</f>
        <v>2.3079000030349119</v>
      </c>
      <c r="I19" s="7">
        <v>0.12</v>
      </c>
      <c r="J19" s="7">
        <v>1.6500000000000001E-2</v>
      </c>
      <c r="K19" s="7">
        <v>7.5999999999999998E-2</v>
      </c>
      <c r="L19" s="7">
        <v>0</v>
      </c>
      <c r="M19" s="11">
        <f t="shared" ref="M19:M54" si="2">+I19*F19</f>
        <v>100783.9644</v>
      </c>
      <c r="N19" s="11">
        <f t="shared" ref="N19:N54" si="3">J19*(F19-M19)</f>
        <v>12194.859692399999</v>
      </c>
      <c r="O19" s="11">
        <f t="shared" ref="O19:O54" si="4">K19*(F19-M19)</f>
        <v>56170.262825599995</v>
      </c>
      <c r="P19" s="11">
        <f t="shared" ref="P19:P48" si="5">L19*(F19)</f>
        <v>0</v>
      </c>
    </row>
    <row r="20" spans="1:16">
      <c r="A20" s="44"/>
      <c r="B20" s="5">
        <f>B19</f>
        <v>45323</v>
      </c>
      <c r="C20" s="1" t="s">
        <v>17</v>
      </c>
      <c r="D20" s="194" t="s">
        <v>539</v>
      </c>
      <c r="E20" s="1">
        <v>9466352</v>
      </c>
      <c r="F20" s="2">
        <v>27357117.18</v>
      </c>
      <c r="G20" s="3">
        <f t="shared" si="1"/>
        <v>21847393.779948</v>
      </c>
      <c r="H20" s="4">
        <f t="shared" ref="H20:H32" si="6">+IF(G20=0,0,G20/E20)</f>
        <v>2.3078999999099969</v>
      </c>
      <c r="I20" s="7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3282854.0615999997</v>
      </c>
      <c r="N20" s="11">
        <f t="shared" si="3"/>
        <v>397225.34145360003</v>
      </c>
      <c r="O20" s="11">
        <f t="shared" si="4"/>
        <v>1829643.9969984</v>
      </c>
      <c r="P20" s="11">
        <f t="shared" si="5"/>
        <v>0</v>
      </c>
    </row>
    <row r="21" spans="1:16">
      <c r="A21" s="44"/>
      <c r="B21" s="5">
        <f t="shared" ref="B21:B75" si="7">B20</f>
        <v>45323</v>
      </c>
      <c r="C21" s="1" t="s">
        <v>17</v>
      </c>
      <c r="D21" s="196" t="s">
        <v>540</v>
      </c>
      <c r="E21" s="1">
        <v>3484591</v>
      </c>
      <c r="F21" s="2">
        <v>10070232.369999999</v>
      </c>
      <c r="G21" s="3">
        <f t="shared" si="1"/>
        <v>8042087.5706819994</v>
      </c>
      <c r="H21" s="4">
        <f>+IF(G21=0,0,G21/E21)</f>
        <v>2.3079000005113941</v>
      </c>
      <c r="I21" s="7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1208427.8843999999</v>
      </c>
      <c r="N21" s="11">
        <f t="shared" si="3"/>
        <v>146219.77401239998</v>
      </c>
      <c r="O21" s="11">
        <f t="shared" si="4"/>
        <v>673497.14090559981</v>
      </c>
      <c r="P21" s="11">
        <f t="shared" si="5"/>
        <v>0</v>
      </c>
    </row>
    <row r="22" spans="1:16">
      <c r="A22" s="44"/>
      <c r="B22" s="5">
        <f t="shared" si="7"/>
        <v>45323</v>
      </c>
      <c r="C22" s="1" t="s">
        <v>17</v>
      </c>
      <c r="D22" s="194" t="s">
        <v>541</v>
      </c>
      <c r="E22" s="1">
        <v>23444877.27</v>
      </c>
      <c r="F22" s="2">
        <v>67754110.030000001</v>
      </c>
      <c r="G22" s="3">
        <f t="shared" si="1"/>
        <v>54108432.269958004</v>
      </c>
      <c r="H22" s="4">
        <f t="shared" si="6"/>
        <v>2.3079000007901516</v>
      </c>
      <c r="I22" s="7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8130493.2035999997</v>
      </c>
      <c r="N22" s="11">
        <f t="shared" si="3"/>
        <v>983789.67763560009</v>
      </c>
      <c r="O22" s="11">
        <f t="shared" si="4"/>
        <v>4531394.8788064001</v>
      </c>
      <c r="P22" s="11">
        <f t="shared" si="5"/>
        <v>0</v>
      </c>
    </row>
    <row r="23" spans="1:16">
      <c r="A23" s="44"/>
      <c r="B23" s="5">
        <f t="shared" si="7"/>
        <v>45323</v>
      </c>
      <c r="C23" s="1" t="s">
        <v>17</v>
      </c>
      <c r="D23" s="194" t="s">
        <v>542</v>
      </c>
      <c r="E23" s="1">
        <v>1903385.7239999999</v>
      </c>
      <c r="F23" s="2">
        <v>5500656.04</v>
      </c>
      <c r="G23" s="3">
        <f t="shared" si="1"/>
        <v>4392823.9135440001</v>
      </c>
      <c r="H23" s="4">
        <f t="shared" si="6"/>
        <v>2.3079000005907369</v>
      </c>
      <c r="I23" s="7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660078.72479999997</v>
      </c>
      <c r="N23" s="11">
        <f t="shared" si="3"/>
        <v>79869.525700800004</v>
      </c>
      <c r="O23" s="11">
        <f t="shared" si="4"/>
        <v>367883.8759552</v>
      </c>
      <c r="P23" s="11">
        <f t="shared" si="5"/>
        <v>0</v>
      </c>
    </row>
    <row r="24" spans="1:16" hidden="1">
      <c r="A24" s="44"/>
      <c r="B24" s="5">
        <f t="shared" si="7"/>
        <v>45323</v>
      </c>
      <c r="C24" s="1" t="s">
        <v>17</v>
      </c>
      <c r="D24" s="194"/>
      <c r="E24" s="1"/>
      <c r="F24" s="2"/>
      <c r="G24" s="3">
        <f t="shared" si="1"/>
        <v>0</v>
      </c>
      <c r="H24" s="4">
        <f t="shared" si="6"/>
        <v>0</v>
      </c>
      <c r="I24" s="7"/>
      <c r="J24" s="7">
        <v>1.6500000000000001E-2</v>
      </c>
      <c r="K24" s="7">
        <v>7.5999999999999998E-2</v>
      </c>
      <c r="L24" s="7">
        <v>0</v>
      </c>
      <c r="M24" s="11">
        <f t="shared" si="2"/>
        <v>0</v>
      </c>
      <c r="N24" s="11">
        <f t="shared" si="3"/>
        <v>0</v>
      </c>
      <c r="O24" s="11">
        <f t="shared" si="4"/>
        <v>0</v>
      </c>
      <c r="P24" s="11">
        <f t="shared" si="5"/>
        <v>0</v>
      </c>
    </row>
    <row r="25" spans="1:16" hidden="1">
      <c r="A25" s="44"/>
      <c r="B25" s="5">
        <f t="shared" si="7"/>
        <v>45323</v>
      </c>
      <c r="C25" s="1" t="s">
        <v>17</v>
      </c>
      <c r="D25" s="194"/>
      <c r="E25" s="1"/>
      <c r="F25" s="2"/>
      <c r="G25" s="3">
        <f t="shared" si="1"/>
        <v>0</v>
      </c>
      <c r="H25" s="4">
        <f t="shared" si="6"/>
        <v>0</v>
      </c>
      <c r="I25" s="7"/>
      <c r="J25" s="7">
        <v>1.6500000000000001E-2</v>
      </c>
      <c r="K25" s="7">
        <v>7.5999999999999998E-2</v>
      </c>
      <c r="L25" s="7">
        <v>0</v>
      </c>
      <c r="M25" s="11">
        <f t="shared" si="2"/>
        <v>0</v>
      </c>
      <c r="N25" s="11">
        <f t="shared" si="3"/>
        <v>0</v>
      </c>
      <c r="O25" s="11">
        <f t="shared" si="4"/>
        <v>0</v>
      </c>
      <c r="P25" s="11">
        <f t="shared" si="5"/>
        <v>0</v>
      </c>
    </row>
    <row r="26" spans="1:16" hidden="1">
      <c r="A26" s="44"/>
      <c r="B26" s="5">
        <f t="shared" si="7"/>
        <v>45323</v>
      </c>
      <c r="C26" s="1" t="s">
        <v>17</v>
      </c>
      <c r="D26" s="194"/>
      <c r="E26" s="1"/>
      <c r="F26" s="2"/>
      <c r="G26" s="3">
        <f t="shared" si="1"/>
        <v>0</v>
      </c>
      <c r="H26" s="4">
        <f t="shared" si="6"/>
        <v>0</v>
      </c>
      <c r="I26" s="7"/>
      <c r="J26" s="7">
        <v>1.6500000000000001E-2</v>
      </c>
      <c r="K26" s="7">
        <v>7.5999999999999998E-2</v>
      </c>
      <c r="L26" s="7">
        <v>0</v>
      </c>
      <c r="M26" s="11">
        <f t="shared" si="2"/>
        <v>0</v>
      </c>
      <c r="N26" s="11">
        <f t="shared" si="3"/>
        <v>0</v>
      </c>
      <c r="O26" s="11">
        <f t="shared" si="4"/>
        <v>0</v>
      </c>
      <c r="P26" s="11">
        <f t="shared" si="5"/>
        <v>0</v>
      </c>
    </row>
    <row r="27" spans="1:16" hidden="1">
      <c r="A27" s="44"/>
      <c r="B27" s="5">
        <f t="shared" si="7"/>
        <v>45323</v>
      </c>
      <c r="C27" s="1" t="s">
        <v>17</v>
      </c>
      <c r="D27" s="194"/>
      <c r="E27" s="1"/>
      <c r="F27" s="2"/>
      <c r="G27" s="3">
        <f t="shared" si="1"/>
        <v>0</v>
      </c>
      <c r="H27" s="4">
        <f t="shared" si="6"/>
        <v>0</v>
      </c>
      <c r="I27" s="7"/>
      <c r="J27" s="7">
        <v>1.6500000000000001E-2</v>
      </c>
      <c r="K27" s="7">
        <v>7.5999999999999998E-2</v>
      </c>
      <c r="L27" s="7">
        <v>0</v>
      </c>
      <c r="M27" s="11">
        <f t="shared" si="2"/>
        <v>0</v>
      </c>
      <c r="N27" s="11">
        <f t="shared" si="3"/>
        <v>0</v>
      </c>
      <c r="O27" s="11">
        <f t="shared" si="4"/>
        <v>0</v>
      </c>
      <c r="P27" s="11">
        <f t="shared" si="5"/>
        <v>0</v>
      </c>
    </row>
    <row r="28" spans="1:16" hidden="1">
      <c r="A28" s="44"/>
      <c r="B28" s="5">
        <f t="shared" si="7"/>
        <v>45323</v>
      </c>
      <c r="C28" s="1" t="s">
        <v>17</v>
      </c>
      <c r="D28" s="194"/>
      <c r="E28" s="1"/>
      <c r="F28" s="2"/>
      <c r="G28" s="3">
        <f t="shared" si="1"/>
        <v>0</v>
      </c>
      <c r="H28" s="4">
        <f t="shared" si="6"/>
        <v>0</v>
      </c>
      <c r="I28" s="7"/>
      <c r="J28" s="7">
        <v>1.6500000000000001E-2</v>
      </c>
      <c r="K28" s="7">
        <v>7.5999999999999998E-2</v>
      </c>
      <c r="L28" s="7">
        <v>0</v>
      </c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spans="1:16" hidden="1">
      <c r="A29" s="44"/>
      <c r="B29" s="5">
        <f t="shared" si="7"/>
        <v>45323</v>
      </c>
      <c r="C29" s="1" t="s">
        <v>17</v>
      </c>
      <c r="D29" s="194"/>
      <c r="E29" s="1"/>
      <c r="F29" s="2"/>
      <c r="G29" s="3">
        <f t="shared" si="1"/>
        <v>0</v>
      </c>
      <c r="H29" s="4">
        <f>+IF(G29=0,0,G29/E29)</f>
        <v>0</v>
      </c>
      <c r="I29" s="7"/>
      <c r="J29" s="7">
        <v>1.6500000000000001E-2</v>
      </c>
      <c r="K29" s="7">
        <v>7.5999999999999998E-2</v>
      </c>
      <c r="L29" s="7">
        <v>0</v>
      </c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spans="1:16" hidden="1">
      <c r="A30" s="44"/>
      <c r="B30" s="5">
        <f t="shared" si="7"/>
        <v>45323</v>
      </c>
      <c r="C30" s="1" t="s">
        <v>17</v>
      </c>
      <c r="D30" s="194"/>
      <c r="E30" s="1"/>
      <c r="F30" s="2"/>
      <c r="G30" s="3">
        <f t="shared" si="1"/>
        <v>0</v>
      </c>
      <c r="H30" s="4">
        <f>+IF(G30=0,0,G30/E30)</f>
        <v>0</v>
      </c>
      <c r="I30" s="7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45323</v>
      </c>
      <c r="C31" s="1" t="s">
        <v>17</v>
      </c>
      <c r="D31" s="194"/>
      <c r="E31" s="1"/>
      <c r="F31" s="2"/>
      <c r="G31" s="3">
        <f t="shared" si="1"/>
        <v>0</v>
      </c>
      <c r="H31" s="4">
        <f t="shared" si="6"/>
        <v>0</v>
      </c>
      <c r="I31" s="7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45323</v>
      </c>
      <c r="C32" s="1" t="s">
        <v>17</v>
      </c>
      <c r="D32" s="194"/>
      <c r="E32" s="1"/>
      <c r="F32" s="2"/>
      <c r="G32" s="3">
        <f t="shared" si="1"/>
        <v>0</v>
      </c>
      <c r="H32" s="4">
        <f t="shared" si="6"/>
        <v>0</v>
      </c>
      <c r="I32" s="7"/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>
      <c r="A33" s="44"/>
      <c r="B33" s="5">
        <f t="shared" si="7"/>
        <v>45323</v>
      </c>
      <c r="C33" s="1" t="s">
        <v>440</v>
      </c>
      <c r="D33" s="194">
        <v>195</v>
      </c>
      <c r="E33" s="1">
        <f>290000+870000</f>
        <v>1160000</v>
      </c>
      <c r="F33" s="2">
        <v>2334065</v>
      </c>
      <c r="G33" s="3">
        <f t="shared" si="1"/>
        <v>1969892.508375</v>
      </c>
      <c r="H33" s="4">
        <f t="shared" ref="H33:H36" si="8">+IF(G33=0,0,G33/E33)</f>
        <v>1.6981831968750001</v>
      </c>
      <c r="I33" s="7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163384.55000000002</v>
      </c>
      <c r="N33" s="11">
        <f t="shared" si="3"/>
        <v>35816.227425000005</v>
      </c>
      <c r="O33" s="11">
        <f t="shared" si="4"/>
        <v>164971.71420000002</v>
      </c>
      <c r="P33" s="11">
        <f t="shared" si="5"/>
        <v>0</v>
      </c>
    </row>
    <row r="34" spans="1:16">
      <c r="A34" s="44"/>
      <c r="B34" s="5">
        <f t="shared" si="7"/>
        <v>45323</v>
      </c>
      <c r="C34" s="1" t="s">
        <v>491</v>
      </c>
      <c r="D34" s="194">
        <v>1034</v>
      </c>
      <c r="E34" s="1">
        <v>3480000</v>
      </c>
      <c r="F34" s="1">
        <v>8863908</v>
      </c>
      <c r="G34" s="3">
        <f t="shared" si="1"/>
        <v>7078716.9287999999</v>
      </c>
      <c r="H34" s="4">
        <f t="shared" si="8"/>
        <v>2.0341140599999998</v>
      </c>
      <c r="I34" s="7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1063668.96</v>
      </c>
      <c r="N34" s="11">
        <f t="shared" si="3"/>
        <v>128703.94416000001</v>
      </c>
      <c r="O34" s="11">
        <f t="shared" si="4"/>
        <v>592818.16703999997</v>
      </c>
      <c r="P34" s="11">
        <f t="shared" si="5"/>
        <v>0</v>
      </c>
    </row>
    <row r="35" spans="1:16">
      <c r="A35" s="44"/>
      <c r="B35" s="5">
        <f t="shared" ref="B35:B36" si="9">B32</f>
        <v>45323</v>
      </c>
      <c r="C35" s="1" t="s">
        <v>37</v>
      </c>
      <c r="D35" s="195" t="s">
        <v>559</v>
      </c>
      <c r="E35" s="118">
        <v>25298.16</v>
      </c>
      <c r="F35" s="2">
        <v>193794.02</v>
      </c>
      <c r="G35" s="3">
        <f t="shared" ref="G35:G36" si="10">F35-SUM(M35:P35)</f>
        <v>163557.30802949998</v>
      </c>
      <c r="H35" s="4">
        <f t="shared" si="8"/>
        <v>6.4651859277315022</v>
      </c>
      <c r="I35" s="7">
        <v>7.0000000000000007E-2</v>
      </c>
      <c r="J35" s="7">
        <v>1.6500000000000001E-2</v>
      </c>
      <c r="K35" s="7">
        <v>7.5999999999999998E-2</v>
      </c>
      <c r="L35" s="7">
        <v>0</v>
      </c>
      <c r="M35" s="11">
        <f t="shared" ref="M35:M36" si="11">+I35*F35</f>
        <v>13565.581400000001</v>
      </c>
      <c r="N35" s="11">
        <f t="shared" ref="N35:N36" si="12">J35*(F35-M35)</f>
        <v>2973.7692369000001</v>
      </c>
      <c r="O35" s="11">
        <f t="shared" ref="O35:O36" si="13">K35*(F35-M35)</f>
        <v>13697.3613336</v>
      </c>
      <c r="P35" s="11">
        <f t="shared" ref="P35:P36" si="14">L35*(F35)</f>
        <v>0</v>
      </c>
    </row>
    <row r="36" spans="1:16">
      <c r="A36" s="44"/>
      <c r="B36" s="5">
        <f t="shared" si="9"/>
        <v>45323</v>
      </c>
      <c r="C36" s="1" t="s">
        <v>37</v>
      </c>
      <c r="D36" s="195" t="s">
        <v>560</v>
      </c>
      <c r="E36" s="118">
        <v>24918.63</v>
      </c>
      <c r="F36" s="2">
        <v>190886.67</v>
      </c>
      <c r="G36" s="3">
        <f t="shared" si="10"/>
        <v>161103.57731325002</v>
      </c>
      <c r="H36" s="4">
        <f t="shared" si="8"/>
        <v>6.4651859798572398</v>
      </c>
      <c r="I36" s="7">
        <v>7.0000000000000007E-2</v>
      </c>
      <c r="J36" s="7">
        <v>1.6500000000000001E-2</v>
      </c>
      <c r="K36" s="7">
        <v>7.5999999999999998E-2</v>
      </c>
      <c r="L36" s="7">
        <v>0</v>
      </c>
      <c r="M36" s="11">
        <f t="shared" si="11"/>
        <v>13362.066900000002</v>
      </c>
      <c r="N36" s="11">
        <f t="shared" si="12"/>
        <v>2929.1559511500004</v>
      </c>
      <c r="O36" s="11">
        <f t="shared" si="13"/>
        <v>13491.8698356</v>
      </c>
      <c r="P36" s="11">
        <f t="shared" si="14"/>
        <v>0</v>
      </c>
    </row>
    <row r="37" spans="1:16">
      <c r="A37" s="44"/>
      <c r="B37" s="5">
        <f>B34</f>
        <v>45323</v>
      </c>
      <c r="C37" s="1" t="s">
        <v>37</v>
      </c>
      <c r="D37" s="195" t="s">
        <v>545</v>
      </c>
      <c r="E37" s="118">
        <v>25015.46</v>
      </c>
      <c r="F37" s="2">
        <v>126943.45</v>
      </c>
      <c r="G37" s="3">
        <f t="shared" si="1"/>
        <v>107137.09821375</v>
      </c>
      <c r="H37" s="4">
        <f>+IF(G37=0,0,G37/E37)</f>
        <v>4.2828354231243395</v>
      </c>
      <c r="I37" s="7">
        <v>7.0000000000000007E-2</v>
      </c>
      <c r="J37" s="7">
        <v>1.6500000000000001E-2</v>
      </c>
      <c r="K37" s="7">
        <v>7.5999999999999998E-2</v>
      </c>
      <c r="L37" s="7">
        <v>0</v>
      </c>
      <c r="M37" s="11">
        <f t="shared" si="2"/>
        <v>8886.0415000000012</v>
      </c>
      <c r="N37" s="11">
        <f t="shared" si="3"/>
        <v>1947.9472402499998</v>
      </c>
      <c r="O37" s="11">
        <f t="shared" si="4"/>
        <v>8972.3630459999986</v>
      </c>
      <c r="P37" s="11">
        <f t="shared" si="5"/>
        <v>0</v>
      </c>
    </row>
    <row r="38" spans="1:16">
      <c r="A38" s="44"/>
      <c r="B38" s="5">
        <f t="shared" si="7"/>
        <v>45323</v>
      </c>
      <c r="C38" s="1" t="s">
        <v>37</v>
      </c>
      <c r="D38" s="195" t="s">
        <v>546</v>
      </c>
      <c r="E38" s="118">
        <v>25068.080000000002</v>
      </c>
      <c r="F38" s="2">
        <v>127210.48</v>
      </c>
      <c r="G38" s="3">
        <f t="shared" ref="G38:G47" si="15">F38-SUM(M38:P38)</f>
        <v>107362.46485799999</v>
      </c>
      <c r="H38" s="4">
        <f t="shared" ref="H38:H47" si="16">+IF(G38=0,0,G38/E38)</f>
        <v>4.2828355764781341</v>
      </c>
      <c r="I38" s="7">
        <v>7.0000000000000007E-2</v>
      </c>
      <c r="J38" s="7">
        <v>1.6500000000000001E-2</v>
      </c>
      <c r="K38" s="7">
        <v>7.5999999999999998E-2</v>
      </c>
      <c r="L38" s="7">
        <v>0</v>
      </c>
      <c r="M38" s="11">
        <f t="shared" ref="M38:M47" si="17">+I38*F38</f>
        <v>8904.7336000000014</v>
      </c>
      <c r="N38" s="11">
        <f t="shared" ref="N38:N47" si="18">J38*(F38-M38)</f>
        <v>1952.0448156</v>
      </c>
      <c r="O38" s="11">
        <f t="shared" ref="O38:O47" si="19">K38*(F38-M38)</f>
        <v>8991.2367263999986</v>
      </c>
      <c r="P38" s="11">
        <f t="shared" ref="P38:P47" si="20">L38*(F38)</f>
        <v>0</v>
      </c>
    </row>
    <row r="39" spans="1:16">
      <c r="A39" s="44"/>
      <c r="B39" s="5">
        <f t="shared" si="7"/>
        <v>45323</v>
      </c>
      <c r="C39" s="1" t="s">
        <v>37</v>
      </c>
      <c r="D39" s="195" t="s">
        <v>547</v>
      </c>
      <c r="E39" s="118">
        <v>24629.77</v>
      </c>
      <c r="F39" s="2">
        <v>124986.23</v>
      </c>
      <c r="G39" s="3">
        <f t="shared" si="15"/>
        <v>105485.25346425</v>
      </c>
      <c r="H39" s="4">
        <f t="shared" si="16"/>
        <v>4.2828355061476415</v>
      </c>
      <c r="I39" s="7">
        <v>7.0000000000000007E-2</v>
      </c>
      <c r="J39" s="7">
        <v>1.6500000000000001E-2</v>
      </c>
      <c r="K39" s="7">
        <v>7.5999999999999998E-2</v>
      </c>
      <c r="L39" s="7">
        <v>0</v>
      </c>
      <c r="M39" s="11">
        <f t="shared" si="17"/>
        <v>8749.0361000000012</v>
      </c>
      <c r="N39" s="11">
        <f t="shared" si="18"/>
        <v>1917.9136993500001</v>
      </c>
      <c r="O39" s="11">
        <f t="shared" si="19"/>
        <v>8834.0267363999992</v>
      </c>
      <c r="P39" s="11">
        <f t="shared" si="20"/>
        <v>0</v>
      </c>
    </row>
    <row r="40" spans="1:16">
      <c r="A40" s="44"/>
      <c r="B40" s="5">
        <f t="shared" si="7"/>
        <v>45323</v>
      </c>
      <c r="C40" s="1" t="s">
        <v>37</v>
      </c>
      <c r="D40" s="195" t="s">
        <v>548</v>
      </c>
      <c r="E40" s="118">
        <v>25105.67</v>
      </c>
      <c r="F40" s="2">
        <v>127401.23</v>
      </c>
      <c r="G40" s="3">
        <f t="shared" si="15"/>
        <v>107523.45308924999</v>
      </c>
      <c r="H40" s="4">
        <f t="shared" si="16"/>
        <v>4.2828354347543804</v>
      </c>
      <c r="I40" s="7">
        <v>7.0000000000000007E-2</v>
      </c>
      <c r="J40" s="7">
        <v>1.6500000000000001E-2</v>
      </c>
      <c r="K40" s="7">
        <v>7.5999999999999998E-2</v>
      </c>
      <c r="L40" s="7">
        <v>0</v>
      </c>
      <c r="M40" s="11">
        <f t="shared" si="17"/>
        <v>8918.0861000000004</v>
      </c>
      <c r="N40" s="11">
        <f t="shared" si="18"/>
        <v>1954.97187435</v>
      </c>
      <c r="O40" s="11">
        <f t="shared" si="19"/>
        <v>9004.7189363999987</v>
      </c>
      <c r="P40" s="11">
        <f t="shared" si="20"/>
        <v>0</v>
      </c>
    </row>
    <row r="41" spans="1:16">
      <c r="A41" s="44"/>
      <c r="B41" s="5">
        <f t="shared" si="7"/>
        <v>45323</v>
      </c>
      <c r="C41" s="1" t="s">
        <v>37</v>
      </c>
      <c r="D41" s="195" t="s">
        <v>549</v>
      </c>
      <c r="E41" s="118">
        <v>24318.85</v>
      </c>
      <c r="F41" s="2">
        <v>123408.44</v>
      </c>
      <c r="G41" s="3">
        <f t="shared" si="15"/>
        <v>104153.63814900001</v>
      </c>
      <c r="H41" s="4">
        <f t="shared" si="16"/>
        <v>4.2828356665302847</v>
      </c>
      <c r="I41" s="7">
        <v>7.0000000000000007E-2</v>
      </c>
      <c r="J41" s="7">
        <v>1.6500000000000001E-2</v>
      </c>
      <c r="K41" s="7">
        <v>7.5999999999999998E-2</v>
      </c>
      <c r="L41" s="7">
        <v>0</v>
      </c>
      <c r="M41" s="11">
        <f t="shared" si="17"/>
        <v>8638.5908000000018</v>
      </c>
      <c r="N41" s="11">
        <f t="shared" si="18"/>
        <v>1893.7025118000001</v>
      </c>
      <c r="O41" s="11">
        <f t="shared" si="19"/>
        <v>8722.5085392000001</v>
      </c>
      <c r="P41" s="11">
        <f t="shared" si="20"/>
        <v>0</v>
      </c>
    </row>
    <row r="42" spans="1:16">
      <c r="A42" s="44"/>
      <c r="B42" s="5">
        <f t="shared" si="7"/>
        <v>45323</v>
      </c>
      <c r="C42" s="1" t="s">
        <v>37</v>
      </c>
      <c r="D42" s="195" t="s">
        <v>550</v>
      </c>
      <c r="E42" s="118">
        <v>23533.03</v>
      </c>
      <c r="F42" s="2">
        <v>119420.71</v>
      </c>
      <c r="G42" s="3">
        <f t="shared" si="15"/>
        <v>100788.09372225001</v>
      </c>
      <c r="H42" s="4">
        <f t="shared" si="16"/>
        <v>4.2828353901835001</v>
      </c>
      <c r="I42" s="7">
        <v>7.0000000000000007E-2</v>
      </c>
      <c r="J42" s="7">
        <v>1.6500000000000001E-2</v>
      </c>
      <c r="K42" s="7">
        <v>7.5999999999999998E-2</v>
      </c>
      <c r="L42" s="7">
        <v>0</v>
      </c>
      <c r="M42" s="11">
        <f t="shared" si="17"/>
        <v>8359.449700000001</v>
      </c>
      <c r="N42" s="11">
        <f t="shared" si="18"/>
        <v>1832.5107949500002</v>
      </c>
      <c r="O42" s="11">
        <f t="shared" si="19"/>
        <v>8440.6557828000005</v>
      </c>
      <c r="P42" s="11">
        <f t="shared" si="20"/>
        <v>0</v>
      </c>
    </row>
    <row r="43" spans="1:16">
      <c r="A43" s="44"/>
      <c r="B43" s="5">
        <f t="shared" si="7"/>
        <v>45323</v>
      </c>
      <c r="C43" s="1" t="s">
        <v>37</v>
      </c>
      <c r="D43" s="195" t="s">
        <v>551</v>
      </c>
      <c r="E43" s="118">
        <v>25115.78</v>
      </c>
      <c r="F43" s="2">
        <v>127452.54</v>
      </c>
      <c r="G43" s="3">
        <f t="shared" si="15"/>
        <v>107566.75744649999</v>
      </c>
      <c r="H43" s="4">
        <f t="shared" si="16"/>
        <v>4.282835629492693</v>
      </c>
      <c r="I43" s="7">
        <v>7.0000000000000007E-2</v>
      </c>
      <c r="J43" s="7">
        <v>1.6500000000000001E-2</v>
      </c>
      <c r="K43" s="7">
        <v>7.5999999999999998E-2</v>
      </c>
      <c r="L43" s="7">
        <v>0</v>
      </c>
      <c r="M43" s="11">
        <f t="shared" si="17"/>
        <v>8921.6778000000013</v>
      </c>
      <c r="N43" s="11">
        <f t="shared" si="18"/>
        <v>1955.7592262999999</v>
      </c>
      <c r="O43" s="11">
        <f t="shared" si="19"/>
        <v>9008.3455271999992</v>
      </c>
      <c r="P43" s="11">
        <f t="shared" si="20"/>
        <v>0</v>
      </c>
    </row>
    <row r="44" spans="1:16">
      <c r="A44" s="44"/>
      <c r="B44" s="5">
        <f t="shared" si="7"/>
        <v>45323</v>
      </c>
      <c r="C44" s="1" t="s">
        <v>37</v>
      </c>
      <c r="D44" s="195" t="s">
        <v>552</v>
      </c>
      <c r="E44" s="118">
        <v>23780.639999999999</v>
      </c>
      <c r="F44" s="2">
        <v>120677.24</v>
      </c>
      <c r="G44" s="3">
        <f t="shared" si="15"/>
        <v>101848.57362900001</v>
      </c>
      <c r="H44" s="4">
        <f t="shared" si="16"/>
        <v>4.2828356860454555</v>
      </c>
      <c r="I44" s="7">
        <v>7.0000000000000007E-2</v>
      </c>
      <c r="J44" s="7">
        <v>1.6500000000000001E-2</v>
      </c>
      <c r="K44" s="7">
        <v>7.5999999999999998E-2</v>
      </c>
      <c r="L44" s="7">
        <v>0</v>
      </c>
      <c r="M44" s="11">
        <f t="shared" si="17"/>
        <v>8447.4068000000007</v>
      </c>
      <c r="N44" s="11">
        <f t="shared" si="18"/>
        <v>1851.7922478000003</v>
      </c>
      <c r="O44" s="11">
        <f t="shared" si="19"/>
        <v>8529.4673232000005</v>
      </c>
      <c r="P44" s="11">
        <f t="shared" si="20"/>
        <v>0</v>
      </c>
    </row>
    <row r="45" spans="1:16">
      <c r="A45" s="44"/>
      <c r="B45" s="5">
        <f t="shared" si="7"/>
        <v>45323</v>
      </c>
      <c r="C45" s="1" t="s">
        <v>37</v>
      </c>
      <c r="D45" s="195" t="s">
        <v>553</v>
      </c>
      <c r="E45" s="118">
        <v>24456.29</v>
      </c>
      <c r="F45" s="2">
        <v>124105.89</v>
      </c>
      <c r="G45" s="3">
        <f t="shared" si="15"/>
        <v>104742.26851275</v>
      </c>
      <c r="H45" s="4">
        <f t="shared" si="16"/>
        <v>4.2828355614342977</v>
      </c>
      <c r="I45" s="7">
        <v>7.0000000000000007E-2</v>
      </c>
      <c r="J45" s="7">
        <v>1.6500000000000001E-2</v>
      </c>
      <c r="K45" s="7">
        <v>7.5999999999999998E-2</v>
      </c>
      <c r="L45" s="7">
        <v>0</v>
      </c>
      <c r="M45" s="11">
        <f t="shared" si="17"/>
        <v>8687.4123</v>
      </c>
      <c r="N45" s="11">
        <f t="shared" si="18"/>
        <v>1904.4048820500002</v>
      </c>
      <c r="O45" s="11">
        <f t="shared" si="19"/>
        <v>8771.8043051999994</v>
      </c>
      <c r="P45" s="11">
        <f t="shared" si="20"/>
        <v>0</v>
      </c>
    </row>
    <row r="46" spans="1:16">
      <c r="A46" s="44"/>
      <c r="B46" s="5">
        <f t="shared" si="7"/>
        <v>45323</v>
      </c>
      <c r="C46" s="1" t="s">
        <v>37</v>
      </c>
      <c r="D46" s="195" t="s">
        <v>554</v>
      </c>
      <c r="E46" s="118">
        <v>24907.439999999999</v>
      </c>
      <c r="F46" s="2">
        <v>126395.3</v>
      </c>
      <c r="G46" s="3">
        <f t="shared" si="15"/>
        <v>106674.4733175</v>
      </c>
      <c r="H46" s="4">
        <f t="shared" si="16"/>
        <v>4.2828357036090425</v>
      </c>
      <c r="I46" s="7">
        <v>7.0000000000000007E-2</v>
      </c>
      <c r="J46" s="7">
        <v>1.6500000000000001E-2</v>
      </c>
      <c r="K46" s="7">
        <v>7.5999999999999998E-2</v>
      </c>
      <c r="L46" s="7">
        <v>0</v>
      </c>
      <c r="M46" s="11">
        <f t="shared" si="17"/>
        <v>8847.6710000000003</v>
      </c>
      <c r="N46" s="11">
        <f t="shared" si="18"/>
        <v>1939.5358785000001</v>
      </c>
      <c r="O46" s="11">
        <f t="shared" si="19"/>
        <v>8933.6198039999999</v>
      </c>
      <c r="P46" s="11">
        <f t="shared" si="20"/>
        <v>0</v>
      </c>
    </row>
    <row r="47" spans="1:16">
      <c r="A47" s="44"/>
      <c r="B47" s="5">
        <f t="shared" si="7"/>
        <v>45323</v>
      </c>
      <c r="C47" s="1" t="s">
        <v>37</v>
      </c>
      <c r="D47" s="195" t="s">
        <v>555</v>
      </c>
      <c r="E47" s="118">
        <v>741865</v>
      </c>
      <c r="F47" s="2">
        <v>6775082.1100000003</v>
      </c>
      <c r="G47" s="3">
        <f t="shared" si="15"/>
        <v>4887967.6767858751</v>
      </c>
      <c r="H47" s="4">
        <f t="shared" si="16"/>
        <v>6.5887562788187539</v>
      </c>
      <c r="I47" s="7">
        <v>0.20499999999999999</v>
      </c>
      <c r="J47" s="7">
        <v>1.6500000000000001E-2</v>
      </c>
      <c r="K47" s="7">
        <v>7.5999999999999998E-2</v>
      </c>
      <c r="L47" s="7">
        <v>0</v>
      </c>
      <c r="M47" s="11">
        <f t="shared" si="17"/>
        <v>1388891.8325499999</v>
      </c>
      <c r="N47" s="11">
        <f t="shared" si="18"/>
        <v>88872.139577925016</v>
      </c>
      <c r="O47" s="11">
        <f t="shared" si="19"/>
        <v>409350.46108620008</v>
      </c>
      <c r="P47" s="11">
        <f t="shared" si="20"/>
        <v>0</v>
      </c>
    </row>
    <row r="48" spans="1:16">
      <c r="A48" s="44"/>
      <c r="B48" s="5">
        <f>B37</f>
        <v>45323</v>
      </c>
      <c r="C48" s="1" t="s">
        <v>36</v>
      </c>
      <c r="D48" s="195" t="s">
        <v>543</v>
      </c>
      <c r="E48" s="185">
        <v>104557</v>
      </c>
      <c r="F48" s="2">
        <v>954866.8</v>
      </c>
      <c r="G48" s="3">
        <f t="shared" si="1"/>
        <v>688900.58869500004</v>
      </c>
      <c r="H48" s="4">
        <f>+IF(G48=0,0,G48/E48)</f>
        <v>6.5887562639995414</v>
      </c>
      <c r="I48" s="7">
        <v>0.20499999999999999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195747.69399999999</v>
      </c>
      <c r="N48" s="11">
        <f t="shared" si="3"/>
        <v>12525.465249000001</v>
      </c>
      <c r="O48" s="11">
        <f t="shared" si="4"/>
        <v>57693.052056</v>
      </c>
      <c r="P48" s="11">
        <f t="shared" si="5"/>
        <v>0</v>
      </c>
    </row>
    <row r="49" spans="1:17">
      <c r="A49" s="44"/>
      <c r="B49" s="5">
        <f>B48</f>
        <v>45323</v>
      </c>
      <c r="C49" s="1" t="s">
        <v>534</v>
      </c>
      <c r="D49" s="195">
        <v>165</v>
      </c>
      <c r="E49" s="186"/>
      <c r="F49" s="2">
        <v>970981.12</v>
      </c>
      <c r="G49" s="3">
        <f>F49-SUM(M49:P49)</f>
        <v>925830.49791999999</v>
      </c>
      <c r="H49" s="187"/>
      <c r="I49" s="193">
        <v>0</v>
      </c>
      <c r="J49" s="7">
        <v>6.4999999999999997E-3</v>
      </c>
      <c r="K49" s="7">
        <v>0.03</v>
      </c>
      <c r="L49" s="7">
        <v>0.01</v>
      </c>
      <c r="M49" s="11">
        <f t="shared" si="2"/>
        <v>0</v>
      </c>
      <c r="N49" s="11">
        <f t="shared" si="3"/>
        <v>6311.3772799999997</v>
      </c>
      <c r="O49" s="11">
        <f t="shared" si="4"/>
        <v>29129.4336</v>
      </c>
      <c r="P49" s="11">
        <f>L49*(F49)</f>
        <v>9709.8112000000001</v>
      </c>
      <c r="Q49" t="s">
        <v>557</v>
      </c>
    </row>
    <row r="50" spans="1:17" ht="15" customHeight="1">
      <c r="A50" s="44"/>
      <c r="B50" s="5">
        <f>B48</f>
        <v>45323</v>
      </c>
      <c r="C50" s="1" t="s">
        <v>533</v>
      </c>
      <c r="D50" s="195">
        <v>13864</v>
      </c>
      <c r="E50" s="186"/>
      <c r="F50" s="2">
        <v>4052.23</v>
      </c>
      <c r="G50" s="3">
        <f t="shared" ref="G50:G75" si="21">F50-SUM(M50:P50)</f>
        <v>3419.9808142500001</v>
      </c>
      <c r="H50" s="187"/>
      <c r="I50" s="7">
        <v>7.0000000000000007E-2</v>
      </c>
      <c r="J50" s="7">
        <v>1.6500000000000001E-2</v>
      </c>
      <c r="K50" s="7">
        <v>7.5999999999999998E-2</v>
      </c>
      <c r="L50" s="7">
        <v>0</v>
      </c>
      <c r="M50" s="11">
        <f t="shared" si="2"/>
        <v>283.65610000000004</v>
      </c>
      <c r="N50" s="11">
        <f t="shared" si="3"/>
        <v>62.18146935</v>
      </c>
      <c r="O50" s="11">
        <f t="shared" si="4"/>
        <v>286.41161639999996</v>
      </c>
      <c r="P50" s="11">
        <f t="shared" ref="P50:P75" si="22">L50*(F50)</f>
        <v>0</v>
      </c>
    </row>
    <row r="51" spans="1:17" ht="15" customHeight="1">
      <c r="A51" s="44"/>
      <c r="B51" s="5">
        <f t="shared" si="7"/>
        <v>45323</v>
      </c>
      <c r="C51" s="1" t="s">
        <v>533</v>
      </c>
      <c r="D51" s="195">
        <v>13863</v>
      </c>
      <c r="E51" s="186"/>
      <c r="F51" s="2">
        <v>2776.5</v>
      </c>
      <c r="G51" s="3">
        <f t="shared" si="21"/>
        <v>2343.2965875</v>
      </c>
      <c r="H51" s="187"/>
      <c r="I51" s="7">
        <v>7.0000000000000007E-2</v>
      </c>
      <c r="J51" s="7">
        <v>1.6500000000000001E-2</v>
      </c>
      <c r="K51" s="7">
        <v>7.5999999999999998E-2</v>
      </c>
      <c r="L51" s="7">
        <v>0</v>
      </c>
      <c r="M51" s="11">
        <f t="shared" si="2"/>
        <v>194.35500000000002</v>
      </c>
      <c r="N51" s="11">
        <f t="shared" si="3"/>
        <v>42.605392500000001</v>
      </c>
      <c r="O51" s="11">
        <f t="shared" si="4"/>
        <v>196.24302</v>
      </c>
      <c r="P51" s="11">
        <f t="shared" si="22"/>
        <v>0</v>
      </c>
    </row>
    <row r="52" spans="1:17" ht="15" customHeight="1">
      <c r="A52" s="44"/>
      <c r="B52" s="5">
        <f t="shared" si="7"/>
        <v>45323</v>
      </c>
      <c r="C52" s="1" t="s">
        <v>533</v>
      </c>
      <c r="D52" s="195">
        <v>13906</v>
      </c>
      <c r="E52" s="186"/>
      <c r="F52" s="2">
        <v>4618.6400000000003</v>
      </c>
      <c r="G52" s="3">
        <f t="shared" si="21"/>
        <v>3898.0166940000004</v>
      </c>
      <c r="H52" s="187"/>
      <c r="I52" s="7">
        <v>7.0000000000000007E-2</v>
      </c>
      <c r="J52" s="7">
        <v>1.6500000000000001E-2</v>
      </c>
      <c r="K52" s="7">
        <v>7.5999999999999998E-2</v>
      </c>
      <c r="L52" s="7">
        <v>0</v>
      </c>
      <c r="M52" s="11">
        <f t="shared" si="2"/>
        <v>323.30480000000006</v>
      </c>
      <c r="N52" s="11">
        <f t="shared" si="3"/>
        <v>70.873030800000009</v>
      </c>
      <c r="O52" s="11">
        <f t="shared" si="4"/>
        <v>326.44547520000003</v>
      </c>
      <c r="P52" s="11">
        <f t="shared" si="22"/>
        <v>0</v>
      </c>
    </row>
    <row r="53" spans="1:17" ht="15" customHeight="1">
      <c r="A53" s="44"/>
      <c r="B53" s="5">
        <f t="shared" si="7"/>
        <v>45323</v>
      </c>
      <c r="C53" s="1" t="s">
        <v>533</v>
      </c>
      <c r="D53" s="195">
        <v>13907</v>
      </c>
      <c r="E53" s="186"/>
      <c r="F53" s="2">
        <v>8965.58</v>
      </c>
      <c r="G53" s="3">
        <f t="shared" si="21"/>
        <v>7566.7253805</v>
      </c>
      <c r="H53" s="187"/>
      <c r="I53" s="7">
        <v>7.0000000000000007E-2</v>
      </c>
      <c r="J53" s="7">
        <v>1.6500000000000001E-2</v>
      </c>
      <c r="K53" s="7">
        <v>7.5999999999999998E-2</v>
      </c>
      <c r="L53" s="7">
        <v>0</v>
      </c>
      <c r="M53" s="11">
        <f t="shared" si="2"/>
        <v>627.59060000000011</v>
      </c>
      <c r="N53" s="11">
        <f t="shared" si="3"/>
        <v>137.57682510000001</v>
      </c>
      <c r="O53" s="11">
        <f t="shared" si="4"/>
        <v>633.68719440000007</v>
      </c>
      <c r="P53" s="11">
        <f t="shared" si="22"/>
        <v>0</v>
      </c>
    </row>
    <row r="54" spans="1:17" ht="15" customHeight="1">
      <c r="A54" s="44"/>
      <c r="B54" s="5">
        <f t="shared" si="7"/>
        <v>45323</v>
      </c>
      <c r="C54" s="1" t="s">
        <v>533</v>
      </c>
      <c r="D54" s="195">
        <v>3781</v>
      </c>
      <c r="E54" s="186"/>
      <c r="F54" s="2">
        <v>255999.54</v>
      </c>
      <c r="G54" s="3">
        <f t="shared" si="21"/>
        <v>204441.232644</v>
      </c>
      <c r="H54" s="187"/>
      <c r="I54" s="7">
        <v>0.12</v>
      </c>
      <c r="J54" s="7">
        <v>1.6500000000000001E-2</v>
      </c>
      <c r="K54" s="7">
        <v>7.5999999999999998E-2</v>
      </c>
      <c r="L54" s="7">
        <v>0</v>
      </c>
      <c r="M54" s="11">
        <f t="shared" si="2"/>
        <v>30719.944800000001</v>
      </c>
      <c r="N54" s="11">
        <f t="shared" si="3"/>
        <v>3717.1133208000006</v>
      </c>
      <c r="O54" s="11">
        <f t="shared" si="4"/>
        <v>17121.249235200001</v>
      </c>
      <c r="P54" s="11">
        <f t="shared" si="22"/>
        <v>0</v>
      </c>
    </row>
    <row r="55" spans="1:17" ht="15" customHeight="1">
      <c r="A55" s="44"/>
      <c r="B55" s="5">
        <f t="shared" si="7"/>
        <v>45323</v>
      </c>
      <c r="C55" s="1" t="s">
        <v>533</v>
      </c>
      <c r="D55" s="195">
        <v>13865</v>
      </c>
      <c r="E55" s="186"/>
      <c r="F55" s="2">
        <v>11599.54</v>
      </c>
      <c r="G55" s="3">
        <f t="shared" si="21"/>
        <v>9789.7217715000006</v>
      </c>
      <c r="H55" s="187"/>
      <c r="I55" s="7">
        <v>7.0000000000000007E-2</v>
      </c>
      <c r="J55" s="7">
        <v>1.6500000000000001E-2</v>
      </c>
      <c r="K55" s="7">
        <v>7.5999999999999998E-2</v>
      </c>
      <c r="L55" s="7">
        <v>0</v>
      </c>
      <c r="M55" s="11">
        <f t="shared" ref="M55:M75" si="23">+I55*F55</f>
        <v>811.96780000000012</v>
      </c>
      <c r="N55" s="11">
        <f t="shared" ref="N55:N75" si="24">J55*(F55-M55)</f>
        <v>177.99494130000002</v>
      </c>
      <c r="O55" s="11">
        <f t="shared" ref="O55:O75" si="25">K55*(F55-M55)</f>
        <v>819.85548719999997</v>
      </c>
      <c r="P55" s="11">
        <f t="shared" si="22"/>
        <v>0</v>
      </c>
    </row>
    <row r="56" spans="1:17" ht="15" customHeight="1">
      <c r="A56" s="44"/>
      <c r="B56" s="5">
        <f t="shared" si="7"/>
        <v>45323</v>
      </c>
      <c r="C56" s="1" t="s">
        <v>533</v>
      </c>
      <c r="D56" s="195">
        <v>13875</v>
      </c>
      <c r="E56" s="186"/>
      <c r="F56" s="2">
        <v>16409.14</v>
      </c>
      <c r="G56" s="3">
        <f t="shared" si="21"/>
        <v>13848.903931499999</v>
      </c>
      <c r="H56" s="187"/>
      <c r="I56" s="7">
        <v>7.0000000000000007E-2</v>
      </c>
      <c r="J56" s="7">
        <v>1.6500000000000001E-2</v>
      </c>
      <c r="K56" s="7">
        <v>7.5999999999999998E-2</v>
      </c>
      <c r="L56" s="7">
        <v>0</v>
      </c>
      <c r="M56" s="11">
        <f t="shared" si="23"/>
        <v>1148.6398000000002</v>
      </c>
      <c r="N56" s="11">
        <f t="shared" si="24"/>
        <v>251.7982533</v>
      </c>
      <c r="O56" s="11">
        <f t="shared" si="25"/>
        <v>1159.7980151999998</v>
      </c>
      <c r="P56" s="11">
        <f t="shared" si="22"/>
        <v>0</v>
      </c>
    </row>
    <row r="57" spans="1:17" ht="15" customHeight="1">
      <c r="A57" s="44"/>
      <c r="B57" s="5">
        <f t="shared" si="7"/>
        <v>45323</v>
      </c>
      <c r="C57" s="1" t="s">
        <v>533</v>
      </c>
      <c r="D57" s="195">
        <v>13876</v>
      </c>
      <c r="E57" s="186"/>
      <c r="F57" s="2">
        <v>7800.55</v>
      </c>
      <c r="G57" s="3">
        <f t="shared" si="21"/>
        <v>6583.4691862500003</v>
      </c>
      <c r="H57" s="187"/>
      <c r="I57" s="7">
        <v>7.0000000000000007E-2</v>
      </c>
      <c r="J57" s="7">
        <v>1.6500000000000001E-2</v>
      </c>
      <c r="K57" s="7">
        <v>7.5999999999999998E-2</v>
      </c>
      <c r="L57" s="7">
        <v>0</v>
      </c>
      <c r="M57" s="11">
        <f t="shared" si="23"/>
        <v>546.03850000000011</v>
      </c>
      <c r="N57" s="11">
        <f t="shared" si="24"/>
        <v>119.69943975000001</v>
      </c>
      <c r="O57" s="11">
        <f t="shared" si="25"/>
        <v>551.34287400000005</v>
      </c>
      <c r="P57" s="11">
        <f t="shared" si="22"/>
        <v>0</v>
      </c>
    </row>
    <row r="58" spans="1:17" ht="15" customHeight="1">
      <c r="A58" s="44"/>
      <c r="B58" s="5">
        <f t="shared" si="7"/>
        <v>45323</v>
      </c>
      <c r="C58" s="1" t="s">
        <v>533</v>
      </c>
      <c r="D58" s="195">
        <v>13877</v>
      </c>
      <c r="E58" s="186"/>
      <c r="F58" s="2">
        <v>2604.7399999999998</v>
      </c>
      <c r="G58" s="3">
        <f t="shared" si="21"/>
        <v>2198.3354414999999</v>
      </c>
      <c r="H58" s="187"/>
      <c r="I58" s="7">
        <v>7.0000000000000007E-2</v>
      </c>
      <c r="J58" s="7">
        <v>1.6500000000000001E-2</v>
      </c>
      <c r="K58" s="7">
        <v>7.5999999999999998E-2</v>
      </c>
      <c r="L58" s="7">
        <v>0</v>
      </c>
      <c r="M58" s="11">
        <f t="shared" si="23"/>
        <v>182.33180000000002</v>
      </c>
      <c r="N58" s="11">
        <f t="shared" si="24"/>
        <v>39.969735299999996</v>
      </c>
      <c r="O58" s="11">
        <f t="shared" si="25"/>
        <v>184.1030232</v>
      </c>
      <c r="P58" s="11">
        <f t="shared" si="22"/>
        <v>0</v>
      </c>
    </row>
    <row r="59" spans="1:17" ht="15" customHeight="1">
      <c r="A59" s="44"/>
      <c r="B59" s="5">
        <f t="shared" si="7"/>
        <v>45323</v>
      </c>
      <c r="C59" s="1" t="s">
        <v>533</v>
      </c>
      <c r="D59" s="195">
        <v>13878</v>
      </c>
      <c r="E59" s="186"/>
      <c r="F59" s="2">
        <v>5023.8100000000004</v>
      </c>
      <c r="G59" s="3">
        <f t="shared" si="21"/>
        <v>4239.9700447499999</v>
      </c>
      <c r="H59" s="187"/>
      <c r="I59" s="7">
        <v>7.0000000000000007E-2</v>
      </c>
      <c r="J59" s="7">
        <v>1.6500000000000001E-2</v>
      </c>
      <c r="K59" s="7">
        <v>7.5999999999999998E-2</v>
      </c>
      <c r="L59" s="7">
        <v>0</v>
      </c>
      <c r="M59" s="11">
        <f t="shared" si="23"/>
        <v>351.66670000000005</v>
      </c>
      <c r="N59" s="11">
        <f t="shared" si="24"/>
        <v>77.09036445000001</v>
      </c>
      <c r="O59" s="11">
        <f t="shared" si="25"/>
        <v>355.08289080000003</v>
      </c>
      <c r="P59" s="11">
        <f t="shared" si="22"/>
        <v>0</v>
      </c>
    </row>
    <row r="60" spans="1:17" ht="15" customHeight="1">
      <c r="A60" s="44"/>
      <c r="B60" s="5">
        <f t="shared" si="7"/>
        <v>45323</v>
      </c>
      <c r="C60" s="1" t="s">
        <v>533</v>
      </c>
      <c r="D60" s="195">
        <v>13908</v>
      </c>
      <c r="E60" s="186"/>
      <c r="F60" s="2">
        <v>3564.24</v>
      </c>
      <c r="G60" s="3">
        <f t="shared" si="21"/>
        <v>3008.1294539999999</v>
      </c>
      <c r="H60" s="187"/>
      <c r="I60" s="7">
        <v>7.0000000000000007E-2</v>
      </c>
      <c r="J60" s="7">
        <v>1.6500000000000001E-2</v>
      </c>
      <c r="K60" s="7">
        <v>7.5999999999999998E-2</v>
      </c>
      <c r="L60" s="7">
        <v>0</v>
      </c>
      <c r="M60" s="11">
        <f t="shared" si="23"/>
        <v>249.49680000000001</v>
      </c>
      <c r="N60" s="11">
        <f t="shared" si="24"/>
        <v>54.693262799999999</v>
      </c>
      <c r="O60" s="11">
        <f t="shared" si="25"/>
        <v>251.92048319999998</v>
      </c>
      <c r="P60" s="11">
        <f t="shared" si="22"/>
        <v>0</v>
      </c>
    </row>
    <row r="61" spans="1:17" ht="15" customHeight="1">
      <c r="A61" s="44"/>
      <c r="B61" s="5">
        <f t="shared" si="7"/>
        <v>45323</v>
      </c>
      <c r="C61" s="1" t="s">
        <v>533</v>
      </c>
      <c r="D61" s="195">
        <v>13879</v>
      </c>
      <c r="E61" s="186"/>
      <c r="F61" s="2">
        <v>17283.28</v>
      </c>
      <c r="G61" s="3">
        <f t="shared" si="21"/>
        <v>14586.656238</v>
      </c>
      <c r="H61" s="187"/>
      <c r="I61" s="7">
        <v>7.0000000000000007E-2</v>
      </c>
      <c r="J61" s="7">
        <v>1.6500000000000001E-2</v>
      </c>
      <c r="K61" s="7">
        <v>7.5999999999999998E-2</v>
      </c>
      <c r="L61" s="7">
        <v>0</v>
      </c>
      <c r="M61" s="11">
        <f t="shared" si="23"/>
        <v>1209.8296</v>
      </c>
      <c r="N61" s="11">
        <f t="shared" si="24"/>
        <v>265.21193159999996</v>
      </c>
      <c r="O61" s="11">
        <f t="shared" si="25"/>
        <v>1221.5822303999998</v>
      </c>
      <c r="P61" s="11">
        <f t="shared" si="22"/>
        <v>0</v>
      </c>
    </row>
    <row r="62" spans="1:17" ht="15" customHeight="1">
      <c r="A62" s="44"/>
      <c r="B62" s="5">
        <f t="shared" si="7"/>
        <v>45323</v>
      </c>
      <c r="C62" s="1" t="s">
        <v>533</v>
      </c>
      <c r="D62" s="195">
        <v>13917</v>
      </c>
      <c r="E62" s="186"/>
      <c r="F62" s="2">
        <v>5721.54</v>
      </c>
      <c r="G62" s="3">
        <f t="shared" si="21"/>
        <v>4828.8367214999998</v>
      </c>
      <c r="H62" s="187"/>
      <c r="I62" s="7">
        <v>7.0000000000000007E-2</v>
      </c>
      <c r="J62" s="7">
        <v>1.6500000000000001E-2</v>
      </c>
      <c r="K62" s="7">
        <v>7.5999999999999998E-2</v>
      </c>
      <c r="L62" s="7">
        <v>0</v>
      </c>
      <c r="M62" s="11">
        <f t="shared" si="23"/>
        <v>400.50780000000003</v>
      </c>
      <c r="N62" s="11">
        <f t="shared" si="24"/>
        <v>87.7970313</v>
      </c>
      <c r="O62" s="11">
        <f t="shared" si="25"/>
        <v>404.39844719999996</v>
      </c>
      <c r="P62" s="11">
        <f t="shared" si="22"/>
        <v>0</v>
      </c>
    </row>
    <row r="63" spans="1:17" ht="15" customHeight="1">
      <c r="A63" s="44"/>
      <c r="B63" s="5">
        <f t="shared" si="7"/>
        <v>45323</v>
      </c>
      <c r="C63" s="1" t="s">
        <v>533</v>
      </c>
      <c r="D63" s="195">
        <v>13918</v>
      </c>
      <c r="E63" s="186"/>
      <c r="F63" s="2">
        <v>2251.09</v>
      </c>
      <c r="G63" s="3">
        <f t="shared" si="21"/>
        <v>1899.8636827500002</v>
      </c>
      <c r="H63" s="187"/>
      <c r="I63" s="7">
        <v>7.0000000000000007E-2</v>
      </c>
      <c r="J63" s="7">
        <v>1.6500000000000001E-2</v>
      </c>
      <c r="K63" s="7">
        <v>7.5999999999999998E-2</v>
      </c>
      <c r="L63" s="7">
        <v>0</v>
      </c>
      <c r="M63" s="11">
        <f t="shared" si="23"/>
        <v>157.57630000000003</v>
      </c>
      <c r="N63" s="11">
        <f t="shared" si="24"/>
        <v>34.54297605</v>
      </c>
      <c r="O63" s="11">
        <f t="shared" si="25"/>
        <v>159.1070412</v>
      </c>
      <c r="P63" s="11">
        <f t="shared" si="22"/>
        <v>0</v>
      </c>
    </row>
    <row r="64" spans="1:17" ht="15" customHeight="1">
      <c r="A64" s="44"/>
      <c r="B64" s="5">
        <f t="shared" si="7"/>
        <v>45323</v>
      </c>
      <c r="C64" s="1" t="s">
        <v>533</v>
      </c>
      <c r="D64" s="195">
        <v>13919</v>
      </c>
      <c r="E64" s="186"/>
      <c r="F64" s="2">
        <v>750.36</v>
      </c>
      <c r="G64" s="3">
        <f t="shared" si="21"/>
        <v>633.28508099999999</v>
      </c>
      <c r="H64" s="187"/>
      <c r="I64" s="7">
        <v>7.0000000000000007E-2</v>
      </c>
      <c r="J64" s="7">
        <v>1.6500000000000001E-2</v>
      </c>
      <c r="K64" s="7">
        <v>7.5999999999999998E-2</v>
      </c>
      <c r="L64" s="7">
        <v>0</v>
      </c>
      <c r="M64" s="11">
        <f t="shared" si="23"/>
        <v>52.525200000000005</v>
      </c>
      <c r="N64" s="11">
        <f t="shared" si="24"/>
        <v>11.514274200000001</v>
      </c>
      <c r="O64" s="11">
        <f t="shared" si="25"/>
        <v>53.035444799999993</v>
      </c>
      <c r="P64" s="11">
        <f t="shared" si="22"/>
        <v>0</v>
      </c>
    </row>
    <row r="65" spans="1:16" ht="15" customHeight="1">
      <c r="A65" s="44"/>
      <c r="B65" s="5">
        <f t="shared" si="7"/>
        <v>45323</v>
      </c>
      <c r="C65" s="1" t="s">
        <v>533</v>
      </c>
      <c r="D65" s="195">
        <v>13931</v>
      </c>
      <c r="E65" s="186"/>
      <c r="F65" s="2">
        <v>1500.73</v>
      </c>
      <c r="G65" s="3">
        <f t="shared" si="21"/>
        <v>1266.57860175</v>
      </c>
      <c r="H65" s="187"/>
      <c r="I65" s="7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23"/>
        <v>105.05110000000001</v>
      </c>
      <c r="N65" s="11">
        <f t="shared" si="24"/>
        <v>23.028701850000004</v>
      </c>
      <c r="O65" s="11">
        <f t="shared" si="25"/>
        <v>106.0715964</v>
      </c>
      <c r="P65" s="11">
        <f t="shared" si="22"/>
        <v>0</v>
      </c>
    </row>
    <row r="66" spans="1:16" ht="15" customHeight="1">
      <c r="A66" s="44"/>
      <c r="B66" s="5">
        <f t="shared" si="7"/>
        <v>45323</v>
      </c>
      <c r="C66" s="1" t="s">
        <v>533</v>
      </c>
      <c r="D66" s="195">
        <v>13932</v>
      </c>
      <c r="E66" s="186"/>
      <c r="F66" s="2">
        <v>4971.18</v>
      </c>
      <c r="G66" s="3">
        <f t="shared" si="21"/>
        <v>4195.5516404999998</v>
      </c>
      <c r="H66" s="187"/>
      <c r="I66" s="7">
        <v>7.0000000000000007E-2</v>
      </c>
      <c r="J66" s="7">
        <v>1.6500000000000001E-2</v>
      </c>
      <c r="K66" s="7">
        <v>7.5999999999999998E-2</v>
      </c>
      <c r="L66" s="7">
        <v>0</v>
      </c>
      <c r="M66" s="11">
        <f t="shared" si="23"/>
        <v>347.98260000000005</v>
      </c>
      <c r="N66" s="11">
        <f t="shared" si="24"/>
        <v>76.282757099999998</v>
      </c>
      <c r="O66" s="11">
        <f t="shared" si="25"/>
        <v>351.36300239999997</v>
      </c>
      <c r="P66" s="11">
        <f t="shared" si="22"/>
        <v>0</v>
      </c>
    </row>
    <row r="67" spans="1:16" ht="15" customHeight="1">
      <c r="A67" s="44"/>
      <c r="B67" s="5">
        <f t="shared" si="7"/>
        <v>45323</v>
      </c>
      <c r="C67" s="1" t="s">
        <v>533</v>
      </c>
      <c r="D67" s="195">
        <v>3782</v>
      </c>
      <c r="E67" s="186"/>
      <c r="F67" s="2">
        <v>114446.79</v>
      </c>
      <c r="G67" s="3">
        <f t="shared" si="21"/>
        <v>91397.206493999998</v>
      </c>
      <c r="H67" s="187"/>
      <c r="I67" s="7">
        <v>0.12</v>
      </c>
      <c r="J67" s="7">
        <v>1.6500000000000001E-2</v>
      </c>
      <c r="K67" s="7">
        <v>7.5999999999999998E-2</v>
      </c>
      <c r="L67" s="7">
        <v>0</v>
      </c>
      <c r="M67" s="11">
        <f t="shared" si="23"/>
        <v>13733.614799999999</v>
      </c>
      <c r="N67" s="11">
        <f t="shared" si="24"/>
        <v>1661.7673907999999</v>
      </c>
      <c r="O67" s="11">
        <f t="shared" si="25"/>
        <v>7654.2013152</v>
      </c>
      <c r="P67" s="11">
        <f t="shared" si="22"/>
        <v>0</v>
      </c>
    </row>
    <row r="68" spans="1:16" ht="15" customHeight="1">
      <c r="A68" s="44"/>
      <c r="B68" s="5">
        <f t="shared" si="7"/>
        <v>45323</v>
      </c>
      <c r="C68" s="1" t="s">
        <v>533</v>
      </c>
      <c r="D68" s="195">
        <v>3783</v>
      </c>
      <c r="E68" s="186"/>
      <c r="F68" s="2">
        <v>161127.98000000001</v>
      </c>
      <c r="G68" s="3">
        <f t="shared" si="21"/>
        <v>128676.80482800001</v>
      </c>
      <c r="H68" s="187"/>
      <c r="I68" s="7">
        <v>0.12</v>
      </c>
      <c r="J68" s="7">
        <v>1.6500000000000001E-2</v>
      </c>
      <c r="K68" s="7">
        <v>7.5999999999999998E-2</v>
      </c>
      <c r="L68" s="7">
        <v>0</v>
      </c>
      <c r="M68" s="11">
        <f t="shared" si="23"/>
        <v>19335.357599999999</v>
      </c>
      <c r="N68" s="11">
        <f t="shared" si="24"/>
        <v>2339.5782696000006</v>
      </c>
      <c r="O68" s="11">
        <f t="shared" si="25"/>
        <v>10776.239302400001</v>
      </c>
      <c r="P68" s="11">
        <f t="shared" si="22"/>
        <v>0</v>
      </c>
    </row>
    <row r="69" spans="1:16" ht="15" customHeight="1">
      <c r="A69" s="44"/>
      <c r="B69" s="5">
        <f t="shared" si="7"/>
        <v>45323</v>
      </c>
      <c r="C69" s="1" t="s">
        <v>533</v>
      </c>
      <c r="D69" s="195">
        <v>3784</v>
      </c>
      <c r="E69" s="186"/>
      <c r="F69" s="2">
        <v>77129.78</v>
      </c>
      <c r="G69" s="3">
        <f t="shared" si="21"/>
        <v>61595.842307999999</v>
      </c>
      <c r="H69" s="187"/>
      <c r="I69" s="7">
        <v>0.12</v>
      </c>
      <c r="J69" s="7">
        <v>1.6500000000000001E-2</v>
      </c>
      <c r="K69" s="7">
        <v>7.5999999999999998E-2</v>
      </c>
      <c r="L69" s="7">
        <v>0</v>
      </c>
      <c r="M69" s="11">
        <f t="shared" si="23"/>
        <v>9255.5735999999997</v>
      </c>
      <c r="N69" s="11">
        <f t="shared" si="24"/>
        <v>1119.9244056</v>
      </c>
      <c r="O69" s="11">
        <f t="shared" si="25"/>
        <v>5158.4396863999991</v>
      </c>
      <c r="P69" s="11">
        <f t="shared" si="22"/>
        <v>0</v>
      </c>
    </row>
    <row r="70" spans="1:16" ht="15" customHeight="1">
      <c r="A70" s="44"/>
      <c r="B70" s="5">
        <f t="shared" si="7"/>
        <v>45323</v>
      </c>
      <c r="C70" s="1" t="s">
        <v>533</v>
      </c>
      <c r="D70" s="195">
        <v>3785</v>
      </c>
      <c r="E70" s="186"/>
      <c r="F70" s="2">
        <v>25756.52</v>
      </c>
      <c r="G70" s="3">
        <f t="shared" si="21"/>
        <v>20569.156872</v>
      </c>
      <c r="H70" s="187"/>
      <c r="I70" s="7">
        <v>0.12</v>
      </c>
      <c r="J70" s="7">
        <v>1.6500000000000001E-2</v>
      </c>
      <c r="K70" s="7">
        <v>7.5999999999999998E-2</v>
      </c>
      <c r="L70" s="7">
        <v>0</v>
      </c>
      <c r="M70" s="11">
        <f t="shared" si="23"/>
        <v>3090.7824000000001</v>
      </c>
      <c r="N70" s="11">
        <f t="shared" si="24"/>
        <v>373.98467040000003</v>
      </c>
      <c r="O70" s="11">
        <f t="shared" si="25"/>
        <v>1722.5960576</v>
      </c>
      <c r="P70" s="11">
        <f t="shared" si="22"/>
        <v>0</v>
      </c>
    </row>
    <row r="71" spans="1:16" ht="15" customHeight="1">
      <c r="A71" s="44"/>
      <c r="B71" s="5">
        <f t="shared" si="7"/>
        <v>45323</v>
      </c>
      <c r="C71" s="1" t="s">
        <v>533</v>
      </c>
      <c r="D71" s="195">
        <v>3786</v>
      </c>
      <c r="E71" s="186"/>
      <c r="F71" s="2">
        <v>49616.24</v>
      </c>
      <c r="G71" s="3">
        <f t="shared" si="21"/>
        <v>39623.529263999997</v>
      </c>
      <c r="H71" s="187"/>
      <c r="I71" s="7">
        <v>0.12</v>
      </c>
      <c r="J71" s="7">
        <v>1.6500000000000001E-2</v>
      </c>
      <c r="K71" s="7">
        <v>7.5999999999999998E-2</v>
      </c>
      <c r="L71" s="7">
        <v>0</v>
      </c>
      <c r="M71" s="11">
        <f t="shared" si="23"/>
        <v>5953.9487999999992</v>
      </c>
      <c r="N71" s="11">
        <f t="shared" si="24"/>
        <v>720.42780479999999</v>
      </c>
      <c r="O71" s="11">
        <f t="shared" si="25"/>
        <v>3318.3341311999998</v>
      </c>
      <c r="P71" s="11">
        <f t="shared" si="22"/>
        <v>0</v>
      </c>
    </row>
    <row r="72" spans="1:16" ht="15" customHeight="1">
      <c r="A72" s="44"/>
      <c r="B72" s="5">
        <f t="shared" si="7"/>
        <v>45323</v>
      </c>
      <c r="C72" s="1" t="s">
        <v>533</v>
      </c>
      <c r="D72" s="195">
        <v>3787</v>
      </c>
      <c r="E72" s="186"/>
      <c r="F72" s="2">
        <v>170911.39</v>
      </c>
      <c r="G72" s="3">
        <f t="shared" si="21"/>
        <v>136489.83605400001</v>
      </c>
      <c r="H72" s="187"/>
      <c r="I72" s="7">
        <v>0.12</v>
      </c>
      <c r="J72" s="7">
        <v>1.6500000000000001E-2</v>
      </c>
      <c r="K72" s="7">
        <v>7.5999999999999998E-2</v>
      </c>
      <c r="L72" s="7">
        <v>0</v>
      </c>
      <c r="M72" s="11">
        <f t="shared" si="23"/>
        <v>20509.3668</v>
      </c>
      <c r="N72" s="11">
        <f t="shared" si="24"/>
        <v>2481.6333828000006</v>
      </c>
      <c r="O72" s="11">
        <f t="shared" si="25"/>
        <v>11430.553763200001</v>
      </c>
      <c r="P72" s="11">
        <f t="shared" si="22"/>
        <v>0</v>
      </c>
    </row>
    <row r="73" spans="1:16">
      <c r="A73" s="44"/>
      <c r="B73" s="5">
        <f>B50</f>
        <v>45323</v>
      </c>
      <c r="C73" s="1" t="s">
        <v>533</v>
      </c>
      <c r="D73" s="195">
        <v>3780</v>
      </c>
      <c r="E73" s="186"/>
      <c r="F73" s="2">
        <v>177750.95</v>
      </c>
      <c r="G73" s="3">
        <f t="shared" si="21"/>
        <v>141951.90867</v>
      </c>
      <c r="H73" s="187"/>
      <c r="I73" s="7">
        <v>0.12</v>
      </c>
      <c r="J73" s="7">
        <v>1.6500000000000001E-2</v>
      </c>
      <c r="K73" s="7">
        <v>7.5999999999999998E-2</v>
      </c>
      <c r="L73" s="7">
        <v>0</v>
      </c>
      <c r="M73" s="11">
        <f t="shared" si="23"/>
        <v>21330.114000000001</v>
      </c>
      <c r="N73" s="11">
        <f t="shared" si="24"/>
        <v>2580.9437940000003</v>
      </c>
      <c r="O73" s="11">
        <f t="shared" si="25"/>
        <v>11887.983536</v>
      </c>
      <c r="P73" s="11">
        <f t="shared" si="22"/>
        <v>0</v>
      </c>
    </row>
    <row r="74" spans="1:16">
      <c r="A74" s="44"/>
      <c r="B74" s="5">
        <f t="shared" si="7"/>
        <v>45323</v>
      </c>
      <c r="C74" s="1" t="s">
        <v>422</v>
      </c>
      <c r="D74" s="195" t="s">
        <v>556</v>
      </c>
      <c r="E74" s="186"/>
      <c r="F74" s="2">
        <v>37000</v>
      </c>
      <c r="G74" s="3">
        <f t="shared" si="21"/>
        <v>33577.5</v>
      </c>
      <c r="H74" s="187"/>
      <c r="I74" s="193">
        <v>0</v>
      </c>
      <c r="J74" s="7">
        <v>1.6500000000000001E-2</v>
      </c>
      <c r="K74" s="7">
        <v>7.5999999999999998E-2</v>
      </c>
      <c r="L74" s="7">
        <v>0</v>
      </c>
      <c r="M74" s="11">
        <f t="shared" si="23"/>
        <v>0</v>
      </c>
      <c r="N74" s="11">
        <f t="shared" si="24"/>
        <v>610.5</v>
      </c>
      <c r="O74" s="11">
        <f t="shared" si="25"/>
        <v>2812</v>
      </c>
      <c r="P74" s="11">
        <f t="shared" si="22"/>
        <v>0</v>
      </c>
    </row>
    <row r="75" spans="1:16">
      <c r="B75" s="5">
        <f t="shared" si="7"/>
        <v>45323</v>
      </c>
      <c r="C75" s="1" t="s">
        <v>423</v>
      </c>
      <c r="D75" s="195" t="s">
        <v>519</v>
      </c>
      <c r="E75" s="186"/>
      <c r="F75" s="2">
        <f>71625.34+264044.55+521497.9</f>
        <v>857167.79</v>
      </c>
      <c r="G75" s="3">
        <f t="shared" si="21"/>
        <v>777879.76942500006</v>
      </c>
      <c r="H75" s="187"/>
      <c r="I75" s="193">
        <v>0</v>
      </c>
      <c r="J75" s="7">
        <v>1.6500000000000001E-2</v>
      </c>
      <c r="K75" s="7">
        <v>7.5999999999999998E-2</v>
      </c>
      <c r="L75" s="7">
        <v>0</v>
      </c>
      <c r="M75" s="11">
        <f t="shared" si="23"/>
        <v>0</v>
      </c>
      <c r="N75" s="11">
        <f t="shared" si="24"/>
        <v>14143.268535000001</v>
      </c>
      <c r="O75" s="11">
        <f t="shared" si="25"/>
        <v>65144.752039999999</v>
      </c>
      <c r="P75" s="11">
        <f t="shared" si="22"/>
        <v>0</v>
      </c>
    </row>
    <row r="76" spans="1:16">
      <c r="B76" s="5"/>
      <c r="C76" s="1"/>
      <c r="E76" s="1"/>
      <c r="F76" s="2"/>
      <c r="G76" s="4"/>
      <c r="H76" s="4"/>
      <c r="I76" s="7"/>
      <c r="J76" s="7"/>
      <c r="K76" s="7"/>
      <c r="L76" s="7"/>
    </row>
    <row r="77" spans="1:16">
      <c r="E77" s="28">
        <f>SUM(E19:E76)</f>
        <v>44372393.794</v>
      </c>
      <c r="F77" s="133"/>
      <c r="G77" s="29">
        <f>SUM(G19:G76)</f>
        <v>107711216.08536513</v>
      </c>
    </row>
    <row r="78" spans="1:16">
      <c r="E78" s="137"/>
    </row>
    <row r="79" spans="1:16" ht="15.75" thickBot="1"/>
    <row r="80" spans="1:16">
      <c r="B80" s="391" t="s">
        <v>558</v>
      </c>
      <c r="C80" s="383"/>
      <c r="D80" s="383"/>
      <c r="E80" s="383"/>
      <c r="F80" s="383"/>
      <c r="G80" s="383"/>
      <c r="H80" s="383"/>
      <c r="I80" s="383"/>
      <c r="J80" s="383"/>
      <c r="K80" s="383"/>
      <c r="L80" s="383"/>
      <c r="M80" s="383"/>
      <c r="N80" s="383"/>
      <c r="O80" s="384"/>
    </row>
    <row r="81" spans="2:15">
      <c r="B81" s="385"/>
      <c r="C81" s="386"/>
      <c r="D81" s="386"/>
      <c r="E81" s="386"/>
      <c r="F81" s="386"/>
      <c r="G81" s="386"/>
      <c r="H81" s="386"/>
      <c r="I81" s="386"/>
      <c r="J81" s="386"/>
      <c r="K81" s="386"/>
      <c r="L81" s="386"/>
      <c r="M81" s="386"/>
      <c r="N81" s="386"/>
      <c r="O81" s="387"/>
    </row>
    <row r="82" spans="2:15">
      <c r="B82" s="385"/>
      <c r="C82" s="386"/>
      <c r="D82" s="386"/>
      <c r="E82" s="386"/>
      <c r="F82" s="386"/>
      <c r="G82" s="386"/>
      <c r="H82" s="386"/>
      <c r="I82" s="386"/>
      <c r="J82" s="386"/>
      <c r="K82" s="386"/>
      <c r="L82" s="386"/>
      <c r="M82" s="386"/>
      <c r="N82" s="386"/>
      <c r="O82" s="387"/>
    </row>
    <row r="83" spans="2:15">
      <c r="B83" s="385"/>
      <c r="C83" s="386"/>
      <c r="D83" s="386"/>
      <c r="E83" s="386"/>
      <c r="F83" s="386"/>
      <c r="G83" s="386"/>
      <c r="H83" s="386"/>
      <c r="I83" s="386"/>
      <c r="J83" s="386"/>
      <c r="K83" s="386"/>
      <c r="L83" s="386"/>
      <c r="M83" s="386"/>
      <c r="N83" s="386"/>
      <c r="O83" s="387"/>
    </row>
    <row r="84" spans="2:15" ht="27" customHeight="1">
      <c r="B84" s="385"/>
      <c r="C84" s="386"/>
      <c r="D84" s="386"/>
      <c r="E84" s="386"/>
      <c r="F84" s="386"/>
      <c r="G84" s="386"/>
      <c r="H84" s="386"/>
      <c r="I84" s="386"/>
      <c r="J84" s="386"/>
      <c r="K84" s="386"/>
      <c r="L84" s="386"/>
      <c r="M84" s="386"/>
      <c r="N84" s="386"/>
      <c r="O84" s="387"/>
    </row>
    <row r="85" spans="2:15" ht="44.25" customHeight="1" thickBot="1">
      <c r="B85" s="388"/>
      <c r="C85" s="389"/>
      <c r="D85" s="389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90"/>
    </row>
  </sheetData>
  <mergeCells count="3">
    <mergeCell ref="C2:M2"/>
    <mergeCell ref="B80:O85"/>
    <mergeCell ref="M17:P17"/>
  </mergeCells>
  <conditionalFormatting sqref="D1:D1048576">
    <cfRule type="duplicateValues" dxfId="131" priority="1"/>
    <cfRule type="duplicateValues" dxfId="130" priority="2"/>
  </conditionalFormatting>
  <conditionalFormatting sqref="D7 D10">
    <cfRule type="duplicateValues" dxfId="129" priority="3"/>
  </conditionalFormatting>
  <conditionalFormatting sqref="D19:D49">
    <cfRule type="duplicateValues" dxfId="128" priority="28"/>
  </conditionalFormatting>
  <conditionalFormatting sqref="D79:D1048576 D1:D77">
    <cfRule type="duplicateValues" dxfId="127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B55F-07A5-43A9-841B-4AEB2EF0B057}">
  <sheetPr>
    <pageSetUpPr fitToPage="1"/>
  </sheetPr>
  <dimension ref="A2:P97"/>
  <sheetViews>
    <sheetView showGridLines="0" topLeftCell="A62" zoomScale="85" zoomScaleNormal="85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3.140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5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5" ht="23.25">
      <c r="C3" s="13">
        <v>45352</v>
      </c>
    </row>
    <row r="5" spans="3:15">
      <c r="C5" t="s">
        <v>17</v>
      </c>
      <c r="D5" s="14">
        <f t="shared" ref="D5:D11" ca="1" si="0">SUMIF($C$19:$G$87,$C$5:$C$11,$G$19:$G$87)/SUMIF($C$19:$G$87,$C$5:$C$11,$E$19:$E$87)</f>
        <v>2.2988000001095332</v>
      </c>
    </row>
    <row r="6" spans="3:15">
      <c r="C6" t="s">
        <v>440</v>
      </c>
      <c r="D6" s="14">
        <f t="shared" ca="1" si="0"/>
        <v>2.0576954475</v>
      </c>
    </row>
    <row r="7" spans="3:15">
      <c r="C7" t="s">
        <v>491</v>
      </c>
      <c r="D7" s="14">
        <f t="shared" ca="1" si="0"/>
        <v>2.04194034</v>
      </c>
    </row>
    <row r="8" spans="3:15">
      <c r="C8" t="s">
        <v>37</v>
      </c>
      <c r="D8" s="14" t="e">
        <f t="shared" ca="1" si="0"/>
        <v>#DIV/0!</v>
      </c>
      <c r="I8" s="19"/>
      <c r="N8" s="15" t="s">
        <v>127</v>
      </c>
      <c r="O8" s="15" t="s">
        <v>128</v>
      </c>
    </row>
    <row r="9" spans="3:15">
      <c r="C9" t="s">
        <v>36</v>
      </c>
      <c r="D9" s="14" t="e">
        <f t="shared" ca="1" si="0"/>
        <v>#DIV/0!</v>
      </c>
      <c r="E9" s="14"/>
      <c r="F9" s="32"/>
      <c r="I9" s="19"/>
      <c r="M9" s="16" t="s">
        <v>17</v>
      </c>
      <c r="N9" s="17">
        <f>1415000/1620000</f>
        <v>0.87345679012345678</v>
      </c>
      <c r="O9" s="17">
        <f>+SUM(E19:E32)/E89</f>
        <v>0.87760805546966092</v>
      </c>
    </row>
    <row r="10" spans="3:15">
      <c r="C10" t="s">
        <v>534</v>
      </c>
      <c r="D10" s="14">
        <f t="shared" ca="1" si="0"/>
        <v>6.0826499360860975</v>
      </c>
      <c r="M10" s="16" t="s">
        <v>440</v>
      </c>
      <c r="N10" s="17">
        <f>10000/1620000</f>
        <v>6.1728395061728392E-3</v>
      </c>
      <c r="O10" s="17">
        <f>+SUM(E33)/E89</f>
        <v>6.4468698834876537E-3</v>
      </c>
    </row>
    <row r="11" spans="3:15">
      <c r="C11" t="s">
        <v>533</v>
      </c>
      <c r="D11" s="14" t="e">
        <f t="shared" ca="1" si="0"/>
        <v>#DIV/0!</v>
      </c>
      <c r="M11" s="16" t="s">
        <v>491</v>
      </c>
      <c r="N11" s="17">
        <f>150000/1620000</f>
        <v>9.2592592592592587E-2</v>
      </c>
      <c r="O11" s="17">
        <f>+SUM(E34)/E89</f>
        <v>0.10196579917761084</v>
      </c>
    </row>
    <row r="12" spans="3:15">
      <c r="C12" s="30" t="s">
        <v>129</v>
      </c>
      <c r="D12" s="31">
        <f>+G89/E89</f>
        <v>2.341670759262398</v>
      </c>
      <c r="M12" s="16" t="s">
        <v>544</v>
      </c>
      <c r="N12" s="17">
        <f>45000/1620000</f>
        <v>2.7777777777777776E-2</v>
      </c>
      <c r="O12" s="18">
        <f>+SUM(E37:E49)/E89</f>
        <v>5.4586452942944116E-3</v>
      </c>
    </row>
    <row r="13" spans="3:15">
      <c r="D13" s="19"/>
      <c r="M13" s="20" t="s">
        <v>38</v>
      </c>
      <c r="N13" s="197">
        <f>SUM(N9:N12)</f>
        <v>1</v>
      </c>
      <c r="O13" s="197">
        <f>SUM(O9:O12)</f>
        <v>0.9914793698250538</v>
      </c>
    </row>
    <row r="14" spans="3:15">
      <c r="D14" s="22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>
      <c r="A19" s="44"/>
      <c r="B19" s="5">
        <f>C3</f>
        <v>45352</v>
      </c>
      <c r="C19" s="1" t="s">
        <v>17</v>
      </c>
      <c r="D19" s="194" t="s">
        <v>579</v>
      </c>
      <c r="E19" s="1">
        <v>280642</v>
      </c>
      <c r="F19" s="2">
        <v>764406.33</v>
      </c>
      <c r="G19" s="3">
        <f t="shared" ref="G19:G37" si="1">F19-SUM(M19:P19)</f>
        <v>645139.83236174996</v>
      </c>
      <c r="H19" s="4">
        <f>+IF(G19=0,0,G19/E19)</f>
        <v>2.298800009840829</v>
      </c>
      <c r="I19" s="7">
        <v>7.0000000000000007E-2</v>
      </c>
      <c r="J19" s="7">
        <v>1.6500000000000001E-2</v>
      </c>
      <c r="K19" s="7">
        <v>7.5999999999999998E-2</v>
      </c>
      <c r="L19" s="7">
        <v>0</v>
      </c>
      <c r="M19" s="11">
        <f t="shared" ref="M19:M87" si="2">+I19*F19</f>
        <v>53508.443100000004</v>
      </c>
      <c r="N19" s="11">
        <f t="shared" ref="N19:N87" si="3">J19*(F19-M19)</f>
        <v>11729.815133849999</v>
      </c>
      <c r="O19" s="11">
        <f t="shared" ref="O19:O87" si="4">K19*(F19-M19)</f>
        <v>54028.239404399996</v>
      </c>
      <c r="P19" s="11">
        <f t="shared" ref="P19:P43" si="5">L19*(F19)</f>
        <v>0</v>
      </c>
    </row>
    <row r="20" spans="1:16">
      <c r="A20" s="44"/>
      <c r="B20" s="5">
        <f>B19</f>
        <v>45352</v>
      </c>
      <c r="C20" s="1" t="s">
        <v>17</v>
      </c>
      <c r="D20" s="194" t="s">
        <v>578</v>
      </c>
      <c r="E20" s="1">
        <v>885177</v>
      </c>
      <c r="F20" s="2">
        <v>2548015.14</v>
      </c>
      <c r="G20" s="3">
        <f t="shared" si="1"/>
        <v>2034844.8908040002</v>
      </c>
      <c r="H20" s="4">
        <f t="shared" ref="H20:H36" si="6">+IF(G20=0,0,G20/E20)</f>
        <v>2.2988000036196152</v>
      </c>
      <c r="I20" s="7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305761.81680000003</v>
      </c>
      <c r="N20" s="11">
        <f t="shared" si="3"/>
        <v>36997.1798328</v>
      </c>
      <c r="O20" s="11">
        <f t="shared" si="4"/>
        <v>170411.25256319999</v>
      </c>
      <c r="P20" s="11">
        <f t="shared" si="5"/>
        <v>0</v>
      </c>
    </row>
    <row r="21" spans="1:16">
      <c r="A21" s="44"/>
      <c r="B21" s="5">
        <f t="shared" ref="B21:B86" si="7">B20</f>
        <v>45352</v>
      </c>
      <c r="C21" s="1" t="s">
        <v>17</v>
      </c>
      <c r="D21" s="196" t="s">
        <v>580</v>
      </c>
      <c r="E21" s="1">
        <v>5388566</v>
      </c>
      <c r="F21" s="2">
        <v>15511188.98</v>
      </c>
      <c r="G21" s="3">
        <f t="shared" si="1"/>
        <v>12387235.519428</v>
      </c>
      <c r="H21" s="4">
        <f>+IF(G21=0,0,G21/E21)</f>
        <v>2.2987999997453867</v>
      </c>
      <c r="I21" s="7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1861342.6776000001</v>
      </c>
      <c r="N21" s="11">
        <f t="shared" si="3"/>
        <v>225222.46398960002</v>
      </c>
      <c r="O21" s="11">
        <f t="shared" si="4"/>
        <v>1037388.3189824</v>
      </c>
      <c r="P21" s="11">
        <f t="shared" si="5"/>
        <v>0</v>
      </c>
    </row>
    <row r="22" spans="1:16">
      <c r="A22" s="44"/>
      <c r="B22" s="5">
        <f t="shared" si="7"/>
        <v>45352</v>
      </c>
      <c r="C22" s="1" t="s">
        <v>17</v>
      </c>
      <c r="D22" s="194" t="s">
        <v>581</v>
      </c>
      <c r="E22" s="1">
        <v>1131789</v>
      </c>
      <c r="F22" s="2">
        <v>3257897.01</v>
      </c>
      <c r="G22" s="3">
        <f t="shared" si="1"/>
        <v>2601756.5521859997</v>
      </c>
      <c r="H22" s="4">
        <f t="shared" si="6"/>
        <v>2.2987999991040731</v>
      </c>
      <c r="I22" s="7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390947.64119999995</v>
      </c>
      <c r="N22" s="11">
        <f t="shared" si="3"/>
        <v>47304.6645852</v>
      </c>
      <c r="O22" s="11">
        <f t="shared" si="4"/>
        <v>217888.15202879999</v>
      </c>
      <c r="P22" s="11">
        <f t="shared" si="5"/>
        <v>0</v>
      </c>
    </row>
    <row r="23" spans="1:16">
      <c r="A23" s="44"/>
      <c r="B23" s="5">
        <f t="shared" si="7"/>
        <v>45352</v>
      </c>
      <c r="C23" s="1" t="s">
        <v>17</v>
      </c>
      <c r="D23" s="194" t="s">
        <v>582</v>
      </c>
      <c r="E23" s="1">
        <v>24242177.760000002</v>
      </c>
      <c r="F23" s="2">
        <v>69782016.319999993</v>
      </c>
      <c r="G23" s="3">
        <f t="shared" si="1"/>
        <v>55727918.233151995</v>
      </c>
      <c r="H23" s="4">
        <f t="shared" si="6"/>
        <v>2.2987999999366391</v>
      </c>
      <c r="I23" s="7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8373841.958399999</v>
      </c>
      <c r="N23" s="11">
        <f t="shared" si="3"/>
        <v>1013234.8769664</v>
      </c>
      <c r="O23" s="11">
        <f t="shared" si="4"/>
        <v>4667021.2514815992</v>
      </c>
      <c r="P23" s="11">
        <f t="shared" si="5"/>
        <v>0</v>
      </c>
    </row>
    <row r="24" spans="1:16" hidden="1">
      <c r="A24" s="44"/>
      <c r="B24" s="5">
        <f t="shared" si="7"/>
        <v>45352</v>
      </c>
      <c r="C24" s="1" t="s">
        <v>17</v>
      </c>
      <c r="D24" s="194"/>
      <c r="E24" s="1"/>
      <c r="F24" s="2"/>
      <c r="G24" s="3">
        <f t="shared" si="1"/>
        <v>0</v>
      </c>
      <c r="H24" s="4">
        <f t="shared" si="6"/>
        <v>0</v>
      </c>
      <c r="I24" s="7"/>
      <c r="J24" s="7">
        <v>1.6500000000000001E-2</v>
      </c>
      <c r="K24" s="7">
        <v>7.5999999999999998E-2</v>
      </c>
      <c r="L24" s="7">
        <v>0</v>
      </c>
      <c r="M24" s="11">
        <f t="shared" si="2"/>
        <v>0</v>
      </c>
      <c r="N24" s="11">
        <f t="shared" si="3"/>
        <v>0</v>
      </c>
      <c r="O24" s="11">
        <f t="shared" si="4"/>
        <v>0</v>
      </c>
      <c r="P24" s="11">
        <f t="shared" si="5"/>
        <v>0</v>
      </c>
    </row>
    <row r="25" spans="1:16" hidden="1">
      <c r="A25" s="44"/>
      <c r="B25" s="5">
        <f t="shared" si="7"/>
        <v>45352</v>
      </c>
      <c r="C25" s="1" t="s">
        <v>17</v>
      </c>
      <c r="D25" s="194"/>
      <c r="E25" s="1"/>
      <c r="F25" s="2"/>
      <c r="G25" s="3">
        <f t="shared" si="1"/>
        <v>0</v>
      </c>
      <c r="H25" s="4">
        <f t="shared" si="6"/>
        <v>0</v>
      </c>
      <c r="I25" s="7"/>
      <c r="J25" s="7">
        <v>1.6500000000000001E-2</v>
      </c>
      <c r="K25" s="7">
        <v>7.5999999999999998E-2</v>
      </c>
      <c r="L25" s="7">
        <v>0</v>
      </c>
      <c r="M25" s="11">
        <f t="shared" si="2"/>
        <v>0</v>
      </c>
      <c r="N25" s="11">
        <f t="shared" si="3"/>
        <v>0</v>
      </c>
      <c r="O25" s="11">
        <f t="shared" si="4"/>
        <v>0</v>
      </c>
      <c r="P25" s="11">
        <f t="shared" si="5"/>
        <v>0</v>
      </c>
    </row>
    <row r="26" spans="1:16" hidden="1">
      <c r="A26" s="44"/>
      <c r="B26" s="5">
        <f t="shared" si="7"/>
        <v>45352</v>
      </c>
      <c r="C26" s="1" t="s">
        <v>17</v>
      </c>
      <c r="D26" s="194"/>
      <c r="E26" s="1"/>
      <c r="F26" s="2"/>
      <c r="G26" s="3">
        <f t="shared" si="1"/>
        <v>0</v>
      </c>
      <c r="H26" s="4">
        <f t="shared" si="6"/>
        <v>0</v>
      </c>
      <c r="I26" s="7"/>
      <c r="J26" s="7">
        <v>1.6500000000000001E-2</v>
      </c>
      <c r="K26" s="7">
        <v>7.5999999999999998E-2</v>
      </c>
      <c r="L26" s="7">
        <v>0</v>
      </c>
      <c r="M26" s="11">
        <f t="shared" si="2"/>
        <v>0</v>
      </c>
      <c r="N26" s="11">
        <f t="shared" si="3"/>
        <v>0</v>
      </c>
      <c r="O26" s="11">
        <f t="shared" si="4"/>
        <v>0</v>
      </c>
      <c r="P26" s="11">
        <f t="shared" si="5"/>
        <v>0</v>
      </c>
    </row>
    <row r="27" spans="1:16" hidden="1">
      <c r="A27" s="44"/>
      <c r="B27" s="5">
        <f t="shared" si="7"/>
        <v>45352</v>
      </c>
      <c r="C27" s="1" t="s">
        <v>17</v>
      </c>
      <c r="D27" s="194"/>
      <c r="E27" s="1"/>
      <c r="F27" s="2"/>
      <c r="G27" s="3">
        <f t="shared" si="1"/>
        <v>0</v>
      </c>
      <c r="H27" s="4">
        <f t="shared" si="6"/>
        <v>0</v>
      </c>
      <c r="I27" s="7"/>
      <c r="J27" s="7">
        <v>1.6500000000000001E-2</v>
      </c>
      <c r="K27" s="7">
        <v>7.5999999999999998E-2</v>
      </c>
      <c r="L27" s="7">
        <v>0</v>
      </c>
      <c r="M27" s="11">
        <f t="shared" si="2"/>
        <v>0</v>
      </c>
      <c r="N27" s="11">
        <f t="shared" si="3"/>
        <v>0</v>
      </c>
      <c r="O27" s="11">
        <f t="shared" si="4"/>
        <v>0</v>
      </c>
      <c r="P27" s="11">
        <f t="shared" si="5"/>
        <v>0</v>
      </c>
    </row>
    <row r="28" spans="1:16" hidden="1">
      <c r="A28" s="44"/>
      <c r="B28" s="5">
        <f t="shared" si="7"/>
        <v>45352</v>
      </c>
      <c r="C28" s="1" t="s">
        <v>17</v>
      </c>
      <c r="D28" s="194"/>
      <c r="E28" s="1"/>
      <c r="F28" s="2"/>
      <c r="G28" s="3">
        <f t="shared" si="1"/>
        <v>0</v>
      </c>
      <c r="H28" s="4">
        <f t="shared" si="6"/>
        <v>0</v>
      </c>
      <c r="I28" s="7"/>
      <c r="J28" s="7">
        <v>1.6500000000000001E-2</v>
      </c>
      <c r="K28" s="7">
        <v>7.5999999999999998E-2</v>
      </c>
      <c r="L28" s="7">
        <v>0</v>
      </c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spans="1:16" hidden="1">
      <c r="A29" s="44"/>
      <c r="B29" s="5">
        <f t="shared" si="7"/>
        <v>45352</v>
      </c>
      <c r="C29" s="1" t="s">
        <v>17</v>
      </c>
      <c r="D29" s="194"/>
      <c r="E29" s="1"/>
      <c r="F29" s="2"/>
      <c r="G29" s="3">
        <f t="shared" si="1"/>
        <v>0</v>
      </c>
      <c r="H29" s="4">
        <f>+IF(G29=0,0,G29/E29)</f>
        <v>0</v>
      </c>
      <c r="I29" s="7"/>
      <c r="J29" s="7">
        <v>1.6500000000000001E-2</v>
      </c>
      <c r="K29" s="7">
        <v>7.5999999999999998E-2</v>
      </c>
      <c r="L29" s="7">
        <v>0</v>
      </c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spans="1:16" hidden="1">
      <c r="A30" s="44"/>
      <c r="B30" s="5">
        <f t="shared" si="7"/>
        <v>45352</v>
      </c>
      <c r="C30" s="1" t="s">
        <v>17</v>
      </c>
      <c r="D30" s="194"/>
      <c r="E30" s="1"/>
      <c r="F30" s="2"/>
      <c r="G30" s="3">
        <f t="shared" si="1"/>
        <v>0</v>
      </c>
      <c r="H30" s="4">
        <f>+IF(G30=0,0,G30/E30)</f>
        <v>0</v>
      </c>
      <c r="I30" s="7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45352</v>
      </c>
      <c r="C31" s="1" t="s">
        <v>17</v>
      </c>
      <c r="D31" s="194"/>
      <c r="E31" s="1"/>
      <c r="F31" s="2"/>
      <c r="G31" s="3">
        <f t="shared" si="1"/>
        <v>0</v>
      </c>
      <c r="H31" s="4">
        <f t="shared" si="6"/>
        <v>0</v>
      </c>
      <c r="I31" s="7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>
      <c r="A32" s="44"/>
      <c r="B32" s="5">
        <f t="shared" si="7"/>
        <v>45352</v>
      </c>
      <c r="C32" s="1" t="s">
        <v>17</v>
      </c>
      <c r="D32" s="194" t="s">
        <v>583</v>
      </c>
      <c r="E32" s="1">
        <v>8093670.2400000002</v>
      </c>
      <c r="F32" s="2">
        <v>23297932.82</v>
      </c>
      <c r="G32" s="3">
        <f t="shared" si="1"/>
        <v>18605729.150052</v>
      </c>
      <c r="H32" s="4">
        <f t="shared" si="6"/>
        <v>2.2988000002891149</v>
      </c>
      <c r="I32" s="7">
        <v>0.12</v>
      </c>
      <c r="J32" s="7">
        <v>1.6500000000000001E-2</v>
      </c>
      <c r="K32" s="7">
        <v>7.5999999999999998E-2</v>
      </c>
      <c r="L32" s="7">
        <v>0</v>
      </c>
      <c r="M32" s="11">
        <f t="shared" si="2"/>
        <v>2795751.9383999999</v>
      </c>
      <c r="N32" s="11">
        <f t="shared" si="3"/>
        <v>338285.98454640002</v>
      </c>
      <c r="O32" s="11">
        <f t="shared" si="4"/>
        <v>1558165.7470016</v>
      </c>
      <c r="P32" s="11">
        <f t="shared" si="5"/>
        <v>0</v>
      </c>
    </row>
    <row r="33" spans="1:16">
      <c r="A33" s="44"/>
      <c r="B33" s="5">
        <f t="shared" si="7"/>
        <v>45352</v>
      </c>
      <c r="C33" s="1" t="s">
        <v>440</v>
      </c>
      <c r="D33" s="194">
        <v>219</v>
      </c>
      <c r="E33" s="1">
        <v>294000</v>
      </c>
      <c r="F33" s="2">
        <v>716801.4</v>
      </c>
      <c r="G33" s="3">
        <f t="shared" si="1"/>
        <v>604962.46156500001</v>
      </c>
      <c r="H33" s="4">
        <f t="shared" si="6"/>
        <v>2.0576954475</v>
      </c>
      <c r="I33" s="7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50176.098000000005</v>
      </c>
      <c r="N33" s="11">
        <f t="shared" si="3"/>
        <v>10999.317483000001</v>
      </c>
      <c r="O33" s="11">
        <f t="shared" si="4"/>
        <v>50663.522951999999</v>
      </c>
      <c r="P33" s="11">
        <f t="shared" si="5"/>
        <v>0</v>
      </c>
    </row>
    <row r="34" spans="1:16">
      <c r="A34" s="44"/>
      <c r="B34" s="5">
        <f t="shared" si="7"/>
        <v>45352</v>
      </c>
      <c r="C34" s="1" t="s">
        <v>491</v>
      </c>
      <c r="D34" s="194">
        <v>1383</v>
      </c>
      <c r="E34" s="1">
        <v>4650000</v>
      </c>
      <c r="F34" s="1">
        <v>11889585</v>
      </c>
      <c r="G34" s="3">
        <f t="shared" si="1"/>
        <v>9495022.5810000002</v>
      </c>
      <c r="H34" s="4">
        <f t="shared" si="6"/>
        <v>2.04194034</v>
      </c>
      <c r="I34" s="7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1426750.2</v>
      </c>
      <c r="N34" s="11">
        <f t="shared" si="3"/>
        <v>172636.77420000001</v>
      </c>
      <c r="O34" s="11">
        <f t="shared" si="4"/>
        <v>795175.44480000006</v>
      </c>
      <c r="P34" s="11">
        <f t="shared" si="5"/>
        <v>0</v>
      </c>
    </row>
    <row r="35" spans="1:16">
      <c r="A35" s="44"/>
      <c r="B35" s="5">
        <f t="shared" ref="B35:B36" si="8">B32</f>
        <v>45352</v>
      </c>
      <c r="C35" s="1" t="s">
        <v>534</v>
      </c>
      <c r="D35" s="195">
        <v>90277</v>
      </c>
      <c r="E35" s="118">
        <v>23000</v>
      </c>
      <c r="F35" s="2">
        <v>163366.70000000001</v>
      </c>
      <c r="G35" s="3">
        <f t="shared" ref="G35:G36" si="9">F35-SUM(M35:P35)</f>
        <v>137877.41063250002</v>
      </c>
      <c r="H35" s="4">
        <f t="shared" si="6"/>
        <v>5.9946700275000007</v>
      </c>
      <c r="I35" s="7">
        <v>7.0000000000000007E-2</v>
      </c>
      <c r="J35" s="7">
        <v>1.6500000000000001E-2</v>
      </c>
      <c r="K35" s="7">
        <v>7.5999999999999998E-2</v>
      </c>
      <c r="L35" s="7">
        <v>0</v>
      </c>
      <c r="M35" s="11">
        <f t="shared" si="2"/>
        <v>11435.669000000002</v>
      </c>
      <c r="N35" s="11">
        <f t="shared" si="3"/>
        <v>2506.8620115000003</v>
      </c>
      <c r="O35" s="11">
        <f t="shared" si="4"/>
        <v>11546.758356</v>
      </c>
      <c r="P35" s="11">
        <f t="shared" si="5"/>
        <v>0</v>
      </c>
    </row>
    <row r="36" spans="1:16">
      <c r="A36" s="44"/>
      <c r="B36" s="5">
        <f t="shared" si="8"/>
        <v>45352</v>
      </c>
      <c r="C36" s="1" t="s">
        <v>534</v>
      </c>
      <c r="D36" s="195">
        <v>90278</v>
      </c>
      <c r="E36" s="118">
        <v>23000</v>
      </c>
      <c r="F36" s="2">
        <v>163366.70000000001</v>
      </c>
      <c r="G36" s="3">
        <f t="shared" si="9"/>
        <v>137877.41063250002</v>
      </c>
      <c r="H36" s="4">
        <f t="shared" si="6"/>
        <v>5.9946700275000007</v>
      </c>
      <c r="I36" s="7">
        <v>7.0000000000000007E-2</v>
      </c>
      <c r="J36" s="7">
        <v>1.6500000000000001E-2</v>
      </c>
      <c r="K36" s="7">
        <v>7.5999999999999998E-2</v>
      </c>
      <c r="L36" s="7">
        <v>0</v>
      </c>
      <c r="M36" s="11">
        <f t="shared" si="2"/>
        <v>11435.669000000002</v>
      </c>
      <c r="N36" s="11">
        <f t="shared" si="3"/>
        <v>2506.8620115000003</v>
      </c>
      <c r="O36" s="11">
        <f t="shared" si="4"/>
        <v>11546.758356</v>
      </c>
      <c r="P36" s="11">
        <f t="shared" si="5"/>
        <v>0</v>
      </c>
    </row>
    <row r="37" spans="1:16">
      <c r="A37" s="44"/>
      <c r="B37" s="5">
        <f>B34</f>
        <v>45352</v>
      </c>
      <c r="C37" s="1" t="s">
        <v>534</v>
      </c>
      <c r="D37" s="195">
        <v>90279</v>
      </c>
      <c r="E37" s="118">
        <v>23000</v>
      </c>
      <c r="F37" s="2">
        <v>163366.70000000001</v>
      </c>
      <c r="G37" s="3">
        <f t="shared" si="1"/>
        <v>137877.41063250002</v>
      </c>
      <c r="H37" s="4">
        <f>+IF(G37=0,0,G37/E37)</f>
        <v>5.9946700275000007</v>
      </c>
      <c r="I37" s="7">
        <v>7.0000000000000007E-2</v>
      </c>
      <c r="J37" s="7">
        <v>1.6500000000000001E-2</v>
      </c>
      <c r="K37" s="7">
        <v>7.5999999999999998E-2</v>
      </c>
      <c r="L37" s="7">
        <v>0</v>
      </c>
      <c r="M37" s="11">
        <f t="shared" si="2"/>
        <v>11435.669000000002</v>
      </c>
      <c r="N37" s="11">
        <f t="shared" si="3"/>
        <v>2506.8620115000003</v>
      </c>
      <c r="O37" s="11">
        <f t="shared" si="4"/>
        <v>11546.758356</v>
      </c>
      <c r="P37" s="11">
        <f t="shared" si="5"/>
        <v>0</v>
      </c>
    </row>
    <row r="38" spans="1:16">
      <c r="A38" s="44"/>
      <c r="B38" s="5">
        <f t="shared" si="7"/>
        <v>45352</v>
      </c>
      <c r="C38" s="1" t="s">
        <v>534</v>
      </c>
      <c r="D38" s="195">
        <v>90322</v>
      </c>
      <c r="E38" s="118">
        <v>1994.37</v>
      </c>
      <c r="F38" s="2">
        <v>14165.81</v>
      </c>
      <c r="G38" s="3">
        <f t="shared" ref="G38:G43" si="10">F38-SUM(M38:P38)</f>
        <v>11955.58949475</v>
      </c>
      <c r="H38" s="4">
        <f t="shared" ref="H38:H43" si="11">+IF(G38=0,0,G38/E38)</f>
        <v>5.9946697427007027</v>
      </c>
      <c r="I38" s="7">
        <v>7.0000000000000007E-2</v>
      </c>
      <c r="J38" s="7">
        <v>1.6500000000000001E-2</v>
      </c>
      <c r="K38" s="7">
        <v>7.5999999999999998E-2</v>
      </c>
      <c r="L38" s="7">
        <v>0</v>
      </c>
      <c r="M38" s="11">
        <f t="shared" si="2"/>
        <v>991.60670000000005</v>
      </c>
      <c r="N38" s="11">
        <f t="shared" si="3"/>
        <v>217.37435445</v>
      </c>
      <c r="O38" s="11">
        <f t="shared" si="4"/>
        <v>1001.2394507999999</v>
      </c>
      <c r="P38" s="11">
        <f t="shared" si="5"/>
        <v>0</v>
      </c>
    </row>
    <row r="39" spans="1:16">
      <c r="A39" s="44"/>
      <c r="B39" s="5">
        <f t="shared" si="7"/>
        <v>45352</v>
      </c>
      <c r="C39" s="1" t="s">
        <v>534</v>
      </c>
      <c r="D39" s="195">
        <v>90323</v>
      </c>
      <c r="E39" s="118">
        <v>2035.73</v>
      </c>
      <c r="F39" s="2">
        <v>14628.55</v>
      </c>
      <c r="G39" s="3">
        <f t="shared" si="10"/>
        <v>12346.13048625</v>
      </c>
      <c r="H39" s="4">
        <f t="shared" si="11"/>
        <v>6.0647190375197102</v>
      </c>
      <c r="I39" s="7">
        <v>7.0000000000000007E-2</v>
      </c>
      <c r="J39" s="7">
        <v>1.6500000000000001E-2</v>
      </c>
      <c r="K39" s="7">
        <v>7.5999999999999998E-2</v>
      </c>
      <c r="L39" s="7">
        <v>0</v>
      </c>
      <c r="M39" s="11">
        <f t="shared" si="2"/>
        <v>1023.9985</v>
      </c>
      <c r="N39" s="11">
        <f t="shared" si="3"/>
        <v>224.47509975</v>
      </c>
      <c r="O39" s="11">
        <f t="shared" si="4"/>
        <v>1033.9459139999999</v>
      </c>
      <c r="P39" s="11">
        <f t="shared" si="5"/>
        <v>0</v>
      </c>
    </row>
    <row r="40" spans="1:16">
      <c r="A40" s="44"/>
      <c r="B40" s="5">
        <f t="shared" si="7"/>
        <v>45352</v>
      </c>
      <c r="C40" s="1" t="s">
        <v>534</v>
      </c>
      <c r="D40" s="195">
        <v>90324</v>
      </c>
      <c r="E40" s="118">
        <v>1925.44</v>
      </c>
      <c r="F40" s="2">
        <v>13676.21</v>
      </c>
      <c r="G40" s="3">
        <f t="shared" si="10"/>
        <v>11542.37933475</v>
      </c>
      <c r="H40" s="4">
        <f t="shared" si="11"/>
        <v>5.9946710023423213</v>
      </c>
      <c r="I40" s="7">
        <v>7.0000000000000007E-2</v>
      </c>
      <c r="J40" s="7">
        <v>1.6500000000000001E-2</v>
      </c>
      <c r="K40" s="7">
        <v>7.5999999999999998E-2</v>
      </c>
      <c r="L40" s="7">
        <v>0</v>
      </c>
      <c r="M40" s="11">
        <f t="shared" si="2"/>
        <v>957.3347</v>
      </c>
      <c r="N40" s="11">
        <f t="shared" si="3"/>
        <v>209.86144245</v>
      </c>
      <c r="O40" s="11">
        <f t="shared" si="4"/>
        <v>966.6345227999999</v>
      </c>
      <c r="P40" s="11">
        <f t="shared" si="5"/>
        <v>0</v>
      </c>
    </row>
    <row r="41" spans="1:16">
      <c r="A41" s="44"/>
      <c r="B41" s="5">
        <f t="shared" si="7"/>
        <v>45352</v>
      </c>
      <c r="C41" s="1" t="s">
        <v>534</v>
      </c>
      <c r="D41" s="195">
        <v>90370</v>
      </c>
      <c r="E41" s="118">
        <v>23526.130099999998</v>
      </c>
      <c r="F41" s="2">
        <v>167103.75</v>
      </c>
      <c r="G41" s="3">
        <f t="shared" si="10"/>
        <v>141031.38740625</v>
      </c>
      <c r="H41" s="4">
        <f t="shared" si="11"/>
        <v>5.9946700458929287</v>
      </c>
      <c r="I41" s="7">
        <v>7.0000000000000007E-2</v>
      </c>
      <c r="J41" s="7">
        <v>1.6500000000000001E-2</v>
      </c>
      <c r="K41" s="7">
        <v>7.5999999999999998E-2</v>
      </c>
      <c r="L41" s="7">
        <v>0</v>
      </c>
      <c r="M41" s="11">
        <f t="shared" si="2"/>
        <v>11697.262500000001</v>
      </c>
      <c r="N41" s="11">
        <f t="shared" si="3"/>
        <v>2564.2070437500001</v>
      </c>
      <c r="O41" s="11">
        <f t="shared" si="4"/>
        <v>11810.893049999999</v>
      </c>
      <c r="P41" s="11">
        <f t="shared" si="5"/>
        <v>0</v>
      </c>
    </row>
    <row r="42" spans="1:16">
      <c r="A42" s="44"/>
      <c r="B42" s="5">
        <f t="shared" si="7"/>
        <v>45352</v>
      </c>
      <c r="C42" s="1" t="s">
        <v>534</v>
      </c>
      <c r="D42" s="195">
        <v>90375</v>
      </c>
      <c r="E42" s="118">
        <v>24771.82</v>
      </c>
      <c r="F42" s="2">
        <v>175951.76</v>
      </c>
      <c r="G42" s="3">
        <f t="shared" si="10"/>
        <v>148498.886646</v>
      </c>
      <c r="H42" s="4">
        <f t="shared" si="11"/>
        <v>5.9946700180285504</v>
      </c>
      <c r="I42" s="7">
        <v>7.0000000000000007E-2</v>
      </c>
      <c r="J42" s="7">
        <v>1.6500000000000001E-2</v>
      </c>
      <c r="K42" s="7">
        <v>7.5999999999999998E-2</v>
      </c>
      <c r="L42" s="7">
        <v>0</v>
      </c>
      <c r="M42" s="11">
        <f t="shared" si="2"/>
        <v>12316.623200000002</v>
      </c>
      <c r="N42" s="11">
        <f t="shared" si="3"/>
        <v>2699.9797572000002</v>
      </c>
      <c r="O42" s="11">
        <f t="shared" si="4"/>
        <v>12436.270396800001</v>
      </c>
      <c r="P42" s="11">
        <f t="shared" si="5"/>
        <v>0</v>
      </c>
    </row>
    <row r="43" spans="1:16">
      <c r="A43" s="44"/>
      <c r="B43" s="5">
        <f t="shared" si="7"/>
        <v>45352</v>
      </c>
      <c r="C43" s="1" t="s">
        <v>534</v>
      </c>
      <c r="D43" s="195">
        <v>90385</v>
      </c>
      <c r="E43" s="118">
        <v>25025.19</v>
      </c>
      <c r="F43" s="2">
        <v>177751.42</v>
      </c>
      <c r="G43" s="3">
        <f t="shared" si="10"/>
        <v>150017.75469450001</v>
      </c>
      <c r="H43" s="4">
        <f t="shared" si="11"/>
        <v>5.9946699583299869</v>
      </c>
      <c r="I43" s="7">
        <v>7.0000000000000007E-2</v>
      </c>
      <c r="J43" s="7">
        <v>1.6500000000000001E-2</v>
      </c>
      <c r="K43" s="7">
        <v>7.5999999999999998E-2</v>
      </c>
      <c r="L43" s="7">
        <v>0</v>
      </c>
      <c r="M43" s="11">
        <f t="shared" si="2"/>
        <v>12442.599400000003</v>
      </c>
      <c r="N43" s="11">
        <f t="shared" si="3"/>
        <v>2727.5955399000004</v>
      </c>
      <c r="O43" s="11">
        <f t="shared" si="4"/>
        <v>12563.4703656</v>
      </c>
      <c r="P43" s="11">
        <f t="shared" si="5"/>
        <v>0</v>
      </c>
    </row>
    <row r="44" spans="1:16">
      <c r="A44" s="44"/>
      <c r="B44" s="5">
        <f t="shared" si="7"/>
        <v>45352</v>
      </c>
      <c r="C44" s="1" t="s">
        <v>534</v>
      </c>
      <c r="D44" s="195">
        <v>90487</v>
      </c>
      <c r="E44" s="118">
        <v>24866.835999999999</v>
      </c>
      <c r="F44" s="2">
        <v>176626.65</v>
      </c>
      <c r="G44" s="3">
        <f t="shared" ref="G44:G60" si="12">F44-SUM(M44:P44)</f>
        <v>149068.47693375</v>
      </c>
      <c r="H44" s="4">
        <f t="shared" ref="H44:H60" si="13">+IF(G44=0,0,G44/E44)</f>
        <v>5.994670047035739</v>
      </c>
      <c r="I44" s="7">
        <v>7.0000000000000007E-2</v>
      </c>
      <c r="J44" s="7">
        <v>1.6500000000000001E-2</v>
      </c>
      <c r="K44" s="7">
        <v>7.5999999999999998E-2</v>
      </c>
      <c r="L44" s="7">
        <v>0</v>
      </c>
      <c r="M44" s="11">
        <f t="shared" ref="M44:M60" si="14">+I44*F44</f>
        <v>12363.8655</v>
      </c>
      <c r="N44" s="11">
        <f t="shared" ref="N44:N60" si="15">J44*(F44-M44)</f>
        <v>2710.3359442500005</v>
      </c>
      <c r="O44" s="11">
        <f t="shared" ref="O44:O60" si="16">K44*(F44-M44)</f>
        <v>12483.971622000001</v>
      </c>
      <c r="P44" s="11">
        <f t="shared" ref="P44:P60" si="17">L44*(F44)</f>
        <v>0</v>
      </c>
    </row>
    <row r="45" spans="1:16">
      <c r="A45" s="44"/>
      <c r="B45" s="5">
        <f t="shared" si="7"/>
        <v>45352</v>
      </c>
      <c r="C45" s="1" t="s">
        <v>534</v>
      </c>
      <c r="D45" s="195">
        <v>90488</v>
      </c>
      <c r="E45" s="118">
        <v>25005.525000000001</v>
      </c>
      <c r="F45" s="2">
        <v>177611.74</v>
      </c>
      <c r="G45" s="3">
        <f t="shared" si="12"/>
        <v>149899.86826650001</v>
      </c>
      <c r="H45" s="4">
        <f t="shared" si="13"/>
        <v>5.9946699086101969</v>
      </c>
      <c r="I45" s="7">
        <v>7.0000000000000007E-2</v>
      </c>
      <c r="J45" s="7">
        <v>1.6500000000000001E-2</v>
      </c>
      <c r="K45" s="7">
        <v>7.5999999999999998E-2</v>
      </c>
      <c r="L45" s="7">
        <v>0</v>
      </c>
      <c r="M45" s="11">
        <f t="shared" si="14"/>
        <v>12432.8218</v>
      </c>
      <c r="N45" s="11">
        <f t="shared" si="15"/>
        <v>2725.4521503000001</v>
      </c>
      <c r="O45" s="11">
        <f t="shared" si="16"/>
        <v>12553.597783199999</v>
      </c>
      <c r="P45" s="11">
        <f t="shared" si="17"/>
        <v>0</v>
      </c>
    </row>
    <row r="46" spans="1:16">
      <c r="A46" s="44"/>
      <c r="B46" s="5">
        <f t="shared" si="7"/>
        <v>45352</v>
      </c>
      <c r="C46" s="1" t="s">
        <v>534</v>
      </c>
      <c r="D46" s="195">
        <v>90489</v>
      </c>
      <c r="E46" s="118">
        <v>23577.034</v>
      </c>
      <c r="F46" s="2">
        <v>167465.31</v>
      </c>
      <c r="G46" s="3">
        <f t="shared" si="12"/>
        <v>141336.53500725</v>
      </c>
      <c r="H46" s="4">
        <f t="shared" si="13"/>
        <v>5.9946698557269755</v>
      </c>
      <c r="I46" s="7">
        <v>7.0000000000000007E-2</v>
      </c>
      <c r="J46" s="7">
        <v>1.6500000000000001E-2</v>
      </c>
      <c r="K46" s="7">
        <v>7.5999999999999998E-2</v>
      </c>
      <c r="L46" s="7">
        <v>0</v>
      </c>
      <c r="M46" s="11">
        <f t="shared" si="14"/>
        <v>11722.5717</v>
      </c>
      <c r="N46" s="11">
        <f t="shared" si="15"/>
        <v>2569.75518195</v>
      </c>
      <c r="O46" s="11">
        <f t="shared" si="16"/>
        <v>11836.4481108</v>
      </c>
      <c r="P46" s="11">
        <f t="shared" si="17"/>
        <v>0</v>
      </c>
    </row>
    <row r="47" spans="1:16">
      <c r="A47" s="44"/>
      <c r="B47" s="5">
        <f t="shared" si="7"/>
        <v>45352</v>
      </c>
      <c r="C47" s="1" t="s">
        <v>534</v>
      </c>
      <c r="D47" s="195">
        <v>90490</v>
      </c>
      <c r="E47" s="118">
        <v>24215</v>
      </c>
      <c r="F47" s="2">
        <v>171996.72</v>
      </c>
      <c r="G47" s="3">
        <f t="shared" si="12"/>
        <v>145160.93176199999</v>
      </c>
      <c r="H47" s="4">
        <f t="shared" si="13"/>
        <v>5.9946699055131116</v>
      </c>
      <c r="I47" s="7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14"/>
        <v>12039.770400000001</v>
      </c>
      <c r="N47" s="11">
        <f t="shared" si="15"/>
        <v>2639.2896684000002</v>
      </c>
      <c r="O47" s="11">
        <f t="shared" si="16"/>
        <v>12156.728169599999</v>
      </c>
      <c r="P47" s="11">
        <f t="shared" si="17"/>
        <v>0</v>
      </c>
    </row>
    <row r="48" spans="1:16">
      <c r="A48" s="44"/>
      <c r="B48" s="5">
        <f t="shared" si="7"/>
        <v>45352</v>
      </c>
      <c r="C48" s="1" t="s">
        <v>534</v>
      </c>
      <c r="D48" s="195">
        <v>90509</v>
      </c>
      <c r="E48" s="118">
        <v>24357.508600000001</v>
      </c>
      <c r="F48" s="2">
        <v>173008.95</v>
      </c>
      <c r="G48" s="3">
        <f t="shared" si="12"/>
        <v>146015.22857625003</v>
      </c>
      <c r="H48" s="4">
        <f t="shared" si="13"/>
        <v>5.994670102518203</v>
      </c>
      <c r="I48" s="7">
        <v>7.0000000000000007E-2</v>
      </c>
      <c r="J48" s="7">
        <v>1.6500000000000001E-2</v>
      </c>
      <c r="K48" s="7">
        <v>7.5999999999999998E-2</v>
      </c>
      <c r="L48" s="7">
        <v>0</v>
      </c>
      <c r="M48" s="11">
        <f t="shared" si="14"/>
        <v>12110.626500000002</v>
      </c>
      <c r="N48" s="11">
        <f t="shared" si="15"/>
        <v>2654.8223377500003</v>
      </c>
      <c r="O48" s="11">
        <f t="shared" si="16"/>
        <v>12228.272585999999</v>
      </c>
      <c r="P48" s="11">
        <f t="shared" si="17"/>
        <v>0</v>
      </c>
    </row>
    <row r="49" spans="1:16">
      <c r="A49" s="44"/>
      <c r="B49" s="5">
        <f t="shared" si="7"/>
        <v>45352</v>
      </c>
      <c r="C49" s="1" t="s">
        <v>534</v>
      </c>
      <c r="D49" s="195">
        <v>90510</v>
      </c>
      <c r="E49" s="118">
        <v>24632.890299999999</v>
      </c>
      <c r="F49" s="2">
        <v>174964.96</v>
      </c>
      <c r="G49" s="3">
        <f t="shared" si="12"/>
        <v>147666.05211599998</v>
      </c>
      <c r="H49" s="4">
        <f t="shared" si="13"/>
        <v>5.994670147010722</v>
      </c>
      <c r="I49" s="7">
        <v>7.0000000000000007E-2</v>
      </c>
      <c r="J49" s="7">
        <v>1.6500000000000001E-2</v>
      </c>
      <c r="K49" s="7">
        <v>7.5999999999999998E-2</v>
      </c>
      <c r="L49" s="7">
        <v>0</v>
      </c>
      <c r="M49" s="11">
        <f t="shared" si="14"/>
        <v>12247.547200000001</v>
      </c>
      <c r="N49" s="11">
        <f t="shared" si="15"/>
        <v>2684.8373111999999</v>
      </c>
      <c r="O49" s="11">
        <f t="shared" si="16"/>
        <v>12366.523372799998</v>
      </c>
      <c r="P49" s="11">
        <f t="shared" si="17"/>
        <v>0</v>
      </c>
    </row>
    <row r="50" spans="1:16">
      <c r="A50" s="44"/>
      <c r="B50" s="5">
        <f t="shared" si="7"/>
        <v>45352</v>
      </c>
      <c r="C50" s="1" t="s">
        <v>534</v>
      </c>
      <c r="D50" s="195">
        <v>90511</v>
      </c>
      <c r="E50" s="118">
        <v>24867.877</v>
      </c>
      <c r="F50" s="2">
        <v>176634.04</v>
      </c>
      <c r="G50" s="3">
        <f t="shared" si="12"/>
        <v>149074.71390900001</v>
      </c>
      <c r="H50" s="4">
        <f t="shared" si="13"/>
        <v>5.9946699072462044</v>
      </c>
      <c r="I50" s="7">
        <v>7.0000000000000007E-2</v>
      </c>
      <c r="J50" s="7">
        <v>1.6500000000000001E-2</v>
      </c>
      <c r="K50" s="7">
        <v>7.5999999999999998E-2</v>
      </c>
      <c r="L50" s="7">
        <v>0</v>
      </c>
      <c r="M50" s="11">
        <f t="shared" si="14"/>
        <v>12364.382800000001</v>
      </c>
      <c r="N50" s="11">
        <f t="shared" si="15"/>
        <v>2710.4493438000004</v>
      </c>
      <c r="O50" s="11">
        <f t="shared" si="16"/>
        <v>12484.493947200001</v>
      </c>
      <c r="P50" s="11">
        <f t="shared" si="17"/>
        <v>0</v>
      </c>
    </row>
    <row r="51" spans="1:16">
      <c r="A51" s="44"/>
      <c r="B51" s="5">
        <f t="shared" si="7"/>
        <v>45352</v>
      </c>
      <c r="C51" s="1" t="s">
        <v>534</v>
      </c>
      <c r="D51" s="195">
        <v>90518</v>
      </c>
      <c r="E51" s="118">
        <v>24000</v>
      </c>
      <c r="F51" s="2">
        <v>170469.6</v>
      </c>
      <c r="G51" s="3">
        <f t="shared" si="12"/>
        <v>143872.08066000001</v>
      </c>
      <c r="H51" s="4">
        <f t="shared" si="13"/>
        <v>5.9946700275000007</v>
      </c>
      <c r="I51" s="7">
        <v>7.0000000000000007E-2</v>
      </c>
      <c r="J51" s="7">
        <v>1.6500000000000001E-2</v>
      </c>
      <c r="K51" s="7">
        <v>7.5999999999999998E-2</v>
      </c>
      <c r="L51" s="7">
        <v>0</v>
      </c>
      <c r="M51" s="11">
        <f t="shared" si="14"/>
        <v>11932.872000000001</v>
      </c>
      <c r="N51" s="11">
        <f t="shared" si="15"/>
        <v>2615.8560120000002</v>
      </c>
      <c r="O51" s="11">
        <f t="shared" si="16"/>
        <v>12048.791327999999</v>
      </c>
      <c r="P51" s="11">
        <f t="shared" si="17"/>
        <v>0</v>
      </c>
    </row>
    <row r="52" spans="1:16">
      <c r="A52" s="44"/>
      <c r="B52" s="5">
        <f t="shared" si="7"/>
        <v>45352</v>
      </c>
      <c r="C52" s="1" t="s">
        <v>534</v>
      </c>
      <c r="D52" s="195">
        <v>90519</v>
      </c>
      <c r="E52" s="118">
        <v>24000</v>
      </c>
      <c r="F52" s="2">
        <v>170469.6</v>
      </c>
      <c r="G52" s="3">
        <f t="shared" si="12"/>
        <v>143872.08066000001</v>
      </c>
      <c r="H52" s="4">
        <f t="shared" si="13"/>
        <v>5.9946700275000007</v>
      </c>
      <c r="I52" s="7">
        <v>7.0000000000000007E-2</v>
      </c>
      <c r="J52" s="7">
        <v>1.6500000000000001E-2</v>
      </c>
      <c r="K52" s="7">
        <v>7.5999999999999998E-2</v>
      </c>
      <c r="L52" s="7">
        <v>0</v>
      </c>
      <c r="M52" s="11">
        <f t="shared" si="14"/>
        <v>11932.872000000001</v>
      </c>
      <c r="N52" s="11">
        <f t="shared" si="15"/>
        <v>2615.8560120000002</v>
      </c>
      <c r="O52" s="11">
        <f t="shared" si="16"/>
        <v>12048.791327999999</v>
      </c>
      <c r="P52" s="11">
        <f t="shared" si="17"/>
        <v>0</v>
      </c>
    </row>
    <row r="53" spans="1:16">
      <c r="A53" s="44"/>
      <c r="B53" s="5">
        <f t="shared" si="7"/>
        <v>45352</v>
      </c>
      <c r="C53" s="1" t="s">
        <v>534</v>
      </c>
      <c r="D53" s="195">
        <v>90545</v>
      </c>
      <c r="E53" s="118">
        <v>24168.624</v>
      </c>
      <c r="F53" s="2">
        <v>173673.32</v>
      </c>
      <c r="G53" s="3">
        <f t="shared" si="12"/>
        <v>146575.94024700002</v>
      </c>
      <c r="H53" s="4">
        <f t="shared" si="13"/>
        <v>6.0647201200614491</v>
      </c>
      <c r="I53" s="7">
        <v>7.0000000000000007E-2</v>
      </c>
      <c r="J53" s="7">
        <v>1.6500000000000001E-2</v>
      </c>
      <c r="K53" s="7">
        <v>7.5999999999999998E-2</v>
      </c>
      <c r="L53" s="7">
        <v>0</v>
      </c>
      <c r="M53" s="11">
        <f t="shared" si="14"/>
        <v>12157.132400000002</v>
      </c>
      <c r="N53" s="11">
        <f t="shared" si="15"/>
        <v>2665.0170954</v>
      </c>
      <c r="O53" s="11">
        <f t="shared" si="16"/>
        <v>12275.2302576</v>
      </c>
      <c r="P53" s="11">
        <f t="shared" si="17"/>
        <v>0</v>
      </c>
    </row>
    <row r="54" spans="1:16">
      <c r="A54" s="44"/>
      <c r="B54" s="5">
        <f t="shared" si="7"/>
        <v>45352</v>
      </c>
      <c r="C54" s="1" t="s">
        <v>534</v>
      </c>
      <c r="D54" s="195">
        <v>90590</v>
      </c>
      <c r="E54" s="118">
        <v>25034.857</v>
      </c>
      <c r="F54" s="2">
        <v>177820.09</v>
      </c>
      <c r="G54" s="3">
        <f t="shared" si="12"/>
        <v>150075.71045774998</v>
      </c>
      <c r="H54" s="4">
        <f t="shared" si="13"/>
        <v>5.994670169585949</v>
      </c>
      <c r="I54" s="7">
        <v>7.0000000000000007E-2</v>
      </c>
      <c r="J54" s="7">
        <v>1.6500000000000001E-2</v>
      </c>
      <c r="K54" s="7">
        <v>7.5999999999999998E-2</v>
      </c>
      <c r="L54" s="7">
        <v>0</v>
      </c>
      <c r="M54" s="11">
        <f t="shared" si="14"/>
        <v>12447.406300000001</v>
      </c>
      <c r="N54" s="11">
        <f t="shared" si="15"/>
        <v>2728.6492810499999</v>
      </c>
      <c r="O54" s="11">
        <f t="shared" si="16"/>
        <v>12568.3239612</v>
      </c>
      <c r="P54" s="11">
        <f t="shared" si="17"/>
        <v>0</v>
      </c>
    </row>
    <row r="55" spans="1:16">
      <c r="A55" s="44"/>
      <c r="B55" s="5">
        <f t="shared" si="7"/>
        <v>45352</v>
      </c>
      <c r="C55" s="1" t="s">
        <v>534</v>
      </c>
      <c r="D55" s="195">
        <v>90596</v>
      </c>
      <c r="E55" s="118">
        <v>24743.431</v>
      </c>
      <c r="F55" s="2">
        <v>184296.5</v>
      </c>
      <c r="G55" s="3">
        <f t="shared" si="12"/>
        <v>155541.6385875</v>
      </c>
      <c r="H55" s="4">
        <f t="shared" si="13"/>
        <v>6.2861790908261668</v>
      </c>
      <c r="I55" s="7">
        <v>7.0000000000000007E-2</v>
      </c>
      <c r="J55" s="7">
        <v>1.6500000000000001E-2</v>
      </c>
      <c r="K55" s="7">
        <v>7.5999999999999998E-2</v>
      </c>
      <c r="L55" s="7">
        <v>0</v>
      </c>
      <c r="M55" s="11">
        <f t="shared" si="14"/>
        <v>12900.755000000001</v>
      </c>
      <c r="N55" s="11">
        <f t="shared" si="15"/>
        <v>2828.0297925</v>
      </c>
      <c r="O55" s="11">
        <f t="shared" si="16"/>
        <v>13026.07662</v>
      </c>
      <c r="P55" s="11">
        <f t="shared" si="17"/>
        <v>0</v>
      </c>
    </row>
    <row r="56" spans="1:16">
      <c r="A56" s="44"/>
      <c r="B56" s="5">
        <f t="shared" si="7"/>
        <v>45352</v>
      </c>
      <c r="C56" s="1" t="s">
        <v>534</v>
      </c>
      <c r="D56" s="195">
        <v>90602</v>
      </c>
      <c r="E56" s="118">
        <v>24068.429</v>
      </c>
      <c r="F56" s="2">
        <v>179268.88</v>
      </c>
      <c r="G56" s="3">
        <f t="shared" si="12"/>
        <v>151298.45299799999</v>
      </c>
      <c r="H56" s="4">
        <f t="shared" si="13"/>
        <v>6.2861790022938342</v>
      </c>
      <c r="I56" s="7">
        <v>7.0000000000000007E-2</v>
      </c>
      <c r="J56" s="7">
        <v>1.6500000000000001E-2</v>
      </c>
      <c r="K56" s="7">
        <v>7.5999999999999998E-2</v>
      </c>
      <c r="L56" s="7">
        <v>0</v>
      </c>
      <c r="M56" s="11">
        <f t="shared" si="14"/>
        <v>12548.821600000001</v>
      </c>
      <c r="N56" s="11">
        <f t="shared" si="15"/>
        <v>2750.8809636000001</v>
      </c>
      <c r="O56" s="11">
        <f t="shared" si="16"/>
        <v>12670.724438400001</v>
      </c>
      <c r="P56" s="11">
        <f t="shared" si="17"/>
        <v>0</v>
      </c>
    </row>
    <row r="57" spans="1:16">
      <c r="A57" s="44"/>
      <c r="B57" s="5">
        <f t="shared" si="7"/>
        <v>45352</v>
      </c>
      <c r="C57" s="1" t="s">
        <v>534</v>
      </c>
      <c r="D57" s="195">
        <v>90618</v>
      </c>
      <c r="E57" s="118">
        <v>24947.241900000001</v>
      </c>
      <c r="F57" s="2">
        <v>185814.54</v>
      </c>
      <c r="G57" s="3">
        <f t="shared" si="12"/>
        <v>156822.82639649999</v>
      </c>
      <c r="H57" s="4">
        <f t="shared" si="13"/>
        <v>6.2861789301245352</v>
      </c>
      <c r="I57" s="7">
        <v>7.0000000000000007E-2</v>
      </c>
      <c r="J57" s="7">
        <v>1.6500000000000001E-2</v>
      </c>
      <c r="K57" s="7">
        <v>7.5999999999999998E-2</v>
      </c>
      <c r="L57" s="7">
        <v>0</v>
      </c>
      <c r="M57" s="11">
        <f t="shared" si="14"/>
        <v>13007.017800000001</v>
      </c>
      <c r="N57" s="11">
        <f t="shared" si="15"/>
        <v>2851.3241163000002</v>
      </c>
      <c r="O57" s="11">
        <f t="shared" si="16"/>
        <v>13133.3716872</v>
      </c>
      <c r="P57" s="11">
        <f t="shared" si="17"/>
        <v>0</v>
      </c>
    </row>
    <row r="58" spans="1:16">
      <c r="A58" s="44"/>
      <c r="B58" s="5">
        <f t="shared" si="7"/>
        <v>45352</v>
      </c>
      <c r="C58" s="1" t="s">
        <v>534</v>
      </c>
      <c r="D58" s="195">
        <v>90621</v>
      </c>
      <c r="E58" s="118">
        <v>24736.705000000002</v>
      </c>
      <c r="F58" s="2">
        <v>184246.39999999999</v>
      </c>
      <c r="G58" s="3">
        <f t="shared" si="12"/>
        <v>155499.35543999998</v>
      </c>
      <c r="H58" s="4">
        <f t="shared" si="13"/>
        <v>6.2861789975665703</v>
      </c>
      <c r="I58" s="7">
        <v>7.0000000000000007E-2</v>
      </c>
      <c r="J58" s="7">
        <v>1.6500000000000001E-2</v>
      </c>
      <c r="K58" s="7">
        <v>7.5999999999999998E-2</v>
      </c>
      <c r="L58" s="7">
        <v>0</v>
      </c>
      <c r="M58" s="11">
        <f t="shared" si="14"/>
        <v>12897.248000000001</v>
      </c>
      <c r="N58" s="11">
        <f t="shared" si="15"/>
        <v>2827.2610079999999</v>
      </c>
      <c r="O58" s="11">
        <f t="shared" si="16"/>
        <v>13022.535551999999</v>
      </c>
      <c r="P58" s="11">
        <f t="shared" si="17"/>
        <v>0</v>
      </c>
    </row>
    <row r="59" spans="1:16">
      <c r="A59" s="44"/>
      <c r="B59" s="5">
        <f t="shared" si="7"/>
        <v>45352</v>
      </c>
      <c r="C59" s="1" t="s">
        <v>534</v>
      </c>
      <c r="D59" s="195">
        <v>90634</v>
      </c>
      <c r="E59" s="118">
        <v>24523.224999999999</v>
      </c>
      <c r="F59" s="2">
        <v>182656.34</v>
      </c>
      <c r="G59" s="3">
        <f t="shared" si="12"/>
        <v>154157.3845515</v>
      </c>
      <c r="H59" s="4">
        <f t="shared" si="13"/>
        <v>6.2861791037475703</v>
      </c>
      <c r="I59" s="7">
        <v>7.0000000000000007E-2</v>
      </c>
      <c r="J59" s="7">
        <v>1.6500000000000001E-2</v>
      </c>
      <c r="K59" s="7">
        <v>7.5999999999999998E-2</v>
      </c>
      <c r="L59" s="7">
        <v>0</v>
      </c>
      <c r="M59" s="11">
        <f t="shared" si="14"/>
        <v>12785.943800000001</v>
      </c>
      <c r="N59" s="11">
        <f t="shared" si="15"/>
        <v>2802.8615372999998</v>
      </c>
      <c r="O59" s="11">
        <f t="shared" si="16"/>
        <v>12910.150111199999</v>
      </c>
      <c r="P59" s="11">
        <f t="shared" si="17"/>
        <v>0</v>
      </c>
    </row>
    <row r="60" spans="1:16">
      <c r="A60" s="44"/>
      <c r="B60" s="5">
        <f t="shared" si="7"/>
        <v>45352</v>
      </c>
      <c r="C60" s="1" t="s">
        <v>534</v>
      </c>
      <c r="D60" s="195">
        <v>90638</v>
      </c>
      <c r="E60" s="118">
        <v>24773.462</v>
      </c>
      <c r="F60" s="2">
        <v>184520.18</v>
      </c>
      <c r="G60" s="3">
        <f t="shared" si="12"/>
        <v>155730.41891549999</v>
      </c>
      <c r="H60" s="4">
        <f t="shared" si="13"/>
        <v>6.2861790942057265</v>
      </c>
      <c r="I60" s="7">
        <v>7.0000000000000007E-2</v>
      </c>
      <c r="J60" s="7">
        <v>1.6500000000000001E-2</v>
      </c>
      <c r="K60" s="7">
        <v>7.5999999999999998E-2</v>
      </c>
      <c r="L60" s="7">
        <v>0</v>
      </c>
      <c r="M60" s="11">
        <f t="shared" si="14"/>
        <v>12916.412600000001</v>
      </c>
      <c r="N60" s="11">
        <f t="shared" si="15"/>
        <v>2831.4621620999997</v>
      </c>
      <c r="O60" s="11">
        <f t="shared" si="16"/>
        <v>13041.886322399998</v>
      </c>
      <c r="P60" s="11">
        <f t="shared" si="17"/>
        <v>0</v>
      </c>
    </row>
    <row r="61" spans="1:16">
      <c r="A61" s="44"/>
      <c r="B61" s="5">
        <f t="shared" si="7"/>
        <v>45352</v>
      </c>
      <c r="C61" s="1" t="s">
        <v>534</v>
      </c>
      <c r="D61" s="195">
        <v>90668</v>
      </c>
      <c r="E61" s="118">
        <v>22000</v>
      </c>
      <c r="F61" s="2">
        <v>167382.6</v>
      </c>
      <c r="G61" s="3">
        <f t="shared" ref="G61:G63" si="18">F61-SUM(M61:P61)</f>
        <v>141266.72983500001</v>
      </c>
      <c r="H61" s="4">
        <f t="shared" ref="H61:H63" si="19">+IF(G61=0,0,G61/E61)</f>
        <v>6.4212149925000004</v>
      </c>
      <c r="I61" s="7">
        <v>7.0000000000000007E-2</v>
      </c>
      <c r="J61" s="7">
        <v>1.6500000000000001E-2</v>
      </c>
      <c r="K61" s="7">
        <v>7.5999999999999998E-2</v>
      </c>
      <c r="L61" s="7">
        <v>0</v>
      </c>
      <c r="M61" s="11">
        <f t="shared" ref="M61:M63" si="20">+I61*F61</f>
        <v>11716.782000000001</v>
      </c>
      <c r="N61" s="11">
        <f t="shared" ref="N61:N63" si="21">J61*(F61-M61)</f>
        <v>2568.4859970000002</v>
      </c>
      <c r="O61" s="11">
        <f t="shared" ref="O61:O63" si="22">K61*(F61-M61)</f>
        <v>11830.602167999999</v>
      </c>
      <c r="P61" s="11">
        <f t="shared" ref="P61:P63" si="23">L61*(F61)</f>
        <v>0</v>
      </c>
    </row>
    <row r="62" spans="1:16">
      <c r="A62" s="44"/>
      <c r="B62" s="5">
        <f t="shared" si="7"/>
        <v>45352</v>
      </c>
      <c r="C62" s="1" t="s">
        <v>534</v>
      </c>
      <c r="D62" s="195">
        <v>90309</v>
      </c>
      <c r="E62" s="118">
        <v>25223.57</v>
      </c>
      <c r="F62" s="2">
        <v>179160.5</v>
      </c>
      <c r="G62" s="3">
        <f t="shared" si="18"/>
        <v>151206.9829875</v>
      </c>
      <c r="H62" s="4">
        <f t="shared" si="19"/>
        <v>5.994670182987579</v>
      </c>
      <c r="I62" s="7">
        <v>7.0000000000000007E-2</v>
      </c>
      <c r="J62" s="7">
        <v>1.6500000000000001E-2</v>
      </c>
      <c r="K62" s="7">
        <v>7.5999999999999998E-2</v>
      </c>
      <c r="L62" s="7">
        <v>0</v>
      </c>
      <c r="M62" s="11">
        <f t="shared" si="20"/>
        <v>12541.235000000001</v>
      </c>
      <c r="N62" s="11">
        <f t="shared" si="21"/>
        <v>2749.2178725000003</v>
      </c>
      <c r="O62" s="11">
        <f t="shared" si="22"/>
        <v>12663.06414</v>
      </c>
      <c r="P62" s="11">
        <f t="shared" si="23"/>
        <v>0</v>
      </c>
    </row>
    <row r="63" spans="1:16">
      <c r="A63" s="44"/>
      <c r="B63" s="5">
        <f t="shared" si="7"/>
        <v>45352</v>
      </c>
      <c r="C63" s="1" t="s">
        <v>534</v>
      </c>
      <c r="D63" s="195">
        <v>90312</v>
      </c>
      <c r="E63" s="118">
        <v>25483.360000000001</v>
      </c>
      <c r="F63" s="2">
        <v>183120.89</v>
      </c>
      <c r="G63" s="3">
        <f t="shared" si="18"/>
        <v>154549.45313775001</v>
      </c>
      <c r="H63" s="4">
        <f t="shared" si="19"/>
        <v>6.0647203954953355</v>
      </c>
      <c r="I63" s="7">
        <v>7.0000000000000007E-2</v>
      </c>
      <c r="J63" s="7">
        <v>1.6500000000000001E-2</v>
      </c>
      <c r="K63" s="7">
        <v>7.5999999999999998E-2</v>
      </c>
      <c r="L63" s="7">
        <v>0</v>
      </c>
      <c r="M63" s="11">
        <f t="shared" si="20"/>
        <v>12818.462300000003</v>
      </c>
      <c r="N63" s="11">
        <f t="shared" si="21"/>
        <v>2809.9900570500004</v>
      </c>
      <c r="O63" s="11">
        <f t="shared" si="22"/>
        <v>12942.9845052</v>
      </c>
      <c r="P63" s="11">
        <f t="shared" si="23"/>
        <v>0</v>
      </c>
    </row>
    <row r="64" spans="1:16" ht="15" customHeight="1">
      <c r="A64" s="44"/>
      <c r="B64" s="5">
        <f>B48</f>
        <v>45352</v>
      </c>
      <c r="C64" s="1" t="s">
        <v>533</v>
      </c>
      <c r="D64" s="195" t="s">
        <v>561</v>
      </c>
      <c r="E64" s="186"/>
      <c r="F64" s="2">
        <v>118016.53</v>
      </c>
      <c r="G64" s="3">
        <f t="shared" ref="G64:G87" si="24">F64-SUM(M64:P64)</f>
        <v>94248.000857999999</v>
      </c>
      <c r="H64" s="187"/>
      <c r="I64" s="7">
        <v>0.12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14161.9836</v>
      </c>
      <c r="N64" s="11">
        <f t="shared" si="3"/>
        <v>1713.6000156</v>
      </c>
      <c r="O64" s="11">
        <f t="shared" si="4"/>
        <v>7892.9455263999989</v>
      </c>
      <c r="P64" s="11">
        <f t="shared" ref="P64:P87" si="25">L64*(F64)</f>
        <v>0</v>
      </c>
    </row>
    <row r="65" spans="1:16" ht="15" customHeight="1">
      <c r="A65" s="44"/>
      <c r="B65" s="5">
        <f t="shared" si="7"/>
        <v>45352</v>
      </c>
      <c r="C65" s="1" t="s">
        <v>533</v>
      </c>
      <c r="D65" s="195" t="s">
        <v>562</v>
      </c>
      <c r="E65" s="186"/>
      <c r="F65" s="2">
        <v>199300.14</v>
      </c>
      <c r="G65" s="3">
        <f t="shared" si="24"/>
        <v>159161.09180400003</v>
      </c>
      <c r="H65" s="187"/>
      <c r="I65" s="7">
        <v>0.12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23916.016800000001</v>
      </c>
      <c r="N65" s="11">
        <f t="shared" si="3"/>
        <v>2893.8380328000003</v>
      </c>
      <c r="O65" s="11">
        <f t="shared" si="4"/>
        <v>13329.1933632</v>
      </c>
      <c r="P65" s="11">
        <f t="shared" si="25"/>
        <v>0</v>
      </c>
    </row>
    <row r="66" spans="1:16" ht="15" customHeight="1">
      <c r="A66" s="44"/>
      <c r="B66" s="5">
        <f t="shared" si="7"/>
        <v>45352</v>
      </c>
      <c r="C66" s="1" t="s">
        <v>533</v>
      </c>
      <c r="D66" s="195" t="s">
        <v>563</v>
      </c>
      <c r="E66" s="186"/>
      <c r="F66" s="2">
        <v>31830.59</v>
      </c>
      <c r="G66" s="3">
        <f t="shared" si="24"/>
        <v>26864.22219525</v>
      </c>
      <c r="H66" s="187"/>
      <c r="I66" s="7">
        <v>7.0000000000000007E-2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2228.1413000000002</v>
      </c>
      <c r="N66" s="11">
        <f t="shared" si="3"/>
        <v>488.44040355000004</v>
      </c>
      <c r="O66" s="11">
        <f t="shared" si="4"/>
        <v>2249.7861011999998</v>
      </c>
      <c r="P66" s="11">
        <f t="shared" si="25"/>
        <v>0</v>
      </c>
    </row>
    <row r="67" spans="1:16" ht="15" customHeight="1">
      <c r="A67" s="44"/>
      <c r="B67" s="5">
        <f t="shared" si="7"/>
        <v>45352</v>
      </c>
      <c r="C67" s="1" t="s">
        <v>533</v>
      </c>
      <c r="D67" s="195" t="s">
        <v>564</v>
      </c>
      <c r="E67" s="186"/>
      <c r="F67" s="2">
        <v>50919.57</v>
      </c>
      <c r="G67" s="3">
        <f t="shared" si="24"/>
        <v>42974.844090749997</v>
      </c>
      <c r="H67" s="187"/>
      <c r="I67" s="7">
        <v>7.0000000000000007E-2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3564.3699000000001</v>
      </c>
      <c r="N67" s="11">
        <f t="shared" si="3"/>
        <v>781.3608016500001</v>
      </c>
      <c r="O67" s="11">
        <f t="shared" si="4"/>
        <v>3598.9952076</v>
      </c>
      <c r="P67" s="11">
        <f t="shared" si="25"/>
        <v>0</v>
      </c>
    </row>
    <row r="68" spans="1:16" ht="15" customHeight="1">
      <c r="A68" s="44"/>
      <c r="B68" s="5">
        <f t="shared" si="7"/>
        <v>45352</v>
      </c>
      <c r="C68" s="1" t="s">
        <v>533</v>
      </c>
      <c r="D68" s="195" t="s">
        <v>565</v>
      </c>
      <c r="E68" s="186"/>
      <c r="F68" s="2">
        <v>87254.01</v>
      </c>
      <c r="G68" s="3">
        <f t="shared" si="24"/>
        <v>69681.052385999996</v>
      </c>
      <c r="H68" s="187"/>
      <c r="I68" s="7">
        <v>0.12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10470.481199999998</v>
      </c>
      <c r="N68" s="11">
        <f t="shared" si="3"/>
        <v>1266.9282252</v>
      </c>
      <c r="O68" s="11">
        <f t="shared" si="4"/>
        <v>5835.5481887999995</v>
      </c>
      <c r="P68" s="11">
        <f t="shared" si="25"/>
        <v>0</v>
      </c>
    </row>
    <row r="69" spans="1:16" ht="15" customHeight="1">
      <c r="A69" s="44"/>
      <c r="B69" s="5">
        <f t="shared" si="7"/>
        <v>45352</v>
      </c>
      <c r="C69" s="1" t="s">
        <v>533</v>
      </c>
      <c r="D69" s="195" t="s">
        <v>566</v>
      </c>
      <c r="E69" s="186"/>
      <c r="F69" s="2">
        <v>124467.64</v>
      </c>
      <c r="G69" s="3">
        <f t="shared" si="24"/>
        <v>99399.857304000005</v>
      </c>
      <c r="H69" s="187"/>
      <c r="I69" s="7">
        <v>0.12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14936.1168</v>
      </c>
      <c r="N69" s="11">
        <f t="shared" si="3"/>
        <v>1807.2701328000001</v>
      </c>
      <c r="O69" s="11">
        <f t="shared" si="4"/>
        <v>8324.3957632000001</v>
      </c>
      <c r="P69" s="11">
        <f t="shared" si="25"/>
        <v>0</v>
      </c>
    </row>
    <row r="70" spans="1:16" ht="15" customHeight="1">
      <c r="A70" s="44"/>
      <c r="B70" s="5">
        <f t="shared" si="7"/>
        <v>45352</v>
      </c>
      <c r="C70" s="1" t="s">
        <v>533</v>
      </c>
      <c r="D70" s="195" t="s">
        <v>567</v>
      </c>
      <c r="E70" s="186"/>
      <c r="F70" s="2">
        <v>53644.26</v>
      </c>
      <c r="G70" s="3">
        <f t="shared" si="24"/>
        <v>42840.306036000002</v>
      </c>
      <c r="H70" s="187"/>
      <c r="I70" s="7">
        <v>0.12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6437.3112000000001</v>
      </c>
      <c r="N70" s="11">
        <f t="shared" si="3"/>
        <v>778.91465519999997</v>
      </c>
      <c r="O70" s="11">
        <f t="shared" si="4"/>
        <v>3587.7281088</v>
      </c>
      <c r="P70" s="11">
        <f t="shared" si="25"/>
        <v>0</v>
      </c>
    </row>
    <row r="71" spans="1:16" ht="15" customHeight="1">
      <c r="A71" s="44"/>
      <c r="B71" s="5">
        <f t="shared" si="7"/>
        <v>45352</v>
      </c>
      <c r="C71" s="1" t="s">
        <v>533</v>
      </c>
      <c r="D71" s="195" t="s">
        <v>568</v>
      </c>
      <c r="E71" s="186"/>
      <c r="F71" s="2">
        <v>15413.26</v>
      </c>
      <c r="G71" s="3">
        <f t="shared" si="24"/>
        <v>12309.029436000001</v>
      </c>
      <c r="H71" s="187"/>
      <c r="I71" s="7">
        <v>0.12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1849.5911999999998</v>
      </c>
      <c r="N71" s="11">
        <f t="shared" si="3"/>
        <v>223.80053520000001</v>
      </c>
      <c r="O71" s="11">
        <f t="shared" si="4"/>
        <v>1030.8388287999999</v>
      </c>
      <c r="P71" s="11">
        <f t="shared" si="25"/>
        <v>0</v>
      </c>
    </row>
    <row r="72" spans="1:16" ht="15" customHeight="1">
      <c r="A72" s="44"/>
      <c r="B72" s="5">
        <f t="shared" si="7"/>
        <v>45352</v>
      </c>
      <c r="C72" s="1" t="s">
        <v>533</v>
      </c>
      <c r="D72" s="195" t="s">
        <v>569</v>
      </c>
      <c r="E72" s="186"/>
      <c r="F72" s="2">
        <v>39541.480000000003</v>
      </c>
      <c r="G72" s="3">
        <f t="shared" si="24"/>
        <v>31577.825928000002</v>
      </c>
      <c r="H72" s="187"/>
      <c r="I72" s="7">
        <v>0.12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4744.9776000000002</v>
      </c>
      <c r="N72" s="11">
        <f t="shared" si="3"/>
        <v>574.14228960000014</v>
      </c>
      <c r="O72" s="11">
        <f t="shared" si="4"/>
        <v>2644.5341824000002</v>
      </c>
      <c r="P72" s="11">
        <f t="shared" si="25"/>
        <v>0</v>
      </c>
    </row>
    <row r="73" spans="1:16" ht="15" customHeight="1">
      <c r="A73" s="44"/>
      <c r="B73" s="5">
        <f t="shared" si="7"/>
        <v>45352</v>
      </c>
      <c r="C73" s="1" t="s">
        <v>533</v>
      </c>
      <c r="D73" s="195" t="s">
        <v>570</v>
      </c>
      <c r="E73" s="186"/>
      <c r="F73" s="2">
        <v>121303.42</v>
      </c>
      <c r="G73" s="3">
        <f t="shared" si="24"/>
        <v>96872.911212000006</v>
      </c>
      <c r="H73" s="187"/>
      <c r="I73" s="7">
        <v>0.12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14556.410399999999</v>
      </c>
      <c r="N73" s="11">
        <f t="shared" si="3"/>
        <v>1761.3256584000001</v>
      </c>
      <c r="O73" s="11">
        <f t="shared" si="4"/>
        <v>8112.7727296000003</v>
      </c>
      <c r="P73" s="11">
        <f t="shared" si="25"/>
        <v>0</v>
      </c>
    </row>
    <row r="74" spans="1:16" ht="15" customHeight="1">
      <c r="A74" s="44"/>
      <c r="B74" s="5">
        <f t="shared" si="7"/>
        <v>45352</v>
      </c>
      <c r="C74" s="1" t="s">
        <v>533</v>
      </c>
      <c r="D74" s="195" t="s">
        <v>571</v>
      </c>
      <c r="E74" s="186"/>
      <c r="F74" s="2">
        <v>31844.45</v>
      </c>
      <c r="G74" s="3">
        <f t="shared" si="24"/>
        <v>26875.91968875</v>
      </c>
      <c r="H74" s="187"/>
      <c r="I74" s="7">
        <v>7.0000000000000007E-2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2229.1115000000004</v>
      </c>
      <c r="N74" s="11">
        <f t="shared" si="3"/>
        <v>488.65308525000006</v>
      </c>
      <c r="O74" s="11">
        <f t="shared" si="4"/>
        <v>2250.7657260000001</v>
      </c>
      <c r="P74" s="11">
        <f t="shared" si="25"/>
        <v>0</v>
      </c>
    </row>
    <row r="75" spans="1:16" ht="15" customHeight="1">
      <c r="A75" s="44"/>
      <c r="B75" s="5">
        <f t="shared" si="7"/>
        <v>45352</v>
      </c>
      <c r="C75" s="1" t="s">
        <v>533</v>
      </c>
      <c r="D75" s="195" t="s">
        <v>572</v>
      </c>
      <c r="E75" s="186"/>
      <c r="F75" s="2">
        <v>43226.62</v>
      </c>
      <c r="G75" s="3">
        <f t="shared" si="24"/>
        <v>36482.186614500002</v>
      </c>
      <c r="H75" s="187"/>
      <c r="I75" s="7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3025.8634000000006</v>
      </c>
      <c r="N75" s="11">
        <f t="shared" si="3"/>
        <v>663.31248390000007</v>
      </c>
      <c r="O75" s="11">
        <f t="shared" si="4"/>
        <v>3055.2575016000001</v>
      </c>
      <c r="P75" s="11">
        <f t="shared" si="25"/>
        <v>0</v>
      </c>
    </row>
    <row r="76" spans="1:16" ht="15" customHeight="1">
      <c r="A76" s="44"/>
      <c r="B76" s="5">
        <f t="shared" si="7"/>
        <v>45352</v>
      </c>
      <c r="C76" s="1" t="s">
        <v>533</v>
      </c>
      <c r="D76" s="195" t="s">
        <v>573</v>
      </c>
      <c r="E76" s="186"/>
      <c r="F76" s="2">
        <v>19964.54</v>
      </c>
      <c r="G76" s="3">
        <f t="shared" si="24"/>
        <v>16849.572646500001</v>
      </c>
      <c r="H76" s="187"/>
      <c r="I76" s="7">
        <v>7.0000000000000007E-2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1397.5178000000003</v>
      </c>
      <c r="N76" s="11">
        <f t="shared" si="3"/>
        <v>306.3558663</v>
      </c>
      <c r="O76" s="11">
        <f t="shared" si="4"/>
        <v>1411.0936872</v>
      </c>
      <c r="P76" s="11">
        <f t="shared" si="25"/>
        <v>0</v>
      </c>
    </row>
    <row r="77" spans="1:16" ht="15" customHeight="1">
      <c r="A77" s="44"/>
      <c r="B77" s="5">
        <f t="shared" si="7"/>
        <v>45352</v>
      </c>
      <c r="C77" s="1" t="s">
        <v>533</v>
      </c>
      <c r="D77" s="195" t="s">
        <v>574</v>
      </c>
      <c r="E77" s="186"/>
      <c r="F77" s="2">
        <v>5286.28</v>
      </c>
      <c r="G77" s="3">
        <f t="shared" si="24"/>
        <v>4461.488163</v>
      </c>
      <c r="H77" s="187"/>
      <c r="I77" s="7">
        <v>7.0000000000000007E-2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370.03960000000001</v>
      </c>
      <c r="N77" s="11">
        <f t="shared" si="3"/>
        <v>81.117966600000003</v>
      </c>
      <c r="O77" s="11">
        <f t="shared" si="4"/>
        <v>373.63427039999999</v>
      </c>
      <c r="P77" s="11">
        <f t="shared" si="25"/>
        <v>0</v>
      </c>
    </row>
    <row r="78" spans="1:16" ht="15" customHeight="1">
      <c r="A78" s="44"/>
      <c r="B78" s="5">
        <f t="shared" si="7"/>
        <v>45352</v>
      </c>
      <c r="C78" s="1" t="s">
        <v>533</v>
      </c>
      <c r="D78" s="195" t="s">
        <v>575</v>
      </c>
      <c r="E78" s="186"/>
      <c r="F78" s="2">
        <v>13637.03</v>
      </c>
      <c r="G78" s="3">
        <f t="shared" si="24"/>
        <v>11509.312394250001</v>
      </c>
      <c r="H78" s="187"/>
      <c r="I78" s="7">
        <v>7.0000000000000007E-2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954.59210000000019</v>
      </c>
      <c r="N78" s="11">
        <f t="shared" si="3"/>
        <v>209.26022535000001</v>
      </c>
      <c r="O78" s="11">
        <f t="shared" si="4"/>
        <v>963.86528040000007</v>
      </c>
      <c r="P78" s="11">
        <f t="shared" si="25"/>
        <v>0</v>
      </c>
    </row>
    <row r="79" spans="1:16" ht="15" customHeight="1">
      <c r="A79" s="44"/>
      <c r="B79" s="5">
        <f t="shared" si="7"/>
        <v>45352</v>
      </c>
      <c r="C79" s="1" t="s">
        <v>533</v>
      </c>
      <c r="D79" s="195" t="s">
        <v>576</v>
      </c>
      <c r="E79" s="186"/>
      <c r="F79" s="2">
        <v>42669.38</v>
      </c>
      <c r="G79" s="3">
        <f t="shared" si="24"/>
        <v>36011.889985499998</v>
      </c>
      <c r="H79" s="187"/>
      <c r="I79" s="7">
        <v>7.0000000000000007E-2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2986.8566000000001</v>
      </c>
      <c r="N79" s="11">
        <f t="shared" si="3"/>
        <v>654.76163610000003</v>
      </c>
      <c r="O79" s="11">
        <f t="shared" si="4"/>
        <v>3015.8717783999996</v>
      </c>
      <c r="P79" s="11">
        <f t="shared" si="25"/>
        <v>0</v>
      </c>
    </row>
    <row r="80" spans="1:16" ht="15" hidden="1" customHeight="1">
      <c r="A80" s="44"/>
      <c r="B80" s="5">
        <f t="shared" si="7"/>
        <v>45352</v>
      </c>
      <c r="C80" s="1" t="s">
        <v>533</v>
      </c>
      <c r="D80" s="195"/>
      <c r="E80" s="186"/>
      <c r="F80" s="2"/>
      <c r="G80" s="3">
        <f t="shared" si="24"/>
        <v>0</v>
      </c>
      <c r="H80" s="187"/>
      <c r="I80" s="7"/>
      <c r="J80" s="7">
        <v>1.6500000000000001E-2</v>
      </c>
      <c r="K80" s="7">
        <v>7.5999999999999998E-2</v>
      </c>
      <c r="L80" s="7">
        <v>0</v>
      </c>
      <c r="M80" s="11">
        <f t="shared" si="2"/>
        <v>0</v>
      </c>
      <c r="N80" s="11">
        <f t="shared" si="3"/>
        <v>0</v>
      </c>
      <c r="O80" s="11">
        <f t="shared" si="4"/>
        <v>0</v>
      </c>
      <c r="P80" s="11">
        <f t="shared" si="25"/>
        <v>0</v>
      </c>
    </row>
    <row r="81" spans="1:16" ht="15" hidden="1" customHeight="1">
      <c r="A81" s="44"/>
      <c r="B81" s="5">
        <f t="shared" si="7"/>
        <v>45352</v>
      </c>
      <c r="C81" s="1" t="s">
        <v>533</v>
      </c>
      <c r="D81" s="195"/>
      <c r="E81" s="186"/>
      <c r="F81" s="2"/>
      <c r="G81" s="3">
        <f t="shared" si="24"/>
        <v>0</v>
      </c>
      <c r="H81" s="187"/>
      <c r="I81" s="7"/>
      <c r="J81" s="7">
        <v>1.6500000000000001E-2</v>
      </c>
      <c r="K81" s="7">
        <v>7.5999999999999998E-2</v>
      </c>
      <c r="L81" s="7">
        <v>0</v>
      </c>
      <c r="M81" s="11">
        <f t="shared" si="2"/>
        <v>0</v>
      </c>
      <c r="N81" s="11">
        <f t="shared" si="3"/>
        <v>0</v>
      </c>
      <c r="O81" s="11">
        <f t="shared" si="4"/>
        <v>0</v>
      </c>
      <c r="P81" s="11">
        <f t="shared" si="25"/>
        <v>0</v>
      </c>
    </row>
    <row r="82" spans="1:16" ht="15" hidden="1" customHeight="1">
      <c r="A82" s="44"/>
      <c r="B82" s="5">
        <f t="shared" si="7"/>
        <v>45352</v>
      </c>
      <c r="C82" s="1" t="s">
        <v>533</v>
      </c>
      <c r="D82" s="195"/>
      <c r="E82" s="186"/>
      <c r="F82" s="2"/>
      <c r="G82" s="3">
        <f t="shared" si="24"/>
        <v>0</v>
      </c>
      <c r="H82" s="187"/>
      <c r="I82" s="7"/>
      <c r="J82" s="7">
        <v>1.6500000000000001E-2</v>
      </c>
      <c r="K82" s="7">
        <v>7.5999999999999998E-2</v>
      </c>
      <c r="L82" s="7">
        <v>0</v>
      </c>
      <c r="M82" s="11">
        <f t="shared" si="2"/>
        <v>0</v>
      </c>
      <c r="N82" s="11">
        <f t="shared" si="3"/>
        <v>0</v>
      </c>
      <c r="O82" s="11">
        <f t="shared" si="4"/>
        <v>0</v>
      </c>
      <c r="P82" s="11">
        <f t="shared" si="25"/>
        <v>0</v>
      </c>
    </row>
    <row r="83" spans="1:16" ht="15" hidden="1" customHeight="1">
      <c r="A83" s="44"/>
      <c r="B83" s="5">
        <f t="shared" si="7"/>
        <v>45352</v>
      </c>
      <c r="C83" s="1" t="s">
        <v>533</v>
      </c>
      <c r="D83" s="195"/>
      <c r="E83" s="186"/>
      <c r="F83" s="2"/>
      <c r="G83" s="3">
        <f t="shared" si="24"/>
        <v>0</v>
      </c>
      <c r="H83" s="187"/>
      <c r="I83" s="7"/>
      <c r="J83" s="7">
        <v>1.6500000000000001E-2</v>
      </c>
      <c r="K83" s="7">
        <v>7.5999999999999998E-2</v>
      </c>
      <c r="L83" s="7">
        <v>0</v>
      </c>
      <c r="M83" s="11">
        <f t="shared" si="2"/>
        <v>0</v>
      </c>
      <c r="N83" s="11">
        <f t="shared" si="3"/>
        <v>0</v>
      </c>
      <c r="O83" s="11">
        <f t="shared" si="4"/>
        <v>0</v>
      </c>
      <c r="P83" s="11">
        <f t="shared" si="25"/>
        <v>0</v>
      </c>
    </row>
    <row r="84" spans="1:16" ht="15" hidden="1" customHeight="1">
      <c r="A84" s="44"/>
      <c r="B84" s="5">
        <f t="shared" si="7"/>
        <v>45352</v>
      </c>
      <c r="C84" s="1" t="s">
        <v>533</v>
      </c>
      <c r="D84" s="195"/>
      <c r="E84" s="186"/>
      <c r="F84" s="2"/>
      <c r="G84" s="3">
        <f t="shared" si="24"/>
        <v>0</v>
      </c>
      <c r="H84" s="187"/>
      <c r="I84" s="7"/>
      <c r="J84" s="7">
        <v>1.6500000000000001E-2</v>
      </c>
      <c r="K84" s="7">
        <v>7.5999999999999998E-2</v>
      </c>
      <c r="L84" s="7">
        <v>0</v>
      </c>
      <c r="M84" s="11">
        <f t="shared" si="2"/>
        <v>0</v>
      </c>
      <c r="N84" s="11">
        <f t="shared" si="3"/>
        <v>0</v>
      </c>
      <c r="O84" s="11">
        <f t="shared" si="4"/>
        <v>0</v>
      </c>
      <c r="P84" s="11">
        <f t="shared" si="25"/>
        <v>0</v>
      </c>
    </row>
    <row r="85" spans="1:16" ht="15" hidden="1" customHeight="1">
      <c r="A85" s="44"/>
      <c r="B85" s="5">
        <f t="shared" si="7"/>
        <v>45352</v>
      </c>
      <c r="C85" s="1" t="s">
        <v>533</v>
      </c>
      <c r="D85" s="195"/>
      <c r="E85" s="186"/>
      <c r="F85" s="2"/>
      <c r="G85" s="3">
        <f t="shared" si="24"/>
        <v>0</v>
      </c>
      <c r="H85" s="187"/>
      <c r="I85" s="7"/>
      <c r="J85" s="7">
        <v>1.6500000000000001E-2</v>
      </c>
      <c r="K85" s="7">
        <v>7.5999999999999998E-2</v>
      </c>
      <c r="L85" s="7">
        <v>0</v>
      </c>
      <c r="M85" s="11">
        <f t="shared" si="2"/>
        <v>0</v>
      </c>
      <c r="N85" s="11">
        <f t="shared" si="3"/>
        <v>0</v>
      </c>
      <c r="O85" s="11">
        <f t="shared" si="4"/>
        <v>0</v>
      </c>
      <c r="P85" s="11">
        <f t="shared" si="25"/>
        <v>0</v>
      </c>
    </row>
    <row r="86" spans="1:16" ht="15" hidden="1" customHeight="1">
      <c r="A86" s="44"/>
      <c r="B86" s="5">
        <f t="shared" si="7"/>
        <v>45352</v>
      </c>
      <c r="C86" s="1" t="s">
        <v>533</v>
      </c>
      <c r="D86" s="195"/>
      <c r="E86" s="186"/>
      <c r="F86" s="2"/>
      <c r="G86" s="3">
        <f t="shared" si="24"/>
        <v>0</v>
      </c>
      <c r="H86" s="187"/>
      <c r="I86" s="7"/>
      <c r="J86" s="7">
        <v>1.6500000000000001E-2</v>
      </c>
      <c r="K86" s="7">
        <v>7.5999999999999998E-2</v>
      </c>
      <c r="L86" s="7">
        <v>0</v>
      </c>
      <c r="M86" s="11">
        <f t="shared" si="2"/>
        <v>0</v>
      </c>
      <c r="N86" s="11">
        <f t="shared" si="3"/>
        <v>0</v>
      </c>
      <c r="O86" s="11">
        <f t="shared" si="4"/>
        <v>0</v>
      </c>
      <c r="P86" s="11">
        <f t="shared" si="25"/>
        <v>0</v>
      </c>
    </row>
    <row r="87" spans="1:16" hidden="1">
      <c r="A87" s="44"/>
      <c r="B87" s="5">
        <f>B64</f>
        <v>45352</v>
      </c>
      <c r="C87" s="1" t="s">
        <v>533</v>
      </c>
      <c r="D87" s="195"/>
      <c r="E87" s="186"/>
      <c r="F87" s="2"/>
      <c r="G87" s="3">
        <f t="shared" si="24"/>
        <v>0</v>
      </c>
      <c r="H87" s="187"/>
      <c r="I87" s="7"/>
      <c r="J87" s="7">
        <v>1.6500000000000001E-2</v>
      </c>
      <c r="K87" s="7">
        <v>7.5999999999999998E-2</v>
      </c>
      <c r="L87" s="7">
        <v>0</v>
      </c>
      <c r="M87" s="11">
        <f t="shared" si="2"/>
        <v>0</v>
      </c>
      <c r="N87" s="11">
        <f t="shared" si="3"/>
        <v>0</v>
      </c>
      <c r="O87" s="11">
        <f t="shared" si="4"/>
        <v>0</v>
      </c>
      <c r="P87" s="11">
        <f t="shared" si="25"/>
        <v>0</v>
      </c>
    </row>
    <row r="88" spans="1:16">
      <c r="B88" s="5"/>
      <c r="C88" s="1"/>
      <c r="E88" s="1"/>
      <c r="F88" s="2"/>
      <c r="G88" s="4"/>
      <c r="H88" s="4"/>
      <c r="I88" s="7"/>
      <c r="J88" s="7"/>
      <c r="K88" s="7"/>
      <c r="L88" s="7"/>
    </row>
    <row r="89" spans="1:16">
      <c r="E89" s="28">
        <f>SUM(E19:E88)</f>
        <v>45603526.255899973</v>
      </c>
      <c r="F89" s="133"/>
      <c r="G89" s="29">
        <f>SUM(G19:G88)</f>
        <v>106788443.952696</v>
      </c>
    </row>
    <row r="90" spans="1:16">
      <c r="E90" s="137"/>
    </row>
    <row r="91" spans="1:16" ht="15.75" thickBot="1"/>
    <row r="92" spans="1:16">
      <c r="B92" s="391" t="s">
        <v>577</v>
      </c>
      <c r="C92" s="383"/>
      <c r="D92" s="383"/>
      <c r="E92" s="383"/>
      <c r="F92" s="383"/>
      <c r="G92" s="383"/>
      <c r="H92" s="383"/>
      <c r="I92" s="383"/>
      <c r="J92" s="383"/>
      <c r="K92" s="383"/>
      <c r="L92" s="383"/>
      <c r="M92" s="383"/>
      <c r="N92" s="383"/>
      <c r="O92" s="384"/>
    </row>
    <row r="93" spans="1:16">
      <c r="B93" s="385"/>
      <c r="C93" s="386"/>
      <c r="D93" s="386"/>
      <c r="E93" s="386"/>
      <c r="F93" s="386"/>
      <c r="G93" s="386"/>
      <c r="H93" s="386"/>
      <c r="I93" s="386"/>
      <c r="J93" s="386"/>
      <c r="K93" s="386"/>
      <c r="L93" s="386"/>
      <c r="M93" s="386"/>
      <c r="N93" s="386"/>
      <c r="O93" s="387"/>
    </row>
    <row r="94" spans="1:16">
      <c r="B94" s="385"/>
      <c r="C94" s="386"/>
      <c r="D94" s="386"/>
      <c r="E94" s="386"/>
      <c r="F94" s="386"/>
      <c r="G94" s="386"/>
      <c r="H94" s="386"/>
      <c r="I94" s="386"/>
      <c r="J94" s="386"/>
      <c r="K94" s="386"/>
      <c r="L94" s="386"/>
      <c r="M94" s="386"/>
      <c r="N94" s="386"/>
      <c r="O94" s="387"/>
    </row>
    <row r="95" spans="1:16">
      <c r="B95" s="385"/>
      <c r="C95" s="386"/>
      <c r="D95" s="386"/>
      <c r="E95" s="386"/>
      <c r="F95" s="386"/>
      <c r="G95" s="386"/>
      <c r="H95" s="386"/>
      <c r="I95" s="386"/>
      <c r="J95" s="386"/>
      <c r="K95" s="386"/>
      <c r="L95" s="386"/>
      <c r="M95" s="386"/>
      <c r="N95" s="386"/>
      <c r="O95" s="387"/>
    </row>
    <row r="96" spans="1:16" ht="27" customHeight="1">
      <c r="B96" s="385"/>
      <c r="C96" s="386"/>
      <c r="D96" s="386"/>
      <c r="E96" s="386"/>
      <c r="F96" s="386"/>
      <c r="G96" s="386"/>
      <c r="H96" s="386"/>
      <c r="I96" s="386"/>
      <c r="J96" s="386"/>
      <c r="K96" s="386"/>
      <c r="L96" s="386"/>
      <c r="M96" s="386"/>
      <c r="N96" s="386"/>
      <c r="O96" s="387"/>
    </row>
    <row r="97" spans="2:15" ht="44.25" customHeight="1" thickBot="1">
      <c r="B97" s="388"/>
      <c r="C97" s="389"/>
      <c r="D97" s="389"/>
      <c r="E97" s="389"/>
      <c r="F97" s="389"/>
      <c r="G97" s="389"/>
      <c r="H97" s="389"/>
      <c r="I97" s="389"/>
      <c r="J97" s="389"/>
      <c r="K97" s="389"/>
      <c r="L97" s="389"/>
      <c r="M97" s="389"/>
      <c r="N97" s="389"/>
      <c r="O97" s="390"/>
    </row>
  </sheetData>
  <mergeCells count="3">
    <mergeCell ref="C2:M2"/>
    <mergeCell ref="M17:P17"/>
    <mergeCell ref="B92:O97"/>
  </mergeCells>
  <phoneticPr fontId="28" type="noConversion"/>
  <conditionalFormatting sqref="D1:D1048576">
    <cfRule type="duplicateValues" dxfId="126" priority="1"/>
    <cfRule type="duplicateValues" dxfId="125" priority="2"/>
  </conditionalFormatting>
  <conditionalFormatting sqref="D7 D10">
    <cfRule type="duplicateValues" dxfId="124" priority="3"/>
  </conditionalFormatting>
  <conditionalFormatting sqref="D19:D63">
    <cfRule type="duplicateValues" dxfId="123" priority="5"/>
  </conditionalFormatting>
  <conditionalFormatting sqref="D91:D1048576 D1:D89">
    <cfRule type="duplicateValues" dxfId="122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5B42-E631-4507-99E0-1162EA131A22}">
  <sheetPr>
    <pageSetUpPr fitToPage="1"/>
  </sheetPr>
  <dimension ref="A2:Q146"/>
  <sheetViews>
    <sheetView showGridLines="0" topLeftCell="A108" zoomScale="85" zoomScaleNormal="85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6.425781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5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5" ht="23.25">
      <c r="C3" s="13">
        <v>45383</v>
      </c>
    </row>
    <row r="5" spans="3:15">
      <c r="C5" t="s">
        <v>17</v>
      </c>
      <c r="D5" s="14">
        <f t="shared" ref="D5:D11" ca="1" si="0">SUMIF($C$19:$G$136,$C$5:$C$11,$G$19:$G$136)/SUMIF($C$19:$G$136,$C$5:$C$11,$E$19:$E$136)</f>
        <v>2.3065999999947517</v>
      </c>
    </row>
    <row r="6" spans="3:15">
      <c r="C6" t="s">
        <v>440</v>
      </c>
      <c r="D6" s="14">
        <f t="shared" ca="1" si="0"/>
        <v>2.0531379825</v>
      </c>
    </row>
    <row r="7" spans="3:15">
      <c r="C7" t="s">
        <v>491</v>
      </c>
      <c r="D7" s="14">
        <f t="shared" ca="1" si="0"/>
        <v>2.0373084596999069</v>
      </c>
    </row>
    <row r="8" spans="3:15">
      <c r="C8" t="s">
        <v>37</v>
      </c>
      <c r="D8" s="14">
        <f t="shared" ca="1" si="0"/>
        <v>6.5887563312363167</v>
      </c>
      <c r="I8" s="19"/>
      <c r="N8" s="15" t="s">
        <v>127</v>
      </c>
      <c r="O8" s="15" t="s">
        <v>128</v>
      </c>
    </row>
    <row r="9" spans="3:15">
      <c r="C9" t="s">
        <v>36</v>
      </c>
      <c r="D9" s="14">
        <f t="shared" ca="1" si="0"/>
        <v>6.5887564605220659</v>
      </c>
      <c r="E9" s="14"/>
      <c r="F9" s="32"/>
      <c r="I9" s="19"/>
      <c r="M9" s="16" t="s">
        <v>17</v>
      </c>
      <c r="N9" s="17">
        <f>1415000/1620000</f>
        <v>0.87345679012345678</v>
      </c>
      <c r="O9" s="17">
        <f>+SUM(E19:E32)/E138</f>
        <v>0.88065257323648349</v>
      </c>
    </row>
    <row r="10" spans="3:15">
      <c r="C10" t="s">
        <v>534</v>
      </c>
      <c r="D10" s="14">
        <f t="shared" ca="1" si="0"/>
        <v>6.5150047482606945</v>
      </c>
      <c r="M10" s="16" t="s">
        <v>440</v>
      </c>
      <c r="N10" s="17">
        <f>10000/1620000</f>
        <v>6.1728395061728392E-3</v>
      </c>
      <c r="O10" s="17">
        <f>+SUM(E33)/E138</f>
        <v>6.3026365522162011E-3</v>
      </c>
    </row>
    <row r="11" spans="3:15">
      <c r="C11" t="s">
        <v>533</v>
      </c>
      <c r="D11" s="14" t="e">
        <f t="shared" ca="1" si="0"/>
        <v>#DIV/0!</v>
      </c>
      <c r="M11" s="16" t="s">
        <v>491</v>
      </c>
      <c r="N11" s="17">
        <f>150000/1620000</f>
        <v>9.2592592592592587E-2</v>
      </c>
      <c r="O11" s="17">
        <f>+SUM(E34)/E138</f>
        <v>8.3862146656191003E-2</v>
      </c>
    </row>
    <row r="12" spans="3:15">
      <c r="C12" s="30" t="s">
        <v>129</v>
      </c>
      <c r="D12" s="31">
        <f>+G138/E138</f>
        <v>2.4242796725969993</v>
      </c>
      <c r="M12" s="16" t="s">
        <v>544</v>
      </c>
      <c r="N12" s="17">
        <f>45000/1620000</f>
        <v>2.7777777777777776E-2</v>
      </c>
      <c r="O12" s="18">
        <f>+SUM(E37:E49)/E138</f>
        <v>5.0742678565345659E-3</v>
      </c>
    </row>
    <row r="13" spans="3:15">
      <c r="D13" s="19"/>
      <c r="M13" s="20" t="s">
        <v>38</v>
      </c>
      <c r="N13" s="197">
        <f>SUM(N9:N12)</f>
        <v>1</v>
      </c>
      <c r="O13" s="197">
        <f>SUM(O9:O12)</f>
        <v>0.97589162430142518</v>
      </c>
    </row>
    <row r="14" spans="3:15">
      <c r="D14" s="22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 hidden="1">
      <c r="A19" s="44"/>
      <c r="B19" s="5">
        <f>C3</f>
        <v>45383</v>
      </c>
      <c r="C19" s="1" t="s">
        <v>17</v>
      </c>
      <c r="D19" s="194"/>
      <c r="E19" s="1"/>
      <c r="F19" s="2"/>
      <c r="G19" s="3">
        <f t="shared" ref="G19:G37" si="1">F19-SUM(M19:P19)</f>
        <v>0</v>
      </c>
      <c r="H19" s="4">
        <f>+IF(G19=0,0,G19/E19)</f>
        <v>0</v>
      </c>
      <c r="I19" s="9"/>
      <c r="J19" s="7">
        <v>1.6500000000000001E-2</v>
      </c>
      <c r="K19" s="7">
        <v>7.5999999999999998E-2</v>
      </c>
      <c r="L19" s="7">
        <v>0</v>
      </c>
      <c r="M19" s="11">
        <f t="shared" ref="M19:M136" si="2">+I19*F19</f>
        <v>0</v>
      </c>
      <c r="N19" s="11">
        <f t="shared" ref="N19:N136" si="3">J19*(F19-M19)</f>
        <v>0</v>
      </c>
      <c r="O19" s="11">
        <f t="shared" ref="O19:O136" si="4">K19*(F19-M19)</f>
        <v>0</v>
      </c>
      <c r="P19" s="11">
        <f t="shared" ref="P19:P131" si="5">L19*(F19)</f>
        <v>0</v>
      </c>
    </row>
    <row r="20" spans="1:16" hidden="1">
      <c r="A20" s="44"/>
      <c r="B20" s="5">
        <f>B19</f>
        <v>45383</v>
      </c>
      <c r="C20" s="1" t="s">
        <v>17</v>
      </c>
      <c r="D20" s="194"/>
      <c r="E20" s="1"/>
      <c r="F20" s="2"/>
      <c r="G20" s="3">
        <f t="shared" si="1"/>
        <v>0</v>
      </c>
      <c r="H20" s="4">
        <f t="shared" ref="H20:H36" si="6">+IF(G20=0,0,G20/E20)</f>
        <v>0</v>
      </c>
      <c r="I20" s="9"/>
      <c r="J20" s="7">
        <v>1.6500000000000001E-2</v>
      </c>
      <c r="K20" s="7">
        <v>7.5999999999999998E-2</v>
      </c>
      <c r="L20" s="7">
        <v>0</v>
      </c>
      <c r="M20" s="11">
        <f t="shared" si="2"/>
        <v>0</v>
      </c>
      <c r="N20" s="11">
        <f t="shared" si="3"/>
        <v>0</v>
      </c>
      <c r="O20" s="11">
        <f t="shared" si="4"/>
        <v>0</v>
      </c>
      <c r="P20" s="11">
        <f t="shared" si="5"/>
        <v>0</v>
      </c>
    </row>
    <row r="21" spans="1:16" hidden="1">
      <c r="A21" s="44"/>
      <c r="B21" s="5">
        <f t="shared" ref="B21:B133" si="7">B20</f>
        <v>45383</v>
      </c>
      <c r="C21" s="1" t="s">
        <v>17</v>
      </c>
      <c r="D21" s="196"/>
      <c r="E21" s="1"/>
      <c r="F21" s="2"/>
      <c r="G21" s="3">
        <f t="shared" si="1"/>
        <v>0</v>
      </c>
      <c r="H21" s="4">
        <f>+IF(G21=0,0,G21/E21)</f>
        <v>0</v>
      </c>
      <c r="I21" s="9"/>
      <c r="J21" s="7">
        <v>1.6500000000000001E-2</v>
      </c>
      <c r="K21" s="7">
        <v>7.5999999999999998E-2</v>
      </c>
      <c r="L21" s="7">
        <v>0</v>
      </c>
      <c r="M21" s="11">
        <f t="shared" si="2"/>
        <v>0</v>
      </c>
      <c r="N21" s="11">
        <f t="shared" si="3"/>
        <v>0</v>
      </c>
      <c r="O21" s="11">
        <f t="shared" si="4"/>
        <v>0</v>
      </c>
      <c r="P21" s="11">
        <f t="shared" si="5"/>
        <v>0</v>
      </c>
    </row>
    <row r="22" spans="1:16">
      <c r="A22" s="44"/>
      <c r="B22" s="5">
        <f t="shared" si="7"/>
        <v>45383</v>
      </c>
      <c r="C22" s="1" t="s">
        <v>17</v>
      </c>
      <c r="D22" s="194" t="s">
        <v>607</v>
      </c>
      <c r="E22" s="1">
        <v>2041350</v>
      </c>
      <c r="F22" s="2">
        <v>5579049.04</v>
      </c>
      <c r="G22" s="3">
        <f t="shared" si="1"/>
        <v>4708577.9135340005</v>
      </c>
      <c r="H22" s="4">
        <f t="shared" si="6"/>
        <v>2.3066000017312076</v>
      </c>
      <c r="I22" s="200">
        <v>7.0000000000000007E-2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390533.43280000007</v>
      </c>
      <c r="N22" s="11">
        <f t="shared" si="3"/>
        <v>85610.507518800005</v>
      </c>
      <c r="O22" s="11">
        <f t="shared" si="4"/>
        <v>394327.1861472</v>
      </c>
      <c r="P22" s="11">
        <f t="shared" si="5"/>
        <v>0</v>
      </c>
    </row>
    <row r="23" spans="1:16">
      <c r="A23" s="44"/>
      <c r="B23" s="5">
        <f t="shared" si="7"/>
        <v>45383</v>
      </c>
      <c r="C23" s="1" t="s">
        <v>17</v>
      </c>
      <c r="D23" s="194" t="s">
        <v>608</v>
      </c>
      <c r="E23" s="1">
        <v>6871578</v>
      </c>
      <c r="F23" s="2">
        <v>19847209.879999999</v>
      </c>
      <c r="G23" s="3">
        <f t="shared" si="1"/>
        <v>15849981.810167998</v>
      </c>
      <c r="H23" s="4">
        <f t="shared" si="6"/>
        <v>2.3065999993259187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2381665.1856</v>
      </c>
      <c r="N23" s="11">
        <f t="shared" si="3"/>
        <v>288181.48745759996</v>
      </c>
      <c r="O23" s="11">
        <f t="shared" si="4"/>
        <v>1327381.3967743998</v>
      </c>
      <c r="P23" s="11">
        <f t="shared" si="5"/>
        <v>0</v>
      </c>
    </row>
    <row r="24" spans="1:16" hidden="1">
      <c r="A24" s="44"/>
      <c r="B24" s="5">
        <f t="shared" si="7"/>
        <v>45383</v>
      </c>
      <c r="C24" s="1" t="s">
        <v>17</v>
      </c>
      <c r="D24" s="194"/>
      <c r="E24" s="1"/>
      <c r="F24" s="2"/>
      <c r="G24" s="3">
        <f t="shared" si="1"/>
        <v>0</v>
      </c>
      <c r="H24" s="4">
        <f t="shared" si="6"/>
        <v>0</v>
      </c>
      <c r="I24" s="200"/>
      <c r="J24" s="7">
        <v>1.6500000000000001E-2</v>
      </c>
      <c r="K24" s="7">
        <v>7.5999999999999998E-2</v>
      </c>
      <c r="L24" s="7">
        <v>0</v>
      </c>
      <c r="M24" s="11">
        <f t="shared" si="2"/>
        <v>0</v>
      </c>
      <c r="N24" s="11">
        <f t="shared" si="3"/>
        <v>0</v>
      </c>
      <c r="O24" s="11">
        <f t="shared" si="4"/>
        <v>0</v>
      </c>
      <c r="P24" s="11">
        <f t="shared" si="5"/>
        <v>0</v>
      </c>
    </row>
    <row r="25" spans="1:16" hidden="1">
      <c r="A25" s="44"/>
      <c r="B25" s="5">
        <f t="shared" si="7"/>
        <v>45383</v>
      </c>
      <c r="C25" s="1" t="s">
        <v>17</v>
      </c>
      <c r="D25" s="194"/>
      <c r="E25" s="1"/>
      <c r="F25" s="2"/>
      <c r="G25" s="3">
        <f t="shared" si="1"/>
        <v>0</v>
      </c>
      <c r="H25" s="4">
        <f t="shared" si="6"/>
        <v>0</v>
      </c>
      <c r="I25" s="200"/>
      <c r="J25" s="7">
        <v>1.6500000000000001E-2</v>
      </c>
      <c r="K25" s="7">
        <v>7.5999999999999998E-2</v>
      </c>
      <c r="L25" s="7">
        <v>0</v>
      </c>
      <c r="M25" s="11">
        <f t="shared" si="2"/>
        <v>0</v>
      </c>
      <c r="N25" s="11">
        <f t="shared" si="3"/>
        <v>0</v>
      </c>
      <c r="O25" s="11">
        <f t="shared" si="4"/>
        <v>0</v>
      </c>
      <c r="P25" s="11">
        <f t="shared" si="5"/>
        <v>0</v>
      </c>
    </row>
    <row r="26" spans="1:16" hidden="1">
      <c r="A26" s="44"/>
      <c r="B26" s="5">
        <f t="shared" si="7"/>
        <v>45383</v>
      </c>
      <c r="C26" s="1" t="s">
        <v>17</v>
      </c>
      <c r="D26" s="194"/>
      <c r="E26" s="1"/>
      <c r="F26" s="2"/>
      <c r="G26" s="3">
        <f t="shared" si="1"/>
        <v>0</v>
      </c>
      <c r="H26" s="4">
        <f t="shared" si="6"/>
        <v>0</v>
      </c>
      <c r="I26" s="200"/>
      <c r="J26" s="7">
        <v>1.6500000000000001E-2</v>
      </c>
      <c r="K26" s="7">
        <v>7.5999999999999998E-2</v>
      </c>
      <c r="L26" s="7">
        <v>0</v>
      </c>
      <c r="M26" s="11">
        <f t="shared" si="2"/>
        <v>0</v>
      </c>
      <c r="N26" s="11">
        <f t="shared" si="3"/>
        <v>0</v>
      </c>
      <c r="O26" s="11">
        <f t="shared" si="4"/>
        <v>0</v>
      </c>
      <c r="P26" s="11">
        <f t="shared" si="5"/>
        <v>0</v>
      </c>
    </row>
    <row r="27" spans="1:16" hidden="1">
      <c r="A27" s="44"/>
      <c r="B27" s="5">
        <f t="shared" si="7"/>
        <v>45383</v>
      </c>
      <c r="C27" s="1" t="s">
        <v>17</v>
      </c>
      <c r="D27" s="194"/>
      <c r="E27" s="1"/>
      <c r="F27" s="2"/>
      <c r="G27" s="3">
        <f t="shared" si="1"/>
        <v>0</v>
      </c>
      <c r="H27" s="4">
        <f t="shared" si="6"/>
        <v>0</v>
      </c>
      <c r="I27" s="200"/>
      <c r="J27" s="7">
        <v>1.6500000000000001E-2</v>
      </c>
      <c r="K27" s="7">
        <v>7.5999999999999998E-2</v>
      </c>
      <c r="L27" s="7">
        <v>0</v>
      </c>
      <c r="M27" s="11">
        <f t="shared" si="2"/>
        <v>0</v>
      </c>
      <c r="N27" s="11">
        <f t="shared" si="3"/>
        <v>0</v>
      </c>
      <c r="O27" s="11">
        <f t="shared" si="4"/>
        <v>0</v>
      </c>
      <c r="P27" s="11">
        <f t="shared" si="5"/>
        <v>0</v>
      </c>
    </row>
    <row r="28" spans="1:16" hidden="1">
      <c r="A28" s="44"/>
      <c r="B28" s="5">
        <f t="shared" si="7"/>
        <v>45383</v>
      </c>
      <c r="C28" s="1" t="s">
        <v>17</v>
      </c>
      <c r="D28" s="194"/>
      <c r="E28" s="1"/>
      <c r="F28" s="2"/>
      <c r="G28" s="3">
        <f t="shared" si="1"/>
        <v>0</v>
      </c>
      <c r="H28" s="4">
        <f t="shared" si="6"/>
        <v>0</v>
      </c>
      <c r="I28" s="200"/>
      <c r="J28" s="7">
        <v>1.6500000000000001E-2</v>
      </c>
      <c r="K28" s="7">
        <v>7.5999999999999998E-2</v>
      </c>
      <c r="L28" s="7">
        <v>0</v>
      </c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spans="1:16" hidden="1">
      <c r="A29" s="44"/>
      <c r="B29" s="5">
        <f t="shared" si="7"/>
        <v>45383</v>
      </c>
      <c r="C29" s="1" t="s">
        <v>17</v>
      </c>
      <c r="D29" s="194"/>
      <c r="E29" s="1"/>
      <c r="F29" s="2"/>
      <c r="G29" s="3">
        <f t="shared" si="1"/>
        <v>0</v>
      </c>
      <c r="H29" s="4">
        <f>+IF(G29=0,0,G29/E29)</f>
        <v>0</v>
      </c>
      <c r="I29" s="200"/>
      <c r="J29" s="7">
        <v>1.6500000000000001E-2</v>
      </c>
      <c r="K29" s="7">
        <v>7.5999999999999998E-2</v>
      </c>
      <c r="L29" s="7">
        <v>0</v>
      </c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spans="1:16" hidden="1">
      <c r="A30" s="44"/>
      <c r="B30" s="5">
        <f t="shared" si="7"/>
        <v>45383</v>
      </c>
      <c r="C30" s="1" t="s">
        <v>17</v>
      </c>
      <c r="D30" s="194"/>
      <c r="E30" s="1"/>
      <c r="F30" s="2"/>
      <c r="G30" s="3">
        <f t="shared" si="1"/>
        <v>0</v>
      </c>
      <c r="H30" s="4">
        <f>+IF(G30=0,0,G30/E30)</f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45383</v>
      </c>
      <c r="C31" s="1" t="s">
        <v>17</v>
      </c>
      <c r="D31" s="194"/>
      <c r="E31" s="1"/>
      <c r="F31" s="2"/>
      <c r="G31" s="3">
        <f t="shared" si="1"/>
        <v>0</v>
      </c>
      <c r="H31" s="4">
        <f t="shared" si="6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>
      <c r="A32" s="44"/>
      <c r="B32" s="5">
        <f t="shared" si="7"/>
        <v>45383</v>
      </c>
      <c r="C32" s="1" t="s">
        <v>17</v>
      </c>
      <c r="D32" s="194" t="s">
        <v>609</v>
      </c>
      <c r="E32" s="1">
        <v>33005366</v>
      </c>
      <c r="F32" s="2">
        <v>95329548.230000004</v>
      </c>
      <c r="G32" s="3">
        <f t="shared" si="1"/>
        <v>76130177.216478005</v>
      </c>
      <c r="H32" s="4">
        <f t="shared" si="6"/>
        <v>2.3066000000266018</v>
      </c>
      <c r="I32" s="200">
        <v>0.12</v>
      </c>
      <c r="J32" s="7">
        <v>1.6500000000000001E-2</v>
      </c>
      <c r="K32" s="7">
        <v>7.5999999999999998E-2</v>
      </c>
      <c r="L32" s="7">
        <v>0</v>
      </c>
      <c r="M32" s="11">
        <f t="shared" si="2"/>
        <v>11439545.787599999</v>
      </c>
      <c r="N32" s="11">
        <f t="shared" si="3"/>
        <v>1384185.0402996002</v>
      </c>
      <c r="O32" s="11">
        <f t="shared" si="4"/>
        <v>6375640.1856224006</v>
      </c>
      <c r="P32" s="11">
        <f t="shared" si="5"/>
        <v>0</v>
      </c>
    </row>
    <row r="33" spans="1:16">
      <c r="A33" s="44"/>
      <c r="B33" s="5">
        <f t="shared" si="7"/>
        <v>45383</v>
      </c>
      <c r="C33" s="1" t="s">
        <v>440</v>
      </c>
      <c r="D33" s="194" t="s">
        <v>606</v>
      </c>
      <c r="E33" s="1">
        <v>300000</v>
      </c>
      <c r="F33" s="2">
        <v>729810</v>
      </c>
      <c r="G33" s="3">
        <f t="shared" si="1"/>
        <v>615941.39474999998</v>
      </c>
      <c r="H33" s="4">
        <f t="shared" si="6"/>
        <v>2.0531379825</v>
      </c>
      <c r="I33" s="200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51086.700000000004</v>
      </c>
      <c r="N33" s="11">
        <f t="shared" si="3"/>
        <v>11198.934450000001</v>
      </c>
      <c r="O33" s="11">
        <f t="shared" si="4"/>
        <v>51582.970800000003</v>
      </c>
      <c r="P33" s="11">
        <f t="shared" si="5"/>
        <v>0</v>
      </c>
    </row>
    <row r="34" spans="1:16">
      <c r="A34" s="44"/>
      <c r="B34" s="5">
        <f t="shared" si="7"/>
        <v>45383</v>
      </c>
      <c r="C34" s="1" t="s">
        <v>491</v>
      </c>
      <c r="D34" s="194" t="s">
        <v>605</v>
      </c>
      <c r="E34" s="1">
        <v>3991765</v>
      </c>
      <c r="F34" s="1">
        <v>10183391.689999999</v>
      </c>
      <c r="G34" s="3">
        <f t="shared" si="1"/>
        <v>8132456.6036339998</v>
      </c>
      <c r="H34" s="4">
        <f t="shared" si="6"/>
        <v>2.0373084596999069</v>
      </c>
      <c r="I34" s="200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1222007.0027999999</v>
      </c>
      <c r="N34" s="11">
        <f t="shared" si="3"/>
        <v>147862.8473388</v>
      </c>
      <c r="O34" s="11">
        <f t="shared" si="4"/>
        <v>681065.2362271999</v>
      </c>
      <c r="P34" s="11">
        <f t="shared" si="5"/>
        <v>0</v>
      </c>
    </row>
    <row r="35" spans="1:16">
      <c r="A35" s="44"/>
      <c r="B35" s="5">
        <f t="shared" ref="B35:B36" si="8">B32</f>
        <v>45383</v>
      </c>
      <c r="C35" s="1" t="s">
        <v>37</v>
      </c>
      <c r="D35" s="195" t="s">
        <v>604</v>
      </c>
      <c r="E35" s="118">
        <v>72166</v>
      </c>
      <c r="F35" s="2">
        <v>659056</v>
      </c>
      <c r="G35" s="3">
        <f t="shared" ref="G35:G36" si="9">F35-SUM(M35:P35)</f>
        <v>475484.18940000003</v>
      </c>
      <c r="H35" s="4">
        <f t="shared" si="6"/>
        <v>6.5887563312363167</v>
      </c>
      <c r="I35" s="200">
        <v>0.20499999999999999</v>
      </c>
      <c r="J35" s="7">
        <v>1.6500000000000001E-2</v>
      </c>
      <c r="K35" s="7">
        <v>7.5999999999999998E-2</v>
      </c>
      <c r="L35" s="7">
        <v>0</v>
      </c>
      <c r="M35" s="11">
        <f t="shared" si="2"/>
        <v>135106.47999999998</v>
      </c>
      <c r="N35" s="11">
        <f t="shared" si="3"/>
        <v>8645.1670800000011</v>
      </c>
      <c r="O35" s="11">
        <f t="shared" si="4"/>
        <v>39820.163520000002</v>
      </c>
      <c r="P35" s="11">
        <f t="shared" si="5"/>
        <v>0</v>
      </c>
    </row>
    <row r="36" spans="1:16">
      <c r="A36" s="44"/>
      <c r="B36" s="5">
        <f t="shared" si="8"/>
        <v>45383</v>
      </c>
      <c r="C36" s="1" t="s">
        <v>36</v>
      </c>
      <c r="D36" s="195" t="s">
        <v>603</v>
      </c>
      <c r="E36" s="118">
        <v>20122</v>
      </c>
      <c r="F36" s="2">
        <v>183764.17</v>
      </c>
      <c r="G36" s="3">
        <f t="shared" si="9"/>
        <v>132578.95749862501</v>
      </c>
      <c r="H36" s="4">
        <f t="shared" si="6"/>
        <v>6.5887564605220659</v>
      </c>
      <c r="I36" s="200">
        <v>0.20499999999999999</v>
      </c>
      <c r="J36" s="7">
        <v>1.6500000000000001E-2</v>
      </c>
      <c r="K36" s="7">
        <v>7.5999999999999998E-2</v>
      </c>
      <c r="L36" s="7">
        <v>0</v>
      </c>
      <c r="M36" s="11">
        <f t="shared" si="2"/>
        <v>37671.654849999999</v>
      </c>
      <c r="N36" s="11">
        <f t="shared" si="3"/>
        <v>2410.5264999750007</v>
      </c>
      <c r="O36" s="11">
        <f t="shared" si="4"/>
        <v>11103.0311514</v>
      </c>
      <c r="P36" s="11">
        <f t="shared" si="5"/>
        <v>0</v>
      </c>
    </row>
    <row r="37" spans="1:16">
      <c r="A37" s="44"/>
      <c r="B37" s="5">
        <f>B34</f>
        <v>45383</v>
      </c>
      <c r="C37" s="1" t="s">
        <v>534</v>
      </c>
      <c r="D37" s="195">
        <v>90825</v>
      </c>
      <c r="E37" s="118">
        <v>24300</v>
      </c>
      <c r="F37" s="2">
        <v>184881.69</v>
      </c>
      <c r="G37" s="3">
        <f t="shared" si="1"/>
        <v>156035.52431775001</v>
      </c>
      <c r="H37" s="4">
        <f>+IF(G37=0,0,G37/E37)</f>
        <v>6.4212149925000004</v>
      </c>
      <c r="I37" s="200">
        <v>7.0000000000000007E-2</v>
      </c>
      <c r="J37" s="7">
        <v>1.6500000000000001E-2</v>
      </c>
      <c r="K37" s="7">
        <v>7.5999999999999998E-2</v>
      </c>
      <c r="L37" s="7">
        <v>0</v>
      </c>
      <c r="M37" s="11">
        <f t="shared" si="2"/>
        <v>12941.718300000002</v>
      </c>
      <c r="N37" s="11">
        <f t="shared" si="3"/>
        <v>2837.0095330499998</v>
      </c>
      <c r="O37" s="11">
        <f t="shared" si="4"/>
        <v>13067.4378492</v>
      </c>
      <c r="P37" s="11">
        <f t="shared" si="5"/>
        <v>0</v>
      </c>
    </row>
    <row r="38" spans="1:16">
      <c r="A38" s="44"/>
      <c r="B38" s="5">
        <f t="shared" si="7"/>
        <v>45383</v>
      </c>
      <c r="C38" s="1" t="s">
        <v>534</v>
      </c>
      <c r="D38" s="195">
        <v>90829</v>
      </c>
      <c r="E38" s="118">
        <v>505.71699999999998</v>
      </c>
      <c r="F38" s="2">
        <v>3847.65</v>
      </c>
      <c r="G38" s="3">
        <f t="shared" ref="G38:G43" si="10">F38-SUM(M38:P38)</f>
        <v>3247.3204087499998</v>
      </c>
      <c r="H38" s="4">
        <f t="shared" ref="H38:H94" si="11">+IF(G38=0,0,G38/E38)</f>
        <v>6.4212205813725856</v>
      </c>
      <c r="I38" s="200">
        <v>7.0000000000000007E-2</v>
      </c>
      <c r="J38" s="7">
        <v>1.6500000000000001E-2</v>
      </c>
      <c r="K38" s="7">
        <v>7.5999999999999998E-2</v>
      </c>
      <c r="L38" s="7">
        <v>0</v>
      </c>
      <c r="M38" s="11">
        <f t="shared" si="2"/>
        <v>269.33550000000002</v>
      </c>
      <c r="N38" s="11">
        <f t="shared" si="3"/>
        <v>59.04218925</v>
      </c>
      <c r="O38" s="11">
        <f t="shared" si="4"/>
        <v>271.95190199999996</v>
      </c>
      <c r="P38" s="11">
        <f t="shared" si="5"/>
        <v>0</v>
      </c>
    </row>
    <row r="39" spans="1:16">
      <c r="A39" s="44"/>
      <c r="B39" s="5">
        <f t="shared" si="7"/>
        <v>45383</v>
      </c>
      <c r="C39" s="1" t="s">
        <v>534</v>
      </c>
      <c r="D39" s="195">
        <v>90832</v>
      </c>
      <c r="E39" s="118">
        <v>23734.352999999999</v>
      </c>
      <c r="F39" s="2">
        <v>182545.66</v>
      </c>
      <c r="G39" s="3">
        <f t="shared" si="10"/>
        <v>154063.97339850001</v>
      </c>
      <c r="H39" s="4">
        <f t="shared" si="11"/>
        <v>6.4911806695762895</v>
      </c>
      <c r="I39" s="200">
        <v>7.0000000000000007E-2</v>
      </c>
      <c r="J39" s="7">
        <v>1.6500000000000001E-2</v>
      </c>
      <c r="K39" s="7">
        <v>7.5999999999999998E-2</v>
      </c>
      <c r="L39" s="7">
        <v>0</v>
      </c>
      <c r="M39" s="11">
        <f t="shared" si="2"/>
        <v>12778.196200000002</v>
      </c>
      <c r="N39" s="11">
        <f t="shared" si="3"/>
        <v>2801.1631527</v>
      </c>
      <c r="O39" s="11">
        <f t="shared" si="4"/>
        <v>12902.3272488</v>
      </c>
      <c r="P39" s="11">
        <f t="shared" si="5"/>
        <v>0</v>
      </c>
    </row>
    <row r="40" spans="1:16">
      <c r="A40" s="44"/>
      <c r="B40" s="5">
        <f t="shared" si="7"/>
        <v>45383</v>
      </c>
      <c r="C40" s="1" t="s">
        <v>534</v>
      </c>
      <c r="D40" s="195">
        <v>90838</v>
      </c>
      <c r="E40" s="118">
        <v>24967.360000000001</v>
      </c>
      <c r="F40" s="2">
        <v>189959.17</v>
      </c>
      <c r="G40" s="3">
        <f t="shared" si="10"/>
        <v>160320.79050075001</v>
      </c>
      <c r="H40" s="4">
        <f t="shared" si="11"/>
        <v>6.4212151585409911</v>
      </c>
      <c r="I40" s="200">
        <v>7.0000000000000007E-2</v>
      </c>
      <c r="J40" s="7">
        <v>1.6500000000000001E-2</v>
      </c>
      <c r="K40" s="7">
        <v>7.5999999999999998E-2</v>
      </c>
      <c r="L40" s="7">
        <v>0</v>
      </c>
      <c r="M40" s="11">
        <f t="shared" si="2"/>
        <v>13297.141900000002</v>
      </c>
      <c r="N40" s="11">
        <f t="shared" si="3"/>
        <v>2914.92346365</v>
      </c>
      <c r="O40" s="11">
        <f t="shared" si="4"/>
        <v>13426.3141356</v>
      </c>
      <c r="P40" s="11">
        <f t="shared" si="5"/>
        <v>0</v>
      </c>
    </row>
    <row r="41" spans="1:16">
      <c r="A41" s="44"/>
      <c r="B41" s="5">
        <f t="shared" si="7"/>
        <v>45383</v>
      </c>
      <c r="C41" s="1" t="s">
        <v>534</v>
      </c>
      <c r="D41" s="195">
        <v>90849</v>
      </c>
      <c r="E41" s="118">
        <v>24000</v>
      </c>
      <c r="F41" s="2">
        <v>182599.2</v>
      </c>
      <c r="G41" s="3">
        <f t="shared" si="10"/>
        <v>154109.15982</v>
      </c>
      <c r="H41" s="4">
        <f t="shared" si="11"/>
        <v>6.4212149925000004</v>
      </c>
      <c r="I41" s="200">
        <v>7.0000000000000007E-2</v>
      </c>
      <c r="J41" s="7">
        <v>1.6500000000000001E-2</v>
      </c>
      <c r="K41" s="7">
        <v>7.5999999999999998E-2</v>
      </c>
      <c r="L41" s="7">
        <v>0</v>
      </c>
      <c r="M41" s="11">
        <f t="shared" si="2"/>
        <v>12781.944000000001</v>
      </c>
      <c r="N41" s="11">
        <f t="shared" si="3"/>
        <v>2801.9847240000004</v>
      </c>
      <c r="O41" s="11">
        <f t="shared" si="4"/>
        <v>12906.111456000001</v>
      </c>
      <c r="P41" s="11">
        <f t="shared" si="5"/>
        <v>0</v>
      </c>
    </row>
    <row r="42" spans="1:16">
      <c r="A42" s="44"/>
      <c r="B42" s="5">
        <f t="shared" si="7"/>
        <v>45383</v>
      </c>
      <c r="C42" s="1" t="s">
        <v>534</v>
      </c>
      <c r="D42" s="195">
        <v>90855</v>
      </c>
      <c r="E42" s="118">
        <v>24346.133000000002</v>
      </c>
      <c r="F42" s="2">
        <v>185232.68</v>
      </c>
      <c r="G42" s="3">
        <f t="shared" si="10"/>
        <v>156331.75110299999</v>
      </c>
      <c r="H42" s="4">
        <f t="shared" si="11"/>
        <v>6.4212148641018256</v>
      </c>
      <c r="I42" s="200">
        <v>7.0000000000000007E-2</v>
      </c>
      <c r="J42" s="7">
        <v>1.6500000000000001E-2</v>
      </c>
      <c r="K42" s="7">
        <v>7.5999999999999998E-2</v>
      </c>
      <c r="L42" s="7">
        <v>0</v>
      </c>
      <c r="M42" s="11">
        <f t="shared" si="2"/>
        <v>12966.287600000001</v>
      </c>
      <c r="N42" s="11">
        <f t="shared" si="3"/>
        <v>2842.3954745999999</v>
      </c>
      <c r="O42" s="11">
        <f t="shared" si="4"/>
        <v>13092.245822399998</v>
      </c>
      <c r="P42" s="11">
        <f t="shared" si="5"/>
        <v>0</v>
      </c>
    </row>
    <row r="43" spans="1:16">
      <c r="A43" s="44"/>
      <c r="B43" s="5">
        <f t="shared" si="7"/>
        <v>45383</v>
      </c>
      <c r="C43" s="1" t="s">
        <v>534</v>
      </c>
      <c r="D43" s="195">
        <v>90875</v>
      </c>
      <c r="E43" s="118">
        <v>24507.155999999999</v>
      </c>
      <c r="F43" s="2">
        <v>186457.79</v>
      </c>
      <c r="G43" s="3">
        <f t="shared" si="10"/>
        <v>157365.71331525</v>
      </c>
      <c r="H43" s="4">
        <f t="shared" si="11"/>
        <v>6.4212148204895749</v>
      </c>
      <c r="I43" s="200">
        <v>7.0000000000000007E-2</v>
      </c>
      <c r="J43" s="7">
        <v>1.6500000000000001E-2</v>
      </c>
      <c r="K43" s="7">
        <v>7.5999999999999998E-2</v>
      </c>
      <c r="L43" s="7">
        <v>0</v>
      </c>
      <c r="M43" s="11">
        <f t="shared" si="2"/>
        <v>13052.045300000002</v>
      </c>
      <c r="N43" s="11">
        <f t="shared" si="3"/>
        <v>2861.1947875500005</v>
      </c>
      <c r="O43" s="11">
        <f t="shared" si="4"/>
        <v>13178.836597200001</v>
      </c>
      <c r="P43" s="11">
        <f t="shared" si="5"/>
        <v>0</v>
      </c>
    </row>
    <row r="44" spans="1:16">
      <c r="A44" s="44"/>
      <c r="B44" s="5">
        <f t="shared" si="7"/>
        <v>45383</v>
      </c>
      <c r="C44" s="1" t="s">
        <v>534</v>
      </c>
      <c r="D44" s="195">
        <v>90876</v>
      </c>
      <c r="E44" s="118">
        <v>22000</v>
      </c>
      <c r="F44" s="2">
        <v>167382.6</v>
      </c>
      <c r="G44" s="3">
        <f t="shared" ref="G44:G56" si="12">F44-SUM(M44:P44)</f>
        <v>141266.72983500001</v>
      </c>
      <c r="H44" s="4">
        <f t="shared" si="11"/>
        <v>6.4212149925000004</v>
      </c>
      <c r="I44" s="200">
        <v>7.0000000000000007E-2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11716.782000000001</v>
      </c>
      <c r="N44" s="11">
        <f t="shared" si="3"/>
        <v>2568.4859970000002</v>
      </c>
      <c r="O44" s="11">
        <f t="shared" si="4"/>
        <v>11830.602167999999</v>
      </c>
      <c r="P44" s="11">
        <f t="shared" si="5"/>
        <v>0</v>
      </c>
    </row>
    <row r="45" spans="1:16">
      <c r="A45" s="44"/>
      <c r="B45" s="5">
        <f t="shared" si="7"/>
        <v>45383</v>
      </c>
      <c r="C45" s="1" t="s">
        <v>534</v>
      </c>
      <c r="D45" s="195">
        <v>90877</v>
      </c>
      <c r="E45" s="118">
        <v>22000</v>
      </c>
      <c r="F45" s="2">
        <v>167382.6</v>
      </c>
      <c r="G45" s="3">
        <f t="shared" si="12"/>
        <v>141266.72983500001</v>
      </c>
      <c r="H45" s="4">
        <f t="shared" si="11"/>
        <v>6.4212149925000004</v>
      </c>
      <c r="I45" s="200">
        <v>7.0000000000000007E-2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11716.782000000001</v>
      </c>
      <c r="N45" s="11">
        <f t="shared" si="3"/>
        <v>2568.4859970000002</v>
      </c>
      <c r="O45" s="11">
        <f t="shared" si="4"/>
        <v>11830.602167999999</v>
      </c>
      <c r="P45" s="11">
        <f t="shared" si="5"/>
        <v>0</v>
      </c>
    </row>
    <row r="46" spans="1:16">
      <c r="A46" s="44"/>
      <c r="B46" s="5">
        <f t="shared" si="7"/>
        <v>45383</v>
      </c>
      <c r="C46" s="1" t="s">
        <v>534</v>
      </c>
      <c r="D46" s="195">
        <v>90878</v>
      </c>
      <c r="E46" s="118">
        <v>22000</v>
      </c>
      <c r="F46" s="2">
        <v>167382.6</v>
      </c>
      <c r="G46" s="3">
        <f t="shared" si="12"/>
        <v>141266.72983500001</v>
      </c>
      <c r="H46" s="4">
        <f t="shared" si="11"/>
        <v>6.4212149925000004</v>
      </c>
      <c r="I46" s="200">
        <v>7.0000000000000007E-2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11716.782000000001</v>
      </c>
      <c r="N46" s="11">
        <f t="shared" si="3"/>
        <v>2568.4859970000002</v>
      </c>
      <c r="O46" s="11">
        <f t="shared" si="4"/>
        <v>11830.602167999999</v>
      </c>
      <c r="P46" s="11">
        <f t="shared" si="5"/>
        <v>0</v>
      </c>
    </row>
    <row r="47" spans="1:16">
      <c r="A47" s="44"/>
      <c r="B47" s="5">
        <f t="shared" si="7"/>
        <v>45383</v>
      </c>
      <c r="C47" s="1" t="s">
        <v>534</v>
      </c>
      <c r="D47" s="195">
        <v>90905</v>
      </c>
      <c r="E47" s="118">
        <v>24918.826000000001</v>
      </c>
      <c r="F47" s="2">
        <v>189589.9</v>
      </c>
      <c r="G47" s="3">
        <f t="shared" si="12"/>
        <v>160009.13585249998</v>
      </c>
      <c r="H47" s="4">
        <f t="shared" si="11"/>
        <v>6.4212148619080196</v>
      </c>
      <c r="I47" s="200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13271.293000000001</v>
      </c>
      <c r="N47" s="11">
        <f t="shared" si="3"/>
        <v>2909.2570154999999</v>
      </c>
      <c r="O47" s="11">
        <f t="shared" si="4"/>
        <v>13400.214131999999</v>
      </c>
      <c r="P47" s="11">
        <f t="shared" si="5"/>
        <v>0</v>
      </c>
    </row>
    <row r="48" spans="1:16">
      <c r="A48" s="44"/>
      <c r="B48" s="5">
        <f t="shared" si="7"/>
        <v>45383</v>
      </c>
      <c r="C48" s="1" t="s">
        <v>534</v>
      </c>
      <c r="D48" s="195">
        <v>90917</v>
      </c>
      <c r="E48" s="118">
        <v>2196.6889999999999</v>
      </c>
      <c r="F48" s="2">
        <v>16713.07</v>
      </c>
      <c r="G48" s="3">
        <f t="shared" si="12"/>
        <v>14105.413253250001</v>
      </c>
      <c r="H48" s="4">
        <f t="shared" si="11"/>
        <v>6.4212154079389485</v>
      </c>
      <c r="I48" s="200">
        <v>7.0000000000000007E-2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1169.9149</v>
      </c>
      <c r="N48" s="11">
        <f t="shared" si="3"/>
        <v>256.46205915000002</v>
      </c>
      <c r="O48" s="11">
        <f t="shared" si="4"/>
        <v>1181.2797876</v>
      </c>
      <c r="P48" s="11">
        <f t="shared" si="5"/>
        <v>0</v>
      </c>
    </row>
    <row r="49" spans="1:16">
      <c r="A49" s="44"/>
      <c r="B49" s="5">
        <f t="shared" si="7"/>
        <v>45383</v>
      </c>
      <c r="C49" s="1" t="s">
        <v>534</v>
      </c>
      <c r="D49" s="195">
        <v>90918</v>
      </c>
      <c r="E49" s="118">
        <v>2054.4879999999998</v>
      </c>
      <c r="F49" s="2">
        <v>15631.16</v>
      </c>
      <c r="G49" s="3">
        <f t="shared" si="12"/>
        <v>13192.308261</v>
      </c>
      <c r="H49" s="4">
        <f t="shared" si="11"/>
        <v>6.4212145610001139</v>
      </c>
      <c r="I49" s="200">
        <v>7.0000000000000007E-2</v>
      </c>
      <c r="J49" s="7">
        <v>1.6500000000000001E-2</v>
      </c>
      <c r="K49" s="7">
        <v>7.5999999999999998E-2</v>
      </c>
      <c r="L49" s="7">
        <v>0</v>
      </c>
      <c r="M49" s="11">
        <f t="shared" si="2"/>
        <v>1094.1812</v>
      </c>
      <c r="N49" s="11">
        <f t="shared" si="3"/>
        <v>239.86015020000002</v>
      </c>
      <c r="O49" s="11">
        <f t="shared" si="4"/>
        <v>1104.8103888000001</v>
      </c>
      <c r="P49" s="11">
        <f t="shared" si="5"/>
        <v>0</v>
      </c>
    </row>
    <row r="50" spans="1:16">
      <c r="A50" s="44"/>
      <c r="B50" s="5">
        <f t="shared" si="7"/>
        <v>45383</v>
      </c>
      <c r="C50" s="1" t="s">
        <v>534</v>
      </c>
      <c r="D50" s="195">
        <v>90919</v>
      </c>
      <c r="E50" s="118">
        <v>958.41</v>
      </c>
      <c r="F50" s="2">
        <v>7291.87</v>
      </c>
      <c r="G50" s="3">
        <f t="shared" si="12"/>
        <v>6154.1559832499997</v>
      </c>
      <c r="H50" s="4">
        <f t="shared" si="11"/>
        <v>6.4212142853789089</v>
      </c>
      <c r="I50" s="200">
        <v>7.0000000000000007E-2</v>
      </c>
      <c r="J50" s="7">
        <v>1.6500000000000001E-2</v>
      </c>
      <c r="K50" s="7">
        <v>7.5999999999999998E-2</v>
      </c>
      <c r="L50" s="7">
        <v>0</v>
      </c>
      <c r="M50" s="11">
        <f t="shared" si="2"/>
        <v>510.43090000000007</v>
      </c>
      <c r="N50" s="11">
        <f t="shared" si="3"/>
        <v>111.89374515</v>
      </c>
      <c r="O50" s="11">
        <f t="shared" si="4"/>
        <v>515.3893716</v>
      </c>
      <c r="P50" s="11">
        <f t="shared" si="5"/>
        <v>0</v>
      </c>
    </row>
    <row r="51" spans="1:16">
      <c r="A51" s="44"/>
      <c r="B51" s="5">
        <f t="shared" si="7"/>
        <v>45383</v>
      </c>
      <c r="C51" s="1" t="s">
        <v>534</v>
      </c>
      <c r="D51" s="195">
        <v>90930</v>
      </c>
      <c r="E51" s="118">
        <v>24888.539000000001</v>
      </c>
      <c r="F51" s="2">
        <v>189359.47</v>
      </c>
      <c r="G51" s="3">
        <f t="shared" si="12"/>
        <v>159814.65869325001</v>
      </c>
      <c r="H51" s="4">
        <f t="shared" si="11"/>
        <v>6.4212149493085953</v>
      </c>
      <c r="I51" s="200">
        <v>7.0000000000000007E-2</v>
      </c>
      <c r="J51" s="7">
        <v>1.6500000000000001E-2</v>
      </c>
      <c r="K51" s="7">
        <v>7.5999999999999998E-2</v>
      </c>
      <c r="L51" s="7">
        <v>0</v>
      </c>
      <c r="M51" s="11">
        <f t="shared" si="2"/>
        <v>13255.162900000001</v>
      </c>
      <c r="N51" s="11">
        <f t="shared" si="3"/>
        <v>2905.7210671500002</v>
      </c>
      <c r="O51" s="11">
        <f t="shared" si="4"/>
        <v>13383.927339600001</v>
      </c>
      <c r="P51" s="11">
        <f t="shared" si="5"/>
        <v>0</v>
      </c>
    </row>
    <row r="52" spans="1:16">
      <c r="A52" s="44"/>
      <c r="B52" s="5">
        <f t="shared" si="7"/>
        <v>45383</v>
      </c>
      <c r="C52" s="1" t="s">
        <v>534</v>
      </c>
      <c r="D52" s="195">
        <v>90935</v>
      </c>
      <c r="E52" s="118">
        <v>24596.713100000001</v>
      </c>
      <c r="F52" s="2">
        <v>187139.17</v>
      </c>
      <c r="G52" s="3">
        <f t="shared" si="12"/>
        <v>157940.78100075002</v>
      </c>
      <c r="H52" s="4">
        <f t="shared" si="11"/>
        <v>6.4212149143110517</v>
      </c>
      <c r="I52" s="200">
        <v>7.0000000000000007E-2</v>
      </c>
      <c r="J52" s="7">
        <v>1.6500000000000001E-2</v>
      </c>
      <c r="K52" s="7">
        <v>7.5999999999999998E-2</v>
      </c>
      <c r="L52" s="7">
        <v>0</v>
      </c>
      <c r="M52" s="11">
        <f t="shared" si="2"/>
        <v>13099.741900000003</v>
      </c>
      <c r="N52" s="11">
        <f t="shared" si="3"/>
        <v>2871.6505636500005</v>
      </c>
      <c r="O52" s="11">
        <f t="shared" si="4"/>
        <v>13226.996535600001</v>
      </c>
      <c r="P52" s="11">
        <f t="shared" si="5"/>
        <v>0</v>
      </c>
    </row>
    <row r="53" spans="1:16">
      <c r="A53" s="44"/>
      <c r="B53" s="5">
        <f t="shared" si="7"/>
        <v>45383</v>
      </c>
      <c r="C53" s="1" t="s">
        <v>534</v>
      </c>
      <c r="D53" s="195">
        <v>90937</v>
      </c>
      <c r="E53" s="118">
        <v>24670.5383</v>
      </c>
      <c r="F53" s="2">
        <v>189746.04</v>
      </c>
      <c r="G53" s="3">
        <f t="shared" si="12"/>
        <v>160140.914109</v>
      </c>
      <c r="H53" s="4">
        <f t="shared" si="11"/>
        <v>6.4911803772437349</v>
      </c>
      <c r="I53" s="200">
        <v>7.0000000000000007E-2</v>
      </c>
      <c r="J53" s="7">
        <v>1.6500000000000001E-2</v>
      </c>
      <c r="K53" s="7">
        <v>7.5999999999999998E-2</v>
      </c>
      <c r="L53" s="7">
        <v>0</v>
      </c>
      <c r="M53" s="11">
        <f t="shared" si="2"/>
        <v>13282.222800000001</v>
      </c>
      <c r="N53" s="11">
        <f t="shared" si="3"/>
        <v>2911.6529838000006</v>
      </c>
      <c r="O53" s="11">
        <f t="shared" si="4"/>
        <v>13411.250107200001</v>
      </c>
      <c r="P53" s="11">
        <f t="shared" si="5"/>
        <v>0</v>
      </c>
    </row>
    <row r="54" spans="1:16">
      <c r="A54" s="44"/>
      <c r="B54" s="5">
        <f t="shared" si="7"/>
        <v>45383</v>
      </c>
      <c r="C54" s="1" t="s">
        <v>534</v>
      </c>
      <c r="D54" s="195">
        <v>90941</v>
      </c>
      <c r="E54" s="118">
        <v>24726.040099999998</v>
      </c>
      <c r="F54" s="2">
        <v>188123.13</v>
      </c>
      <c r="G54" s="3">
        <f t="shared" si="12"/>
        <v>158771.21864174999</v>
      </c>
      <c r="H54" s="4">
        <f t="shared" si="11"/>
        <v>6.4212149620249948</v>
      </c>
      <c r="I54" s="200">
        <v>7.0000000000000007E-2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13168.619100000002</v>
      </c>
      <c r="N54" s="11">
        <f t="shared" si="3"/>
        <v>2886.7494298500001</v>
      </c>
      <c r="O54" s="11">
        <f t="shared" si="4"/>
        <v>13296.542828399999</v>
      </c>
      <c r="P54" s="11">
        <f t="shared" si="5"/>
        <v>0</v>
      </c>
    </row>
    <row r="55" spans="1:16">
      <c r="A55" s="44"/>
      <c r="B55" s="5">
        <f t="shared" si="7"/>
        <v>45383</v>
      </c>
      <c r="C55" s="1" t="s">
        <v>534</v>
      </c>
      <c r="D55" s="195">
        <v>90942</v>
      </c>
      <c r="E55" s="118">
        <v>24948.047200000001</v>
      </c>
      <c r="F55" s="2">
        <v>189812.23</v>
      </c>
      <c r="G55" s="3">
        <f t="shared" si="12"/>
        <v>160196.77681425001</v>
      </c>
      <c r="H55" s="4">
        <f t="shared" si="11"/>
        <v>6.4212150766754208</v>
      </c>
      <c r="I55" s="200">
        <v>7.0000000000000007E-2</v>
      </c>
      <c r="J55" s="7">
        <v>1.6500000000000001E-2</v>
      </c>
      <c r="K55" s="7">
        <v>7.5999999999999998E-2</v>
      </c>
      <c r="L55" s="7">
        <v>0</v>
      </c>
      <c r="M55" s="11">
        <f t="shared" si="2"/>
        <v>13286.856100000003</v>
      </c>
      <c r="N55" s="11">
        <f t="shared" si="3"/>
        <v>2912.6686693500001</v>
      </c>
      <c r="O55" s="11">
        <f t="shared" si="4"/>
        <v>13415.9284164</v>
      </c>
      <c r="P55" s="11">
        <f t="shared" si="5"/>
        <v>0</v>
      </c>
    </row>
    <row r="56" spans="1:16">
      <c r="A56" s="44"/>
      <c r="B56" s="5">
        <f t="shared" si="7"/>
        <v>45383</v>
      </c>
      <c r="C56" s="1" t="s">
        <v>534</v>
      </c>
      <c r="D56" s="195">
        <v>90956</v>
      </c>
      <c r="E56" s="118">
        <v>24000</v>
      </c>
      <c r="F56" s="2">
        <v>182599.2</v>
      </c>
      <c r="G56" s="3">
        <f t="shared" si="12"/>
        <v>154109.15982</v>
      </c>
      <c r="H56" s="4">
        <f t="shared" si="11"/>
        <v>6.4212149925000004</v>
      </c>
      <c r="I56" s="200">
        <v>7.0000000000000007E-2</v>
      </c>
      <c r="J56" s="7">
        <v>1.6500000000000001E-2</v>
      </c>
      <c r="K56" s="7">
        <v>7.5999999999999998E-2</v>
      </c>
      <c r="L56" s="7">
        <v>0</v>
      </c>
      <c r="M56" s="11">
        <f t="shared" si="2"/>
        <v>12781.944000000001</v>
      </c>
      <c r="N56" s="11">
        <f t="shared" si="3"/>
        <v>2801.9847240000004</v>
      </c>
      <c r="O56" s="11">
        <f t="shared" si="4"/>
        <v>12906.111456000001</v>
      </c>
      <c r="P56" s="11">
        <f t="shared" si="5"/>
        <v>0</v>
      </c>
    </row>
    <row r="57" spans="1:16">
      <c r="A57" s="44"/>
      <c r="B57" s="5">
        <f t="shared" si="7"/>
        <v>45383</v>
      </c>
      <c r="C57" s="1" t="s">
        <v>534</v>
      </c>
      <c r="D57" s="195">
        <v>90968</v>
      </c>
      <c r="E57" s="118">
        <v>25230.048299999999</v>
      </c>
      <c r="F57" s="2">
        <v>191957.78</v>
      </c>
      <c r="G57" s="3">
        <f t="shared" ref="G57:G79" si="13">F57-SUM(M57:P57)</f>
        <v>162007.56737549999</v>
      </c>
      <c r="H57" s="4">
        <f t="shared" ref="H57:H79" si="14">+IF(G57=0,0,G57/E57)</f>
        <v>6.4212151102183981</v>
      </c>
      <c r="I57" s="200">
        <v>7.0000000000000007E-2</v>
      </c>
      <c r="J57" s="7">
        <v>1.6500000000000001E-2</v>
      </c>
      <c r="K57" s="7">
        <v>7.5999999999999998E-2</v>
      </c>
      <c r="L57" s="7">
        <v>0</v>
      </c>
      <c r="M57" s="11">
        <f t="shared" ref="M57:M79" si="15">+I57*F57</f>
        <v>13437.044600000001</v>
      </c>
      <c r="N57" s="11">
        <f t="shared" ref="N57:N79" si="16">J57*(F57-M57)</f>
        <v>2945.5921341000003</v>
      </c>
      <c r="O57" s="11">
        <f t="shared" ref="O57:O79" si="17">K57*(F57-M57)</f>
        <v>13567.575890399999</v>
      </c>
      <c r="P57" s="11">
        <f t="shared" ref="P57:P79" si="18">L57*(F57)</f>
        <v>0</v>
      </c>
    </row>
    <row r="58" spans="1:16">
      <c r="A58" s="44"/>
      <c r="B58" s="5">
        <f t="shared" si="7"/>
        <v>45383</v>
      </c>
      <c r="C58" s="1" t="s">
        <v>534</v>
      </c>
      <c r="D58" s="195">
        <v>90975</v>
      </c>
      <c r="E58" s="118">
        <v>24000</v>
      </c>
      <c r="F58" s="2">
        <v>182599.2</v>
      </c>
      <c r="G58" s="3">
        <f t="shared" si="13"/>
        <v>154109.15982</v>
      </c>
      <c r="H58" s="4">
        <f t="shared" si="14"/>
        <v>6.4212149925000004</v>
      </c>
      <c r="I58" s="200">
        <v>7.0000000000000007E-2</v>
      </c>
      <c r="J58" s="7">
        <v>1.6500000000000001E-2</v>
      </c>
      <c r="K58" s="7">
        <v>7.5999999999999998E-2</v>
      </c>
      <c r="L58" s="7">
        <v>0</v>
      </c>
      <c r="M58" s="11">
        <f t="shared" si="15"/>
        <v>12781.944000000001</v>
      </c>
      <c r="N58" s="11">
        <f t="shared" si="16"/>
        <v>2801.9847240000004</v>
      </c>
      <c r="O58" s="11">
        <f t="shared" si="17"/>
        <v>12906.111456000001</v>
      </c>
      <c r="P58" s="11">
        <f t="shared" si="18"/>
        <v>0</v>
      </c>
    </row>
    <row r="59" spans="1:16">
      <c r="A59" s="44"/>
      <c r="B59" s="5">
        <f t="shared" si="7"/>
        <v>45383</v>
      </c>
      <c r="C59" s="1" t="s">
        <v>534</v>
      </c>
      <c r="D59" s="195">
        <v>90976</v>
      </c>
      <c r="E59" s="118">
        <v>24000</v>
      </c>
      <c r="F59" s="2">
        <v>182599.2</v>
      </c>
      <c r="G59" s="3">
        <f t="shared" si="13"/>
        <v>154109.15982</v>
      </c>
      <c r="H59" s="4">
        <f t="shared" si="14"/>
        <v>6.4212149925000004</v>
      </c>
      <c r="I59" s="200">
        <v>7.0000000000000007E-2</v>
      </c>
      <c r="J59" s="7">
        <v>1.6500000000000001E-2</v>
      </c>
      <c r="K59" s="7">
        <v>7.5999999999999998E-2</v>
      </c>
      <c r="L59" s="7">
        <v>0</v>
      </c>
      <c r="M59" s="11">
        <f t="shared" si="15"/>
        <v>12781.944000000001</v>
      </c>
      <c r="N59" s="11">
        <f t="shared" si="16"/>
        <v>2801.9847240000004</v>
      </c>
      <c r="O59" s="11">
        <f t="shared" si="17"/>
        <v>12906.111456000001</v>
      </c>
      <c r="P59" s="11">
        <f t="shared" si="18"/>
        <v>0</v>
      </c>
    </row>
    <row r="60" spans="1:16">
      <c r="A60" s="44"/>
      <c r="B60" s="5">
        <f t="shared" si="7"/>
        <v>45383</v>
      </c>
      <c r="C60" s="1" t="s">
        <v>534</v>
      </c>
      <c r="D60" s="195">
        <v>90982</v>
      </c>
      <c r="E60" s="118">
        <v>24000</v>
      </c>
      <c r="F60" s="2">
        <v>182599.2</v>
      </c>
      <c r="G60" s="3">
        <f t="shared" si="13"/>
        <v>154109.15982</v>
      </c>
      <c r="H60" s="4">
        <f t="shared" si="14"/>
        <v>6.4212149925000004</v>
      </c>
      <c r="I60" s="200">
        <v>7.0000000000000007E-2</v>
      </c>
      <c r="J60" s="7">
        <v>1.6500000000000001E-2</v>
      </c>
      <c r="K60" s="7">
        <v>7.5999999999999998E-2</v>
      </c>
      <c r="L60" s="7">
        <v>0</v>
      </c>
      <c r="M60" s="11">
        <f t="shared" si="15"/>
        <v>12781.944000000001</v>
      </c>
      <c r="N60" s="11">
        <f t="shared" si="16"/>
        <v>2801.9847240000004</v>
      </c>
      <c r="O60" s="11">
        <f t="shared" si="17"/>
        <v>12906.111456000001</v>
      </c>
      <c r="P60" s="11">
        <f t="shared" si="18"/>
        <v>0</v>
      </c>
    </row>
    <row r="61" spans="1:16">
      <c r="A61" s="44"/>
      <c r="B61" s="5">
        <f t="shared" si="7"/>
        <v>45383</v>
      </c>
      <c r="C61" s="1" t="s">
        <v>534</v>
      </c>
      <c r="D61" s="195">
        <v>91010</v>
      </c>
      <c r="E61" s="118">
        <v>25159.248</v>
      </c>
      <c r="F61" s="2">
        <v>191419.11</v>
      </c>
      <c r="G61" s="3">
        <f t="shared" si="13"/>
        <v>161552.94336224999</v>
      </c>
      <c r="H61" s="4">
        <f t="shared" si="14"/>
        <v>6.4212151079495694</v>
      </c>
      <c r="I61" s="200">
        <v>7.0000000000000007E-2</v>
      </c>
      <c r="J61" s="7">
        <v>1.6500000000000001E-2</v>
      </c>
      <c r="K61" s="7">
        <v>7.5999999999999998E-2</v>
      </c>
      <c r="L61" s="7">
        <v>0</v>
      </c>
      <c r="M61" s="11">
        <f t="shared" si="15"/>
        <v>13399.3377</v>
      </c>
      <c r="N61" s="11">
        <f t="shared" si="16"/>
        <v>2937.3262429500001</v>
      </c>
      <c r="O61" s="11">
        <f t="shared" si="17"/>
        <v>13529.502694799998</v>
      </c>
      <c r="P61" s="11">
        <f t="shared" si="18"/>
        <v>0</v>
      </c>
    </row>
    <row r="62" spans="1:16">
      <c r="A62" s="44"/>
      <c r="B62" s="5">
        <f t="shared" si="7"/>
        <v>45383</v>
      </c>
      <c r="C62" s="1" t="s">
        <v>534</v>
      </c>
      <c r="D62" s="195">
        <v>91011</v>
      </c>
      <c r="E62" s="118">
        <v>24000</v>
      </c>
      <c r="F62" s="2">
        <v>184588.79999999999</v>
      </c>
      <c r="G62" s="3">
        <f t="shared" si="13"/>
        <v>155788.33247999998</v>
      </c>
      <c r="H62" s="4">
        <f t="shared" si="14"/>
        <v>6.4911805199999995</v>
      </c>
      <c r="I62" s="200">
        <v>7.0000000000000007E-2</v>
      </c>
      <c r="J62" s="7">
        <v>1.6500000000000001E-2</v>
      </c>
      <c r="K62" s="7">
        <v>7.5999999999999998E-2</v>
      </c>
      <c r="L62" s="7">
        <v>0</v>
      </c>
      <c r="M62" s="11">
        <f t="shared" si="15"/>
        <v>12921.216</v>
      </c>
      <c r="N62" s="11">
        <f t="shared" si="16"/>
        <v>2832.5151359999995</v>
      </c>
      <c r="O62" s="11">
        <f t="shared" si="17"/>
        <v>13046.736383999998</v>
      </c>
      <c r="P62" s="11">
        <f t="shared" si="18"/>
        <v>0</v>
      </c>
    </row>
    <row r="63" spans="1:16">
      <c r="A63" s="44"/>
      <c r="B63" s="5">
        <f t="shared" si="7"/>
        <v>45383</v>
      </c>
      <c r="C63" s="1" t="s">
        <v>534</v>
      </c>
      <c r="D63" s="195">
        <v>91015</v>
      </c>
      <c r="E63" s="118">
        <v>25304.8433</v>
      </c>
      <c r="F63" s="2">
        <v>192526.84</v>
      </c>
      <c r="G63" s="3">
        <f t="shared" si="13"/>
        <v>162487.83978899999</v>
      </c>
      <c r="H63" s="4">
        <f t="shared" si="14"/>
        <v>6.4212150165340081</v>
      </c>
      <c r="I63" s="200">
        <v>7.0000000000000007E-2</v>
      </c>
      <c r="J63" s="7">
        <v>1.6500000000000001E-2</v>
      </c>
      <c r="K63" s="7">
        <v>7.5999999999999998E-2</v>
      </c>
      <c r="L63" s="7">
        <v>0</v>
      </c>
      <c r="M63" s="11">
        <f t="shared" si="15"/>
        <v>13476.8788</v>
      </c>
      <c r="N63" s="11">
        <f t="shared" si="16"/>
        <v>2954.3243597999999</v>
      </c>
      <c r="O63" s="11">
        <f t="shared" si="17"/>
        <v>13607.797051199999</v>
      </c>
      <c r="P63" s="11">
        <f t="shared" si="18"/>
        <v>0</v>
      </c>
    </row>
    <row r="64" spans="1:16">
      <c r="A64" s="44"/>
      <c r="B64" s="5">
        <f t="shared" si="7"/>
        <v>45383</v>
      </c>
      <c r="C64" s="1" t="s">
        <v>534</v>
      </c>
      <c r="D64" s="195">
        <v>91021</v>
      </c>
      <c r="E64" s="118">
        <v>25152.321</v>
      </c>
      <c r="F64" s="2">
        <v>191366.39999999999</v>
      </c>
      <c r="G64" s="3">
        <f t="shared" si="13"/>
        <v>161508.45744</v>
      </c>
      <c r="H64" s="4">
        <f t="shared" si="14"/>
        <v>6.4212148628351233</v>
      </c>
      <c r="I64" s="200">
        <v>7.0000000000000007E-2</v>
      </c>
      <c r="J64" s="7">
        <v>1.6500000000000001E-2</v>
      </c>
      <c r="K64" s="7">
        <v>7.5999999999999998E-2</v>
      </c>
      <c r="L64" s="7">
        <v>0</v>
      </c>
      <c r="M64" s="11">
        <f t="shared" si="15"/>
        <v>13395.648000000001</v>
      </c>
      <c r="N64" s="11">
        <f t="shared" si="16"/>
        <v>2936.5174079999997</v>
      </c>
      <c r="O64" s="11">
        <f t="shared" si="17"/>
        <v>13525.777151999999</v>
      </c>
      <c r="P64" s="11">
        <f t="shared" si="18"/>
        <v>0</v>
      </c>
    </row>
    <row r="65" spans="1:17">
      <c r="A65" s="44"/>
      <c r="B65" s="5">
        <f t="shared" si="7"/>
        <v>45383</v>
      </c>
      <c r="C65" s="1" t="s">
        <v>534</v>
      </c>
      <c r="D65" s="195">
        <v>91068</v>
      </c>
      <c r="E65" s="118">
        <v>25255.562000000002</v>
      </c>
      <c r="F65" s="2">
        <v>192151.89</v>
      </c>
      <c r="G65" s="3">
        <f t="shared" si="13"/>
        <v>162171.39136275</v>
      </c>
      <c r="H65" s="4">
        <f t="shared" si="14"/>
        <v>6.4212149134812355</v>
      </c>
      <c r="I65" s="200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15"/>
        <v>13450.632300000003</v>
      </c>
      <c r="N65" s="11">
        <f t="shared" si="16"/>
        <v>2948.5707520500005</v>
      </c>
      <c r="O65" s="11">
        <f t="shared" si="17"/>
        <v>13581.295585200001</v>
      </c>
      <c r="P65" s="11">
        <f t="shared" si="18"/>
        <v>0</v>
      </c>
    </row>
    <row r="66" spans="1:17">
      <c r="A66" s="44"/>
      <c r="B66" s="5">
        <f t="shared" si="7"/>
        <v>45383</v>
      </c>
      <c r="C66" s="1" t="s">
        <v>534</v>
      </c>
      <c r="D66" s="195">
        <v>91081</v>
      </c>
      <c r="E66" s="118">
        <v>25339.793000000001</v>
      </c>
      <c r="F66" s="2">
        <v>192792.75</v>
      </c>
      <c r="G66" s="3">
        <f t="shared" si="13"/>
        <v>162712.26118124998</v>
      </c>
      <c r="H66" s="4">
        <f t="shared" si="14"/>
        <v>6.4212150896911417</v>
      </c>
      <c r="I66" s="200">
        <v>7.0000000000000007E-2</v>
      </c>
      <c r="J66" s="7">
        <v>1.6500000000000001E-2</v>
      </c>
      <c r="K66" s="7">
        <v>7.5999999999999998E-2</v>
      </c>
      <c r="L66" s="7">
        <v>0</v>
      </c>
      <c r="M66" s="11">
        <f t="shared" si="15"/>
        <v>13495.492500000002</v>
      </c>
      <c r="N66" s="11">
        <f t="shared" si="16"/>
        <v>2958.4047487500002</v>
      </c>
      <c r="O66" s="11">
        <f t="shared" si="17"/>
        <v>13626.591570000001</v>
      </c>
      <c r="P66" s="11">
        <f t="shared" si="18"/>
        <v>0</v>
      </c>
    </row>
    <row r="67" spans="1:17">
      <c r="A67" s="44"/>
      <c r="B67" s="5">
        <f t="shared" si="7"/>
        <v>45383</v>
      </c>
      <c r="C67" s="1" t="s">
        <v>534</v>
      </c>
      <c r="D67" s="195">
        <v>91088</v>
      </c>
      <c r="E67" s="118">
        <v>24833.186399999999</v>
      </c>
      <c r="F67" s="2">
        <v>188938.33</v>
      </c>
      <c r="G67" s="3">
        <f t="shared" si="13"/>
        <v>159459.22706174999</v>
      </c>
      <c r="H67" s="4">
        <f t="shared" si="14"/>
        <v>6.421214921567616</v>
      </c>
      <c r="I67" s="200">
        <v>7.0000000000000007E-2</v>
      </c>
      <c r="J67" s="7">
        <v>1.6500000000000001E-2</v>
      </c>
      <c r="K67" s="7">
        <v>7.5999999999999998E-2</v>
      </c>
      <c r="L67" s="7">
        <v>0</v>
      </c>
      <c r="M67" s="11">
        <f t="shared" si="15"/>
        <v>13225.6831</v>
      </c>
      <c r="N67" s="11">
        <f t="shared" si="16"/>
        <v>2899.2586738499999</v>
      </c>
      <c r="O67" s="11">
        <f t="shared" si="17"/>
        <v>13354.161164399999</v>
      </c>
      <c r="P67" s="11">
        <f t="shared" si="18"/>
        <v>0</v>
      </c>
    </row>
    <row r="68" spans="1:17">
      <c r="A68" s="44"/>
      <c r="B68" s="5">
        <f t="shared" si="7"/>
        <v>45383</v>
      </c>
      <c r="C68" s="1" t="s">
        <v>534</v>
      </c>
      <c r="D68" s="195">
        <v>91095</v>
      </c>
      <c r="E68" s="118">
        <v>24000</v>
      </c>
      <c r="F68" s="2">
        <v>182599.2</v>
      </c>
      <c r="G68" s="3">
        <f t="shared" si="13"/>
        <v>154109.15982</v>
      </c>
      <c r="H68" s="4">
        <f t="shared" si="14"/>
        <v>6.4212149925000004</v>
      </c>
      <c r="I68" s="200">
        <v>7.0000000000000007E-2</v>
      </c>
      <c r="J68" s="7">
        <v>1.6500000000000001E-2</v>
      </c>
      <c r="K68" s="7">
        <v>7.5999999999999998E-2</v>
      </c>
      <c r="L68" s="7">
        <v>0</v>
      </c>
      <c r="M68" s="11">
        <f t="shared" si="15"/>
        <v>12781.944000000001</v>
      </c>
      <c r="N68" s="11">
        <f t="shared" si="16"/>
        <v>2801.9847240000004</v>
      </c>
      <c r="O68" s="11">
        <f t="shared" si="17"/>
        <v>12906.111456000001</v>
      </c>
      <c r="P68" s="11">
        <f t="shared" si="18"/>
        <v>0</v>
      </c>
    </row>
    <row r="69" spans="1:17">
      <c r="A69" s="44"/>
      <c r="B69" s="5">
        <f t="shared" si="7"/>
        <v>45383</v>
      </c>
      <c r="C69" s="1" t="s">
        <v>534</v>
      </c>
      <c r="D69" s="195">
        <v>91096</v>
      </c>
      <c r="E69" s="118">
        <v>24000</v>
      </c>
      <c r="F69" s="2">
        <v>182599.2</v>
      </c>
      <c r="G69" s="3">
        <f t="shared" si="13"/>
        <v>154109.15982</v>
      </c>
      <c r="H69" s="4">
        <f t="shared" si="14"/>
        <v>6.4212149925000004</v>
      </c>
      <c r="I69" s="200">
        <v>7.0000000000000007E-2</v>
      </c>
      <c r="J69" s="7">
        <v>1.6500000000000001E-2</v>
      </c>
      <c r="K69" s="7">
        <v>7.5999999999999998E-2</v>
      </c>
      <c r="L69" s="7">
        <v>0</v>
      </c>
      <c r="M69" s="11">
        <f t="shared" si="15"/>
        <v>12781.944000000001</v>
      </c>
      <c r="N69" s="11">
        <f t="shared" si="16"/>
        <v>2801.9847240000004</v>
      </c>
      <c r="O69" s="11">
        <f t="shared" si="17"/>
        <v>12906.111456000001</v>
      </c>
      <c r="P69" s="11">
        <f t="shared" si="18"/>
        <v>0</v>
      </c>
    </row>
    <row r="70" spans="1:17">
      <c r="A70" s="44"/>
      <c r="B70" s="5">
        <f t="shared" si="7"/>
        <v>45383</v>
      </c>
      <c r="C70" s="1" t="s">
        <v>534</v>
      </c>
      <c r="D70" s="195">
        <v>91097</v>
      </c>
      <c r="E70" s="118">
        <v>24000</v>
      </c>
      <c r="F70" s="2">
        <v>182599.2</v>
      </c>
      <c r="G70" s="3">
        <f t="shared" si="13"/>
        <v>154109.15982</v>
      </c>
      <c r="H70" s="4">
        <f t="shared" si="14"/>
        <v>6.4212149925000004</v>
      </c>
      <c r="I70" s="200">
        <v>7.0000000000000007E-2</v>
      </c>
      <c r="J70" s="7">
        <v>1.6500000000000001E-2</v>
      </c>
      <c r="K70" s="7">
        <v>7.5999999999999998E-2</v>
      </c>
      <c r="L70" s="7">
        <v>0</v>
      </c>
      <c r="M70" s="11">
        <f t="shared" si="15"/>
        <v>12781.944000000001</v>
      </c>
      <c r="N70" s="11">
        <f t="shared" si="16"/>
        <v>2801.9847240000004</v>
      </c>
      <c r="O70" s="11">
        <f t="shared" si="17"/>
        <v>12906.111456000001</v>
      </c>
      <c r="P70" s="11">
        <f t="shared" si="18"/>
        <v>0</v>
      </c>
    </row>
    <row r="71" spans="1:17">
      <c r="A71" s="44"/>
      <c r="B71" s="5">
        <f t="shared" si="7"/>
        <v>45383</v>
      </c>
      <c r="C71" s="1" t="s">
        <v>534</v>
      </c>
      <c r="D71" s="195">
        <v>91098</v>
      </c>
      <c r="E71" s="118">
        <v>24000</v>
      </c>
      <c r="F71" s="2">
        <v>182599.2</v>
      </c>
      <c r="G71" s="3">
        <f t="shared" si="13"/>
        <v>154109.15982</v>
      </c>
      <c r="H71" s="4">
        <f t="shared" si="14"/>
        <v>6.4212149925000004</v>
      </c>
      <c r="I71" s="200">
        <v>7.0000000000000007E-2</v>
      </c>
      <c r="J71" s="7">
        <v>1.6500000000000001E-2</v>
      </c>
      <c r="K71" s="7">
        <v>7.5999999999999998E-2</v>
      </c>
      <c r="L71" s="7">
        <v>0</v>
      </c>
      <c r="M71" s="11">
        <f t="shared" si="15"/>
        <v>12781.944000000001</v>
      </c>
      <c r="N71" s="11">
        <f t="shared" si="16"/>
        <v>2801.9847240000004</v>
      </c>
      <c r="O71" s="11">
        <f t="shared" si="17"/>
        <v>12906.111456000001</v>
      </c>
      <c r="P71" s="11">
        <f t="shared" si="18"/>
        <v>0</v>
      </c>
    </row>
    <row r="72" spans="1:17">
      <c r="A72" s="44"/>
      <c r="B72" s="5">
        <f t="shared" si="7"/>
        <v>45383</v>
      </c>
      <c r="C72" s="1" t="s">
        <v>534</v>
      </c>
      <c r="D72" s="195">
        <v>91128</v>
      </c>
      <c r="E72" s="118">
        <v>25243.953099999999</v>
      </c>
      <c r="F72" s="2">
        <v>192063.57</v>
      </c>
      <c r="G72" s="3">
        <f t="shared" si="13"/>
        <v>162096.85149075001</v>
      </c>
      <c r="H72" s="4">
        <f t="shared" si="14"/>
        <v>6.4212150469709917</v>
      </c>
      <c r="I72" s="200">
        <v>7.0000000000000007E-2</v>
      </c>
      <c r="J72" s="7">
        <v>1.6500000000000001E-2</v>
      </c>
      <c r="K72" s="7">
        <v>7.5999999999999998E-2</v>
      </c>
      <c r="L72" s="7">
        <v>0</v>
      </c>
      <c r="M72" s="11">
        <f t="shared" si="15"/>
        <v>13444.449900000001</v>
      </c>
      <c r="N72" s="11">
        <f t="shared" si="16"/>
        <v>2947.2154816500001</v>
      </c>
      <c r="O72" s="11">
        <f t="shared" si="17"/>
        <v>13575.0531276</v>
      </c>
      <c r="P72" s="11">
        <f t="shared" si="18"/>
        <v>0</v>
      </c>
    </row>
    <row r="73" spans="1:17">
      <c r="A73" s="44"/>
      <c r="B73" s="5">
        <f t="shared" si="7"/>
        <v>45383</v>
      </c>
      <c r="C73" s="1" t="s">
        <v>534</v>
      </c>
      <c r="D73" s="195">
        <v>91131</v>
      </c>
      <c r="E73" s="118">
        <v>25216.1973</v>
      </c>
      <c r="F73" s="2">
        <v>193942.82</v>
      </c>
      <c r="G73" s="3">
        <f t="shared" si="13"/>
        <v>163682.89150950001</v>
      </c>
      <c r="H73" s="4">
        <f t="shared" si="14"/>
        <v>6.4911806313277864</v>
      </c>
      <c r="I73" s="200">
        <v>7.0000000000000007E-2</v>
      </c>
      <c r="J73" s="7">
        <v>1.6500000000000001E-2</v>
      </c>
      <c r="K73" s="7">
        <v>7.5999999999999998E-2</v>
      </c>
      <c r="L73" s="7">
        <v>0</v>
      </c>
      <c r="M73" s="11">
        <f t="shared" si="15"/>
        <v>13575.997400000002</v>
      </c>
      <c r="N73" s="11">
        <f t="shared" si="16"/>
        <v>2976.0525729000005</v>
      </c>
      <c r="O73" s="11">
        <f t="shared" si="17"/>
        <v>13707.8785176</v>
      </c>
      <c r="P73" s="11">
        <f t="shared" si="18"/>
        <v>0</v>
      </c>
    </row>
    <row r="74" spans="1:17">
      <c r="A74" s="44"/>
      <c r="B74" s="5">
        <f t="shared" si="7"/>
        <v>45383</v>
      </c>
      <c r="C74" s="1" t="s">
        <v>534</v>
      </c>
      <c r="D74" s="195">
        <v>91135</v>
      </c>
      <c r="E74" s="118">
        <v>24952.517</v>
      </c>
      <c r="F74" s="2">
        <v>189846.24</v>
      </c>
      <c r="G74" s="3">
        <f t="shared" si="13"/>
        <v>160225.480404</v>
      </c>
      <c r="H74" s="4">
        <f t="shared" si="14"/>
        <v>6.4212151585349089</v>
      </c>
      <c r="I74" s="200">
        <v>7.0000000000000007E-2</v>
      </c>
      <c r="J74" s="7">
        <v>1.6500000000000001E-2</v>
      </c>
      <c r="K74" s="7">
        <v>7.5999999999999998E-2</v>
      </c>
      <c r="L74" s="7">
        <v>0</v>
      </c>
      <c r="M74" s="11">
        <f t="shared" si="15"/>
        <v>13289.236800000001</v>
      </c>
      <c r="N74" s="11">
        <f t="shared" si="16"/>
        <v>2913.1905527999998</v>
      </c>
      <c r="O74" s="11">
        <f t="shared" si="17"/>
        <v>13418.332243199999</v>
      </c>
      <c r="P74" s="11">
        <f t="shared" si="18"/>
        <v>0</v>
      </c>
    </row>
    <row r="75" spans="1:17">
      <c r="A75" s="44"/>
      <c r="B75" s="5">
        <f t="shared" si="7"/>
        <v>45383</v>
      </c>
      <c r="C75" s="1" t="s">
        <v>534</v>
      </c>
      <c r="D75" s="195">
        <v>91138</v>
      </c>
      <c r="E75" s="118">
        <v>25207.927299999999</v>
      </c>
      <c r="F75" s="2">
        <v>191789.47</v>
      </c>
      <c r="G75" s="3">
        <f t="shared" si="13"/>
        <v>161865.51794325002</v>
      </c>
      <c r="H75" s="4">
        <f t="shared" si="14"/>
        <v>6.4212148827980009</v>
      </c>
      <c r="I75" s="200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15"/>
        <v>13425.262900000002</v>
      </c>
      <c r="N75" s="11">
        <f t="shared" si="16"/>
        <v>2943.00941715</v>
      </c>
      <c r="O75" s="11">
        <f t="shared" si="17"/>
        <v>13555.6797396</v>
      </c>
      <c r="P75" s="11">
        <f t="shared" si="18"/>
        <v>0</v>
      </c>
    </row>
    <row r="76" spans="1:17">
      <c r="A76" s="44"/>
      <c r="B76" s="5">
        <f t="shared" si="7"/>
        <v>45383</v>
      </c>
      <c r="C76" s="1" t="s">
        <v>534</v>
      </c>
      <c r="D76" s="195">
        <v>91141</v>
      </c>
      <c r="E76" s="118">
        <v>24068.428800000002</v>
      </c>
      <c r="F76" s="2">
        <v>183119.83</v>
      </c>
      <c r="G76" s="3">
        <f t="shared" si="13"/>
        <v>154548.55852424999</v>
      </c>
      <c r="H76" s="4">
        <f t="shared" si="14"/>
        <v>6.4212151033411029</v>
      </c>
      <c r="I76" s="200">
        <v>7.0000000000000007E-2</v>
      </c>
      <c r="J76" s="7">
        <v>1.6500000000000001E-2</v>
      </c>
      <c r="K76" s="7">
        <v>7.5999999999999998E-2</v>
      </c>
      <c r="L76" s="7">
        <v>0</v>
      </c>
      <c r="M76" s="11">
        <f t="shared" si="15"/>
        <v>12818.3881</v>
      </c>
      <c r="N76" s="11">
        <f t="shared" si="16"/>
        <v>2809.9737913499998</v>
      </c>
      <c r="O76" s="11">
        <f t="shared" si="17"/>
        <v>12942.909584399998</v>
      </c>
      <c r="P76" s="11">
        <f t="shared" si="18"/>
        <v>0</v>
      </c>
    </row>
    <row r="77" spans="1:17">
      <c r="A77" s="44"/>
      <c r="B77" s="5">
        <f t="shared" si="7"/>
        <v>45383</v>
      </c>
      <c r="C77" s="1" t="s">
        <v>534</v>
      </c>
      <c r="D77" s="195">
        <v>91142</v>
      </c>
      <c r="E77" s="118">
        <v>24262.977299999999</v>
      </c>
      <c r="F77" s="2">
        <v>184600.01</v>
      </c>
      <c r="G77" s="3">
        <f t="shared" si="13"/>
        <v>155797.79343975001</v>
      </c>
      <c r="H77" s="4">
        <f t="shared" si="14"/>
        <v>6.4212149858356424</v>
      </c>
      <c r="I77" s="200">
        <v>7.0000000000000007E-2</v>
      </c>
      <c r="J77" s="7">
        <v>1.6500000000000001E-2</v>
      </c>
      <c r="K77" s="7">
        <v>7.5999999999999998E-2</v>
      </c>
      <c r="L77" s="7">
        <v>0</v>
      </c>
      <c r="M77" s="11">
        <f t="shared" si="15"/>
        <v>12922.000700000002</v>
      </c>
      <c r="N77" s="11">
        <f t="shared" si="16"/>
        <v>2832.6871534500001</v>
      </c>
      <c r="O77" s="11">
        <f t="shared" si="17"/>
        <v>13047.5287068</v>
      </c>
      <c r="P77" s="11">
        <f t="shared" si="18"/>
        <v>0</v>
      </c>
    </row>
    <row r="78" spans="1:17">
      <c r="A78" s="44"/>
      <c r="B78" s="5">
        <f t="shared" si="7"/>
        <v>45383</v>
      </c>
      <c r="C78" s="1" t="s">
        <v>534</v>
      </c>
      <c r="D78" s="195">
        <v>91157</v>
      </c>
      <c r="E78" s="118">
        <v>23907.504099999998</v>
      </c>
      <c r="F78" s="2">
        <v>181895.46</v>
      </c>
      <c r="G78" s="3">
        <f t="shared" si="13"/>
        <v>153515.22085350001</v>
      </c>
      <c r="H78" s="4">
        <f t="shared" si="14"/>
        <v>6.4212148709199646</v>
      </c>
      <c r="I78" s="200">
        <v>7.0000000000000007E-2</v>
      </c>
      <c r="J78" s="7">
        <v>1.6500000000000001E-2</v>
      </c>
      <c r="K78" s="7">
        <v>7.5999999999999998E-2</v>
      </c>
      <c r="L78" s="7">
        <v>0</v>
      </c>
      <c r="M78" s="11">
        <f t="shared" si="15"/>
        <v>12732.682200000001</v>
      </c>
      <c r="N78" s="11">
        <f t="shared" si="16"/>
        <v>2791.1858336999999</v>
      </c>
      <c r="O78" s="11">
        <f t="shared" si="17"/>
        <v>12856.371112799998</v>
      </c>
      <c r="P78" s="11">
        <f t="shared" si="18"/>
        <v>0</v>
      </c>
    </row>
    <row r="79" spans="1:17">
      <c r="A79" s="44"/>
      <c r="B79" s="5">
        <f t="shared" si="7"/>
        <v>45383</v>
      </c>
      <c r="C79" s="1" t="s">
        <v>534</v>
      </c>
      <c r="D79" s="195">
        <v>91174</v>
      </c>
      <c r="E79" s="118">
        <v>24839.544999999998</v>
      </c>
      <c r="F79" s="2">
        <v>188986.71</v>
      </c>
      <c r="G79" s="3">
        <f t="shared" si="13"/>
        <v>159500.05857224998</v>
      </c>
      <c r="H79" s="4">
        <f t="shared" si="14"/>
        <v>6.4212149849061246</v>
      </c>
      <c r="I79" s="200">
        <v>7.0000000000000007E-2</v>
      </c>
      <c r="J79" s="7">
        <v>1.6500000000000001E-2</v>
      </c>
      <c r="K79" s="7">
        <v>7.5999999999999998E-2</v>
      </c>
      <c r="L79" s="7">
        <v>0</v>
      </c>
      <c r="M79" s="11">
        <f t="shared" si="15"/>
        <v>13229.0697</v>
      </c>
      <c r="N79" s="11">
        <f t="shared" si="16"/>
        <v>2900.00106495</v>
      </c>
      <c r="O79" s="11">
        <f t="shared" si="17"/>
        <v>13357.580662799999</v>
      </c>
      <c r="P79" s="11">
        <f t="shared" si="18"/>
        <v>0</v>
      </c>
    </row>
    <row r="80" spans="1:17" hidden="1">
      <c r="A80" s="44"/>
      <c r="B80" s="5">
        <f t="shared" si="7"/>
        <v>45383</v>
      </c>
      <c r="C80" s="1" t="s">
        <v>534</v>
      </c>
      <c r="D80" s="195">
        <v>91250</v>
      </c>
      <c r="E80" s="118"/>
      <c r="F80" s="2"/>
      <c r="G80" s="3"/>
      <c r="H80" s="4"/>
      <c r="I80" s="200"/>
      <c r="J80" s="7"/>
      <c r="K80" s="7"/>
      <c r="L80" s="7"/>
      <c r="M80" s="11"/>
      <c r="N80" s="11"/>
      <c r="O80" s="11"/>
      <c r="P80" s="11"/>
      <c r="Q80" s="1"/>
    </row>
    <row r="81" spans="1:17" hidden="1">
      <c r="A81" s="44"/>
      <c r="B81" s="5">
        <f t="shared" si="7"/>
        <v>45383</v>
      </c>
      <c r="C81" s="1" t="s">
        <v>534</v>
      </c>
      <c r="D81" s="195">
        <v>91251</v>
      </c>
      <c r="E81" s="118"/>
      <c r="F81" s="2"/>
      <c r="G81" s="3"/>
      <c r="H81" s="4"/>
      <c r="I81" s="200"/>
      <c r="J81" s="7"/>
      <c r="K81" s="7"/>
      <c r="L81" s="7"/>
      <c r="M81" s="11"/>
      <c r="N81" s="11"/>
      <c r="O81" s="11"/>
      <c r="P81" s="11"/>
      <c r="Q81" s="1"/>
    </row>
    <row r="82" spans="1:17" hidden="1">
      <c r="A82" s="44"/>
      <c r="B82" s="5">
        <f t="shared" si="7"/>
        <v>45383</v>
      </c>
      <c r="C82" s="1" t="s">
        <v>534</v>
      </c>
      <c r="D82" s="195">
        <v>91252</v>
      </c>
      <c r="E82" s="118"/>
      <c r="F82" s="2"/>
      <c r="G82" s="3"/>
      <c r="H82" s="4"/>
      <c r="I82" s="200"/>
      <c r="J82" s="7"/>
      <c r="K82" s="7"/>
      <c r="L82" s="7"/>
      <c r="M82" s="11"/>
      <c r="N82" s="11"/>
      <c r="O82" s="11"/>
      <c r="P82" s="11"/>
      <c r="Q82" s="1"/>
    </row>
    <row r="83" spans="1:17" hidden="1">
      <c r="A83" s="44"/>
      <c r="B83" s="5">
        <f t="shared" si="7"/>
        <v>45383</v>
      </c>
      <c r="C83" s="1" t="s">
        <v>534</v>
      </c>
      <c r="D83" s="195">
        <v>91253</v>
      </c>
      <c r="E83" s="118"/>
      <c r="F83" s="2"/>
      <c r="G83" s="3"/>
      <c r="H83" s="4"/>
      <c r="I83" s="200"/>
      <c r="J83" s="7"/>
      <c r="K83" s="7"/>
      <c r="L83" s="7"/>
      <c r="M83" s="11"/>
      <c r="N83" s="11"/>
      <c r="O83" s="11"/>
      <c r="P83" s="11"/>
      <c r="Q83" s="1"/>
    </row>
    <row r="84" spans="1:17" hidden="1">
      <c r="A84" s="44"/>
      <c r="B84" s="5">
        <f t="shared" si="7"/>
        <v>45383</v>
      </c>
      <c r="C84" s="1" t="s">
        <v>534</v>
      </c>
      <c r="D84" s="195">
        <v>91254</v>
      </c>
      <c r="E84" s="118"/>
      <c r="F84" s="2"/>
      <c r="G84" s="3"/>
      <c r="H84" s="4"/>
      <c r="I84" s="200"/>
      <c r="J84" s="7"/>
      <c r="K84" s="7"/>
      <c r="L84" s="7"/>
      <c r="M84" s="11"/>
      <c r="N84" s="11"/>
      <c r="O84" s="11"/>
      <c r="P84" s="11"/>
      <c r="Q84" s="1"/>
    </row>
    <row r="85" spans="1:17" hidden="1">
      <c r="A85" s="44"/>
      <c r="B85" s="5">
        <f t="shared" si="7"/>
        <v>45383</v>
      </c>
      <c r="C85" s="1" t="s">
        <v>534</v>
      </c>
      <c r="D85" s="195">
        <v>91255</v>
      </c>
      <c r="E85" s="118"/>
      <c r="F85" s="2"/>
      <c r="G85" s="3"/>
      <c r="H85" s="4"/>
      <c r="I85" s="200"/>
      <c r="J85" s="7"/>
      <c r="K85" s="7"/>
      <c r="L85" s="7"/>
      <c r="M85" s="11"/>
      <c r="N85" s="11"/>
      <c r="O85" s="11"/>
      <c r="P85" s="11"/>
      <c r="Q85" s="1"/>
    </row>
    <row r="86" spans="1:17" hidden="1">
      <c r="A86" s="44"/>
      <c r="B86" s="5">
        <f t="shared" si="7"/>
        <v>45383</v>
      </c>
      <c r="C86" s="1" t="s">
        <v>534</v>
      </c>
      <c r="D86" s="195">
        <v>91256</v>
      </c>
      <c r="E86" s="118"/>
      <c r="F86" s="2"/>
      <c r="G86" s="3"/>
      <c r="H86" s="4"/>
      <c r="I86" s="200"/>
      <c r="J86" s="7"/>
      <c r="K86" s="7"/>
      <c r="L86" s="7"/>
      <c r="M86" s="11"/>
      <c r="N86" s="11"/>
      <c r="O86" s="11"/>
      <c r="P86" s="11"/>
      <c r="Q86" s="1"/>
    </row>
    <row r="87" spans="1:17" hidden="1">
      <c r="A87" s="44"/>
      <c r="B87" s="5">
        <f t="shared" si="7"/>
        <v>45383</v>
      </c>
      <c r="C87" s="1" t="s">
        <v>534</v>
      </c>
      <c r="D87" s="195">
        <v>91257</v>
      </c>
      <c r="E87" s="118"/>
      <c r="F87" s="2"/>
      <c r="G87" s="3"/>
      <c r="H87" s="4"/>
      <c r="I87" s="200"/>
      <c r="J87" s="7"/>
      <c r="K87" s="7"/>
      <c r="L87" s="7"/>
      <c r="M87" s="11"/>
      <c r="N87" s="11"/>
      <c r="O87" s="11"/>
      <c r="P87" s="11"/>
      <c r="Q87" s="1"/>
    </row>
    <row r="88" spans="1:17" hidden="1">
      <c r="A88" s="44"/>
      <c r="B88" s="5">
        <f>B87</f>
        <v>45383</v>
      </c>
      <c r="C88" s="1" t="s">
        <v>534</v>
      </c>
      <c r="D88" s="195">
        <v>91258</v>
      </c>
      <c r="E88" s="118"/>
      <c r="F88" s="2"/>
      <c r="G88" s="3"/>
      <c r="H88" s="4"/>
      <c r="I88" s="200"/>
      <c r="J88" s="7"/>
      <c r="K88" s="7"/>
      <c r="L88" s="7"/>
      <c r="M88" s="11"/>
      <c r="N88" s="11"/>
      <c r="O88" s="11"/>
      <c r="P88" s="11"/>
      <c r="Q88" s="1"/>
    </row>
    <row r="89" spans="1:17" hidden="1">
      <c r="A89" s="44"/>
      <c r="B89" s="5">
        <f t="shared" si="7"/>
        <v>45383</v>
      </c>
      <c r="C89" s="1" t="s">
        <v>534</v>
      </c>
      <c r="D89" s="195">
        <v>91259</v>
      </c>
      <c r="E89" s="118"/>
      <c r="F89" s="2"/>
      <c r="G89" s="3"/>
      <c r="H89" s="4"/>
      <c r="I89" s="200"/>
      <c r="J89" s="7"/>
      <c r="K89" s="7"/>
      <c r="L89" s="7"/>
      <c r="M89" s="11"/>
      <c r="N89" s="11"/>
      <c r="O89" s="11"/>
      <c r="P89" s="11"/>
      <c r="Q89" s="1"/>
    </row>
    <row r="90" spans="1:17" hidden="1">
      <c r="A90" s="44"/>
      <c r="B90" s="5">
        <f t="shared" si="7"/>
        <v>45383</v>
      </c>
      <c r="C90" s="1" t="s">
        <v>534</v>
      </c>
      <c r="D90" s="195">
        <v>91260</v>
      </c>
      <c r="E90" s="118"/>
      <c r="F90" s="2"/>
      <c r="G90" s="3"/>
      <c r="H90" s="4"/>
      <c r="I90" s="200"/>
      <c r="J90" s="7"/>
      <c r="K90" s="7"/>
      <c r="L90" s="7"/>
      <c r="M90" s="11"/>
      <c r="N90" s="11"/>
      <c r="O90" s="11"/>
      <c r="P90" s="11"/>
      <c r="Q90" s="1"/>
    </row>
    <row r="91" spans="1:17" hidden="1">
      <c r="A91" s="44"/>
      <c r="B91" s="5">
        <f t="shared" si="7"/>
        <v>45383</v>
      </c>
      <c r="C91" s="1" t="s">
        <v>534</v>
      </c>
      <c r="D91" s="195">
        <v>91261</v>
      </c>
      <c r="E91" s="118"/>
      <c r="F91" s="2"/>
      <c r="G91" s="3"/>
      <c r="H91" s="4"/>
      <c r="I91" s="200"/>
      <c r="J91" s="7"/>
      <c r="K91" s="7"/>
      <c r="L91" s="7"/>
      <c r="M91" s="11"/>
      <c r="N91" s="11"/>
      <c r="O91" s="11"/>
      <c r="P91" s="11"/>
      <c r="Q91" s="1"/>
    </row>
    <row r="92" spans="1:17" hidden="1">
      <c r="A92" s="44"/>
      <c r="B92" s="5">
        <f t="shared" si="7"/>
        <v>45383</v>
      </c>
      <c r="C92" s="1" t="s">
        <v>534</v>
      </c>
      <c r="D92" s="195">
        <v>91262</v>
      </c>
      <c r="E92" s="118"/>
      <c r="F92" s="2"/>
      <c r="G92" s="3"/>
      <c r="H92" s="4"/>
      <c r="I92" s="200"/>
      <c r="J92" s="7"/>
      <c r="K92" s="7"/>
      <c r="L92" s="7"/>
      <c r="M92" s="11"/>
      <c r="N92" s="11"/>
      <c r="O92" s="11"/>
      <c r="P92" s="11"/>
      <c r="Q92" s="1"/>
    </row>
    <row r="93" spans="1:17" hidden="1">
      <c r="A93" s="44"/>
      <c r="B93" s="5">
        <f t="shared" si="7"/>
        <v>45383</v>
      </c>
      <c r="C93" s="1" t="s">
        <v>534</v>
      </c>
      <c r="D93" s="195">
        <v>91263</v>
      </c>
      <c r="E93" s="118"/>
      <c r="F93" s="2"/>
      <c r="G93" s="3"/>
      <c r="H93" s="4"/>
      <c r="I93" s="200"/>
      <c r="J93" s="7"/>
      <c r="K93" s="7"/>
      <c r="L93" s="7"/>
      <c r="M93" s="11"/>
      <c r="N93" s="11"/>
      <c r="O93" s="11"/>
      <c r="P93" s="11"/>
      <c r="Q93" s="1"/>
    </row>
    <row r="94" spans="1:17">
      <c r="A94" s="44"/>
      <c r="B94" s="5">
        <f t="shared" si="7"/>
        <v>45383</v>
      </c>
      <c r="C94" s="1" t="s">
        <v>534</v>
      </c>
      <c r="D94" s="195">
        <v>90669</v>
      </c>
      <c r="E94" s="118">
        <v>22000</v>
      </c>
      <c r="F94" s="2">
        <v>167382.6</v>
      </c>
      <c r="G94" s="3">
        <f t="shared" ref="G94:G136" si="19">F94-SUM(M94:P94)</f>
        <v>141266.72983500001</v>
      </c>
      <c r="H94" s="4">
        <f t="shared" si="11"/>
        <v>6.4212149925000004</v>
      </c>
      <c r="I94" s="200">
        <v>7.0000000000000007E-2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11716.782000000001</v>
      </c>
      <c r="N94" s="11">
        <f t="shared" si="3"/>
        <v>2568.4859970000002</v>
      </c>
      <c r="O94" s="11">
        <f t="shared" si="4"/>
        <v>11830.602167999999</v>
      </c>
      <c r="P94" s="11">
        <f t="shared" si="5"/>
        <v>0</v>
      </c>
    </row>
    <row r="95" spans="1:17">
      <c r="A95" s="44"/>
      <c r="B95" s="5">
        <f t="shared" si="7"/>
        <v>45383</v>
      </c>
      <c r="C95" s="1" t="s">
        <v>534</v>
      </c>
      <c r="D95" s="195">
        <v>90667</v>
      </c>
      <c r="E95" s="118">
        <v>22000</v>
      </c>
      <c r="F95" s="2">
        <v>167382.6</v>
      </c>
      <c r="G95" s="3">
        <f t="shared" si="19"/>
        <v>141266.72983500001</v>
      </c>
      <c r="H95" s="4">
        <f t="shared" ref="H95:H105" si="20">+IF(G95=0,0,G95/E95)</f>
        <v>6.4212149925000004</v>
      </c>
      <c r="I95" s="200">
        <v>7.0000000000000007E-2</v>
      </c>
      <c r="J95" s="7">
        <v>1.6500000000000001E-2</v>
      </c>
      <c r="K95" s="7">
        <v>7.5999999999999998E-2</v>
      </c>
      <c r="L95" s="7">
        <v>0</v>
      </c>
      <c r="M95" s="11">
        <f t="shared" ref="M95:M105" si="21">+I95*F95</f>
        <v>11716.782000000001</v>
      </c>
      <c r="N95" s="11">
        <f t="shared" ref="N95:N105" si="22">J95*(F95-M95)</f>
        <v>2568.4859970000002</v>
      </c>
      <c r="O95" s="11">
        <f t="shared" ref="O95:O105" si="23">K95*(F95-M95)</f>
        <v>11830.602167999999</v>
      </c>
      <c r="P95" s="11">
        <f t="shared" ref="P95:P105" si="24">L95*(F95)</f>
        <v>0</v>
      </c>
    </row>
    <row r="96" spans="1:17">
      <c r="A96" s="44"/>
      <c r="B96" s="5">
        <f t="shared" si="7"/>
        <v>45383</v>
      </c>
      <c r="C96" s="1" t="s">
        <v>534</v>
      </c>
      <c r="D96" s="195">
        <v>90698</v>
      </c>
      <c r="E96" s="118">
        <v>25199.223699999999</v>
      </c>
      <c r="F96" s="2">
        <v>191723.25</v>
      </c>
      <c r="G96" s="3">
        <f t="shared" si="19"/>
        <v>161809.62991875</v>
      </c>
      <c r="H96" s="4">
        <f t="shared" si="20"/>
        <v>6.4212148693592495</v>
      </c>
      <c r="I96" s="200">
        <v>7.0000000000000007E-2</v>
      </c>
      <c r="J96" s="7">
        <v>1.6500000000000001E-2</v>
      </c>
      <c r="K96" s="7">
        <v>7.5999999999999998E-2</v>
      </c>
      <c r="L96" s="7">
        <v>0</v>
      </c>
      <c r="M96" s="11">
        <f t="shared" si="21"/>
        <v>13420.627500000001</v>
      </c>
      <c r="N96" s="11">
        <f t="shared" si="22"/>
        <v>2941.9932712499999</v>
      </c>
      <c r="O96" s="11">
        <f t="shared" si="23"/>
        <v>13550.999309999999</v>
      </c>
      <c r="P96" s="11">
        <f t="shared" si="24"/>
        <v>0</v>
      </c>
    </row>
    <row r="97" spans="1:16">
      <c r="A97" s="44"/>
      <c r="B97" s="5">
        <f t="shared" si="7"/>
        <v>45383</v>
      </c>
      <c r="C97" s="1" t="s">
        <v>534</v>
      </c>
      <c r="D97" s="195">
        <v>90707</v>
      </c>
      <c r="E97" s="118">
        <v>24831.128000000001</v>
      </c>
      <c r="F97" s="2">
        <v>190981.17</v>
      </c>
      <c r="G97" s="3">
        <f t="shared" si="19"/>
        <v>161183.33295075002</v>
      </c>
      <c r="H97" s="4">
        <f t="shared" si="20"/>
        <v>6.4911804631166978</v>
      </c>
      <c r="I97" s="200">
        <v>7.0000000000000007E-2</v>
      </c>
      <c r="J97" s="7">
        <v>1.6500000000000001E-2</v>
      </c>
      <c r="K97" s="7">
        <v>7.5999999999999998E-2</v>
      </c>
      <c r="L97" s="7">
        <v>0</v>
      </c>
      <c r="M97" s="11">
        <f t="shared" si="21"/>
        <v>13368.681900000001</v>
      </c>
      <c r="N97" s="11">
        <f t="shared" si="22"/>
        <v>2930.6060536500004</v>
      </c>
      <c r="O97" s="11">
        <f t="shared" si="23"/>
        <v>13498.549095600001</v>
      </c>
      <c r="P97" s="11">
        <f t="shared" si="24"/>
        <v>0</v>
      </c>
    </row>
    <row r="98" spans="1:16">
      <c r="A98" s="44"/>
      <c r="B98" s="5">
        <f t="shared" si="7"/>
        <v>45383</v>
      </c>
      <c r="C98" s="1" t="s">
        <v>534</v>
      </c>
      <c r="D98" s="195">
        <v>90710</v>
      </c>
      <c r="E98" s="118">
        <v>24234.958999999999</v>
      </c>
      <c r="F98" s="2">
        <v>184386.84</v>
      </c>
      <c r="G98" s="3">
        <f t="shared" si="19"/>
        <v>155617.88328899999</v>
      </c>
      <c r="H98" s="4">
        <f t="shared" si="20"/>
        <v>6.4212150426580044</v>
      </c>
      <c r="I98" s="200">
        <v>7.0000000000000007E-2</v>
      </c>
      <c r="J98" s="7">
        <v>1.6500000000000001E-2</v>
      </c>
      <c r="K98" s="7">
        <v>7.5999999999999998E-2</v>
      </c>
      <c r="L98" s="7">
        <v>0</v>
      </c>
      <c r="M98" s="11">
        <f t="shared" si="21"/>
        <v>12907.078800000001</v>
      </c>
      <c r="N98" s="11">
        <f t="shared" si="22"/>
        <v>2829.4160598000003</v>
      </c>
      <c r="O98" s="11">
        <f t="shared" si="23"/>
        <v>13032.4618512</v>
      </c>
      <c r="P98" s="11">
        <f t="shared" si="24"/>
        <v>0</v>
      </c>
    </row>
    <row r="99" spans="1:16">
      <c r="A99" s="44"/>
      <c r="B99" s="5">
        <f t="shared" si="7"/>
        <v>45383</v>
      </c>
      <c r="C99" s="1" t="s">
        <v>534</v>
      </c>
      <c r="D99" s="195">
        <v>90726</v>
      </c>
      <c r="E99" s="118">
        <v>1</v>
      </c>
      <c r="F99" s="2">
        <v>137859.66</v>
      </c>
      <c r="G99" s="3">
        <f t="shared" si="19"/>
        <v>116350.1065485</v>
      </c>
      <c r="H99" s="4">
        <f t="shared" si="20"/>
        <v>116350.1065485</v>
      </c>
      <c r="I99" s="200">
        <v>7.0000000000000007E-2</v>
      </c>
      <c r="J99" s="7">
        <v>1.6500000000000001E-2</v>
      </c>
      <c r="K99" s="7">
        <v>7.5999999999999998E-2</v>
      </c>
      <c r="L99" s="7">
        <v>0</v>
      </c>
      <c r="M99" s="11">
        <f>+I99*F99</f>
        <v>9650.1762000000017</v>
      </c>
      <c r="N99" s="11">
        <f t="shared" si="22"/>
        <v>2115.4564826999999</v>
      </c>
      <c r="O99" s="11">
        <f t="shared" si="23"/>
        <v>9743.9207688000006</v>
      </c>
      <c r="P99" s="11">
        <f t="shared" si="24"/>
        <v>0</v>
      </c>
    </row>
    <row r="100" spans="1:16">
      <c r="A100" s="44"/>
      <c r="B100" s="5">
        <f t="shared" si="7"/>
        <v>45383</v>
      </c>
      <c r="C100" s="1" t="s">
        <v>534</v>
      </c>
      <c r="D100" s="195">
        <v>90784</v>
      </c>
      <c r="E100" s="118">
        <v>22000</v>
      </c>
      <c r="F100" s="2">
        <v>167382.6</v>
      </c>
      <c r="G100" s="3">
        <f t="shared" si="19"/>
        <v>141266.72983500001</v>
      </c>
      <c r="H100" s="4">
        <f t="shared" si="20"/>
        <v>6.4212149925000004</v>
      </c>
      <c r="I100" s="200">
        <v>7.0000000000000007E-2</v>
      </c>
      <c r="J100" s="7">
        <v>1.6500000000000001E-2</v>
      </c>
      <c r="K100" s="7">
        <v>7.5999999999999998E-2</v>
      </c>
      <c r="L100" s="7">
        <v>0</v>
      </c>
      <c r="M100" s="11">
        <f t="shared" si="21"/>
        <v>11716.782000000001</v>
      </c>
      <c r="N100" s="11">
        <f t="shared" si="22"/>
        <v>2568.4859970000002</v>
      </c>
      <c r="O100" s="11">
        <f t="shared" si="23"/>
        <v>11830.602167999999</v>
      </c>
      <c r="P100" s="11">
        <f t="shared" si="24"/>
        <v>0</v>
      </c>
    </row>
    <row r="101" spans="1:16">
      <c r="A101" s="44"/>
      <c r="B101" s="5">
        <f t="shared" si="7"/>
        <v>45383</v>
      </c>
      <c r="C101" s="1" t="s">
        <v>534</v>
      </c>
      <c r="D101" s="195">
        <v>90785</v>
      </c>
      <c r="E101" s="118">
        <v>22000</v>
      </c>
      <c r="F101" s="2">
        <v>167382.6</v>
      </c>
      <c r="G101" s="3">
        <f t="shared" si="19"/>
        <v>141266.72983500001</v>
      </c>
      <c r="H101" s="4">
        <f t="shared" si="20"/>
        <v>6.4212149925000004</v>
      </c>
      <c r="I101" s="200">
        <v>7.0000000000000007E-2</v>
      </c>
      <c r="J101" s="7">
        <v>1.6500000000000001E-2</v>
      </c>
      <c r="K101" s="7">
        <v>7.5999999999999998E-2</v>
      </c>
      <c r="L101" s="7">
        <v>0</v>
      </c>
      <c r="M101" s="11">
        <f t="shared" si="21"/>
        <v>11716.782000000001</v>
      </c>
      <c r="N101" s="11">
        <f t="shared" si="22"/>
        <v>2568.4859970000002</v>
      </c>
      <c r="O101" s="11">
        <f t="shared" si="23"/>
        <v>11830.602167999999</v>
      </c>
      <c r="P101" s="11">
        <f t="shared" si="24"/>
        <v>0</v>
      </c>
    </row>
    <row r="102" spans="1:16">
      <c r="A102" s="44"/>
      <c r="B102" s="5">
        <f t="shared" si="7"/>
        <v>45383</v>
      </c>
      <c r="C102" s="1" t="s">
        <v>534</v>
      </c>
      <c r="D102" s="195">
        <v>90792</v>
      </c>
      <c r="E102" s="118">
        <v>24639.143</v>
      </c>
      <c r="F102" s="2">
        <v>187461.99</v>
      </c>
      <c r="G102" s="3">
        <f t="shared" si="19"/>
        <v>158213.23301025</v>
      </c>
      <c r="H102" s="4">
        <f t="shared" si="20"/>
        <v>6.4212149347178995</v>
      </c>
      <c r="I102" s="200">
        <v>7.0000000000000007E-2</v>
      </c>
      <c r="J102" s="7">
        <v>1.6500000000000001E-2</v>
      </c>
      <c r="K102" s="7">
        <v>7.5999999999999998E-2</v>
      </c>
      <c r="L102" s="7">
        <v>0</v>
      </c>
      <c r="M102" s="11">
        <f t="shared" si="21"/>
        <v>13122.339300000001</v>
      </c>
      <c r="N102" s="11">
        <f t="shared" si="22"/>
        <v>2876.6042365500002</v>
      </c>
      <c r="O102" s="11">
        <f t="shared" si="23"/>
        <v>13249.8134532</v>
      </c>
      <c r="P102" s="11">
        <f t="shared" si="24"/>
        <v>0</v>
      </c>
    </row>
    <row r="103" spans="1:16">
      <c r="A103" s="44"/>
      <c r="B103" s="5">
        <f t="shared" si="7"/>
        <v>45383</v>
      </c>
      <c r="C103" s="1" t="s">
        <v>534</v>
      </c>
      <c r="D103" s="195">
        <v>90818</v>
      </c>
      <c r="E103" s="118">
        <v>24111.656999999999</v>
      </c>
      <c r="F103" s="2">
        <v>183448.72</v>
      </c>
      <c r="G103" s="3">
        <f t="shared" si="19"/>
        <v>154826.133462</v>
      </c>
      <c r="H103" s="4">
        <f t="shared" si="20"/>
        <v>6.4212149941416303</v>
      </c>
      <c r="I103" s="200">
        <v>7.0000000000000007E-2</v>
      </c>
      <c r="J103" s="7">
        <v>1.6500000000000001E-2</v>
      </c>
      <c r="K103" s="7">
        <v>7.5999999999999998E-2</v>
      </c>
      <c r="L103" s="7">
        <v>0</v>
      </c>
      <c r="M103" s="11">
        <f t="shared" si="21"/>
        <v>12841.410400000001</v>
      </c>
      <c r="N103" s="11">
        <f t="shared" si="22"/>
        <v>2815.0206084000001</v>
      </c>
      <c r="O103" s="11">
        <f t="shared" si="23"/>
        <v>12966.155529600001</v>
      </c>
      <c r="P103" s="11">
        <f t="shared" si="24"/>
        <v>0</v>
      </c>
    </row>
    <row r="104" spans="1:16">
      <c r="A104" s="44"/>
      <c r="B104" s="5">
        <f t="shared" si="7"/>
        <v>45383</v>
      </c>
      <c r="C104" s="1" t="s">
        <v>534</v>
      </c>
      <c r="D104" s="195">
        <v>90821</v>
      </c>
      <c r="E104" s="118">
        <v>24000</v>
      </c>
      <c r="F104" s="2">
        <v>182599.2</v>
      </c>
      <c r="G104" s="3">
        <f t="shared" si="19"/>
        <v>154109.15982</v>
      </c>
      <c r="H104" s="4">
        <f t="shared" si="20"/>
        <v>6.4212149925000004</v>
      </c>
      <c r="I104" s="200">
        <v>7.0000000000000007E-2</v>
      </c>
      <c r="J104" s="7">
        <v>1.6500000000000001E-2</v>
      </c>
      <c r="K104" s="7">
        <v>7.5999999999999998E-2</v>
      </c>
      <c r="L104" s="7">
        <v>0</v>
      </c>
      <c r="M104" s="11">
        <f t="shared" si="21"/>
        <v>12781.944000000001</v>
      </c>
      <c r="N104" s="11">
        <f t="shared" si="22"/>
        <v>2801.9847240000004</v>
      </c>
      <c r="O104" s="11">
        <f t="shared" si="23"/>
        <v>12906.111456000001</v>
      </c>
      <c r="P104" s="11">
        <f t="shared" si="24"/>
        <v>0</v>
      </c>
    </row>
    <row r="105" spans="1:16">
      <c r="A105" s="44"/>
      <c r="B105" s="5">
        <f t="shared" si="7"/>
        <v>45383</v>
      </c>
      <c r="C105" s="1" t="s">
        <v>534</v>
      </c>
      <c r="D105" s="195">
        <v>90823</v>
      </c>
      <c r="E105" s="118">
        <v>24000</v>
      </c>
      <c r="F105" s="2">
        <v>182599.2</v>
      </c>
      <c r="G105" s="3">
        <f t="shared" si="19"/>
        <v>154109.15982</v>
      </c>
      <c r="H105" s="4">
        <f t="shared" si="20"/>
        <v>6.4212149925000004</v>
      </c>
      <c r="I105" s="200">
        <v>7.0000000000000007E-2</v>
      </c>
      <c r="J105" s="7">
        <v>1.6500000000000001E-2</v>
      </c>
      <c r="K105" s="7">
        <v>7.5999999999999998E-2</v>
      </c>
      <c r="L105" s="7">
        <v>0</v>
      </c>
      <c r="M105" s="11">
        <f t="shared" si="21"/>
        <v>12781.944000000001</v>
      </c>
      <c r="N105" s="11">
        <f t="shared" si="22"/>
        <v>2801.9847240000004</v>
      </c>
      <c r="O105" s="11">
        <f t="shared" si="23"/>
        <v>12906.111456000001</v>
      </c>
      <c r="P105" s="11">
        <f t="shared" si="24"/>
        <v>0</v>
      </c>
    </row>
    <row r="106" spans="1:16">
      <c r="A106" s="44"/>
      <c r="B106" s="5">
        <f t="shared" si="7"/>
        <v>45383</v>
      </c>
      <c r="C106" s="1" t="s">
        <v>534</v>
      </c>
      <c r="D106" s="195">
        <v>91176</v>
      </c>
      <c r="E106" s="118">
        <v>24783.944200000002</v>
      </c>
      <c r="F106" s="2">
        <v>188563.68</v>
      </c>
      <c r="G106" s="3">
        <f t="shared" ref="G106:G112" si="25">F106-SUM(M106:P106)</f>
        <v>159143.03182799998</v>
      </c>
      <c r="H106" s="4">
        <f t="shared" ref="H106:H112" si="26">+IF(G106=0,0,G106/E106)</f>
        <v>6.4212149020251577</v>
      </c>
      <c r="I106" s="200">
        <v>7.0000000000000007E-2</v>
      </c>
      <c r="J106" s="7">
        <v>1.6500000000000001E-2</v>
      </c>
      <c r="K106" s="7">
        <v>7.5999999999999998E-2</v>
      </c>
      <c r="L106" s="7">
        <v>0</v>
      </c>
      <c r="M106" s="11">
        <f t="shared" ref="M106:M112" si="27">+I106*F106</f>
        <v>13199.457600000002</v>
      </c>
      <c r="N106" s="11">
        <f t="shared" ref="N106:N112" si="28">J106*(F106-M106)</f>
        <v>2893.5096696000001</v>
      </c>
      <c r="O106" s="11">
        <f t="shared" ref="O106:O112" si="29">K106*(F106-M106)</f>
        <v>13327.680902399999</v>
      </c>
      <c r="P106" s="11">
        <f t="shared" ref="P106:P112" si="30">L106*(F106)</f>
        <v>0</v>
      </c>
    </row>
    <row r="107" spans="1:16">
      <c r="A107" s="44"/>
      <c r="B107" s="5">
        <f t="shared" si="7"/>
        <v>45383</v>
      </c>
      <c r="C107" s="1" t="s">
        <v>534</v>
      </c>
      <c r="D107" s="195">
        <v>90639</v>
      </c>
      <c r="E107" s="118">
        <v>24337.222000000002</v>
      </c>
      <c r="F107" s="2">
        <v>181270.93</v>
      </c>
      <c r="G107" s="3">
        <f t="shared" si="25"/>
        <v>152988.13314674998</v>
      </c>
      <c r="H107" s="4">
        <f t="shared" si="26"/>
        <v>6.2861789709092504</v>
      </c>
      <c r="I107" s="200">
        <v>7.0000000000000007E-2</v>
      </c>
      <c r="J107" s="7">
        <v>1.6500000000000001E-2</v>
      </c>
      <c r="K107" s="7">
        <v>7.5999999999999998E-2</v>
      </c>
      <c r="L107" s="7">
        <v>0</v>
      </c>
      <c r="M107" s="11">
        <f t="shared" si="27"/>
        <v>12688.965100000001</v>
      </c>
      <c r="N107" s="11">
        <f t="shared" si="28"/>
        <v>2781.6024208499998</v>
      </c>
      <c r="O107" s="11">
        <f t="shared" si="29"/>
        <v>12812.229332399998</v>
      </c>
      <c r="P107" s="11">
        <f t="shared" si="30"/>
        <v>0</v>
      </c>
    </row>
    <row r="108" spans="1:16">
      <c r="A108" s="44"/>
      <c r="B108" s="5">
        <f t="shared" si="7"/>
        <v>45383</v>
      </c>
      <c r="C108" s="1" t="s">
        <v>534</v>
      </c>
      <c r="D108" s="195">
        <v>90671</v>
      </c>
      <c r="E108" s="118">
        <v>2815.1680000000001</v>
      </c>
      <c r="F108" s="2">
        <v>21418.639999999999</v>
      </c>
      <c r="G108" s="3">
        <f t="shared" si="25"/>
        <v>18076.796694000001</v>
      </c>
      <c r="H108" s="4">
        <f t="shared" si="26"/>
        <v>6.421214184730716</v>
      </c>
      <c r="I108" s="200">
        <v>7.0000000000000007E-2</v>
      </c>
      <c r="J108" s="7">
        <v>1.6500000000000001E-2</v>
      </c>
      <c r="K108" s="7">
        <v>7.5999999999999998E-2</v>
      </c>
      <c r="L108" s="7">
        <v>0</v>
      </c>
      <c r="M108" s="11">
        <f t="shared" si="27"/>
        <v>1499.3048000000001</v>
      </c>
      <c r="N108" s="11">
        <f t="shared" si="28"/>
        <v>328.66903079999997</v>
      </c>
      <c r="O108" s="11">
        <f t="shared" si="29"/>
        <v>1513.8694751999999</v>
      </c>
      <c r="P108" s="11">
        <f t="shared" si="30"/>
        <v>0</v>
      </c>
    </row>
    <row r="109" spans="1:16">
      <c r="A109" s="44"/>
      <c r="B109" s="5">
        <f t="shared" si="7"/>
        <v>45383</v>
      </c>
      <c r="C109" s="1" t="s">
        <v>534</v>
      </c>
      <c r="D109" s="195">
        <v>90672</v>
      </c>
      <c r="E109" s="118">
        <v>2620.5390000000002</v>
      </c>
      <c r="F109" s="2">
        <v>19937.849999999999</v>
      </c>
      <c r="G109" s="3">
        <f t="shared" si="25"/>
        <v>16827.046953749999</v>
      </c>
      <c r="H109" s="4">
        <f t="shared" si="26"/>
        <v>6.4212159993611992</v>
      </c>
      <c r="I109" s="200">
        <v>7.0000000000000007E-2</v>
      </c>
      <c r="J109" s="7">
        <v>1.6500000000000001E-2</v>
      </c>
      <c r="K109" s="7">
        <v>7.5999999999999998E-2</v>
      </c>
      <c r="L109" s="7">
        <v>0</v>
      </c>
      <c r="M109" s="11">
        <f t="shared" si="27"/>
        <v>1395.6495</v>
      </c>
      <c r="N109" s="11">
        <f t="shared" si="28"/>
        <v>305.94630825000002</v>
      </c>
      <c r="O109" s="11">
        <f t="shared" si="29"/>
        <v>1409.207238</v>
      </c>
      <c r="P109" s="11">
        <f t="shared" si="30"/>
        <v>0</v>
      </c>
    </row>
    <row r="110" spans="1:16">
      <c r="A110" s="44"/>
      <c r="B110" s="5">
        <f t="shared" si="7"/>
        <v>45383</v>
      </c>
      <c r="C110" s="1" t="s">
        <v>534</v>
      </c>
      <c r="D110" s="195">
        <v>90690</v>
      </c>
      <c r="E110" s="118">
        <v>2123.7869999999998</v>
      </c>
      <c r="F110" s="2">
        <v>16158.41</v>
      </c>
      <c r="G110" s="3">
        <f t="shared" si="25"/>
        <v>13637.29407975</v>
      </c>
      <c r="H110" s="4">
        <f t="shared" si="26"/>
        <v>6.4212155360918963</v>
      </c>
      <c r="I110" s="200">
        <v>7.0000000000000007E-2</v>
      </c>
      <c r="J110" s="7">
        <v>1.6500000000000001E-2</v>
      </c>
      <c r="K110" s="7">
        <v>7.5999999999999998E-2</v>
      </c>
      <c r="L110" s="7">
        <v>0</v>
      </c>
      <c r="M110" s="11">
        <f t="shared" si="27"/>
        <v>1131.0887</v>
      </c>
      <c r="N110" s="11">
        <f t="shared" si="28"/>
        <v>247.95080145</v>
      </c>
      <c r="O110" s="11">
        <f t="shared" si="29"/>
        <v>1142.0764187999998</v>
      </c>
      <c r="P110" s="11">
        <f t="shared" si="30"/>
        <v>0</v>
      </c>
    </row>
    <row r="111" spans="1:16">
      <c r="A111" s="44"/>
      <c r="B111" s="5">
        <f t="shared" si="7"/>
        <v>45383</v>
      </c>
      <c r="C111" s="1" t="s">
        <v>534</v>
      </c>
      <c r="D111" s="195">
        <v>90701</v>
      </c>
      <c r="E111" s="118">
        <v>24789.535</v>
      </c>
      <c r="F111" s="2">
        <v>188606.22</v>
      </c>
      <c r="G111" s="3">
        <f t="shared" si="25"/>
        <v>159178.93452449999</v>
      </c>
      <c r="H111" s="4">
        <f t="shared" si="26"/>
        <v>6.4212150217622064</v>
      </c>
      <c r="I111" s="200">
        <v>7.0000000000000007E-2</v>
      </c>
      <c r="J111" s="7">
        <v>1.6500000000000001E-2</v>
      </c>
      <c r="K111" s="7">
        <v>7.5999999999999998E-2</v>
      </c>
      <c r="L111" s="7">
        <v>0</v>
      </c>
      <c r="M111" s="11">
        <f t="shared" si="27"/>
        <v>13202.435400000002</v>
      </c>
      <c r="N111" s="11">
        <f t="shared" si="28"/>
        <v>2894.1624459000004</v>
      </c>
      <c r="O111" s="11">
        <f t="shared" si="29"/>
        <v>13330.687629600001</v>
      </c>
      <c r="P111" s="11">
        <f t="shared" si="30"/>
        <v>0</v>
      </c>
    </row>
    <row r="112" spans="1:16">
      <c r="A112" s="44"/>
      <c r="B112" s="5">
        <f t="shared" si="7"/>
        <v>45383</v>
      </c>
      <c r="C112" s="1" t="s">
        <v>534</v>
      </c>
      <c r="D112" s="195"/>
      <c r="E112" s="118"/>
      <c r="F112" s="2"/>
      <c r="G112" s="3">
        <f t="shared" si="25"/>
        <v>0</v>
      </c>
      <c r="H112" s="4">
        <f t="shared" si="26"/>
        <v>0</v>
      </c>
      <c r="I112" s="200">
        <v>7.0000000000000007E-2</v>
      </c>
      <c r="J112" s="7">
        <v>1.6500000000000001E-2</v>
      </c>
      <c r="K112" s="7">
        <v>7.5999999999999998E-2</v>
      </c>
      <c r="L112" s="7">
        <v>0</v>
      </c>
      <c r="M112" s="11">
        <f t="shared" si="27"/>
        <v>0</v>
      </c>
      <c r="N112" s="11">
        <f t="shared" si="28"/>
        <v>0</v>
      </c>
      <c r="O112" s="11">
        <f t="shared" si="29"/>
        <v>0</v>
      </c>
      <c r="P112" s="11">
        <f t="shared" si="30"/>
        <v>0</v>
      </c>
    </row>
    <row r="113" spans="1:16" ht="15" customHeight="1">
      <c r="A113" s="44"/>
      <c r="B113" s="5">
        <f>B105</f>
        <v>45383</v>
      </c>
      <c r="C113" s="1" t="s">
        <v>533</v>
      </c>
      <c r="D113" s="195" t="s">
        <v>587</v>
      </c>
      <c r="E113" s="186"/>
      <c r="F113" s="2">
        <v>168799.61653475597</v>
      </c>
      <c r="G113" s="3">
        <f t="shared" si="19"/>
        <v>134803.37376465613</v>
      </c>
      <c r="H113" s="187"/>
      <c r="I113" s="7">
        <v>0.12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20255.953984170716</v>
      </c>
      <c r="N113" s="11">
        <f t="shared" si="3"/>
        <v>2450.9704320846567</v>
      </c>
      <c r="O113" s="11">
        <f t="shared" si="4"/>
        <v>11289.318353844479</v>
      </c>
      <c r="P113" s="11">
        <f t="shared" si="5"/>
        <v>0</v>
      </c>
    </row>
    <row r="114" spans="1:16" ht="15" customHeight="1">
      <c r="A114" s="44"/>
      <c r="B114" s="5">
        <f>B113</f>
        <v>45383</v>
      </c>
      <c r="C114" s="1" t="s">
        <v>533</v>
      </c>
      <c r="D114" s="195" t="s">
        <v>588</v>
      </c>
      <c r="E114" s="186"/>
      <c r="F114" s="2">
        <v>276316.7508467884</v>
      </c>
      <c r="G114" s="3">
        <f t="shared" si="19"/>
        <v>220666.55722624523</v>
      </c>
      <c r="H114" s="187"/>
      <c r="I114" s="7">
        <v>0.12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33158.010101614607</v>
      </c>
      <c r="N114" s="11">
        <f t="shared" si="3"/>
        <v>4012.1192222953678</v>
      </c>
      <c r="O114" s="11">
        <f t="shared" si="4"/>
        <v>18480.064296633209</v>
      </c>
      <c r="P114" s="11">
        <f t="shared" si="5"/>
        <v>0</v>
      </c>
    </row>
    <row r="115" spans="1:16" ht="15" customHeight="1">
      <c r="A115" s="44"/>
      <c r="B115" s="5">
        <f t="shared" si="7"/>
        <v>45383</v>
      </c>
      <c r="C115" s="1" t="s">
        <v>533</v>
      </c>
      <c r="D115" s="195" t="s">
        <v>594</v>
      </c>
      <c r="E115" s="186"/>
      <c r="F115" s="2">
        <v>127894.03844580321</v>
      </c>
      <c r="G115" s="3">
        <f t="shared" si="19"/>
        <v>102136.17910281844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15347.284613496384</v>
      </c>
      <c r="N115" s="11">
        <f t="shared" si="3"/>
        <v>1857.0214382330628</v>
      </c>
      <c r="O115" s="11">
        <f t="shared" si="4"/>
        <v>8553.553291255319</v>
      </c>
      <c r="P115" s="11">
        <f t="shared" si="5"/>
        <v>0</v>
      </c>
    </row>
    <row r="116" spans="1:16" ht="15" customHeight="1">
      <c r="A116" s="44"/>
      <c r="B116" s="5">
        <f t="shared" si="7"/>
        <v>45383</v>
      </c>
      <c r="C116" s="1" t="s">
        <v>533</v>
      </c>
      <c r="D116" s="195" t="s">
        <v>595</v>
      </c>
      <c r="E116" s="186"/>
      <c r="F116" s="2">
        <v>164230.38998873183</v>
      </c>
      <c r="G116" s="3">
        <f t="shared" si="19"/>
        <v>131154.38944500123</v>
      </c>
      <c r="H116" s="187"/>
      <c r="I116" s="7">
        <v>0.12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19707.64679864782</v>
      </c>
      <c r="N116" s="11">
        <f t="shared" si="3"/>
        <v>2384.6252626363862</v>
      </c>
      <c r="O116" s="11">
        <f t="shared" si="4"/>
        <v>10983.728482446384</v>
      </c>
      <c r="P116" s="11">
        <f t="shared" si="5"/>
        <v>0</v>
      </c>
    </row>
    <row r="117" spans="1:16" ht="15" customHeight="1">
      <c r="A117" s="44"/>
      <c r="B117" s="5">
        <f t="shared" si="7"/>
        <v>45383</v>
      </c>
      <c r="C117" s="1" t="s">
        <v>533</v>
      </c>
      <c r="D117" s="195" t="s">
        <v>596</v>
      </c>
      <c r="E117" s="186"/>
      <c r="F117" s="2">
        <v>79750.35716108841</v>
      </c>
      <c r="G117" s="3">
        <f t="shared" si="19"/>
        <v>63688.635228845204</v>
      </c>
      <c r="H117" s="187"/>
      <c r="I117" s="7">
        <v>0.12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9570.0428593306096</v>
      </c>
      <c r="N117" s="11">
        <f t="shared" si="3"/>
        <v>1157.9751859790038</v>
      </c>
      <c r="O117" s="11">
        <f t="shared" si="4"/>
        <v>5333.703886933592</v>
      </c>
      <c r="P117" s="11">
        <f t="shared" si="5"/>
        <v>0</v>
      </c>
    </row>
    <row r="118" spans="1:16" ht="15" customHeight="1">
      <c r="A118" s="44"/>
      <c r="B118" s="5">
        <f t="shared" si="7"/>
        <v>45383</v>
      </c>
      <c r="C118" s="1" t="s">
        <v>533</v>
      </c>
      <c r="D118" s="195" t="s">
        <v>591</v>
      </c>
      <c r="E118" s="186"/>
      <c r="F118" s="2">
        <v>20497.008887349897</v>
      </c>
      <c r="G118" s="3">
        <f t="shared" si="19"/>
        <v>16368.911297437628</v>
      </c>
      <c r="H118" s="187"/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2459.6410664819878</v>
      </c>
      <c r="N118" s="11">
        <f t="shared" si="3"/>
        <v>297.6165690443205</v>
      </c>
      <c r="O118" s="11">
        <f t="shared" si="4"/>
        <v>1370.8399543859609</v>
      </c>
      <c r="P118" s="11">
        <f t="shared" si="5"/>
        <v>0</v>
      </c>
    </row>
    <row r="119" spans="1:16" ht="15" customHeight="1">
      <c r="A119" s="44"/>
      <c r="B119" s="5">
        <f t="shared" si="7"/>
        <v>45383</v>
      </c>
      <c r="C119" s="1" t="s">
        <v>533</v>
      </c>
      <c r="D119" s="195" t="s">
        <v>592</v>
      </c>
      <c r="E119" s="186"/>
      <c r="F119" s="2">
        <v>50876.679337169</v>
      </c>
      <c r="G119" s="3">
        <f t="shared" si="19"/>
        <v>40630.116118663165</v>
      </c>
      <c r="H119" s="187"/>
      <c r="I119" s="7">
        <v>0.12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6105.2015204602794</v>
      </c>
      <c r="N119" s="11">
        <f t="shared" si="3"/>
        <v>738.72938397569396</v>
      </c>
      <c r="O119" s="11">
        <f t="shared" si="4"/>
        <v>3402.6323140698628</v>
      </c>
      <c r="P119" s="11">
        <f t="shared" si="5"/>
        <v>0</v>
      </c>
    </row>
    <row r="120" spans="1:16" ht="15" customHeight="1">
      <c r="A120" s="44"/>
      <c r="B120" s="5">
        <f t="shared" si="7"/>
        <v>45383</v>
      </c>
      <c r="C120" s="1" t="s">
        <v>533</v>
      </c>
      <c r="D120" s="195" t="s">
        <v>593</v>
      </c>
      <c r="E120" s="186"/>
      <c r="F120" s="2">
        <v>171436.03684960931</v>
      </c>
      <c r="G120" s="3">
        <f t="shared" si="19"/>
        <v>136908.81902809802</v>
      </c>
      <c r="H120" s="187"/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20572.324421953115</v>
      </c>
      <c r="N120" s="11">
        <f t="shared" si="3"/>
        <v>2489.2512550563274</v>
      </c>
      <c r="O120" s="11">
        <f t="shared" si="4"/>
        <v>11465.642144501871</v>
      </c>
      <c r="P120" s="11">
        <f t="shared" si="5"/>
        <v>0</v>
      </c>
    </row>
    <row r="121" spans="1:16" ht="15" customHeight="1">
      <c r="A121" s="44"/>
      <c r="B121" s="5">
        <f t="shared" si="7"/>
        <v>45383</v>
      </c>
      <c r="C121" s="1" t="s">
        <v>533</v>
      </c>
      <c r="D121" s="195" t="s">
        <v>589</v>
      </c>
      <c r="E121" s="186"/>
      <c r="F121" s="2">
        <v>2410.0915182521999</v>
      </c>
      <c r="G121" s="3">
        <f t="shared" si="19"/>
        <v>2034.0569891169002</v>
      </c>
      <c r="H121" s="187"/>
      <c r="I121" s="7">
        <v>7.0000000000000007E-2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168.706406277654</v>
      </c>
      <c r="N121" s="11">
        <f t="shared" si="3"/>
        <v>36.982854347580009</v>
      </c>
      <c r="O121" s="11">
        <f t="shared" si="4"/>
        <v>170.34526851006549</v>
      </c>
      <c r="P121" s="11">
        <f t="shared" si="5"/>
        <v>0</v>
      </c>
    </row>
    <row r="122" spans="1:16" ht="15" customHeight="1">
      <c r="A122" s="44"/>
      <c r="B122" s="5">
        <f t="shared" si="7"/>
        <v>45383</v>
      </c>
      <c r="C122" s="1" t="s">
        <v>533</v>
      </c>
      <c r="D122" s="195" t="s">
        <v>590</v>
      </c>
      <c r="E122" s="186"/>
      <c r="F122" s="2">
        <v>3930.3263091736999</v>
      </c>
      <c r="G122" s="3">
        <f t="shared" si="19"/>
        <v>3317.0971467848731</v>
      </c>
      <c r="H122" s="187"/>
      <c r="I122" s="7">
        <v>7.0000000000000007E-2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275.12284164215902</v>
      </c>
      <c r="N122" s="11">
        <f t="shared" si="3"/>
        <v>60.310857214270428</v>
      </c>
      <c r="O122" s="11">
        <f t="shared" si="4"/>
        <v>277.79546353239709</v>
      </c>
      <c r="P122" s="11">
        <f t="shared" si="5"/>
        <v>0</v>
      </c>
    </row>
    <row r="123" spans="1:16" ht="15" customHeight="1">
      <c r="A123" s="44"/>
      <c r="B123" s="5">
        <f t="shared" si="7"/>
        <v>45383</v>
      </c>
      <c r="C123" s="1" t="s">
        <v>533</v>
      </c>
      <c r="D123" s="195" t="s">
        <v>597</v>
      </c>
      <c r="E123" s="186"/>
      <c r="F123" s="2">
        <v>11836.281340574</v>
      </c>
      <c r="G123" s="3">
        <f t="shared" si="19"/>
        <v>9989.5255444109425</v>
      </c>
      <c r="H123" s="187"/>
      <c r="I123" s="7">
        <v>7.0000000000000007E-2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828.53969384018012</v>
      </c>
      <c r="N123" s="11">
        <f t="shared" si="3"/>
        <v>181.62773717110801</v>
      </c>
      <c r="O123" s="11">
        <f t="shared" si="4"/>
        <v>836.58836515177018</v>
      </c>
      <c r="P123" s="11">
        <f t="shared" si="5"/>
        <v>0</v>
      </c>
    </row>
    <row r="124" spans="1:16" ht="15" customHeight="1">
      <c r="A124" s="44"/>
      <c r="B124" s="5">
        <f t="shared" si="7"/>
        <v>45383</v>
      </c>
      <c r="C124" s="1" t="s">
        <v>533</v>
      </c>
      <c r="D124" s="195" t="s">
        <v>598</v>
      </c>
      <c r="E124" s="186"/>
      <c r="F124" s="2">
        <v>15248.6607857977</v>
      </c>
      <c r="G124" s="3">
        <f t="shared" si="19"/>
        <v>12869.488486693614</v>
      </c>
      <c r="H124" s="187"/>
      <c r="I124" s="7">
        <v>7.0000000000000007E-2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1067.4062550058391</v>
      </c>
      <c r="N124" s="11">
        <f t="shared" si="3"/>
        <v>233.99069975806572</v>
      </c>
      <c r="O124" s="11">
        <f t="shared" si="4"/>
        <v>1077.7753443401814</v>
      </c>
      <c r="P124" s="11">
        <f t="shared" si="5"/>
        <v>0</v>
      </c>
    </row>
    <row r="125" spans="1:16" ht="15" customHeight="1">
      <c r="A125" s="44"/>
      <c r="B125" s="5">
        <f t="shared" si="7"/>
        <v>45383</v>
      </c>
      <c r="C125" s="1" t="s">
        <v>533</v>
      </c>
      <c r="D125" s="195" t="s">
        <v>599</v>
      </c>
      <c r="E125" s="186"/>
      <c r="F125" s="2">
        <v>7436.1514666635003</v>
      </c>
      <c r="G125" s="3">
        <f t="shared" si="19"/>
        <v>6275.9259340773278</v>
      </c>
      <c r="H125" s="187"/>
      <c r="I125" s="7">
        <v>7.0000000000000007E-2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520.53060266644502</v>
      </c>
      <c r="N125" s="11">
        <f t="shared" si="3"/>
        <v>114.10774425595142</v>
      </c>
      <c r="O125" s="11">
        <f t="shared" si="4"/>
        <v>525.58718566377615</v>
      </c>
      <c r="P125" s="11">
        <f t="shared" si="5"/>
        <v>0</v>
      </c>
    </row>
    <row r="126" spans="1:16" ht="15" customHeight="1">
      <c r="A126" s="44"/>
      <c r="B126" s="5">
        <f t="shared" si="7"/>
        <v>45383</v>
      </c>
      <c r="C126" s="1" t="s">
        <v>533</v>
      </c>
      <c r="D126" s="195" t="s">
        <v>600</v>
      </c>
      <c r="E126" s="186"/>
      <c r="F126" s="2">
        <v>1899.9876058981001</v>
      </c>
      <c r="G126" s="3">
        <f t="shared" si="19"/>
        <v>1603.542039687849</v>
      </c>
      <c r="H126" s="187"/>
      <c r="I126" s="7">
        <v>7.0000000000000007E-2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132.99913241286703</v>
      </c>
      <c r="N126" s="11">
        <f t="shared" si="3"/>
        <v>29.155309812506346</v>
      </c>
      <c r="O126" s="11">
        <f t="shared" si="4"/>
        <v>134.29112398487771</v>
      </c>
      <c r="P126" s="11">
        <f t="shared" si="5"/>
        <v>0</v>
      </c>
    </row>
    <row r="127" spans="1:16" ht="15" customHeight="1">
      <c r="A127" s="44"/>
      <c r="B127" s="5">
        <f t="shared" si="7"/>
        <v>45383</v>
      </c>
      <c r="C127" s="1" t="s">
        <v>533</v>
      </c>
      <c r="D127" s="195" t="s">
        <v>601</v>
      </c>
      <c r="E127" s="186"/>
      <c r="F127" s="2">
        <v>4738.9026449883995</v>
      </c>
      <c r="G127" s="3">
        <f t="shared" si="19"/>
        <v>3999.5153598040843</v>
      </c>
      <c r="H127" s="187"/>
      <c r="I127" s="7">
        <v>7.0000000000000007E-2</v>
      </c>
      <c r="J127" s="7">
        <v>1.6500000000000001E-2</v>
      </c>
      <c r="K127" s="7">
        <v>7.5999999999999998E-2</v>
      </c>
      <c r="L127" s="7">
        <v>0</v>
      </c>
      <c r="M127" s="11">
        <f t="shared" si="2"/>
        <v>331.723185149188</v>
      </c>
      <c r="N127" s="11">
        <f t="shared" si="3"/>
        <v>72.718461087346995</v>
      </c>
      <c r="O127" s="11">
        <f t="shared" si="4"/>
        <v>334.94563894778008</v>
      </c>
      <c r="P127" s="11">
        <f t="shared" si="5"/>
        <v>0</v>
      </c>
    </row>
    <row r="128" spans="1:16" ht="15" customHeight="1">
      <c r="A128" s="44"/>
      <c r="B128" s="5">
        <f t="shared" si="7"/>
        <v>45383</v>
      </c>
      <c r="C128" s="1" t="s">
        <v>533</v>
      </c>
      <c r="D128" s="195" t="s">
        <v>602</v>
      </c>
      <c r="E128" s="186"/>
      <c r="F128" s="2">
        <v>15903.836602911098</v>
      </c>
      <c r="G128" s="3">
        <f t="shared" si="19"/>
        <v>13422.440496941894</v>
      </c>
      <c r="H128" s="187"/>
      <c r="I128" s="7">
        <v>7.0000000000000007E-2</v>
      </c>
      <c r="J128" s="7">
        <v>1.6500000000000001E-2</v>
      </c>
      <c r="K128" s="7">
        <v>7.5999999999999998E-2</v>
      </c>
      <c r="L128" s="7">
        <v>0</v>
      </c>
      <c r="M128" s="11">
        <f t="shared" si="2"/>
        <v>1113.268562203777</v>
      </c>
      <c r="N128" s="11">
        <f t="shared" si="3"/>
        <v>244.04437267167083</v>
      </c>
      <c r="O128" s="11">
        <f t="shared" si="4"/>
        <v>1124.0831710937564</v>
      </c>
      <c r="P128" s="11">
        <f t="shared" si="5"/>
        <v>0</v>
      </c>
    </row>
    <row r="129" spans="1:16" ht="15" hidden="1" customHeight="1">
      <c r="A129" s="44"/>
      <c r="B129" s="5">
        <f t="shared" si="7"/>
        <v>45383</v>
      </c>
      <c r="C129" s="1" t="s">
        <v>533</v>
      </c>
      <c r="D129" s="195"/>
      <c r="E129" s="186"/>
      <c r="F129" s="2"/>
      <c r="G129" s="3">
        <f t="shared" si="19"/>
        <v>0</v>
      </c>
      <c r="H129" s="187"/>
      <c r="I129" s="7"/>
      <c r="J129" s="7">
        <v>1.6500000000000001E-2</v>
      </c>
      <c r="K129" s="7">
        <v>7.5999999999999998E-2</v>
      </c>
      <c r="L129" s="7">
        <v>0</v>
      </c>
      <c r="M129" s="11">
        <f t="shared" si="2"/>
        <v>0</v>
      </c>
      <c r="N129" s="11">
        <f t="shared" si="3"/>
        <v>0</v>
      </c>
      <c r="O129" s="11">
        <f t="shared" si="4"/>
        <v>0</v>
      </c>
      <c r="P129" s="11">
        <f t="shared" si="5"/>
        <v>0</v>
      </c>
    </row>
    <row r="130" spans="1:16" ht="15" hidden="1" customHeight="1">
      <c r="A130" s="44"/>
      <c r="B130" s="5">
        <f t="shared" si="7"/>
        <v>45383</v>
      </c>
      <c r="C130" s="1" t="s">
        <v>533</v>
      </c>
      <c r="D130" s="195"/>
      <c r="E130" s="186"/>
      <c r="F130" s="2"/>
      <c r="G130" s="3">
        <f t="shared" si="19"/>
        <v>0</v>
      </c>
      <c r="H130" s="187"/>
      <c r="I130" s="7"/>
      <c r="J130" s="7">
        <v>1.6500000000000001E-2</v>
      </c>
      <c r="K130" s="7">
        <v>7.5999999999999998E-2</v>
      </c>
      <c r="L130" s="7">
        <v>0</v>
      </c>
      <c r="M130" s="11">
        <f t="shared" si="2"/>
        <v>0</v>
      </c>
      <c r="N130" s="11">
        <f t="shared" si="3"/>
        <v>0</v>
      </c>
      <c r="O130" s="11">
        <f t="shared" si="4"/>
        <v>0</v>
      </c>
      <c r="P130" s="11">
        <f t="shared" si="5"/>
        <v>0</v>
      </c>
    </row>
    <row r="131" spans="1:16" ht="15" hidden="1" customHeight="1">
      <c r="A131" s="44"/>
      <c r="B131" s="5">
        <f t="shared" si="7"/>
        <v>45383</v>
      </c>
      <c r="C131" s="1" t="s">
        <v>533</v>
      </c>
      <c r="D131" s="195"/>
      <c r="E131" s="186"/>
      <c r="F131" s="2"/>
      <c r="G131" s="3">
        <f t="shared" si="19"/>
        <v>0</v>
      </c>
      <c r="H131" s="187"/>
      <c r="I131" s="7"/>
      <c r="J131" s="7">
        <v>1.6500000000000001E-2</v>
      </c>
      <c r="K131" s="7">
        <v>7.5999999999999998E-2</v>
      </c>
      <c r="L131" s="7">
        <v>0</v>
      </c>
      <c r="M131" s="11">
        <f t="shared" si="2"/>
        <v>0</v>
      </c>
      <c r="N131" s="11">
        <f t="shared" si="3"/>
        <v>0</v>
      </c>
      <c r="O131" s="11">
        <f t="shared" si="4"/>
        <v>0</v>
      </c>
      <c r="P131" s="11">
        <f t="shared" si="5"/>
        <v>0</v>
      </c>
    </row>
    <row r="132" spans="1:16" ht="15" hidden="1" customHeight="1">
      <c r="A132" s="44"/>
      <c r="B132" s="5">
        <f t="shared" si="7"/>
        <v>45383</v>
      </c>
      <c r="C132" s="1" t="s">
        <v>533</v>
      </c>
      <c r="D132" s="195"/>
      <c r="E132" s="186"/>
      <c r="F132" s="2"/>
      <c r="G132" s="3">
        <f t="shared" si="19"/>
        <v>0</v>
      </c>
      <c r="H132" s="187"/>
      <c r="I132" s="7"/>
      <c r="J132" s="7">
        <v>1.6500000000000001E-2</v>
      </c>
      <c r="K132" s="7">
        <v>7.5999999999999998E-2</v>
      </c>
      <c r="L132" s="7">
        <v>0</v>
      </c>
      <c r="M132" s="11">
        <f t="shared" si="2"/>
        <v>0</v>
      </c>
      <c r="N132" s="11">
        <f t="shared" si="3"/>
        <v>0</v>
      </c>
      <c r="O132" s="11">
        <f t="shared" si="4"/>
        <v>0</v>
      </c>
      <c r="P132" s="11">
        <f t="shared" ref="P132:P136" si="31">L132*(F132)</f>
        <v>0</v>
      </c>
    </row>
    <row r="133" spans="1:16" ht="15" hidden="1" customHeight="1">
      <c r="A133" s="44"/>
      <c r="B133" s="5">
        <f t="shared" si="7"/>
        <v>45383</v>
      </c>
      <c r="C133" s="1" t="s">
        <v>533</v>
      </c>
      <c r="D133" s="195"/>
      <c r="E133" s="186"/>
      <c r="F133" s="2"/>
      <c r="G133" s="3">
        <f t="shared" si="19"/>
        <v>0</v>
      </c>
      <c r="H133" s="187"/>
      <c r="I133" s="7"/>
      <c r="J133" s="7">
        <v>1.6500000000000001E-2</v>
      </c>
      <c r="K133" s="7">
        <v>7.5999999999999998E-2</v>
      </c>
      <c r="L133" s="7">
        <v>0</v>
      </c>
      <c r="M133" s="11">
        <f t="shared" si="2"/>
        <v>0</v>
      </c>
      <c r="N133" s="11">
        <f t="shared" si="3"/>
        <v>0</v>
      </c>
      <c r="O133" s="11">
        <f t="shared" si="4"/>
        <v>0</v>
      </c>
      <c r="P133" s="11">
        <f t="shared" si="31"/>
        <v>0</v>
      </c>
    </row>
    <row r="134" spans="1:16" ht="15" hidden="1" customHeight="1">
      <c r="A134" s="44"/>
      <c r="B134" s="5">
        <f t="shared" ref="B134:B135" si="32">B133</f>
        <v>45383</v>
      </c>
      <c r="C134" s="1" t="s">
        <v>533</v>
      </c>
      <c r="D134" s="195"/>
      <c r="E134" s="186"/>
      <c r="F134" s="2"/>
      <c r="G134" s="3">
        <f t="shared" si="19"/>
        <v>0</v>
      </c>
      <c r="H134" s="187"/>
      <c r="I134" s="7"/>
      <c r="J134" s="7">
        <v>1.6500000000000001E-2</v>
      </c>
      <c r="K134" s="7">
        <v>7.5999999999999998E-2</v>
      </c>
      <c r="L134" s="7">
        <v>0</v>
      </c>
      <c r="M134" s="11">
        <f t="shared" si="2"/>
        <v>0</v>
      </c>
      <c r="N134" s="11">
        <f t="shared" si="3"/>
        <v>0</v>
      </c>
      <c r="O134" s="11">
        <f t="shared" si="4"/>
        <v>0</v>
      </c>
      <c r="P134" s="11">
        <f t="shared" si="31"/>
        <v>0</v>
      </c>
    </row>
    <row r="135" spans="1:16" ht="15" hidden="1" customHeight="1">
      <c r="A135" s="44"/>
      <c r="B135" s="5">
        <f t="shared" si="32"/>
        <v>45383</v>
      </c>
      <c r="C135" s="1" t="s">
        <v>533</v>
      </c>
      <c r="D135" s="195"/>
      <c r="E135" s="186"/>
      <c r="F135" s="2"/>
      <c r="G135" s="3">
        <f t="shared" si="19"/>
        <v>0</v>
      </c>
      <c r="H135" s="187"/>
      <c r="I135" s="7"/>
      <c r="J135" s="7">
        <v>1.6500000000000001E-2</v>
      </c>
      <c r="K135" s="7">
        <v>7.5999999999999998E-2</v>
      </c>
      <c r="L135" s="7">
        <v>0</v>
      </c>
      <c r="M135" s="11">
        <f t="shared" si="2"/>
        <v>0</v>
      </c>
      <c r="N135" s="11">
        <f t="shared" si="3"/>
        <v>0</v>
      </c>
      <c r="O135" s="11">
        <f t="shared" si="4"/>
        <v>0</v>
      </c>
      <c r="P135" s="11">
        <f t="shared" si="31"/>
        <v>0</v>
      </c>
    </row>
    <row r="136" spans="1:16" hidden="1">
      <c r="A136" s="44"/>
      <c r="B136" s="5">
        <f>B113</f>
        <v>45383</v>
      </c>
      <c r="C136" s="1" t="s">
        <v>533</v>
      </c>
      <c r="D136" s="195"/>
      <c r="E136" s="186"/>
      <c r="F136" s="2"/>
      <c r="G136" s="3">
        <f t="shared" si="19"/>
        <v>0</v>
      </c>
      <c r="H136" s="187"/>
      <c r="I136" s="7"/>
      <c r="J136" s="7">
        <v>1.6500000000000001E-2</v>
      </c>
      <c r="K136" s="7">
        <v>7.5999999999999998E-2</v>
      </c>
      <c r="L136" s="7">
        <v>0</v>
      </c>
      <c r="M136" s="11">
        <f t="shared" si="2"/>
        <v>0</v>
      </c>
      <c r="N136" s="11">
        <f t="shared" si="3"/>
        <v>0</v>
      </c>
      <c r="O136" s="11">
        <f t="shared" si="4"/>
        <v>0</v>
      </c>
      <c r="P136" s="11">
        <f t="shared" si="31"/>
        <v>0</v>
      </c>
    </row>
    <row r="137" spans="1:16">
      <c r="B137" s="5"/>
      <c r="C137" s="1"/>
      <c r="E137" s="1"/>
      <c r="F137" s="2"/>
      <c r="G137" s="4"/>
      <c r="H137" s="4"/>
      <c r="I137" s="7"/>
      <c r="J137" s="7"/>
      <c r="K137" s="7"/>
      <c r="L137" s="7"/>
    </row>
    <row r="138" spans="1:16">
      <c r="E138" s="28">
        <f>SUM(E19:E137)</f>
        <v>47599127.3675</v>
      </c>
      <c r="F138" s="133"/>
      <c r="G138" s="29">
        <f>SUM(G19:G137)</f>
        <v>115393596.91038576</v>
      </c>
    </row>
    <row r="139" spans="1:16">
      <c r="E139" s="137"/>
    </row>
    <row r="140" spans="1:16" ht="15.75" thickBot="1"/>
    <row r="141" spans="1:16">
      <c r="B141" s="391" t="s">
        <v>586</v>
      </c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4"/>
    </row>
    <row r="142" spans="1:16">
      <c r="B142" s="385"/>
      <c r="C142" s="386"/>
      <c r="D142" s="386"/>
      <c r="E142" s="386"/>
      <c r="F142" s="386"/>
      <c r="G142" s="386"/>
      <c r="H142" s="386"/>
      <c r="I142" s="386"/>
      <c r="J142" s="386"/>
      <c r="K142" s="386"/>
      <c r="L142" s="386"/>
      <c r="M142" s="386"/>
      <c r="N142" s="386"/>
      <c r="O142" s="387"/>
    </row>
    <row r="143" spans="1:16">
      <c r="B143" s="385"/>
      <c r="C143" s="386"/>
      <c r="D143" s="386"/>
      <c r="E143" s="386"/>
      <c r="F143" s="386"/>
      <c r="G143" s="386"/>
      <c r="H143" s="386"/>
      <c r="I143" s="386"/>
      <c r="J143" s="386"/>
      <c r="K143" s="386"/>
      <c r="L143" s="386"/>
      <c r="M143" s="386"/>
      <c r="N143" s="386"/>
      <c r="O143" s="387"/>
    </row>
    <row r="144" spans="1:16">
      <c r="B144" s="385"/>
      <c r="C144" s="386"/>
      <c r="D144" s="386"/>
      <c r="E144" s="386"/>
      <c r="F144" s="386"/>
      <c r="G144" s="386"/>
      <c r="H144" s="386"/>
      <c r="I144" s="386"/>
      <c r="J144" s="386"/>
      <c r="K144" s="386"/>
      <c r="L144" s="386"/>
      <c r="M144" s="386"/>
      <c r="N144" s="386"/>
      <c r="O144" s="387"/>
    </row>
    <row r="145" spans="2:15" ht="27" customHeight="1">
      <c r="B145" s="385"/>
      <c r="C145" s="386"/>
      <c r="D145" s="386"/>
      <c r="E145" s="386"/>
      <c r="F145" s="386"/>
      <c r="G145" s="386"/>
      <c r="H145" s="386"/>
      <c r="I145" s="386"/>
      <c r="J145" s="386"/>
      <c r="K145" s="386"/>
      <c r="L145" s="386"/>
      <c r="M145" s="386"/>
      <c r="N145" s="386"/>
      <c r="O145" s="387"/>
    </row>
    <row r="146" spans="2:15" ht="44.25" customHeight="1" thickBot="1">
      <c r="B146" s="388"/>
      <c r="C146" s="389"/>
      <c r="D146" s="389"/>
      <c r="E146" s="389"/>
      <c r="F146" s="389"/>
      <c r="G146" s="389"/>
      <c r="H146" s="389"/>
      <c r="I146" s="389"/>
      <c r="J146" s="389"/>
      <c r="K146" s="389"/>
      <c r="L146" s="389"/>
      <c r="M146" s="389"/>
      <c r="N146" s="389"/>
      <c r="O146" s="390"/>
    </row>
  </sheetData>
  <mergeCells count="3">
    <mergeCell ref="C2:M2"/>
    <mergeCell ref="M17:P17"/>
    <mergeCell ref="B141:O146"/>
  </mergeCells>
  <conditionalFormatting sqref="D1:D1048576">
    <cfRule type="duplicateValues" dxfId="121" priority="1"/>
    <cfRule type="duplicateValues" dxfId="120" priority="2"/>
  </conditionalFormatting>
  <conditionalFormatting sqref="D7 D10">
    <cfRule type="duplicateValues" dxfId="119" priority="3"/>
  </conditionalFormatting>
  <conditionalFormatting sqref="D19:D112">
    <cfRule type="duplicateValues" dxfId="118" priority="5"/>
  </conditionalFormatting>
  <conditionalFormatting sqref="D140:D1048576 D1:D138">
    <cfRule type="duplicateValues" dxfId="117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7EC4-3291-4539-9461-93ED791A087D}">
  <sheetPr>
    <pageSetUpPr fitToPage="1"/>
  </sheetPr>
  <dimension ref="A2:P146"/>
  <sheetViews>
    <sheetView showGridLines="0" topLeftCell="A97" zoomScale="85" zoomScaleNormal="85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6.425781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5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5" ht="23.25">
      <c r="C3" s="13">
        <v>45413</v>
      </c>
    </row>
    <row r="5" spans="3:15">
      <c r="C5" t="s">
        <v>17</v>
      </c>
      <c r="D5" s="14">
        <f t="shared" ref="D5:D11" ca="1" si="0">SUMIF($C$19:$G$136,$C$5:$C$11,$G$19:$G$136)/SUMIF($C$19:$G$136,$C$5:$C$11,$E$19:$E$136)</f>
        <v>2.2765000003414313</v>
      </c>
    </row>
    <row r="6" spans="3:15">
      <c r="C6" t="s">
        <v>440</v>
      </c>
      <c r="D6" s="14">
        <f t="shared" ca="1" si="0"/>
        <v>2.0299286700000003</v>
      </c>
    </row>
    <row r="7" spans="3:15">
      <c r="C7" t="s">
        <v>491</v>
      </c>
      <c r="D7" s="14">
        <f t="shared" ca="1" si="0"/>
        <v>1.7044792956191988</v>
      </c>
    </row>
    <row r="8" spans="3:15">
      <c r="C8" t="s">
        <v>37</v>
      </c>
      <c r="D8" s="14" t="e">
        <f t="shared" ca="1" si="0"/>
        <v>#DIV/0!</v>
      </c>
      <c r="I8" s="19"/>
      <c r="N8" s="15" t="s">
        <v>127</v>
      </c>
      <c r="O8" s="15" t="s">
        <v>128</v>
      </c>
    </row>
    <row r="9" spans="3:15">
      <c r="C9" t="s">
        <v>36</v>
      </c>
      <c r="D9" s="14" t="e">
        <f t="shared" ca="1" si="0"/>
        <v>#DIV/0!</v>
      </c>
      <c r="E9" s="14"/>
      <c r="F9" s="32"/>
      <c r="I9" s="19"/>
      <c r="M9" s="16" t="s">
        <v>17</v>
      </c>
      <c r="N9" s="17">
        <f>1415000/1620000</f>
        <v>0.87345679012345678</v>
      </c>
      <c r="O9" s="17">
        <f>+SUM(E19:E32)/E138</f>
        <v>0.83499706872796586</v>
      </c>
    </row>
    <row r="10" spans="3:15">
      <c r="C10" t="s">
        <v>534</v>
      </c>
      <c r="D10" s="14">
        <f t="shared" ca="1" si="0"/>
        <v>6.4292815369654202</v>
      </c>
      <c r="M10" s="16" t="s">
        <v>440</v>
      </c>
      <c r="N10" s="17">
        <f>10000/1620000</f>
        <v>6.1728395061728392E-3</v>
      </c>
      <c r="O10" s="17">
        <f>+SUM(E33)/E138</f>
        <v>2.8353529646137797E-3</v>
      </c>
    </row>
    <row r="11" spans="3:15">
      <c r="C11" t="s">
        <v>533</v>
      </c>
      <c r="D11" s="14" t="e">
        <f t="shared" ca="1" si="0"/>
        <v>#DIV/0!</v>
      </c>
      <c r="M11" s="16" t="s">
        <v>491</v>
      </c>
      <c r="N11" s="17">
        <f>150000/1620000</f>
        <v>9.2592592592592587E-2</v>
      </c>
      <c r="O11" s="17">
        <f>+SUM(E34)/E138</f>
        <v>9.0123719232366561E-2</v>
      </c>
    </row>
    <row r="12" spans="3:15">
      <c r="C12" s="30" t="s">
        <v>129</v>
      </c>
      <c r="D12" s="31">
        <f>+G138/E138</f>
        <v>2.3007765964922333</v>
      </c>
      <c r="M12" s="16" t="s">
        <v>544</v>
      </c>
      <c r="N12" s="17">
        <f>45000/1620000</f>
        <v>2.7777777777777776E-2</v>
      </c>
      <c r="O12" s="18">
        <f>+SUM(E37:E49)/E138</f>
        <v>5.4787059709517699E-3</v>
      </c>
    </row>
    <row r="13" spans="3:15">
      <c r="D13" s="19"/>
      <c r="M13" s="20" t="s">
        <v>38</v>
      </c>
      <c r="N13" s="197">
        <f>SUM(N9:N12)</f>
        <v>1</v>
      </c>
      <c r="O13" s="197">
        <f>SUM(O9:O12)</f>
        <v>0.93343484689589795</v>
      </c>
    </row>
    <row r="14" spans="3:15">
      <c r="D14" s="22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>
      <c r="A19" s="44"/>
      <c r="B19" s="5">
        <f>C3</f>
        <v>45413</v>
      </c>
      <c r="C19" s="1" t="s">
        <v>17</v>
      </c>
      <c r="D19" s="194" t="s">
        <v>651</v>
      </c>
      <c r="E19" s="1">
        <v>147988</v>
      </c>
      <c r="F19" s="2">
        <v>421856.6</v>
      </c>
      <c r="G19" s="3">
        <f t="shared" ref="G19:G37" si="1">F19-SUM(M19:P19)</f>
        <v>336894.68076000002</v>
      </c>
      <c r="H19" s="4">
        <f>+IF(G19=0,0,G19/E19)</f>
        <v>2.2764999916209425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ref="M19:M136" si="2">+I19*F19</f>
        <v>50622.791999999994</v>
      </c>
      <c r="N19" s="11">
        <f t="shared" ref="N19:N136" si="3">J19*(F19-M19)</f>
        <v>6125.3578319999997</v>
      </c>
      <c r="O19" s="11">
        <f t="shared" ref="O19:O136" si="4">K19*(F19-M19)</f>
        <v>28213.769407999996</v>
      </c>
      <c r="P19" s="11">
        <f t="shared" ref="P19:P131" si="5">L19*(F19)</f>
        <v>0</v>
      </c>
    </row>
    <row r="20" spans="1:16">
      <c r="A20" s="44"/>
      <c r="B20" s="5">
        <f>B19</f>
        <v>45413</v>
      </c>
      <c r="C20" s="1" t="s">
        <v>17</v>
      </c>
      <c r="D20" s="194" t="s">
        <v>650</v>
      </c>
      <c r="E20" s="1">
        <v>21907109.010000002</v>
      </c>
      <c r="F20" s="2">
        <v>62448702.32</v>
      </c>
      <c r="G20" s="3">
        <f t="shared" si="1"/>
        <v>49871533.672752</v>
      </c>
      <c r="H20" s="4">
        <f t="shared" ref="H20:H36" si="6">+IF(G20=0,0,G20/E20)</f>
        <v>2.2765000005243503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7493844.2784000002</v>
      </c>
      <c r="N20" s="11">
        <f t="shared" si="3"/>
        <v>906755.15768640011</v>
      </c>
      <c r="O20" s="11">
        <f t="shared" si="4"/>
        <v>4176569.2111616</v>
      </c>
      <c r="P20" s="11">
        <f t="shared" si="5"/>
        <v>0</v>
      </c>
    </row>
    <row r="21" spans="1:16">
      <c r="A21" s="44"/>
      <c r="B21" s="5">
        <f t="shared" ref="B21:B84" si="7">B20</f>
        <v>45413</v>
      </c>
      <c r="C21" s="1" t="s">
        <v>17</v>
      </c>
      <c r="D21" s="194" t="s">
        <v>649</v>
      </c>
      <c r="E21" s="1">
        <v>4093776</v>
      </c>
      <c r="F21" s="2">
        <v>11669773.43</v>
      </c>
      <c r="G21" s="3">
        <f t="shared" si="1"/>
        <v>9319481.0611979999</v>
      </c>
      <c r="H21" s="4">
        <f>+IF(G21=0,0,G21/E21)</f>
        <v>2.2764999993155461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1400372.8115999999</v>
      </c>
      <c r="N21" s="11">
        <f t="shared" si="3"/>
        <v>169445.11020360002</v>
      </c>
      <c r="O21" s="11">
        <f t="shared" si="4"/>
        <v>780474.44699840003</v>
      </c>
      <c r="P21" s="11">
        <f t="shared" si="5"/>
        <v>0</v>
      </c>
    </row>
    <row r="22" spans="1:16">
      <c r="A22" s="44"/>
      <c r="B22" s="5">
        <f t="shared" si="7"/>
        <v>45413</v>
      </c>
      <c r="C22" s="1" t="s">
        <v>17</v>
      </c>
      <c r="D22" s="194" t="s">
        <v>652</v>
      </c>
      <c r="E22" s="1">
        <v>1114789</v>
      </c>
      <c r="F22" s="2">
        <v>3177832.66</v>
      </c>
      <c r="G22" s="3">
        <f t="shared" si="1"/>
        <v>2537817.1622760003</v>
      </c>
      <c r="H22" s="4">
        <f t="shared" si="6"/>
        <v>2.2765000033871883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381339.9192</v>
      </c>
      <c r="N22" s="11">
        <f t="shared" si="3"/>
        <v>46142.130223200009</v>
      </c>
      <c r="O22" s="11">
        <f t="shared" si="4"/>
        <v>212533.44830080002</v>
      </c>
      <c r="P22" s="11">
        <f t="shared" si="5"/>
        <v>0</v>
      </c>
    </row>
    <row r="23" spans="1:16">
      <c r="A23" s="44"/>
      <c r="B23" s="5">
        <f t="shared" si="7"/>
        <v>45413</v>
      </c>
      <c r="C23" s="1" t="s">
        <v>17</v>
      </c>
      <c r="D23" s="194" t="s">
        <v>653</v>
      </c>
      <c r="E23" s="1">
        <v>13102628</v>
      </c>
      <c r="F23" s="2">
        <v>35342436.259999998</v>
      </c>
      <c r="G23" s="3">
        <f t="shared" si="1"/>
        <v>29828132.642533496</v>
      </c>
      <c r="H23" s="4">
        <f t="shared" si="6"/>
        <v>2.2765000000407167</v>
      </c>
      <c r="I23" s="200">
        <v>7.0000000000000007E-2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2473970.5382000003</v>
      </c>
      <c r="N23" s="11">
        <f t="shared" si="3"/>
        <v>542329.68440969998</v>
      </c>
      <c r="O23" s="11">
        <f t="shared" si="4"/>
        <v>2498003.3948567999</v>
      </c>
      <c r="P23" s="11">
        <f t="shared" si="5"/>
        <v>0</v>
      </c>
    </row>
    <row r="24" spans="1:16" hidden="1">
      <c r="A24" s="44"/>
      <c r="B24" s="5">
        <f t="shared" si="7"/>
        <v>45413</v>
      </c>
      <c r="C24" s="1" t="s">
        <v>17</v>
      </c>
      <c r="D24" s="194"/>
      <c r="E24" s="1"/>
      <c r="F24" s="2"/>
      <c r="G24" s="3">
        <f t="shared" si="1"/>
        <v>0</v>
      </c>
      <c r="H24" s="4">
        <f t="shared" si="6"/>
        <v>0</v>
      </c>
      <c r="I24" s="200"/>
      <c r="J24" s="7">
        <v>1.6500000000000001E-2</v>
      </c>
      <c r="K24" s="7">
        <v>7.5999999999999998E-2</v>
      </c>
      <c r="L24" s="7">
        <v>0</v>
      </c>
      <c r="M24" s="11">
        <f t="shared" si="2"/>
        <v>0</v>
      </c>
      <c r="N24" s="11">
        <f t="shared" si="3"/>
        <v>0</v>
      </c>
      <c r="O24" s="11">
        <f t="shared" si="4"/>
        <v>0</v>
      </c>
      <c r="P24" s="11">
        <f t="shared" si="5"/>
        <v>0</v>
      </c>
    </row>
    <row r="25" spans="1:16" hidden="1">
      <c r="A25" s="44"/>
      <c r="B25" s="5">
        <f t="shared" si="7"/>
        <v>45413</v>
      </c>
      <c r="C25" s="1" t="s">
        <v>17</v>
      </c>
      <c r="D25" s="194"/>
      <c r="E25" s="1"/>
      <c r="F25" s="2"/>
      <c r="G25" s="3">
        <f t="shared" si="1"/>
        <v>0</v>
      </c>
      <c r="H25" s="4">
        <f t="shared" si="6"/>
        <v>0</v>
      </c>
      <c r="I25" s="200"/>
      <c r="J25" s="7">
        <v>1.6500000000000001E-2</v>
      </c>
      <c r="K25" s="7">
        <v>7.5999999999999998E-2</v>
      </c>
      <c r="L25" s="7">
        <v>0</v>
      </c>
      <c r="M25" s="11">
        <f t="shared" si="2"/>
        <v>0</v>
      </c>
      <c r="N25" s="11">
        <f t="shared" si="3"/>
        <v>0</v>
      </c>
      <c r="O25" s="11">
        <f t="shared" si="4"/>
        <v>0</v>
      </c>
      <c r="P25" s="11">
        <f t="shared" si="5"/>
        <v>0</v>
      </c>
    </row>
    <row r="26" spans="1:16" hidden="1">
      <c r="A26" s="44"/>
      <c r="B26" s="5">
        <f t="shared" si="7"/>
        <v>45413</v>
      </c>
      <c r="C26" s="1" t="s">
        <v>17</v>
      </c>
      <c r="D26" s="194"/>
      <c r="E26" s="1"/>
      <c r="F26" s="2"/>
      <c r="G26" s="3">
        <f t="shared" si="1"/>
        <v>0</v>
      </c>
      <c r="H26" s="4">
        <f t="shared" si="6"/>
        <v>0</v>
      </c>
      <c r="I26" s="200"/>
      <c r="J26" s="7">
        <v>1.6500000000000001E-2</v>
      </c>
      <c r="K26" s="7">
        <v>7.5999999999999998E-2</v>
      </c>
      <c r="L26" s="7">
        <v>0</v>
      </c>
      <c r="M26" s="11">
        <f t="shared" si="2"/>
        <v>0</v>
      </c>
      <c r="N26" s="11">
        <f t="shared" si="3"/>
        <v>0</v>
      </c>
      <c r="O26" s="11">
        <f t="shared" si="4"/>
        <v>0</v>
      </c>
      <c r="P26" s="11">
        <f t="shared" si="5"/>
        <v>0</v>
      </c>
    </row>
    <row r="27" spans="1:16" hidden="1">
      <c r="A27" s="44"/>
      <c r="B27" s="5">
        <f t="shared" si="7"/>
        <v>45413</v>
      </c>
      <c r="C27" s="1" t="s">
        <v>17</v>
      </c>
      <c r="D27" s="194"/>
      <c r="E27" s="1"/>
      <c r="F27" s="2"/>
      <c r="G27" s="3">
        <f t="shared" si="1"/>
        <v>0</v>
      </c>
      <c r="H27" s="4">
        <f t="shared" si="6"/>
        <v>0</v>
      </c>
      <c r="I27" s="200"/>
      <c r="J27" s="7">
        <v>1.6500000000000001E-2</v>
      </c>
      <c r="K27" s="7">
        <v>7.5999999999999998E-2</v>
      </c>
      <c r="L27" s="7">
        <v>0</v>
      </c>
      <c r="M27" s="11">
        <f t="shared" si="2"/>
        <v>0</v>
      </c>
      <c r="N27" s="11">
        <f t="shared" si="3"/>
        <v>0</v>
      </c>
      <c r="O27" s="11">
        <f t="shared" si="4"/>
        <v>0</v>
      </c>
      <c r="P27" s="11">
        <f t="shared" si="5"/>
        <v>0</v>
      </c>
    </row>
    <row r="28" spans="1:16" hidden="1">
      <c r="A28" s="44"/>
      <c r="B28" s="5">
        <f t="shared" si="7"/>
        <v>45413</v>
      </c>
      <c r="C28" s="1" t="s">
        <v>17</v>
      </c>
      <c r="D28" s="194"/>
      <c r="E28" s="1"/>
      <c r="F28" s="2"/>
      <c r="G28" s="3">
        <f t="shared" si="1"/>
        <v>0</v>
      </c>
      <c r="H28" s="4">
        <f t="shared" si="6"/>
        <v>0</v>
      </c>
      <c r="I28" s="200"/>
      <c r="J28" s="7">
        <v>1.6500000000000001E-2</v>
      </c>
      <c r="K28" s="7">
        <v>7.5999999999999998E-2</v>
      </c>
      <c r="L28" s="7">
        <v>0</v>
      </c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spans="1:16" hidden="1">
      <c r="A29" s="44"/>
      <c r="B29" s="5">
        <f t="shared" si="7"/>
        <v>45413</v>
      </c>
      <c r="C29" s="1" t="s">
        <v>17</v>
      </c>
      <c r="D29" s="194"/>
      <c r="E29" s="1"/>
      <c r="F29" s="2"/>
      <c r="G29" s="3">
        <f t="shared" si="1"/>
        <v>0</v>
      </c>
      <c r="H29" s="4">
        <f>+IF(G29=0,0,G29/E29)</f>
        <v>0</v>
      </c>
      <c r="I29" s="200"/>
      <c r="J29" s="7">
        <v>1.6500000000000001E-2</v>
      </c>
      <c r="K29" s="7">
        <v>7.5999999999999998E-2</v>
      </c>
      <c r="L29" s="7">
        <v>0</v>
      </c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spans="1:16" hidden="1">
      <c r="A30" s="44"/>
      <c r="B30" s="5">
        <f t="shared" si="7"/>
        <v>45413</v>
      </c>
      <c r="C30" s="1" t="s">
        <v>17</v>
      </c>
      <c r="D30" s="194"/>
      <c r="E30" s="1"/>
      <c r="F30" s="2"/>
      <c r="G30" s="3">
        <f t="shared" si="1"/>
        <v>0</v>
      </c>
      <c r="H30" s="4">
        <f>+IF(G30=0,0,G30/E30)</f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45413</v>
      </c>
      <c r="C31" s="1" t="s">
        <v>17</v>
      </c>
      <c r="D31" s="194"/>
      <c r="E31" s="1"/>
      <c r="F31" s="2"/>
      <c r="G31" s="3">
        <f t="shared" si="1"/>
        <v>0</v>
      </c>
      <c r="H31" s="4">
        <f t="shared" si="6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>
      <c r="A32" s="44"/>
      <c r="B32" s="5">
        <f t="shared" si="7"/>
        <v>45413</v>
      </c>
      <c r="C32" s="1" t="s">
        <v>17</v>
      </c>
      <c r="D32" s="194" t="s">
        <v>654</v>
      </c>
      <c r="E32" s="1">
        <v>862999.98699999996</v>
      </c>
      <c r="F32" s="2">
        <v>2460079.48</v>
      </c>
      <c r="G32" s="3">
        <f t="shared" si="1"/>
        <v>1964619.472728</v>
      </c>
      <c r="H32" s="4">
        <f t="shared" si="6"/>
        <v>2.2765000026911935</v>
      </c>
      <c r="I32" s="200">
        <v>0.12</v>
      </c>
      <c r="J32" s="7">
        <v>1.6500000000000001E-2</v>
      </c>
      <c r="K32" s="7">
        <v>7.5999999999999998E-2</v>
      </c>
      <c r="L32" s="7">
        <v>0</v>
      </c>
      <c r="M32" s="11">
        <f t="shared" si="2"/>
        <v>295209.53759999998</v>
      </c>
      <c r="N32" s="11">
        <f t="shared" si="3"/>
        <v>35720.354049600006</v>
      </c>
      <c r="O32" s="11">
        <f t="shared" si="4"/>
        <v>164530.11562239999</v>
      </c>
      <c r="P32" s="11">
        <f t="shared" si="5"/>
        <v>0</v>
      </c>
    </row>
    <row r="33" spans="1:16">
      <c r="A33" s="44"/>
      <c r="B33" s="5">
        <f t="shared" si="7"/>
        <v>45413</v>
      </c>
      <c r="C33" s="1" t="s">
        <v>440</v>
      </c>
      <c r="D33" s="194" t="s">
        <v>655</v>
      </c>
      <c r="E33" s="1">
        <v>140000</v>
      </c>
      <c r="F33" s="2">
        <v>336728</v>
      </c>
      <c r="G33" s="3">
        <f t="shared" si="1"/>
        <v>284190.01380000002</v>
      </c>
      <c r="H33" s="4">
        <f t="shared" si="6"/>
        <v>2.0299286700000003</v>
      </c>
      <c r="I33" s="200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23570.960000000003</v>
      </c>
      <c r="N33" s="11">
        <f t="shared" si="3"/>
        <v>5167.0911599999999</v>
      </c>
      <c r="O33" s="11">
        <f t="shared" si="4"/>
        <v>23799.935039999997</v>
      </c>
      <c r="P33" s="11">
        <f t="shared" si="5"/>
        <v>0</v>
      </c>
    </row>
    <row r="34" spans="1:16">
      <c r="A34" s="44"/>
      <c r="B34" s="5">
        <f t="shared" si="7"/>
        <v>45413</v>
      </c>
      <c r="C34" s="1" t="s">
        <v>491</v>
      </c>
      <c r="D34" s="194" t="s">
        <v>656</v>
      </c>
      <c r="E34" s="1">
        <v>4450000</v>
      </c>
      <c r="F34" s="2">
        <v>11284755</v>
      </c>
      <c r="G34" s="3">
        <f t="shared" si="1"/>
        <v>9012005.3430000003</v>
      </c>
      <c r="H34" s="4">
        <f t="shared" si="6"/>
        <v>2.0251697399999999</v>
      </c>
      <c r="I34" s="200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1354170.5999999999</v>
      </c>
      <c r="N34" s="11">
        <f t="shared" si="3"/>
        <v>163854.64260000002</v>
      </c>
      <c r="O34" s="11">
        <f t="shared" si="4"/>
        <v>754724.41440000001</v>
      </c>
      <c r="P34" s="11">
        <f t="shared" si="5"/>
        <v>0</v>
      </c>
    </row>
    <row r="35" spans="1:16">
      <c r="A35" s="44"/>
      <c r="B35" s="5">
        <f t="shared" ref="B35:B36" si="8">B32</f>
        <v>45413</v>
      </c>
      <c r="C35" s="1" t="s">
        <v>491</v>
      </c>
      <c r="D35" s="194" t="s">
        <v>657</v>
      </c>
      <c r="E35" s="118">
        <v>1129593</v>
      </c>
      <c r="F35" s="2">
        <v>1695519.09</v>
      </c>
      <c r="G35" s="3">
        <f t="shared" ref="G35:G36" si="9">F35-SUM(M35:P35)</f>
        <v>1354041.5452740001</v>
      </c>
      <c r="H35" s="4">
        <f t="shared" si="6"/>
        <v>1.1986985978790592</v>
      </c>
      <c r="I35" s="200">
        <v>0.12</v>
      </c>
      <c r="J35" s="7">
        <v>1.6500000000000001E-2</v>
      </c>
      <c r="K35" s="7">
        <v>7.5999999999999998E-2</v>
      </c>
      <c r="L35" s="7">
        <v>0</v>
      </c>
      <c r="M35" s="11">
        <f t="shared" si="2"/>
        <v>203462.29080000002</v>
      </c>
      <c r="N35" s="11">
        <f t="shared" si="3"/>
        <v>24618.937186800002</v>
      </c>
      <c r="O35" s="11">
        <f t="shared" si="4"/>
        <v>113396.3167392</v>
      </c>
      <c r="P35" s="11">
        <f t="shared" si="5"/>
        <v>0</v>
      </c>
    </row>
    <row r="36" spans="1:16">
      <c r="A36" s="44"/>
      <c r="B36" s="5">
        <f t="shared" si="8"/>
        <v>45413</v>
      </c>
      <c r="C36" s="1" t="s">
        <v>491</v>
      </c>
      <c r="D36" s="195" t="s">
        <v>658</v>
      </c>
      <c r="E36" s="118">
        <v>1358407</v>
      </c>
      <c r="F36" s="2">
        <v>1827736.62</v>
      </c>
      <c r="G36" s="3">
        <f t="shared" si="9"/>
        <v>1459630.4647320001</v>
      </c>
      <c r="H36" s="4">
        <f t="shared" si="6"/>
        <v>1.0745163008818419</v>
      </c>
      <c r="I36" s="200">
        <v>0.12</v>
      </c>
      <c r="J36" s="7">
        <v>1.6500000000000001E-2</v>
      </c>
      <c r="K36" s="7">
        <v>7.5999999999999998E-2</v>
      </c>
      <c r="L36" s="7">
        <v>0</v>
      </c>
      <c r="M36" s="11">
        <f t="shared" si="2"/>
        <v>219328.39440000002</v>
      </c>
      <c r="N36" s="11">
        <f t="shared" si="3"/>
        <v>26538.735722400001</v>
      </c>
      <c r="O36" s="11">
        <f t="shared" si="4"/>
        <v>122239.0251456</v>
      </c>
      <c r="P36" s="11">
        <f t="shared" si="5"/>
        <v>0</v>
      </c>
    </row>
    <row r="37" spans="1:16">
      <c r="A37" s="44"/>
      <c r="B37" s="5">
        <f>B34</f>
        <v>45413</v>
      </c>
      <c r="C37" s="1" t="s">
        <v>534</v>
      </c>
      <c r="D37" s="195" t="s">
        <v>610</v>
      </c>
      <c r="E37" s="118">
        <v>24000</v>
      </c>
      <c r="F37" s="2">
        <v>182599.2</v>
      </c>
      <c r="G37" s="3">
        <f t="shared" si="1"/>
        <v>154109.15982</v>
      </c>
      <c r="H37" s="4">
        <f>+IF(G37=0,0,G37/E37)</f>
        <v>6.4212149925000004</v>
      </c>
      <c r="I37" s="200">
        <v>7.0000000000000007E-2</v>
      </c>
      <c r="J37" s="7">
        <v>1.6500000000000001E-2</v>
      </c>
      <c r="K37" s="7">
        <v>7.5999999999999998E-2</v>
      </c>
      <c r="L37" s="7">
        <v>0</v>
      </c>
      <c r="M37" s="11">
        <f t="shared" si="2"/>
        <v>12781.944000000001</v>
      </c>
      <c r="N37" s="11">
        <f t="shared" si="3"/>
        <v>2801.9847240000004</v>
      </c>
      <c r="O37" s="11">
        <f t="shared" si="4"/>
        <v>12906.111456000001</v>
      </c>
      <c r="P37" s="11">
        <f t="shared" si="5"/>
        <v>0</v>
      </c>
    </row>
    <row r="38" spans="1:16">
      <c r="A38" s="44"/>
      <c r="B38" s="5">
        <f t="shared" si="7"/>
        <v>45413</v>
      </c>
      <c r="C38" s="1" t="s">
        <v>534</v>
      </c>
      <c r="D38" s="195" t="s">
        <v>611</v>
      </c>
      <c r="E38" s="118">
        <v>25402.109199999999</v>
      </c>
      <c r="F38" s="2">
        <v>193266.87</v>
      </c>
      <c r="G38" s="3">
        <f t="shared" ref="G38:G43" si="10">F38-SUM(M38:P38)</f>
        <v>163112.40660824999</v>
      </c>
      <c r="H38" s="4">
        <f t="shared" ref="H38:H101" si="11">+IF(G38=0,0,G38/E38)</f>
        <v>6.421215078008168</v>
      </c>
      <c r="I38" s="200">
        <v>7.0000000000000007E-2</v>
      </c>
      <c r="J38" s="7">
        <v>1.6500000000000001E-2</v>
      </c>
      <c r="K38" s="7">
        <v>7.5999999999999998E-2</v>
      </c>
      <c r="L38" s="7">
        <v>0</v>
      </c>
      <c r="M38" s="11">
        <f t="shared" si="2"/>
        <v>13528.680900000001</v>
      </c>
      <c r="N38" s="11">
        <f t="shared" si="3"/>
        <v>2965.6801201499998</v>
      </c>
      <c r="O38" s="11">
        <f t="shared" si="4"/>
        <v>13660.102371599998</v>
      </c>
      <c r="P38" s="11">
        <f t="shared" si="5"/>
        <v>0</v>
      </c>
    </row>
    <row r="39" spans="1:16">
      <c r="A39" s="44"/>
      <c r="B39" s="5">
        <f t="shared" si="7"/>
        <v>45413</v>
      </c>
      <c r="C39" s="1" t="s">
        <v>534</v>
      </c>
      <c r="D39" s="195" t="s">
        <v>612</v>
      </c>
      <c r="E39" s="118">
        <v>24557.943500000001</v>
      </c>
      <c r="F39" s="2">
        <v>186844.2</v>
      </c>
      <c r="G39" s="3">
        <f t="shared" si="10"/>
        <v>157691.83369500001</v>
      </c>
      <c r="H39" s="4">
        <f t="shared" si="11"/>
        <v>6.4212149398828942</v>
      </c>
      <c r="I39" s="200">
        <v>7.0000000000000007E-2</v>
      </c>
      <c r="J39" s="7">
        <v>1.6500000000000001E-2</v>
      </c>
      <c r="K39" s="7">
        <v>7.5999999999999998E-2</v>
      </c>
      <c r="L39" s="7">
        <v>0</v>
      </c>
      <c r="M39" s="11">
        <f t="shared" si="2"/>
        <v>13079.094000000003</v>
      </c>
      <c r="N39" s="11">
        <f t="shared" si="3"/>
        <v>2867.124249</v>
      </c>
      <c r="O39" s="11">
        <f t="shared" si="4"/>
        <v>13206.148056</v>
      </c>
      <c r="P39" s="11">
        <f t="shared" si="5"/>
        <v>0</v>
      </c>
    </row>
    <row r="40" spans="1:16">
      <c r="A40" s="44"/>
      <c r="B40" s="5">
        <f t="shared" si="7"/>
        <v>45413</v>
      </c>
      <c r="C40" s="1" t="s">
        <v>534</v>
      </c>
      <c r="D40" s="195" t="s">
        <v>613</v>
      </c>
      <c r="E40" s="118">
        <v>24641.034800000001</v>
      </c>
      <c r="F40" s="2">
        <v>189519.13</v>
      </c>
      <c r="G40" s="3">
        <f t="shared" si="10"/>
        <v>159949.40774175001</v>
      </c>
      <c r="H40" s="4">
        <f t="shared" si="11"/>
        <v>6.4911806277612172</v>
      </c>
      <c r="I40" s="200">
        <v>7.0000000000000007E-2</v>
      </c>
      <c r="J40" s="7">
        <v>1.6500000000000001E-2</v>
      </c>
      <c r="K40" s="7">
        <v>7.5999999999999998E-2</v>
      </c>
      <c r="L40" s="7">
        <v>0</v>
      </c>
      <c r="M40" s="11">
        <f t="shared" si="2"/>
        <v>13266.339100000001</v>
      </c>
      <c r="N40" s="11">
        <f t="shared" si="3"/>
        <v>2908.1710498500001</v>
      </c>
      <c r="O40" s="11">
        <f t="shared" si="4"/>
        <v>13395.212108399999</v>
      </c>
      <c r="P40" s="11">
        <f t="shared" si="5"/>
        <v>0</v>
      </c>
    </row>
    <row r="41" spans="1:16">
      <c r="A41" s="44"/>
      <c r="B41" s="5">
        <f t="shared" si="7"/>
        <v>45413</v>
      </c>
      <c r="C41" s="1" t="s">
        <v>534</v>
      </c>
      <c r="D41" s="195" t="s">
        <v>614</v>
      </c>
      <c r="E41" s="118">
        <v>692.42359999999996</v>
      </c>
      <c r="F41" s="2">
        <v>5268.17</v>
      </c>
      <c r="G41" s="3">
        <f t="shared" si="10"/>
        <v>4446.2037757500002</v>
      </c>
      <c r="H41" s="4">
        <f t="shared" si="11"/>
        <v>6.4212192879474363</v>
      </c>
      <c r="I41" s="200">
        <v>7.0000000000000007E-2</v>
      </c>
      <c r="J41" s="7">
        <v>1.6500000000000001E-2</v>
      </c>
      <c r="K41" s="7">
        <v>7.5999999999999998E-2</v>
      </c>
      <c r="L41" s="7">
        <v>0</v>
      </c>
      <c r="M41" s="11">
        <f t="shared" si="2"/>
        <v>368.77190000000002</v>
      </c>
      <c r="N41" s="11">
        <f t="shared" si="3"/>
        <v>80.840068650000006</v>
      </c>
      <c r="O41" s="11">
        <f t="shared" si="4"/>
        <v>372.35425560000004</v>
      </c>
      <c r="P41" s="11">
        <f t="shared" si="5"/>
        <v>0</v>
      </c>
    </row>
    <row r="42" spans="1:16">
      <c r="A42" s="44"/>
      <c r="B42" s="5">
        <f t="shared" si="7"/>
        <v>45413</v>
      </c>
      <c r="C42" s="1" t="s">
        <v>534</v>
      </c>
      <c r="D42" s="195" t="s">
        <v>615</v>
      </c>
      <c r="E42" s="118">
        <v>470.34440000000001</v>
      </c>
      <c r="F42" s="2">
        <v>3578.52</v>
      </c>
      <c r="G42" s="3">
        <f t="shared" si="10"/>
        <v>3020.1814169999998</v>
      </c>
      <c r="H42" s="4">
        <f t="shared" si="11"/>
        <v>6.4212126624660559</v>
      </c>
      <c r="I42" s="200">
        <v>7.0000000000000007E-2</v>
      </c>
      <c r="J42" s="7">
        <v>1.6500000000000001E-2</v>
      </c>
      <c r="K42" s="7">
        <v>7.5999999999999998E-2</v>
      </c>
      <c r="L42" s="7">
        <v>0</v>
      </c>
      <c r="M42" s="11">
        <f t="shared" si="2"/>
        <v>250.49640000000002</v>
      </c>
      <c r="N42" s="11">
        <f t="shared" si="3"/>
        <v>54.912389400000002</v>
      </c>
      <c r="O42" s="11">
        <f t="shared" si="4"/>
        <v>252.92979359999998</v>
      </c>
      <c r="P42" s="11">
        <f t="shared" si="5"/>
        <v>0</v>
      </c>
    </row>
    <row r="43" spans="1:16">
      <c r="A43" s="44"/>
      <c r="B43" s="5">
        <f t="shared" si="7"/>
        <v>45413</v>
      </c>
      <c r="C43" s="1" t="s">
        <v>534</v>
      </c>
      <c r="D43" s="195" t="s">
        <v>616</v>
      </c>
      <c r="E43" s="118">
        <v>23739.195100000001</v>
      </c>
      <c r="F43" s="2">
        <v>180614.92</v>
      </c>
      <c r="G43" s="3">
        <f t="shared" si="10"/>
        <v>152434.47710700001</v>
      </c>
      <c r="H43" s="4">
        <f t="shared" si="11"/>
        <v>6.4212150607835898</v>
      </c>
      <c r="I43" s="200">
        <v>7.0000000000000007E-2</v>
      </c>
      <c r="J43" s="7">
        <v>1.6500000000000001E-2</v>
      </c>
      <c r="K43" s="7">
        <v>7.5999999999999998E-2</v>
      </c>
      <c r="L43" s="7">
        <v>0</v>
      </c>
      <c r="M43" s="11">
        <f t="shared" si="2"/>
        <v>12643.044400000002</v>
      </c>
      <c r="N43" s="11">
        <f t="shared" si="3"/>
        <v>2771.5359474000002</v>
      </c>
      <c r="O43" s="11">
        <f t="shared" si="4"/>
        <v>12765.862545599999</v>
      </c>
      <c r="P43" s="11">
        <f t="shared" si="5"/>
        <v>0</v>
      </c>
    </row>
    <row r="44" spans="1:16">
      <c r="A44" s="44"/>
      <c r="B44" s="5">
        <f t="shared" si="7"/>
        <v>45413</v>
      </c>
      <c r="C44" s="1" t="s">
        <v>534</v>
      </c>
      <c r="D44" s="195" t="s">
        <v>617</v>
      </c>
      <c r="E44" s="118">
        <v>24363.545699999999</v>
      </c>
      <c r="F44" s="2">
        <v>185365.16</v>
      </c>
      <c r="G44" s="3">
        <f t="shared" ref="G44:G91" si="12">F44-SUM(M44:P44)</f>
        <v>156443.56091100001</v>
      </c>
      <c r="H44" s="4">
        <f t="shared" si="11"/>
        <v>6.4212148279796573</v>
      </c>
      <c r="I44" s="200">
        <v>7.0000000000000007E-2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12975.561200000002</v>
      </c>
      <c r="N44" s="11">
        <f t="shared" si="3"/>
        <v>2844.4283802000004</v>
      </c>
      <c r="O44" s="11">
        <f t="shared" si="4"/>
        <v>13101.6095088</v>
      </c>
      <c r="P44" s="11">
        <f t="shared" si="5"/>
        <v>0</v>
      </c>
    </row>
    <row r="45" spans="1:16">
      <c r="A45" s="44"/>
      <c r="B45" s="5">
        <f t="shared" si="7"/>
        <v>45413</v>
      </c>
      <c r="C45" s="1" t="s">
        <v>534</v>
      </c>
      <c r="D45" s="195" t="s">
        <v>618</v>
      </c>
      <c r="E45" s="118">
        <v>24457.894</v>
      </c>
      <c r="F45" s="2">
        <v>186082.99</v>
      </c>
      <c r="G45" s="3">
        <f t="shared" si="12"/>
        <v>157049.39148525</v>
      </c>
      <c r="H45" s="4">
        <f t="shared" si="11"/>
        <v>6.4212148227173609</v>
      </c>
      <c r="I45" s="200">
        <v>7.0000000000000007E-2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13025.809300000001</v>
      </c>
      <c r="N45" s="11">
        <f t="shared" si="3"/>
        <v>2855.4434815499999</v>
      </c>
      <c r="O45" s="11">
        <f t="shared" si="4"/>
        <v>13152.3457332</v>
      </c>
      <c r="P45" s="11">
        <f t="shared" si="5"/>
        <v>0</v>
      </c>
    </row>
    <row r="46" spans="1:16">
      <c r="A46" s="44"/>
      <c r="B46" s="5">
        <f t="shared" si="7"/>
        <v>45413</v>
      </c>
      <c r="C46" s="1" t="s">
        <v>534</v>
      </c>
      <c r="D46" s="195" t="s">
        <v>619</v>
      </c>
      <c r="E46" s="118">
        <v>24182.622299999999</v>
      </c>
      <c r="F46" s="2">
        <v>183988.65</v>
      </c>
      <c r="G46" s="3">
        <f t="shared" si="12"/>
        <v>155281.82088374998</v>
      </c>
      <c r="H46" s="4">
        <f t="shared" si="11"/>
        <v>6.4212151584466497</v>
      </c>
      <c r="I46" s="200">
        <v>7.0000000000000007E-2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12879.2055</v>
      </c>
      <c r="N46" s="11">
        <f t="shared" si="3"/>
        <v>2823.3058342499999</v>
      </c>
      <c r="O46" s="11">
        <f t="shared" si="4"/>
        <v>13004.317781999998</v>
      </c>
      <c r="P46" s="11">
        <f t="shared" si="5"/>
        <v>0</v>
      </c>
    </row>
    <row r="47" spans="1:16">
      <c r="A47" s="44"/>
      <c r="B47" s="5">
        <f t="shared" si="7"/>
        <v>45413</v>
      </c>
      <c r="C47" s="1" t="s">
        <v>534</v>
      </c>
      <c r="D47" s="195" t="s">
        <v>620</v>
      </c>
      <c r="E47" s="118">
        <v>24406.1646</v>
      </c>
      <c r="F47" s="2">
        <v>185689.42</v>
      </c>
      <c r="G47" s="3">
        <f t="shared" si="12"/>
        <v>156717.2282445</v>
      </c>
      <c r="H47" s="4">
        <f t="shared" si="11"/>
        <v>6.4212149189758394</v>
      </c>
      <c r="I47" s="200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12998.259400000003</v>
      </c>
      <c r="N47" s="11">
        <f t="shared" si="3"/>
        <v>2849.4041499</v>
      </c>
      <c r="O47" s="11">
        <f t="shared" si="4"/>
        <v>13124.5282056</v>
      </c>
      <c r="P47" s="11">
        <f t="shared" si="5"/>
        <v>0</v>
      </c>
    </row>
    <row r="48" spans="1:16">
      <c r="A48" s="44"/>
      <c r="B48" s="5">
        <f t="shared" si="7"/>
        <v>45413</v>
      </c>
      <c r="C48" s="1" t="s">
        <v>534</v>
      </c>
      <c r="D48" s="195" t="s">
        <v>621</v>
      </c>
      <c r="E48" s="118">
        <v>24695.0766</v>
      </c>
      <c r="F48" s="2">
        <v>187887.55</v>
      </c>
      <c r="G48" s="3">
        <f t="shared" si="12"/>
        <v>158572.39501124999</v>
      </c>
      <c r="H48" s="4">
        <f t="shared" si="11"/>
        <v>6.4212149482156287</v>
      </c>
      <c r="I48" s="200">
        <v>7.0000000000000007E-2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13152.128500000001</v>
      </c>
      <c r="N48" s="11">
        <f t="shared" si="3"/>
        <v>2883.1344547500003</v>
      </c>
      <c r="O48" s="11">
        <f t="shared" si="4"/>
        <v>13279.892033999999</v>
      </c>
      <c r="P48" s="11">
        <f t="shared" si="5"/>
        <v>0</v>
      </c>
    </row>
    <row r="49" spans="1:16">
      <c r="A49" s="44"/>
      <c r="B49" s="5">
        <f t="shared" si="7"/>
        <v>45413</v>
      </c>
      <c r="C49" s="1" t="s">
        <v>534</v>
      </c>
      <c r="D49" s="195" t="s">
        <v>622</v>
      </c>
      <c r="E49" s="118">
        <v>24911.347099999999</v>
      </c>
      <c r="F49" s="2">
        <v>189533</v>
      </c>
      <c r="G49" s="3">
        <f t="shared" si="12"/>
        <v>159961.113675</v>
      </c>
      <c r="H49" s="4">
        <f t="shared" si="11"/>
        <v>6.4212149199671344</v>
      </c>
      <c r="I49" s="200">
        <v>7.0000000000000007E-2</v>
      </c>
      <c r="J49" s="7">
        <v>1.6500000000000001E-2</v>
      </c>
      <c r="K49" s="7">
        <v>7.5999999999999998E-2</v>
      </c>
      <c r="L49" s="7">
        <v>0</v>
      </c>
      <c r="M49" s="11">
        <f t="shared" si="2"/>
        <v>13267.310000000001</v>
      </c>
      <c r="N49" s="11">
        <f t="shared" si="3"/>
        <v>2908.3838850000002</v>
      </c>
      <c r="O49" s="11">
        <f t="shared" si="4"/>
        <v>13396.192440000001</v>
      </c>
      <c r="P49" s="11">
        <f t="shared" si="5"/>
        <v>0</v>
      </c>
    </row>
    <row r="50" spans="1:16">
      <c r="A50" s="44"/>
      <c r="B50" s="5">
        <f t="shared" si="7"/>
        <v>45413</v>
      </c>
      <c r="C50" s="1" t="s">
        <v>534</v>
      </c>
      <c r="D50" s="195" t="s">
        <v>623</v>
      </c>
      <c r="E50" s="118">
        <v>24958.926899999999</v>
      </c>
      <c r="F50" s="2">
        <v>189895</v>
      </c>
      <c r="G50" s="3">
        <f t="shared" si="12"/>
        <v>160266.632625</v>
      </c>
      <c r="H50" s="4">
        <f t="shared" si="11"/>
        <v>6.4212148730240486</v>
      </c>
      <c r="I50" s="200">
        <v>7.0000000000000007E-2</v>
      </c>
      <c r="J50" s="7">
        <v>1.6500000000000001E-2</v>
      </c>
      <c r="K50" s="7">
        <v>7.5999999999999998E-2</v>
      </c>
      <c r="L50" s="7">
        <v>0</v>
      </c>
      <c r="M50" s="11">
        <f t="shared" si="2"/>
        <v>13292.650000000001</v>
      </c>
      <c r="N50" s="11">
        <f t="shared" si="3"/>
        <v>2913.9387750000001</v>
      </c>
      <c r="O50" s="11">
        <f t="shared" si="4"/>
        <v>13421.7786</v>
      </c>
      <c r="P50" s="11">
        <f t="shared" si="5"/>
        <v>0</v>
      </c>
    </row>
    <row r="51" spans="1:16">
      <c r="A51" s="44"/>
      <c r="B51" s="5">
        <f t="shared" si="7"/>
        <v>45413</v>
      </c>
      <c r="C51" s="1" t="s">
        <v>534</v>
      </c>
      <c r="D51" s="195" t="s">
        <v>624</v>
      </c>
      <c r="E51" s="118">
        <v>22416.02</v>
      </c>
      <c r="F51" s="2">
        <v>170547.8</v>
      </c>
      <c r="G51" s="3">
        <f t="shared" si="12"/>
        <v>143938.079505</v>
      </c>
      <c r="H51" s="4">
        <f t="shared" si="11"/>
        <v>6.4212148055274758</v>
      </c>
      <c r="I51" s="200">
        <v>7.0000000000000007E-2</v>
      </c>
      <c r="J51" s="7">
        <v>1.6500000000000001E-2</v>
      </c>
      <c r="K51" s="7">
        <v>7.5999999999999998E-2</v>
      </c>
      <c r="L51" s="7">
        <v>0</v>
      </c>
      <c r="M51" s="11">
        <f t="shared" si="2"/>
        <v>11938.346</v>
      </c>
      <c r="N51" s="11">
        <f t="shared" si="3"/>
        <v>2617.0559910000002</v>
      </c>
      <c r="O51" s="11">
        <f t="shared" si="4"/>
        <v>12054.318503999999</v>
      </c>
      <c r="P51" s="11">
        <f t="shared" si="5"/>
        <v>0</v>
      </c>
    </row>
    <row r="52" spans="1:16">
      <c r="A52" s="44"/>
      <c r="B52" s="5">
        <f t="shared" si="7"/>
        <v>45413</v>
      </c>
      <c r="C52" s="1" t="s">
        <v>534</v>
      </c>
      <c r="D52" s="195" t="s">
        <v>625</v>
      </c>
      <c r="E52" s="118">
        <v>24000</v>
      </c>
      <c r="F52" s="2">
        <v>182599.2</v>
      </c>
      <c r="G52" s="3">
        <f t="shared" si="12"/>
        <v>154109.15982</v>
      </c>
      <c r="H52" s="4">
        <f t="shared" si="11"/>
        <v>6.4212149925000004</v>
      </c>
      <c r="I52" s="200">
        <v>7.0000000000000007E-2</v>
      </c>
      <c r="J52" s="7">
        <v>1.6500000000000001E-2</v>
      </c>
      <c r="K52" s="7">
        <v>7.5999999999999998E-2</v>
      </c>
      <c r="L52" s="7">
        <v>0</v>
      </c>
      <c r="M52" s="11">
        <f t="shared" si="2"/>
        <v>12781.944000000001</v>
      </c>
      <c r="N52" s="11">
        <f t="shared" si="3"/>
        <v>2801.9847240000004</v>
      </c>
      <c r="O52" s="11">
        <f t="shared" si="4"/>
        <v>12906.111456000001</v>
      </c>
      <c r="P52" s="11">
        <f t="shared" si="5"/>
        <v>0</v>
      </c>
    </row>
    <row r="53" spans="1:16">
      <c r="A53" s="44"/>
      <c r="B53" s="5">
        <f t="shared" si="7"/>
        <v>45413</v>
      </c>
      <c r="C53" s="1" t="s">
        <v>534</v>
      </c>
      <c r="D53" s="195" t="s">
        <v>626</v>
      </c>
      <c r="E53" s="118">
        <v>24167.547299999998</v>
      </c>
      <c r="F53" s="2">
        <v>185877.44</v>
      </c>
      <c r="G53" s="3">
        <f t="shared" si="12"/>
        <v>156875.91242400001</v>
      </c>
      <c r="H53" s="4">
        <f t="shared" si="11"/>
        <v>6.4911805272022791</v>
      </c>
      <c r="I53" s="200">
        <v>7.0000000000000007E-2</v>
      </c>
      <c r="J53" s="7">
        <v>1.6500000000000001E-2</v>
      </c>
      <c r="K53" s="7">
        <v>7.5999999999999998E-2</v>
      </c>
      <c r="L53" s="7">
        <v>0</v>
      </c>
      <c r="M53" s="11">
        <f t="shared" si="2"/>
        <v>13011.420800000002</v>
      </c>
      <c r="N53" s="11">
        <f t="shared" si="3"/>
        <v>2852.2893168000005</v>
      </c>
      <c r="O53" s="11">
        <f t="shared" si="4"/>
        <v>13137.8174592</v>
      </c>
      <c r="P53" s="11">
        <f t="shared" si="5"/>
        <v>0</v>
      </c>
    </row>
    <row r="54" spans="1:16">
      <c r="A54" s="44"/>
      <c r="B54" s="5">
        <f t="shared" si="7"/>
        <v>45413</v>
      </c>
      <c r="C54" s="1" t="s">
        <v>534</v>
      </c>
      <c r="D54" s="195" t="s">
        <v>627</v>
      </c>
      <c r="E54" s="118">
        <v>2389.2309</v>
      </c>
      <c r="F54" s="2">
        <v>18177.990000000002</v>
      </c>
      <c r="G54" s="3">
        <f t="shared" si="12"/>
        <v>15341.769110250001</v>
      </c>
      <c r="H54" s="4">
        <f t="shared" si="11"/>
        <v>6.4212165974623892</v>
      </c>
      <c r="I54" s="200">
        <v>7.0000000000000007E-2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1272.4593000000002</v>
      </c>
      <c r="N54" s="11">
        <f t="shared" si="3"/>
        <v>278.94125655000005</v>
      </c>
      <c r="O54" s="11">
        <f t="shared" si="4"/>
        <v>1284.8203332000003</v>
      </c>
      <c r="P54" s="11">
        <f t="shared" si="5"/>
        <v>0</v>
      </c>
    </row>
    <row r="55" spans="1:16">
      <c r="A55" s="44"/>
      <c r="B55" s="5">
        <f t="shared" si="7"/>
        <v>45413</v>
      </c>
      <c r="C55" s="1" t="s">
        <v>534</v>
      </c>
      <c r="D55" s="195" t="s">
        <v>628</v>
      </c>
      <c r="E55" s="118">
        <v>892.40319999999997</v>
      </c>
      <c r="F55" s="2">
        <v>6789.67</v>
      </c>
      <c r="G55" s="3">
        <f t="shared" si="12"/>
        <v>5730.3117382500004</v>
      </c>
      <c r="H55" s="4">
        <f t="shared" si="11"/>
        <v>6.4212137946726333</v>
      </c>
      <c r="I55" s="200">
        <v>7.0000000000000007E-2</v>
      </c>
      <c r="J55" s="7">
        <v>1.6500000000000001E-2</v>
      </c>
      <c r="K55" s="7">
        <v>7.5999999999999998E-2</v>
      </c>
      <c r="L55" s="7">
        <v>0</v>
      </c>
      <c r="M55" s="11">
        <f t="shared" si="2"/>
        <v>475.27690000000007</v>
      </c>
      <c r="N55" s="11">
        <f t="shared" si="3"/>
        <v>104.18748615000001</v>
      </c>
      <c r="O55" s="11">
        <f t="shared" si="4"/>
        <v>479.8938756</v>
      </c>
      <c r="P55" s="11">
        <f t="shared" si="5"/>
        <v>0</v>
      </c>
    </row>
    <row r="56" spans="1:16">
      <c r="A56" s="44"/>
      <c r="B56" s="5">
        <f t="shared" si="7"/>
        <v>45413</v>
      </c>
      <c r="C56" s="1" t="s">
        <v>534</v>
      </c>
      <c r="D56" s="195" t="s">
        <v>629</v>
      </c>
      <c r="E56" s="118">
        <v>24514.184600000001</v>
      </c>
      <c r="F56" s="2">
        <v>186511.27</v>
      </c>
      <c r="G56" s="3">
        <f t="shared" si="12"/>
        <v>157410.84909824998</v>
      </c>
      <c r="H56" s="4">
        <f t="shared" si="11"/>
        <v>6.4212149686696076</v>
      </c>
      <c r="I56" s="200">
        <v>7.0000000000000007E-2</v>
      </c>
      <c r="J56" s="7">
        <v>1.6500000000000001E-2</v>
      </c>
      <c r="K56" s="7">
        <v>7.5999999999999998E-2</v>
      </c>
      <c r="L56" s="7">
        <v>0</v>
      </c>
      <c r="M56" s="11">
        <f t="shared" si="2"/>
        <v>13055.788900000001</v>
      </c>
      <c r="N56" s="11">
        <f t="shared" si="3"/>
        <v>2862.0154381499997</v>
      </c>
      <c r="O56" s="11">
        <f t="shared" si="4"/>
        <v>13182.616563599999</v>
      </c>
      <c r="P56" s="11">
        <f t="shared" si="5"/>
        <v>0</v>
      </c>
    </row>
    <row r="57" spans="1:16">
      <c r="A57" s="44"/>
      <c r="B57" s="5">
        <f t="shared" si="7"/>
        <v>45413</v>
      </c>
      <c r="C57" s="1" t="s">
        <v>534</v>
      </c>
      <c r="D57" s="195" t="s">
        <v>630</v>
      </c>
      <c r="E57" s="118">
        <v>24223.0095</v>
      </c>
      <c r="F57" s="2">
        <v>184295.92</v>
      </c>
      <c r="G57" s="3">
        <f t="shared" ref="G57:G87" si="13">F57-SUM(M57:P57)</f>
        <v>155541.14908200002</v>
      </c>
      <c r="H57" s="4">
        <f t="shared" si="11"/>
        <v>6.4212148817429151</v>
      </c>
      <c r="I57" s="200">
        <v>7.0000000000000007E-2</v>
      </c>
      <c r="J57" s="7">
        <v>1.6500000000000001E-2</v>
      </c>
      <c r="K57" s="7">
        <v>7.5999999999999998E-2</v>
      </c>
      <c r="L57" s="7">
        <v>0</v>
      </c>
      <c r="M57" s="11">
        <f t="shared" si="2"/>
        <v>12900.714400000003</v>
      </c>
      <c r="N57" s="11">
        <f t="shared" si="3"/>
        <v>2828.0208924000003</v>
      </c>
      <c r="O57" s="11">
        <f t="shared" si="4"/>
        <v>13026.035625600001</v>
      </c>
      <c r="P57" s="11">
        <f t="shared" si="5"/>
        <v>0</v>
      </c>
    </row>
    <row r="58" spans="1:16">
      <c r="A58" s="44"/>
      <c r="B58" s="5">
        <f t="shared" si="7"/>
        <v>45413</v>
      </c>
      <c r="C58" s="1" t="s">
        <v>534</v>
      </c>
      <c r="D58" s="195" t="s">
        <v>631</v>
      </c>
      <c r="E58" s="118">
        <v>24950.256099999999</v>
      </c>
      <c r="F58" s="2">
        <v>189829.03</v>
      </c>
      <c r="G58" s="3">
        <f t="shared" si="13"/>
        <v>160210.95559425</v>
      </c>
      <c r="H58" s="4">
        <f t="shared" si="11"/>
        <v>6.4212148745940132</v>
      </c>
      <c r="I58" s="200">
        <v>7.0000000000000007E-2</v>
      </c>
      <c r="J58" s="7">
        <v>1.6500000000000001E-2</v>
      </c>
      <c r="K58" s="7">
        <v>7.5999999999999998E-2</v>
      </c>
      <c r="L58" s="7">
        <v>0</v>
      </c>
      <c r="M58" s="11">
        <f t="shared" si="2"/>
        <v>13288.0321</v>
      </c>
      <c r="N58" s="11">
        <f t="shared" si="3"/>
        <v>2912.9264653499999</v>
      </c>
      <c r="O58" s="11">
        <f t="shared" si="4"/>
        <v>13417.115840399998</v>
      </c>
      <c r="P58" s="11">
        <f t="shared" si="5"/>
        <v>0</v>
      </c>
    </row>
    <row r="59" spans="1:16">
      <c r="A59" s="44"/>
      <c r="B59" s="5">
        <f t="shared" si="7"/>
        <v>45413</v>
      </c>
      <c r="C59" s="1" t="s">
        <v>534</v>
      </c>
      <c r="D59" s="195" t="s">
        <v>632</v>
      </c>
      <c r="E59" s="118">
        <v>25033.654600000002</v>
      </c>
      <c r="F59" s="2">
        <v>190463.55</v>
      </c>
      <c r="G59" s="3">
        <f t="shared" si="13"/>
        <v>160746.47461124999</v>
      </c>
      <c r="H59" s="4">
        <f t="shared" si="11"/>
        <v>6.4212148477613802</v>
      </c>
      <c r="I59" s="200">
        <v>7.0000000000000007E-2</v>
      </c>
      <c r="J59" s="7">
        <v>1.6500000000000001E-2</v>
      </c>
      <c r="K59" s="7">
        <v>7.5999999999999998E-2</v>
      </c>
      <c r="L59" s="7">
        <v>0</v>
      </c>
      <c r="M59" s="11">
        <f t="shared" si="2"/>
        <v>13332.4485</v>
      </c>
      <c r="N59" s="11">
        <f t="shared" si="3"/>
        <v>2922.6631747500001</v>
      </c>
      <c r="O59" s="11">
        <f t="shared" si="4"/>
        <v>13461.963714</v>
      </c>
      <c r="P59" s="11">
        <f t="shared" si="5"/>
        <v>0</v>
      </c>
    </row>
    <row r="60" spans="1:16">
      <c r="A60" s="44"/>
      <c r="B60" s="5">
        <f t="shared" si="7"/>
        <v>45413</v>
      </c>
      <c r="C60" s="1" t="s">
        <v>534</v>
      </c>
      <c r="D60" s="195" t="s">
        <v>633</v>
      </c>
      <c r="E60" s="118">
        <v>24938.066599999998</v>
      </c>
      <c r="F60" s="2">
        <v>189736.29</v>
      </c>
      <c r="G60" s="3">
        <f t="shared" si="13"/>
        <v>160132.68535275001</v>
      </c>
      <c r="H60" s="4">
        <f t="shared" si="11"/>
        <v>6.4212149209975253</v>
      </c>
      <c r="I60" s="200">
        <v>7.0000000000000007E-2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13281.540300000002</v>
      </c>
      <c r="N60" s="11">
        <f t="shared" si="3"/>
        <v>2911.5033700500003</v>
      </c>
      <c r="O60" s="11">
        <f t="shared" si="4"/>
        <v>13410.560977200001</v>
      </c>
      <c r="P60" s="11">
        <f t="shared" si="5"/>
        <v>0</v>
      </c>
    </row>
    <row r="61" spans="1:16">
      <c r="A61" s="44"/>
      <c r="B61" s="5">
        <f t="shared" si="7"/>
        <v>45413</v>
      </c>
      <c r="C61" s="1" t="s">
        <v>534</v>
      </c>
      <c r="D61" s="195" t="s">
        <v>634</v>
      </c>
      <c r="E61" s="118">
        <v>24743.4548</v>
      </c>
      <c r="F61" s="2">
        <v>188255.63</v>
      </c>
      <c r="G61" s="3">
        <f t="shared" si="13"/>
        <v>158883.04532924999</v>
      </c>
      <c r="H61" s="4">
        <f t="shared" si="11"/>
        <v>6.4212150895456199</v>
      </c>
      <c r="I61" s="200">
        <v>7.0000000000000007E-2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13177.894100000001</v>
      </c>
      <c r="N61" s="11">
        <f t="shared" si="3"/>
        <v>2888.7826423500001</v>
      </c>
      <c r="O61" s="11">
        <f t="shared" si="4"/>
        <v>13305.9079284</v>
      </c>
      <c r="P61" s="11">
        <f t="shared" si="5"/>
        <v>0</v>
      </c>
    </row>
    <row r="62" spans="1:16">
      <c r="A62" s="44"/>
      <c r="B62" s="5">
        <f t="shared" si="7"/>
        <v>45413</v>
      </c>
      <c r="C62" s="1" t="s">
        <v>534</v>
      </c>
      <c r="D62" s="195" t="s">
        <v>635</v>
      </c>
      <c r="E62" s="118">
        <v>24891.074400000001</v>
      </c>
      <c r="F62" s="2">
        <v>189378.76</v>
      </c>
      <c r="G62" s="3">
        <f t="shared" si="13"/>
        <v>159830.938971</v>
      </c>
      <c r="H62" s="4">
        <f t="shared" si="11"/>
        <v>6.4212149464709318</v>
      </c>
      <c r="I62" s="200">
        <v>7.0000000000000007E-2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13256.513200000001</v>
      </c>
      <c r="N62" s="11">
        <f t="shared" si="3"/>
        <v>2906.0170722000007</v>
      </c>
      <c r="O62" s="11">
        <f t="shared" si="4"/>
        <v>13385.290756800001</v>
      </c>
      <c r="P62" s="11">
        <f t="shared" si="5"/>
        <v>0</v>
      </c>
    </row>
    <row r="63" spans="1:16">
      <c r="A63" s="44"/>
      <c r="B63" s="5">
        <f t="shared" si="7"/>
        <v>45413</v>
      </c>
      <c r="C63" s="1" t="s">
        <v>534</v>
      </c>
      <c r="D63" s="195" t="s">
        <v>636</v>
      </c>
      <c r="E63" s="118">
        <v>24669.203699999998</v>
      </c>
      <c r="F63" s="2">
        <v>189735.78</v>
      </c>
      <c r="G63" s="3">
        <f t="shared" si="13"/>
        <v>160132.25492549999</v>
      </c>
      <c r="H63" s="4">
        <f t="shared" si="11"/>
        <v>6.4911805371934239</v>
      </c>
      <c r="I63" s="200">
        <v>7.0000000000000007E-2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13281.504600000002</v>
      </c>
      <c r="N63" s="11">
        <f t="shared" si="3"/>
        <v>2911.4955440999997</v>
      </c>
      <c r="O63" s="11">
        <f t="shared" si="4"/>
        <v>13410.524930399999</v>
      </c>
      <c r="P63" s="11">
        <f t="shared" si="5"/>
        <v>0</v>
      </c>
    </row>
    <row r="64" spans="1:16">
      <c r="A64" s="44"/>
      <c r="B64" s="5">
        <f t="shared" si="7"/>
        <v>45413</v>
      </c>
      <c r="C64" s="1" t="s">
        <v>534</v>
      </c>
      <c r="D64" s="195" t="s">
        <v>637</v>
      </c>
      <c r="E64" s="118">
        <v>24000</v>
      </c>
      <c r="F64" s="2">
        <v>182599.2</v>
      </c>
      <c r="G64" s="3">
        <f t="shared" si="13"/>
        <v>154109.15982</v>
      </c>
      <c r="H64" s="4">
        <f t="shared" si="11"/>
        <v>6.4212149925000004</v>
      </c>
      <c r="I64" s="200">
        <v>7.0000000000000007E-2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12781.944000000001</v>
      </c>
      <c r="N64" s="11">
        <f t="shared" si="3"/>
        <v>2801.9847240000004</v>
      </c>
      <c r="O64" s="11">
        <f t="shared" si="4"/>
        <v>12906.111456000001</v>
      </c>
      <c r="P64" s="11">
        <f t="shared" si="5"/>
        <v>0</v>
      </c>
    </row>
    <row r="65" spans="1:16">
      <c r="A65" s="44"/>
      <c r="B65" s="5">
        <f t="shared" si="7"/>
        <v>45413</v>
      </c>
      <c r="C65" s="1" t="s">
        <v>534</v>
      </c>
      <c r="D65" s="195" t="s">
        <v>638</v>
      </c>
      <c r="E65" s="118">
        <v>24000</v>
      </c>
      <c r="F65" s="2">
        <v>182599.2</v>
      </c>
      <c r="G65" s="3">
        <f t="shared" si="13"/>
        <v>154109.15982</v>
      </c>
      <c r="H65" s="4">
        <f t="shared" si="11"/>
        <v>6.4212149925000004</v>
      </c>
      <c r="I65" s="200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12781.944000000001</v>
      </c>
      <c r="N65" s="11">
        <f t="shared" si="3"/>
        <v>2801.9847240000004</v>
      </c>
      <c r="O65" s="11">
        <f t="shared" si="4"/>
        <v>12906.111456000001</v>
      </c>
      <c r="P65" s="11">
        <f t="shared" si="5"/>
        <v>0</v>
      </c>
    </row>
    <row r="66" spans="1:16">
      <c r="A66" s="44"/>
      <c r="B66" s="5">
        <f t="shared" si="7"/>
        <v>45413</v>
      </c>
      <c r="C66" s="1" t="s">
        <v>534</v>
      </c>
      <c r="D66" s="195" t="s">
        <v>639</v>
      </c>
      <c r="E66" s="118">
        <v>24000</v>
      </c>
      <c r="F66" s="2">
        <v>184588.79999999999</v>
      </c>
      <c r="G66" s="3">
        <f t="shared" si="13"/>
        <v>155788.33247999998</v>
      </c>
      <c r="H66" s="4">
        <f t="shared" si="11"/>
        <v>6.4911805199999995</v>
      </c>
      <c r="I66" s="200">
        <v>7.0000000000000007E-2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12921.216</v>
      </c>
      <c r="N66" s="11">
        <f t="shared" si="3"/>
        <v>2832.5151359999995</v>
      </c>
      <c r="O66" s="11">
        <f t="shared" si="4"/>
        <v>13046.736383999998</v>
      </c>
      <c r="P66" s="11">
        <f t="shared" si="5"/>
        <v>0</v>
      </c>
    </row>
    <row r="67" spans="1:16">
      <c r="A67" s="44"/>
      <c r="B67" s="5">
        <f t="shared" si="7"/>
        <v>45413</v>
      </c>
      <c r="C67" s="1" t="s">
        <v>534</v>
      </c>
      <c r="D67" s="195" t="s">
        <v>640</v>
      </c>
      <c r="E67" s="118">
        <v>25055.435700000002</v>
      </c>
      <c r="F67" s="2">
        <v>190629.27</v>
      </c>
      <c r="G67" s="3">
        <f t="shared" si="13"/>
        <v>160886.33814824998</v>
      </c>
      <c r="H67" s="4">
        <f t="shared" si="11"/>
        <v>6.4212149441188915</v>
      </c>
      <c r="I67" s="200">
        <v>7.0000000000000007E-2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13344.0489</v>
      </c>
      <c r="N67" s="11">
        <f t="shared" si="3"/>
        <v>2925.20614815</v>
      </c>
      <c r="O67" s="11">
        <f t="shared" si="4"/>
        <v>13473.676803599999</v>
      </c>
      <c r="P67" s="11">
        <f t="shared" si="5"/>
        <v>0</v>
      </c>
    </row>
    <row r="68" spans="1:16">
      <c r="A68" s="44"/>
      <c r="B68" s="5">
        <f t="shared" si="7"/>
        <v>45413</v>
      </c>
      <c r="C68" s="1" t="s">
        <v>534</v>
      </c>
      <c r="D68" s="195" t="s">
        <v>641</v>
      </c>
      <c r="E68" s="118">
        <v>24842.8734</v>
      </c>
      <c r="F68" s="2">
        <v>189012.03</v>
      </c>
      <c r="G68" s="3">
        <f t="shared" si="13"/>
        <v>159521.42801924999</v>
      </c>
      <c r="H68" s="4">
        <f t="shared" si="11"/>
        <v>6.421214867167901</v>
      </c>
      <c r="I68" s="200">
        <v>7.0000000000000007E-2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13230.842100000002</v>
      </c>
      <c r="N68" s="11">
        <f t="shared" si="3"/>
        <v>2900.3896003499999</v>
      </c>
      <c r="O68" s="11">
        <f t="shared" si="4"/>
        <v>13359.370280399999</v>
      </c>
      <c r="P68" s="11">
        <f t="shared" si="5"/>
        <v>0</v>
      </c>
    </row>
    <row r="69" spans="1:16">
      <c r="A69" s="44"/>
      <c r="B69" s="5">
        <f t="shared" si="7"/>
        <v>45413</v>
      </c>
      <c r="C69" s="1" t="s">
        <v>534</v>
      </c>
      <c r="D69" s="195" t="s">
        <v>642</v>
      </c>
      <c r="E69" s="118">
        <v>24861.422600000002</v>
      </c>
      <c r="F69" s="2">
        <v>189153.16</v>
      </c>
      <c r="G69" s="3">
        <f t="shared" si="13"/>
        <v>159640.53821100001</v>
      </c>
      <c r="H69" s="4">
        <f t="shared" si="11"/>
        <v>6.4212149392850915</v>
      </c>
      <c r="I69" s="200">
        <v>7.0000000000000007E-2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13240.721200000002</v>
      </c>
      <c r="N69" s="11">
        <f t="shared" si="3"/>
        <v>2902.5552402000003</v>
      </c>
      <c r="O69" s="11">
        <f t="shared" si="4"/>
        <v>13369.3453488</v>
      </c>
      <c r="P69" s="11">
        <f t="shared" si="5"/>
        <v>0</v>
      </c>
    </row>
    <row r="70" spans="1:16">
      <c r="A70" s="44"/>
      <c r="B70" s="5">
        <f t="shared" si="7"/>
        <v>45413</v>
      </c>
      <c r="C70" s="1" t="s">
        <v>534</v>
      </c>
      <c r="D70" s="195" t="s">
        <v>643</v>
      </c>
      <c r="E70" s="118">
        <v>25470.677299999999</v>
      </c>
      <c r="F70" s="2">
        <v>193788.55</v>
      </c>
      <c r="G70" s="3">
        <f t="shared" si="13"/>
        <v>163552.69148625</v>
      </c>
      <c r="H70" s="4">
        <f t="shared" si="11"/>
        <v>6.4212148565931537</v>
      </c>
      <c r="I70" s="200">
        <v>7.0000000000000007E-2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13565.1985</v>
      </c>
      <c r="N70" s="11">
        <f t="shared" si="3"/>
        <v>2973.68529975</v>
      </c>
      <c r="O70" s="11">
        <f t="shared" si="4"/>
        <v>13696.974713999998</v>
      </c>
      <c r="P70" s="11">
        <f t="shared" si="5"/>
        <v>0</v>
      </c>
    </row>
    <row r="71" spans="1:16">
      <c r="A71" s="44"/>
      <c r="B71" s="5">
        <f t="shared" si="7"/>
        <v>45413</v>
      </c>
      <c r="C71" s="1" t="s">
        <v>534</v>
      </c>
      <c r="D71" s="195" t="s">
        <v>644</v>
      </c>
      <c r="E71" s="118">
        <v>24820.040099999998</v>
      </c>
      <c r="F71" s="2">
        <v>188838.31</v>
      </c>
      <c r="G71" s="3">
        <f t="shared" si="13"/>
        <v>159374.81268224999</v>
      </c>
      <c r="H71" s="4">
        <f t="shared" si="11"/>
        <v>6.4212149553396571</v>
      </c>
      <c r="I71" s="200">
        <v>7.0000000000000007E-2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13218.681700000001</v>
      </c>
      <c r="N71" s="11">
        <f t="shared" si="3"/>
        <v>2897.7238669499998</v>
      </c>
      <c r="O71" s="11">
        <f t="shared" si="4"/>
        <v>13347.091750799998</v>
      </c>
      <c r="P71" s="11">
        <f t="shared" si="5"/>
        <v>0</v>
      </c>
    </row>
    <row r="72" spans="1:16">
      <c r="A72" s="44"/>
      <c r="B72" s="5">
        <f t="shared" si="7"/>
        <v>45413</v>
      </c>
      <c r="C72" s="1" t="s">
        <v>534</v>
      </c>
      <c r="D72" s="195" t="s">
        <v>645</v>
      </c>
      <c r="E72" s="118">
        <v>25111.713899999999</v>
      </c>
      <c r="F72" s="2">
        <v>191057.45</v>
      </c>
      <c r="G72" s="3">
        <f t="shared" si="13"/>
        <v>161247.71136375002</v>
      </c>
      <c r="H72" s="4">
        <f t="shared" si="11"/>
        <v>6.4212148961983049</v>
      </c>
      <c r="I72" s="200">
        <v>7.0000000000000007E-2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13374.021500000003</v>
      </c>
      <c r="N72" s="11">
        <f t="shared" si="3"/>
        <v>2931.7765702500001</v>
      </c>
      <c r="O72" s="11">
        <f t="shared" si="4"/>
        <v>13503.940566000001</v>
      </c>
      <c r="P72" s="11">
        <f t="shared" si="5"/>
        <v>0</v>
      </c>
    </row>
    <row r="73" spans="1:16">
      <c r="A73" s="44"/>
      <c r="B73" s="5">
        <f t="shared" si="7"/>
        <v>45413</v>
      </c>
      <c r="C73" s="1" t="s">
        <v>534</v>
      </c>
      <c r="D73" s="195" t="s">
        <v>646</v>
      </c>
      <c r="E73" s="118">
        <v>24276.959599999998</v>
      </c>
      <c r="F73" s="2">
        <v>184706.39</v>
      </c>
      <c r="G73" s="3">
        <f t="shared" si="13"/>
        <v>155887.57550025001</v>
      </c>
      <c r="H73" s="4">
        <f t="shared" si="11"/>
        <v>6.4212149325424601</v>
      </c>
      <c r="I73" s="200">
        <v>7.0000000000000007E-2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12929.447300000002</v>
      </c>
      <c r="N73" s="11">
        <f t="shared" si="3"/>
        <v>2834.3195545500002</v>
      </c>
      <c r="O73" s="11">
        <f t="shared" si="4"/>
        <v>13055.0476452</v>
      </c>
      <c r="P73" s="11">
        <f t="shared" si="5"/>
        <v>0</v>
      </c>
    </row>
    <row r="74" spans="1:16">
      <c r="A74" s="44"/>
      <c r="B74" s="5">
        <f t="shared" si="7"/>
        <v>45413</v>
      </c>
      <c r="C74" s="1" t="s">
        <v>534</v>
      </c>
      <c r="D74" s="195" t="s">
        <v>647</v>
      </c>
      <c r="E74" s="118">
        <v>25318.714400000001</v>
      </c>
      <c r="F74" s="2">
        <v>192632.37</v>
      </c>
      <c r="G74" s="3">
        <f t="shared" si="13"/>
        <v>162576.90447074999</v>
      </c>
      <c r="H74" s="4">
        <f t="shared" si="11"/>
        <v>6.4212148335126358</v>
      </c>
      <c r="I74" s="200">
        <v>7.0000000000000007E-2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13484.2659</v>
      </c>
      <c r="N74" s="11">
        <f t="shared" si="3"/>
        <v>2955.9437176500001</v>
      </c>
      <c r="O74" s="11">
        <f t="shared" si="4"/>
        <v>13615.255911599999</v>
      </c>
      <c r="P74" s="11">
        <f t="shared" si="5"/>
        <v>0</v>
      </c>
    </row>
    <row r="75" spans="1:16">
      <c r="A75" s="44"/>
      <c r="B75" s="5">
        <f t="shared" si="7"/>
        <v>45413</v>
      </c>
      <c r="C75" s="1" t="s">
        <v>534</v>
      </c>
      <c r="D75" s="195" t="s">
        <v>648</v>
      </c>
      <c r="E75" s="118">
        <v>25039.514299999999</v>
      </c>
      <c r="F75" s="2">
        <v>190508.14</v>
      </c>
      <c r="G75" s="3">
        <f t="shared" si="13"/>
        <v>160784.1074565</v>
      </c>
      <c r="H75" s="4">
        <f t="shared" si="11"/>
        <v>6.4212151054583355</v>
      </c>
      <c r="I75" s="200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13335.569800000003</v>
      </c>
      <c r="N75" s="11">
        <f t="shared" si="3"/>
        <v>2923.3474083000006</v>
      </c>
      <c r="O75" s="11">
        <f t="shared" si="4"/>
        <v>13465.1153352</v>
      </c>
      <c r="P75" s="11">
        <f t="shared" si="5"/>
        <v>0</v>
      </c>
    </row>
    <row r="76" spans="1:16">
      <c r="A76" s="44"/>
      <c r="B76" s="5">
        <f t="shared" si="7"/>
        <v>45413</v>
      </c>
      <c r="C76" s="1" t="s">
        <v>534</v>
      </c>
      <c r="D76" s="195" t="s">
        <v>659</v>
      </c>
      <c r="E76" s="118">
        <v>24000</v>
      </c>
      <c r="F76" s="2">
        <v>182599.2</v>
      </c>
      <c r="G76" s="3">
        <f t="shared" si="13"/>
        <v>154109.15982</v>
      </c>
      <c r="H76" s="4">
        <f t="shared" si="11"/>
        <v>6.4212149925000004</v>
      </c>
      <c r="I76" s="200">
        <v>7.0000000000000007E-2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12781.944000000001</v>
      </c>
      <c r="N76" s="11">
        <f t="shared" si="3"/>
        <v>2801.9847240000004</v>
      </c>
      <c r="O76" s="11">
        <f t="shared" si="4"/>
        <v>12906.111456000001</v>
      </c>
      <c r="P76" s="11">
        <f t="shared" si="5"/>
        <v>0</v>
      </c>
    </row>
    <row r="77" spans="1:16">
      <c r="A77" s="44"/>
      <c r="B77" s="5">
        <f t="shared" si="7"/>
        <v>45413</v>
      </c>
      <c r="C77" s="1" t="s">
        <v>534</v>
      </c>
      <c r="D77" s="195" t="s">
        <v>660</v>
      </c>
      <c r="E77" s="118">
        <v>24000</v>
      </c>
      <c r="F77" s="2">
        <v>182599.2</v>
      </c>
      <c r="G77" s="3">
        <f t="shared" si="13"/>
        <v>154109.15982</v>
      </c>
      <c r="H77" s="4">
        <f t="shared" si="11"/>
        <v>6.4212149925000004</v>
      </c>
      <c r="I77" s="200">
        <v>7.0000000000000007E-2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12781.944000000001</v>
      </c>
      <c r="N77" s="11">
        <f t="shared" si="3"/>
        <v>2801.9847240000004</v>
      </c>
      <c r="O77" s="11">
        <f t="shared" si="4"/>
        <v>12906.111456000001</v>
      </c>
      <c r="P77" s="11">
        <f t="shared" si="5"/>
        <v>0</v>
      </c>
    </row>
    <row r="78" spans="1:16">
      <c r="A78" s="44"/>
      <c r="B78" s="5">
        <f t="shared" si="7"/>
        <v>45413</v>
      </c>
      <c r="C78" s="1" t="s">
        <v>534</v>
      </c>
      <c r="D78" s="195" t="s">
        <v>661</v>
      </c>
      <c r="E78" s="118">
        <v>24997.536</v>
      </c>
      <c r="F78" s="2">
        <v>192261.05</v>
      </c>
      <c r="G78" s="3">
        <f t="shared" si="13"/>
        <v>162263.51967374998</v>
      </c>
      <c r="H78" s="4">
        <f t="shared" si="11"/>
        <v>6.4911805577057669</v>
      </c>
      <c r="I78" s="200">
        <v>7.0000000000000007E-2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13458.273500000001</v>
      </c>
      <c r="N78" s="11">
        <f t="shared" si="3"/>
        <v>2950.2458122499997</v>
      </c>
      <c r="O78" s="11">
        <f t="shared" si="4"/>
        <v>13589.011013999998</v>
      </c>
      <c r="P78" s="11">
        <f t="shared" si="5"/>
        <v>0</v>
      </c>
    </row>
    <row r="79" spans="1:16">
      <c r="A79" s="44"/>
      <c r="B79" s="5">
        <f t="shared" si="7"/>
        <v>45413</v>
      </c>
      <c r="C79" s="1" t="s">
        <v>534</v>
      </c>
      <c r="D79" s="195" t="s">
        <v>662</v>
      </c>
      <c r="E79" s="118">
        <v>357.875</v>
      </c>
      <c r="F79" s="2">
        <v>2722.82</v>
      </c>
      <c r="G79" s="3">
        <f t="shared" si="13"/>
        <v>2297.9920095000002</v>
      </c>
      <c r="H79" s="4">
        <f t="shared" si="11"/>
        <v>6.4212141376178842</v>
      </c>
      <c r="I79" s="200">
        <v>7.0000000000000007E-2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190.59740000000002</v>
      </c>
      <c r="N79" s="11">
        <f t="shared" si="3"/>
        <v>41.781672900000004</v>
      </c>
      <c r="O79" s="11">
        <f t="shared" si="4"/>
        <v>192.44891759999999</v>
      </c>
      <c r="P79" s="11">
        <f t="shared" si="5"/>
        <v>0</v>
      </c>
    </row>
    <row r="80" spans="1:16">
      <c r="A80" s="44"/>
      <c r="B80" s="5">
        <f t="shared" si="7"/>
        <v>45413</v>
      </c>
      <c r="C80" s="1" t="s">
        <v>534</v>
      </c>
      <c r="D80" s="195" t="s">
        <v>663</v>
      </c>
      <c r="E80" s="118">
        <v>51.073999999999998</v>
      </c>
      <c r="F80" s="2">
        <v>388.59</v>
      </c>
      <c r="G80" s="3">
        <f t="shared" si="13"/>
        <v>327.96024524999996</v>
      </c>
      <c r="H80" s="4">
        <f t="shared" si="11"/>
        <v>6.4212758986960088</v>
      </c>
      <c r="I80" s="200">
        <v>7.0000000000000007E-2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27.2013</v>
      </c>
      <c r="N80" s="11">
        <f t="shared" si="3"/>
        <v>5.9629135499999997</v>
      </c>
      <c r="O80" s="11">
        <f t="shared" si="4"/>
        <v>27.465541199999997</v>
      </c>
      <c r="P80" s="11">
        <f t="shared" si="5"/>
        <v>0</v>
      </c>
    </row>
    <row r="81" spans="1:16">
      <c r="A81" s="44"/>
      <c r="B81" s="5">
        <f t="shared" si="7"/>
        <v>45413</v>
      </c>
      <c r="C81" s="1" t="s">
        <v>534</v>
      </c>
      <c r="D81" s="195" t="s">
        <v>664</v>
      </c>
      <c r="E81" s="118">
        <v>1119.086</v>
      </c>
      <c r="F81" s="2">
        <v>8514.34</v>
      </c>
      <c r="G81" s="3">
        <f t="shared" si="13"/>
        <v>7185.8901015000001</v>
      </c>
      <c r="H81" s="4">
        <f t="shared" si="11"/>
        <v>6.4212134737634106</v>
      </c>
      <c r="I81" s="200">
        <v>7.0000000000000007E-2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596.00380000000007</v>
      </c>
      <c r="N81" s="11">
        <f t="shared" si="3"/>
        <v>130.65254730000001</v>
      </c>
      <c r="O81" s="11">
        <f t="shared" si="4"/>
        <v>601.79355119999991</v>
      </c>
      <c r="P81" s="11">
        <f t="shared" si="5"/>
        <v>0</v>
      </c>
    </row>
    <row r="82" spans="1:16">
      <c r="A82" s="44"/>
      <c r="B82" s="5">
        <f t="shared" si="7"/>
        <v>45413</v>
      </c>
      <c r="C82" s="1" t="s">
        <v>534</v>
      </c>
      <c r="D82" s="195" t="s">
        <v>665</v>
      </c>
      <c r="E82" s="118">
        <v>869.42100000000005</v>
      </c>
      <c r="F82" s="2">
        <v>6614.82</v>
      </c>
      <c r="G82" s="3">
        <f t="shared" si="13"/>
        <v>5582.7427094999994</v>
      </c>
      <c r="H82" s="4">
        <f t="shared" si="11"/>
        <v>6.4212190751086053</v>
      </c>
      <c r="I82" s="200">
        <v>7.0000000000000007E-2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463.03740000000005</v>
      </c>
      <c r="N82" s="11">
        <f t="shared" si="3"/>
        <v>101.50441289999999</v>
      </c>
      <c r="O82" s="11">
        <f t="shared" si="4"/>
        <v>467.53547759999998</v>
      </c>
      <c r="P82" s="11">
        <f t="shared" si="5"/>
        <v>0</v>
      </c>
    </row>
    <row r="83" spans="1:16">
      <c r="A83" s="44"/>
      <c r="B83" s="5">
        <f t="shared" si="7"/>
        <v>45413</v>
      </c>
      <c r="C83" s="1" t="s">
        <v>534</v>
      </c>
      <c r="D83" s="195" t="s">
        <v>666</v>
      </c>
      <c r="E83" s="118">
        <v>805.67899999999997</v>
      </c>
      <c r="F83" s="2">
        <v>6196.64</v>
      </c>
      <c r="G83" s="3">
        <f t="shared" si="13"/>
        <v>5229.809244</v>
      </c>
      <c r="H83" s="4">
        <f t="shared" si="11"/>
        <v>6.4911822748265751</v>
      </c>
      <c r="I83" s="200">
        <v>7.0000000000000007E-2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433.76480000000004</v>
      </c>
      <c r="N83" s="11">
        <f t="shared" si="3"/>
        <v>95.08744080000001</v>
      </c>
      <c r="O83" s="11">
        <f t="shared" si="4"/>
        <v>437.9785152</v>
      </c>
      <c r="P83" s="11">
        <f t="shared" si="5"/>
        <v>0</v>
      </c>
    </row>
    <row r="84" spans="1:16">
      <c r="A84" s="44"/>
      <c r="B84" s="5">
        <f t="shared" si="7"/>
        <v>45413</v>
      </c>
      <c r="C84" s="1" t="s">
        <v>534</v>
      </c>
      <c r="D84" s="195" t="s">
        <v>667</v>
      </c>
      <c r="E84" s="118">
        <v>332.42500000000001</v>
      </c>
      <c r="F84" s="2">
        <v>2529.19</v>
      </c>
      <c r="G84" s="3">
        <f t="shared" si="13"/>
        <v>2134.5731302499998</v>
      </c>
      <c r="H84" s="4">
        <f t="shared" si="11"/>
        <v>6.4212172076408205</v>
      </c>
      <c r="I84" s="200">
        <v>7.0000000000000007E-2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177.04330000000002</v>
      </c>
      <c r="N84" s="11">
        <f t="shared" si="3"/>
        <v>38.810420550000003</v>
      </c>
      <c r="O84" s="11">
        <f t="shared" si="4"/>
        <v>178.76314920000002</v>
      </c>
      <c r="P84" s="11">
        <f t="shared" si="5"/>
        <v>0</v>
      </c>
    </row>
    <row r="85" spans="1:16">
      <c r="A85" s="44"/>
      <c r="B85" s="5">
        <f t="shared" ref="B85:B135" si="14">B84</f>
        <v>45413</v>
      </c>
      <c r="C85" s="1" t="s">
        <v>534</v>
      </c>
      <c r="D85" s="195" t="s">
        <v>668</v>
      </c>
      <c r="E85" s="118">
        <v>694.14300000000003</v>
      </c>
      <c r="F85" s="2">
        <v>5281.25</v>
      </c>
      <c r="G85" s="3">
        <f t="shared" si="13"/>
        <v>4457.2429687499998</v>
      </c>
      <c r="H85" s="4">
        <f t="shared" si="11"/>
        <v>6.421217196960856</v>
      </c>
      <c r="I85" s="200">
        <v>7.0000000000000007E-2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369.68750000000006</v>
      </c>
      <c r="N85" s="11">
        <f t="shared" si="3"/>
        <v>81.040781250000009</v>
      </c>
      <c r="O85" s="11">
        <f t="shared" si="4"/>
        <v>373.27875</v>
      </c>
      <c r="P85" s="11">
        <f t="shared" si="5"/>
        <v>0</v>
      </c>
    </row>
    <row r="86" spans="1:16">
      <c r="A86" s="44"/>
      <c r="B86" s="5">
        <f t="shared" si="14"/>
        <v>45413</v>
      </c>
      <c r="C86" s="1" t="s">
        <v>534</v>
      </c>
      <c r="D86" s="195" t="s">
        <v>669</v>
      </c>
      <c r="E86" s="118">
        <v>24623.0239</v>
      </c>
      <c r="F86" s="2">
        <v>187339.35</v>
      </c>
      <c r="G86" s="3">
        <f t="shared" si="13"/>
        <v>158109.72791625001</v>
      </c>
      <c r="H86" s="4">
        <f t="shared" si="11"/>
        <v>6.4212148986400486</v>
      </c>
      <c r="I86" s="200">
        <v>7.0000000000000007E-2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13113.754500000001</v>
      </c>
      <c r="N86" s="11">
        <f t="shared" si="3"/>
        <v>2874.72232575</v>
      </c>
      <c r="O86" s="11">
        <f t="shared" si="4"/>
        <v>13241.145257999999</v>
      </c>
      <c r="P86" s="11">
        <f t="shared" si="5"/>
        <v>0</v>
      </c>
    </row>
    <row r="87" spans="1:16">
      <c r="A87" s="44"/>
      <c r="B87" s="5">
        <f t="shared" si="14"/>
        <v>45413</v>
      </c>
      <c r="C87" s="1" t="s">
        <v>534</v>
      </c>
      <c r="D87" s="195" t="s">
        <v>670</v>
      </c>
      <c r="E87" s="118">
        <v>25067.182100000002</v>
      </c>
      <c r="F87" s="2">
        <v>190718.64</v>
      </c>
      <c r="G87" s="3">
        <f t="shared" si="13"/>
        <v>160961.76419400002</v>
      </c>
      <c r="H87" s="4">
        <f t="shared" si="11"/>
        <v>6.4212149395922733</v>
      </c>
      <c r="I87" s="200">
        <v>7.0000000000000007E-2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13350.304800000002</v>
      </c>
      <c r="N87" s="11">
        <f t="shared" si="3"/>
        <v>2926.5775308000002</v>
      </c>
      <c r="O87" s="11">
        <f t="shared" si="4"/>
        <v>13479.993475199999</v>
      </c>
      <c r="P87" s="11">
        <f t="shared" si="5"/>
        <v>0</v>
      </c>
    </row>
    <row r="88" spans="1:16">
      <c r="A88" s="44"/>
      <c r="B88" s="5">
        <f>B87</f>
        <v>45413</v>
      </c>
      <c r="C88" s="1" t="s">
        <v>534</v>
      </c>
      <c r="D88" s="195" t="s">
        <v>671</v>
      </c>
      <c r="E88" s="118">
        <v>24331.544999999998</v>
      </c>
      <c r="F88" s="2">
        <v>185121.69</v>
      </c>
      <c r="G88" s="3">
        <f t="shared" si="12"/>
        <v>156238.07831775001</v>
      </c>
      <c r="H88" s="4">
        <f t="shared" si="11"/>
        <v>6.421214859876347</v>
      </c>
      <c r="I88" s="200">
        <v>7.0000000000000007E-2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12958.518300000002</v>
      </c>
      <c r="N88" s="11">
        <f t="shared" si="3"/>
        <v>2840.6923330500003</v>
      </c>
      <c r="O88" s="11">
        <f t="shared" si="4"/>
        <v>13084.4010492</v>
      </c>
      <c r="P88" s="11">
        <f t="shared" si="5"/>
        <v>0</v>
      </c>
    </row>
    <row r="89" spans="1:16">
      <c r="A89" s="44"/>
      <c r="B89" s="5">
        <f t="shared" si="14"/>
        <v>45413</v>
      </c>
      <c r="C89" s="1" t="s">
        <v>534</v>
      </c>
      <c r="D89" s="195" t="s">
        <v>672</v>
      </c>
      <c r="E89" s="118">
        <v>24858.982899999999</v>
      </c>
      <c r="F89" s="2">
        <v>189134.6</v>
      </c>
      <c r="G89" s="3">
        <f t="shared" si="12"/>
        <v>159624.87403499999</v>
      </c>
      <c r="H89" s="4">
        <f t="shared" si="11"/>
        <v>6.4212150061457258</v>
      </c>
      <c r="I89" s="200">
        <v>7.0000000000000007E-2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13239.422000000002</v>
      </c>
      <c r="N89" s="11">
        <f t="shared" si="3"/>
        <v>2902.2704370000006</v>
      </c>
      <c r="O89" s="11">
        <f t="shared" si="4"/>
        <v>13368.033528</v>
      </c>
      <c r="P89" s="11">
        <f t="shared" si="5"/>
        <v>0</v>
      </c>
    </row>
    <row r="90" spans="1:16">
      <c r="A90" s="44"/>
      <c r="B90" s="5">
        <f t="shared" si="14"/>
        <v>45413</v>
      </c>
      <c r="C90" s="1" t="s">
        <v>534</v>
      </c>
      <c r="D90" s="195" t="s">
        <v>673</v>
      </c>
      <c r="E90" s="118">
        <v>24000</v>
      </c>
      <c r="F90" s="2">
        <v>182599.2</v>
      </c>
      <c r="G90" s="3">
        <f t="shared" si="12"/>
        <v>154109.15982</v>
      </c>
      <c r="H90" s="4">
        <f t="shared" si="11"/>
        <v>6.4212149925000004</v>
      </c>
      <c r="I90" s="200">
        <v>7.0000000000000007E-2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12781.944000000001</v>
      </c>
      <c r="N90" s="11">
        <f t="shared" si="3"/>
        <v>2801.9847240000004</v>
      </c>
      <c r="O90" s="11">
        <f t="shared" si="4"/>
        <v>12906.111456000001</v>
      </c>
      <c r="P90" s="11">
        <f t="shared" si="5"/>
        <v>0</v>
      </c>
    </row>
    <row r="91" spans="1:16">
      <c r="A91" s="44"/>
      <c r="B91" s="5">
        <f t="shared" si="14"/>
        <v>45413</v>
      </c>
      <c r="C91" s="1" t="s">
        <v>534</v>
      </c>
      <c r="D91" s="195" t="s">
        <v>674</v>
      </c>
      <c r="E91" s="118">
        <v>1041.752</v>
      </c>
      <c r="F91" s="2">
        <v>7925.96</v>
      </c>
      <c r="G91" s="3">
        <f t="shared" si="12"/>
        <v>6689.3120909999998</v>
      </c>
      <c r="H91" s="4">
        <f t="shared" si="11"/>
        <v>6.4212135815433999</v>
      </c>
      <c r="I91" s="200">
        <v>7.0000000000000007E-2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554.81720000000007</v>
      </c>
      <c r="N91" s="11">
        <f t="shared" si="3"/>
        <v>121.62385620000001</v>
      </c>
      <c r="O91" s="11">
        <f t="shared" si="4"/>
        <v>560.20685279999998</v>
      </c>
      <c r="P91" s="11">
        <f t="shared" si="5"/>
        <v>0</v>
      </c>
    </row>
    <row r="92" spans="1:16">
      <c r="A92" s="44"/>
      <c r="B92" s="5">
        <f t="shared" si="14"/>
        <v>45413</v>
      </c>
      <c r="C92" s="1" t="s">
        <v>534</v>
      </c>
      <c r="D92" s="195" t="s">
        <v>675</v>
      </c>
      <c r="E92" s="118">
        <v>555.09900000000005</v>
      </c>
      <c r="F92" s="2">
        <v>4223.3599999999997</v>
      </c>
      <c r="G92" s="3">
        <f t="shared" ref="G92:G136" si="15">F92-SUM(M92:P92)</f>
        <v>3564.4102559999997</v>
      </c>
      <c r="H92" s="4">
        <f t="shared" si="11"/>
        <v>6.4212154156285628</v>
      </c>
      <c r="I92" s="200">
        <v>7.0000000000000007E-2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295.6352</v>
      </c>
      <c r="N92" s="11">
        <f t="shared" si="3"/>
        <v>64.807459199999997</v>
      </c>
      <c r="O92" s="11">
        <f t="shared" si="4"/>
        <v>298.50708479999997</v>
      </c>
      <c r="P92" s="11">
        <f t="shared" si="5"/>
        <v>0</v>
      </c>
    </row>
    <row r="93" spans="1:16">
      <c r="A93" s="44"/>
      <c r="B93" s="5">
        <f t="shared" si="14"/>
        <v>45413</v>
      </c>
      <c r="C93" s="1" t="s">
        <v>534</v>
      </c>
      <c r="D93" s="195" t="s">
        <v>676</v>
      </c>
      <c r="E93" s="118">
        <v>541.19500000000005</v>
      </c>
      <c r="F93" s="2">
        <v>4117.57</v>
      </c>
      <c r="G93" s="3">
        <f t="shared" si="15"/>
        <v>3475.1261407499996</v>
      </c>
      <c r="H93" s="4">
        <f t="shared" si="11"/>
        <v>6.4212088817339392</v>
      </c>
      <c r="I93" s="200">
        <v>7.0000000000000007E-2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288.22989999999999</v>
      </c>
      <c r="N93" s="11">
        <f t="shared" si="3"/>
        <v>63.184111649999998</v>
      </c>
      <c r="O93" s="11">
        <f t="shared" si="4"/>
        <v>291.02984759999998</v>
      </c>
      <c r="P93" s="11">
        <f t="shared" si="5"/>
        <v>0</v>
      </c>
    </row>
    <row r="94" spans="1:16">
      <c r="A94" s="44"/>
      <c r="B94" s="5">
        <f t="shared" si="14"/>
        <v>45413</v>
      </c>
      <c r="C94" s="1" t="s">
        <v>534</v>
      </c>
      <c r="D94" s="195" t="s">
        <v>677</v>
      </c>
      <c r="E94" s="118">
        <v>747.04899999999998</v>
      </c>
      <c r="F94" s="2">
        <v>5683.77</v>
      </c>
      <c r="G94" s="3">
        <f t="shared" si="15"/>
        <v>4796.9597857500003</v>
      </c>
      <c r="H94" s="4">
        <f t="shared" si="11"/>
        <v>6.4212117086697127</v>
      </c>
      <c r="I94" s="200">
        <v>7.0000000000000007E-2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397.86390000000006</v>
      </c>
      <c r="N94" s="11">
        <f t="shared" si="3"/>
        <v>87.217450650000004</v>
      </c>
      <c r="O94" s="11">
        <f t="shared" si="4"/>
        <v>401.72886360000001</v>
      </c>
      <c r="P94" s="11">
        <f t="shared" si="5"/>
        <v>0</v>
      </c>
    </row>
    <row r="95" spans="1:16">
      <c r="A95" s="44"/>
      <c r="B95" s="5">
        <f t="shared" si="14"/>
        <v>45413</v>
      </c>
      <c r="C95" s="1" t="s">
        <v>534</v>
      </c>
      <c r="D95" s="195" t="s">
        <v>678</v>
      </c>
      <c r="E95" s="118">
        <v>783.94399999999996</v>
      </c>
      <c r="F95" s="2">
        <v>5964.48</v>
      </c>
      <c r="G95" s="3">
        <f t="shared" si="15"/>
        <v>5033.8720079999994</v>
      </c>
      <c r="H95" s="4">
        <f t="shared" si="11"/>
        <v>6.4212137703713523</v>
      </c>
      <c r="I95" s="200">
        <v>7.0000000000000007E-2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417.5136</v>
      </c>
      <c r="N95" s="11">
        <f t="shared" si="3"/>
        <v>91.524945599999995</v>
      </c>
      <c r="O95" s="11">
        <f t="shared" si="4"/>
        <v>421.56944639999995</v>
      </c>
      <c r="P95" s="11">
        <f t="shared" si="5"/>
        <v>0</v>
      </c>
    </row>
    <row r="96" spans="1:16">
      <c r="A96" s="44"/>
      <c r="B96" s="5">
        <f t="shared" si="14"/>
        <v>45413</v>
      </c>
      <c r="C96" s="1" t="s">
        <v>534</v>
      </c>
      <c r="D96" s="195" t="s">
        <v>679</v>
      </c>
      <c r="E96" s="118">
        <v>712.63900000000001</v>
      </c>
      <c r="F96" s="2">
        <v>5421.97</v>
      </c>
      <c r="G96" s="3">
        <f t="shared" si="15"/>
        <v>4576.0071307500002</v>
      </c>
      <c r="H96" s="4">
        <f t="shared" si="11"/>
        <v>6.4212134485342514</v>
      </c>
      <c r="I96" s="200">
        <v>7.0000000000000007E-2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379.53790000000004</v>
      </c>
      <c r="N96" s="11">
        <f t="shared" si="3"/>
        <v>83.200129650000008</v>
      </c>
      <c r="O96" s="11">
        <f t="shared" si="4"/>
        <v>383.2248396</v>
      </c>
      <c r="P96" s="11">
        <f t="shared" si="5"/>
        <v>0</v>
      </c>
    </row>
    <row r="97" spans="1:16">
      <c r="A97" s="44"/>
      <c r="B97" s="5">
        <f t="shared" si="14"/>
        <v>45413</v>
      </c>
      <c r="C97" s="1" t="s">
        <v>534</v>
      </c>
      <c r="D97" s="195" t="s">
        <v>680</v>
      </c>
      <c r="E97" s="118">
        <v>684.81</v>
      </c>
      <c r="F97" s="2">
        <v>5210.24</v>
      </c>
      <c r="G97" s="3">
        <f t="shared" si="15"/>
        <v>4397.312304</v>
      </c>
      <c r="H97" s="4">
        <f t="shared" si="11"/>
        <v>6.4212150873965044</v>
      </c>
      <c r="I97" s="200">
        <v>7.0000000000000007E-2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364.71680000000003</v>
      </c>
      <c r="N97" s="11">
        <f t="shared" si="3"/>
        <v>79.951132799999996</v>
      </c>
      <c r="O97" s="11">
        <f t="shared" si="4"/>
        <v>368.25976319999995</v>
      </c>
      <c r="P97" s="11">
        <f t="shared" si="5"/>
        <v>0</v>
      </c>
    </row>
    <row r="98" spans="1:16" hidden="1">
      <c r="A98" s="44"/>
      <c r="B98" s="5">
        <f t="shared" si="14"/>
        <v>45413</v>
      </c>
      <c r="C98" s="1" t="s">
        <v>534</v>
      </c>
      <c r="D98" s="195"/>
      <c r="E98" s="118"/>
      <c r="F98" s="2"/>
      <c r="G98" s="3">
        <f t="shared" si="15"/>
        <v>0</v>
      </c>
      <c r="H98" s="4">
        <f t="shared" si="11"/>
        <v>0</v>
      </c>
      <c r="I98" s="200">
        <v>7.0000000000000007E-2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0</v>
      </c>
      <c r="N98" s="11">
        <f t="shared" si="3"/>
        <v>0</v>
      </c>
      <c r="O98" s="11">
        <f t="shared" si="4"/>
        <v>0</v>
      </c>
      <c r="P98" s="11">
        <f t="shared" si="5"/>
        <v>0</v>
      </c>
    </row>
    <row r="99" spans="1:16" hidden="1">
      <c r="A99" s="44"/>
      <c r="B99" s="5">
        <f t="shared" si="14"/>
        <v>45413</v>
      </c>
      <c r="C99" s="1" t="s">
        <v>534</v>
      </c>
      <c r="D99" s="195"/>
      <c r="E99" s="118"/>
      <c r="F99" s="2"/>
      <c r="G99" s="3">
        <f t="shared" si="15"/>
        <v>0</v>
      </c>
      <c r="H99" s="4">
        <f t="shared" si="11"/>
        <v>0</v>
      </c>
      <c r="I99" s="200">
        <v>7.0000000000000007E-2</v>
      </c>
      <c r="J99" s="7">
        <v>1.6500000000000001E-2</v>
      </c>
      <c r="K99" s="7">
        <v>7.5999999999999998E-2</v>
      </c>
      <c r="L99" s="7">
        <v>0</v>
      </c>
      <c r="M99" s="11">
        <f>+I99*F99</f>
        <v>0</v>
      </c>
      <c r="N99" s="11">
        <f t="shared" si="3"/>
        <v>0</v>
      </c>
      <c r="O99" s="11">
        <f t="shared" si="4"/>
        <v>0</v>
      </c>
      <c r="P99" s="11">
        <f t="shared" si="5"/>
        <v>0</v>
      </c>
    </row>
    <row r="100" spans="1:16" hidden="1">
      <c r="A100" s="44"/>
      <c r="B100" s="5">
        <f t="shared" si="14"/>
        <v>45413</v>
      </c>
      <c r="C100" s="1" t="s">
        <v>534</v>
      </c>
      <c r="D100" s="195"/>
      <c r="E100" s="118"/>
      <c r="F100" s="2"/>
      <c r="G100" s="3">
        <f t="shared" si="15"/>
        <v>0</v>
      </c>
      <c r="H100" s="4">
        <f t="shared" si="11"/>
        <v>0</v>
      </c>
      <c r="I100" s="200">
        <v>7.0000000000000007E-2</v>
      </c>
      <c r="J100" s="7">
        <v>1.6500000000000001E-2</v>
      </c>
      <c r="K100" s="7">
        <v>7.5999999999999998E-2</v>
      </c>
      <c r="L100" s="7">
        <v>0</v>
      </c>
      <c r="M100" s="11">
        <f t="shared" si="2"/>
        <v>0</v>
      </c>
      <c r="N100" s="11">
        <f t="shared" si="3"/>
        <v>0</v>
      </c>
      <c r="O100" s="11">
        <f t="shared" si="4"/>
        <v>0</v>
      </c>
      <c r="P100" s="11">
        <f t="shared" si="5"/>
        <v>0</v>
      </c>
    </row>
    <row r="101" spans="1:16" hidden="1">
      <c r="A101" s="44"/>
      <c r="B101" s="5">
        <f t="shared" si="14"/>
        <v>45413</v>
      </c>
      <c r="C101" s="1" t="s">
        <v>534</v>
      </c>
      <c r="D101" s="195"/>
      <c r="E101" s="118"/>
      <c r="F101" s="2"/>
      <c r="G101" s="3">
        <f t="shared" si="15"/>
        <v>0</v>
      </c>
      <c r="H101" s="4">
        <f t="shared" si="11"/>
        <v>0</v>
      </c>
      <c r="I101" s="200">
        <v>7.0000000000000007E-2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0</v>
      </c>
      <c r="N101" s="11">
        <f t="shared" si="3"/>
        <v>0</v>
      </c>
      <c r="O101" s="11">
        <f t="shared" si="4"/>
        <v>0</v>
      </c>
      <c r="P101" s="11">
        <f t="shared" si="5"/>
        <v>0</v>
      </c>
    </row>
    <row r="102" spans="1:16" hidden="1">
      <c r="A102" s="44"/>
      <c r="B102" s="5">
        <f t="shared" si="14"/>
        <v>45413</v>
      </c>
      <c r="C102" s="1" t="s">
        <v>534</v>
      </c>
      <c r="D102" s="195"/>
      <c r="E102" s="118"/>
      <c r="F102" s="2"/>
      <c r="G102" s="3">
        <f t="shared" si="15"/>
        <v>0</v>
      </c>
      <c r="H102" s="4">
        <f t="shared" ref="H102:H112" si="16">+IF(G102=0,0,G102/E102)</f>
        <v>0</v>
      </c>
      <c r="I102" s="200">
        <v>7.0000000000000007E-2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0</v>
      </c>
      <c r="N102" s="11">
        <f t="shared" si="3"/>
        <v>0</v>
      </c>
      <c r="O102" s="11">
        <f t="shared" si="4"/>
        <v>0</v>
      </c>
      <c r="P102" s="11">
        <f t="shared" si="5"/>
        <v>0</v>
      </c>
    </row>
    <row r="103" spans="1:16" hidden="1">
      <c r="A103" s="44"/>
      <c r="B103" s="5">
        <f t="shared" si="14"/>
        <v>45413</v>
      </c>
      <c r="C103" s="1" t="s">
        <v>534</v>
      </c>
      <c r="D103" s="195"/>
      <c r="E103" s="118"/>
      <c r="F103" s="2"/>
      <c r="G103" s="3">
        <f t="shared" si="15"/>
        <v>0</v>
      </c>
      <c r="H103" s="4">
        <f t="shared" si="16"/>
        <v>0</v>
      </c>
      <c r="I103" s="200">
        <v>7.0000000000000007E-2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0</v>
      </c>
      <c r="N103" s="11">
        <f t="shared" si="3"/>
        <v>0</v>
      </c>
      <c r="O103" s="11">
        <f t="shared" si="4"/>
        <v>0</v>
      </c>
      <c r="P103" s="11">
        <f t="shared" si="5"/>
        <v>0</v>
      </c>
    </row>
    <row r="104" spans="1:16" hidden="1">
      <c r="A104" s="44"/>
      <c r="B104" s="5">
        <f t="shared" si="14"/>
        <v>45413</v>
      </c>
      <c r="C104" s="1" t="s">
        <v>534</v>
      </c>
      <c r="D104" s="195"/>
      <c r="E104" s="118"/>
      <c r="F104" s="2"/>
      <c r="G104" s="3">
        <f t="shared" si="15"/>
        <v>0</v>
      </c>
      <c r="H104" s="4">
        <f t="shared" si="16"/>
        <v>0</v>
      </c>
      <c r="I104" s="200">
        <v>7.0000000000000007E-2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0</v>
      </c>
      <c r="N104" s="11">
        <f t="shared" si="3"/>
        <v>0</v>
      </c>
      <c r="O104" s="11">
        <f t="shared" si="4"/>
        <v>0</v>
      </c>
      <c r="P104" s="11">
        <f t="shared" si="5"/>
        <v>0</v>
      </c>
    </row>
    <row r="105" spans="1:16" hidden="1">
      <c r="A105" s="44"/>
      <c r="B105" s="5">
        <f t="shared" si="14"/>
        <v>45413</v>
      </c>
      <c r="C105" s="1" t="s">
        <v>534</v>
      </c>
      <c r="D105" s="195"/>
      <c r="E105" s="118"/>
      <c r="F105" s="2"/>
      <c r="G105" s="3">
        <f t="shared" si="15"/>
        <v>0</v>
      </c>
      <c r="H105" s="4">
        <f t="shared" si="16"/>
        <v>0</v>
      </c>
      <c r="I105" s="200">
        <v>7.0000000000000007E-2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0</v>
      </c>
      <c r="N105" s="11">
        <f t="shared" si="3"/>
        <v>0</v>
      </c>
      <c r="O105" s="11">
        <f t="shared" si="4"/>
        <v>0</v>
      </c>
      <c r="P105" s="11">
        <f t="shared" si="5"/>
        <v>0</v>
      </c>
    </row>
    <row r="106" spans="1:16" hidden="1">
      <c r="A106" s="44"/>
      <c r="B106" s="5">
        <f t="shared" si="14"/>
        <v>45413</v>
      </c>
      <c r="C106" s="1" t="s">
        <v>534</v>
      </c>
      <c r="D106" s="195"/>
      <c r="E106" s="118"/>
      <c r="F106" s="2"/>
      <c r="G106" s="3">
        <f t="shared" si="15"/>
        <v>0</v>
      </c>
      <c r="H106" s="4">
        <f t="shared" si="16"/>
        <v>0</v>
      </c>
      <c r="I106" s="200">
        <v>7.0000000000000007E-2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0</v>
      </c>
      <c r="N106" s="11">
        <f t="shared" si="3"/>
        <v>0</v>
      </c>
      <c r="O106" s="11">
        <f t="shared" si="4"/>
        <v>0</v>
      </c>
      <c r="P106" s="11">
        <f t="shared" si="5"/>
        <v>0</v>
      </c>
    </row>
    <row r="107" spans="1:16" hidden="1">
      <c r="A107" s="44"/>
      <c r="B107" s="5">
        <f t="shared" si="14"/>
        <v>45413</v>
      </c>
      <c r="C107" s="1" t="s">
        <v>534</v>
      </c>
      <c r="D107" s="195"/>
      <c r="E107" s="118"/>
      <c r="F107" s="2"/>
      <c r="G107" s="3">
        <f t="shared" si="15"/>
        <v>0</v>
      </c>
      <c r="H107" s="4">
        <f t="shared" si="16"/>
        <v>0</v>
      </c>
      <c r="I107" s="200">
        <v>7.0000000000000007E-2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0</v>
      </c>
      <c r="N107" s="11">
        <f t="shared" si="3"/>
        <v>0</v>
      </c>
      <c r="O107" s="11">
        <f t="shared" si="4"/>
        <v>0</v>
      </c>
      <c r="P107" s="11">
        <f t="shared" si="5"/>
        <v>0</v>
      </c>
    </row>
    <row r="108" spans="1:16" hidden="1">
      <c r="A108" s="44"/>
      <c r="B108" s="5">
        <f t="shared" si="14"/>
        <v>45413</v>
      </c>
      <c r="C108" s="1" t="s">
        <v>534</v>
      </c>
      <c r="D108" s="195"/>
      <c r="E108" s="118"/>
      <c r="F108" s="2"/>
      <c r="G108" s="3">
        <f t="shared" si="15"/>
        <v>0</v>
      </c>
      <c r="H108" s="4">
        <f t="shared" si="16"/>
        <v>0</v>
      </c>
      <c r="I108" s="200">
        <v>7.0000000000000007E-2</v>
      </c>
      <c r="J108" s="7">
        <v>1.6500000000000001E-2</v>
      </c>
      <c r="K108" s="7">
        <v>7.5999999999999998E-2</v>
      </c>
      <c r="L108" s="7">
        <v>0</v>
      </c>
      <c r="M108" s="11">
        <f t="shared" si="2"/>
        <v>0</v>
      </c>
      <c r="N108" s="11">
        <f t="shared" si="3"/>
        <v>0</v>
      </c>
      <c r="O108" s="11">
        <f t="shared" si="4"/>
        <v>0</v>
      </c>
      <c r="P108" s="11">
        <f t="shared" si="5"/>
        <v>0</v>
      </c>
    </row>
    <row r="109" spans="1:16" hidden="1">
      <c r="A109" s="44"/>
      <c r="B109" s="5">
        <f t="shared" si="14"/>
        <v>45413</v>
      </c>
      <c r="C109" s="1" t="s">
        <v>534</v>
      </c>
      <c r="D109" s="195"/>
      <c r="E109" s="118"/>
      <c r="F109" s="2"/>
      <c r="G109" s="3">
        <f t="shared" si="15"/>
        <v>0</v>
      </c>
      <c r="H109" s="4">
        <f t="shared" si="16"/>
        <v>0</v>
      </c>
      <c r="I109" s="200">
        <v>7.0000000000000007E-2</v>
      </c>
      <c r="J109" s="7">
        <v>1.6500000000000001E-2</v>
      </c>
      <c r="K109" s="7">
        <v>7.5999999999999998E-2</v>
      </c>
      <c r="L109" s="7">
        <v>0</v>
      </c>
      <c r="M109" s="11">
        <f t="shared" si="2"/>
        <v>0</v>
      </c>
      <c r="N109" s="11">
        <f t="shared" si="3"/>
        <v>0</v>
      </c>
      <c r="O109" s="11">
        <f t="shared" si="4"/>
        <v>0</v>
      </c>
      <c r="P109" s="11">
        <f t="shared" si="5"/>
        <v>0</v>
      </c>
    </row>
    <row r="110" spans="1:16" hidden="1">
      <c r="A110" s="44"/>
      <c r="B110" s="5">
        <f t="shared" si="14"/>
        <v>45413</v>
      </c>
      <c r="C110" s="1" t="s">
        <v>534</v>
      </c>
      <c r="D110" s="195"/>
      <c r="E110" s="118"/>
      <c r="F110" s="2"/>
      <c r="G110" s="3">
        <f t="shared" si="15"/>
        <v>0</v>
      </c>
      <c r="H110" s="4">
        <f t="shared" si="16"/>
        <v>0</v>
      </c>
      <c r="I110" s="200">
        <v>7.0000000000000007E-2</v>
      </c>
      <c r="J110" s="7">
        <v>1.6500000000000001E-2</v>
      </c>
      <c r="K110" s="7">
        <v>7.5999999999999998E-2</v>
      </c>
      <c r="L110" s="7">
        <v>0</v>
      </c>
      <c r="M110" s="11">
        <f t="shared" si="2"/>
        <v>0</v>
      </c>
      <c r="N110" s="11">
        <f t="shared" si="3"/>
        <v>0</v>
      </c>
      <c r="O110" s="11">
        <f t="shared" si="4"/>
        <v>0</v>
      </c>
      <c r="P110" s="11">
        <f t="shared" si="5"/>
        <v>0</v>
      </c>
    </row>
    <row r="111" spans="1:16" hidden="1">
      <c r="A111" s="44"/>
      <c r="B111" s="5">
        <f t="shared" si="14"/>
        <v>45413</v>
      </c>
      <c r="C111" s="1" t="s">
        <v>534</v>
      </c>
      <c r="D111" s="195"/>
      <c r="E111" s="118"/>
      <c r="F111" s="2"/>
      <c r="G111" s="3">
        <f t="shared" si="15"/>
        <v>0</v>
      </c>
      <c r="H111" s="4">
        <f t="shared" si="16"/>
        <v>0</v>
      </c>
      <c r="I111" s="200">
        <v>7.0000000000000007E-2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0</v>
      </c>
      <c r="N111" s="11">
        <f t="shared" si="3"/>
        <v>0</v>
      </c>
      <c r="O111" s="11">
        <f t="shared" si="4"/>
        <v>0</v>
      </c>
      <c r="P111" s="11">
        <f t="shared" si="5"/>
        <v>0</v>
      </c>
    </row>
    <row r="112" spans="1:16" hidden="1">
      <c r="A112" s="44"/>
      <c r="B112" s="5">
        <f t="shared" si="14"/>
        <v>45413</v>
      </c>
      <c r="C112" s="1" t="s">
        <v>534</v>
      </c>
      <c r="D112" s="195"/>
      <c r="E112" s="118"/>
      <c r="F112" s="2"/>
      <c r="G112" s="3">
        <f t="shared" si="15"/>
        <v>0</v>
      </c>
      <c r="H112" s="4">
        <f t="shared" si="16"/>
        <v>0</v>
      </c>
      <c r="I112" s="200">
        <v>7.0000000000000007E-2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0</v>
      </c>
      <c r="N112" s="11">
        <f t="shared" si="3"/>
        <v>0</v>
      </c>
      <c r="O112" s="11">
        <f t="shared" si="4"/>
        <v>0</v>
      </c>
      <c r="P112" s="11">
        <f t="shared" si="5"/>
        <v>0</v>
      </c>
    </row>
    <row r="113" spans="1:16" ht="15" customHeight="1">
      <c r="A113" s="44"/>
      <c r="B113" s="5">
        <f>B105</f>
        <v>45413</v>
      </c>
      <c r="C113" s="1" t="s">
        <v>533</v>
      </c>
      <c r="D113" s="195">
        <v>4198</v>
      </c>
      <c r="E113" s="186"/>
      <c r="F113" s="2">
        <v>147935.16</v>
      </c>
      <c r="G113" s="3">
        <f t="shared" si="15"/>
        <v>118141.01877600001</v>
      </c>
      <c r="H113" s="187"/>
      <c r="I113" s="7">
        <v>0.12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17752.2192</v>
      </c>
      <c r="N113" s="11">
        <f t="shared" si="3"/>
        <v>2148.0185232000003</v>
      </c>
      <c r="O113" s="11">
        <f t="shared" si="4"/>
        <v>9893.903500800001</v>
      </c>
      <c r="P113" s="11">
        <f t="shared" si="5"/>
        <v>0</v>
      </c>
    </row>
    <row r="114" spans="1:16" ht="15" customHeight="1">
      <c r="A114" s="44"/>
      <c r="B114" s="5">
        <f>B113</f>
        <v>45413</v>
      </c>
      <c r="C114" s="1" t="s">
        <v>533</v>
      </c>
      <c r="D114" s="195">
        <v>4199</v>
      </c>
      <c r="E114" s="186"/>
      <c r="F114" s="2">
        <v>215954.54</v>
      </c>
      <c r="G114" s="3">
        <f t="shared" si="15"/>
        <v>172461.295644</v>
      </c>
      <c r="H114" s="187"/>
      <c r="I114" s="7">
        <v>0.12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25914.5448</v>
      </c>
      <c r="N114" s="11">
        <f t="shared" si="3"/>
        <v>3135.6599208000002</v>
      </c>
      <c r="O114" s="11">
        <f t="shared" si="4"/>
        <v>14443.039635200001</v>
      </c>
      <c r="P114" s="11">
        <f t="shared" si="5"/>
        <v>0</v>
      </c>
    </row>
    <row r="115" spans="1:16" ht="15" customHeight="1">
      <c r="A115" s="44"/>
      <c r="B115" s="5">
        <f t="shared" si="14"/>
        <v>45413</v>
      </c>
      <c r="C115" s="1" t="s">
        <v>533</v>
      </c>
      <c r="D115" s="195">
        <v>15132</v>
      </c>
      <c r="E115" s="186"/>
      <c r="F115" s="2">
        <v>2533.04</v>
      </c>
      <c r="G115" s="3">
        <f t="shared" si="15"/>
        <v>2137.8224339999997</v>
      </c>
      <c r="H115" s="187"/>
      <c r="I115" s="7">
        <v>7.0000000000000007E-2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177.31280000000001</v>
      </c>
      <c r="N115" s="11">
        <f t="shared" si="3"/>
        <v>38.869498799999995</v>
      </c>
      <c r="O115" s="11">
        <f t="shared" si="4"/>
        <v>179.03526719999999</v>
      </c>
      <c r="P115" s="11">
        <f t="shared" si="5"/>
        <v>0</v>
      </c>
    </row>
    <row r="116" spans="1:16" ht="15" customHeight="1">
      <c r="A116" s="44"/>
      <c r="B116" s="5">
        <f t="shared" si="14"/>
        <v>45413</v>
      </c>
      <c r="C116" s="1" t="s">
        <v>533</v>
      </c>
      <c r="D116" s="195">
        <v>15133</v>
      </c>
      <c r="E116" s="186"/>
      <c r="F116" s="2">
        <v>3773.29</v>
      </c>
      <c r="G116" s="3">
        <f t="shared" si="15"/>
        <v>3184.5624277500001</v>
      </c>
      <c r="H116" s="187"/>
      <c r="I116" s="7">
        <v>7.0000000000000007E-2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264.13030000000003</v>
      </c>
      <c r="N116" s="11">
        <f t="shared" si="3"/>
        <v>57.901135050000008</v>
      </c>
      <c r="O116" s="11">
        <f t="shared" si="4"/>
        <v>266.69613720000001</v>
      </c>
      <c r="P116" s="11">
        <f t="shared" si="5"/>
        <v>0</v>
      </c>
    </row>
    <row r="117" spans="1:16" ht="15" customHeight="1">
      <c r="A117" s="44"/>
      <c r="B117" s="5">
        <f t="shared" si="14"/>
        <v>45413</v>
      </c>
      <c r="C117" s="1" t="s">
        <v>533</v>
      </c>
      <c r="D117" s="195">
        <v>4200</v>
      </c>
      <c r="E117" s="186"/>
      <c r="F117" s="2">
        <v>115368.59</v>
      </c>
      <c r="G117" s="3">
        <f t="shared" si="15"/>
        <v>92133.355974000006</v>
      </c>
      <c r="H117" s="187"/>
      <c r="I117" s="7">
        <v>0.12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13844.230799999999</v>
      </c>
      <c r="N117" s="11">
        <f t="shared" si="3"/>
        <v>1675.1519268</v>
      </c>
      <c r="O117" s="11">
        <f t="shared" si="4"/>
        <v>7715.8512991999996</v>
      </c>
      <c r="P117" s="11">
        <f t="shared" si="5"/>
        <v>0</v>
      </c>
    </row>
    <row r="118" spans="1:16" ht="15" customHeight="1">
      <c r="A118" s="44"/>
      <c r="B118" s="5">
        <f t="shared" si="14"/>
        <v>45413</v>
      </c>
      <c r="C118" s="1" t="s">
        <v>533</v>
      </c>
      <c r="D118" s="195">
        <v>4201</v>
      </c>
      <c r="E118" s="186"/>
      <c r="F118" s="2">
        <v>136410.21</v>
      </c>
      <c r="G118" s="3">
        <f t="shared" si="15"/>
        <v>108937.19370599999</v>
      </c>
      <c r="H118" s="187"/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16369.225199999999</v>
      </c>
      <c r="N118" s="11">
        <f t="shared" si="3"/>
        <v>1980.6762492</v>
      </c>
      <c r="O118" s="11">
        <f t="shared" si="4"/>
        <v>9123.1148447999985</v>
      </c>
      <c r="P118" s="11">
        <f t="shared" si="5"/>
        <v>0</v>
      </c>
    </row>
    <row r="119" spans="1:16" ht="15" customHeight="1">
      <c r="A119" s="44"/>
      <c r="B119" s="5">
        <f t="shared" si="14"/>
        <v>45413</v>
      </c>
      <c r="C119" s="1" t="s">
        <v>533</v>
      </c>
      <c r="D119" s="195">
        <v>4202</v>
      </c>
      <c r="E119" s="186"/>
      <c r="F119" s="2">
        <v>67184.75</v>
      </c>
      <c r="G119" s="3">
        <f t="shared" si="15"/>
        <v>53653.741349999997</v>
      </c>
      <c r="H119" s="187"/>
      <c r="I119" s="7">
        <v>0.12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8062.17</v>
      </c>
      <c r="N119" s="11">
        <f t="shared" si="3"/>
        <v>975.52257000000009</v>
      </c>
      <c r="O119" s="11">
        <f t="shared" si="4"/>
        <v>4493.3160799999996</v>
      </c>
      <c r="P119" s="11">
        <f t="shared" si="5"/>
        <v>0</v>
      </c>
    </row>
    <row r="120" spans="1:16" ht="15" customHeight="1">
      <c r="A120" s="44"/>
      <c r="B120" s="5">
        <f t="shared" si="14"/>
        <v>45413</v>
      </c>
      <c r="C120" s="1" t="s">
        <v>533</v>
      </c>
      <c r="D120" s="195">
        <v>4203</v>
      </c>
      <c r="E120" s="186"/>
      <c r="F120" s="2">
        <v>20233.2</v>
      </c>
      <c r="G120" s="3">
        <f t="shared" si="15"/>
        <v>16158.233520000002</v>
      </c>
      <c r="H120" s="187"/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2427.9839999999999</v>
      </c>
      <c r="N120" s="11">
        <f t="shared" si="3"/>
        <v>293.78606400000001</v>
      </c>
      <c r="O120" s="11">
        <f t="shared" si="4"/>
        <v>1353.196416</v>
      </c>
      <c r="P120" s="11">
        <f t="shared" si="5"/>
        <v>0</v>
      </c>
    </row>
    <row r="121" spans="1:16" ht="15" customHeight="1">
      <c r="A121" s="44"/>
      <c r="B121" s="5">
        <f t="shared" si="14"/>
        <v>45413</v>
      </c>
      <c r="C121" s="1" t="s">
        <v>533</v>
      </c>
      <c r="D121" s="195">
        <v>4204</v>
      </c>
      <c r="E121" s="186"/>
      <c r="F121" s="2">
        <v>43770.07</v>
      </c>
      <c r="G121" s="3">
        <f t="shared" si="15"/>
        <v>34954.777902000002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5252.4083999999993</v>
      </c>
      <c r="N121" s="11">
        <f t="shared" si="3"/>
        <v>635.5414164</v>
      </c>
      <c r="O121" s="11">
        <f t="shared" si="4"/>
        <v>2927.3422815999998</v>
      </c>
      <c r="P121" s="11">
        <f t="shared" si="5"/>
        <v>0</v>
      </c>
    </row>
    <row r="122" spans="1:16" ht="15" customHeight="1">
      <c r="A122" s="44"/>
      <c r="B122" s="5">
        <f t="shared" si="14"/>
        <v>45413</v>
      </c>
      <c r="C122" s="1" t="s">
        <v>533</v>
      </c>
      <c r="D122" s="195">
        <v>4205</v>
      </c>
      <c r="E122" s="186"/>
      <c r="F122" s="2">
        <v>139933.59</v>
      </c>
      <c r="G122" s="3">
        <f t="shared" si="15"/>
        <v>111750.964974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16792.0308</v>
      </c>
      <c r="N122" s="11">
        <f t="shared" si="3"/>
        <v>2031.8357268</v>
      </c>
      <c r="O122" s="11">
        <f t="shared" si="4"/>
        <v>9358.7584991999993</v>
      </c>
      <c r="P122" s="11">
        <f t="shared" si="5"/>
        <v>0</v>
      </c>
    </row>
    <row r="123" spans="1:16" ht="15" customHeight="1">
      <c r="A123" s="44"/>
      <c r="B123" s="5">
        <f t="shared" si="14"/>
        <v>45413</v>
      </c>
      <c r="C123" s="1" t="s">
        <v>533</v>
      </c>
      <c r="D123" s="195">
        <v>15134</v>
      </c>
      <c r="E123" s="186"/>
      <c r="F123" s="2">
        <v>12402.34</v>
      </c>
      <c r="G123" s="3">
        <f t="shared" si="15"/>
        <v>10467.264901500001</v>
      </c>
      <c r="H123" s="187"/>
      <c r="I123" s="7">
        <v>7.0000000000000007E-2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868.16380000000004</v>
      </c>
      <c r="N123" s="11">
        <f t="shared" si="3"/>
        <v>190.31390730000001</v>
      </c>
      <c r="O123" s="11">
        <f t="shared" si="4"/>
        <v>876.59739119999995</v>
      </c>
      <c r="P123" s="11">
        <f t="shared" si="5"/>
        <v>0</v>
      </c>
    </row>
    <row r="124" spans="1:16" ht="15" customHeight="1">
      <c r="A124" s="44"/>
      <c r="B124" s="5">
        <f t="shared" si="14"/>
        <v>45413</v>
      </c>
      <c r="C124" s="1" t="s">
        <v>533</v>
      </c>
      <c r="D124" s="195">
        <v>15135</v>
      </c>
      <c r="E124" s="186"/>
      <c r="F124" s="2">
        <v>14843.47</v>
      </c>
      <c r="G124" s="3">
        <f t="shared" si="15"/>
        <v>12527.517593249999</v>
      </c>
      <c r="H124" s="187"/>
      <c r="I124" s="7">
        <v>7.0000000000000007E-2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1039.0429000000001</v>
      </c>
      <c r="N124" s="11">
        <f t="shared" si="3"/>
        <v>227.77304715</v>
      </c>
      <c r="O124" s="11">
        <f t="shared" si="4"/>
        <v>1049.1364595999999</v>
      </c>
      <c r="P124" s="11">
        <f t="shared" si="5"/>
        <v>0</v>
      </c>
    </row>
    <row r="125" spans="1:16" ht="15" customHeight="1">
      <c r="A125" s="44"/>
      <c r="B125" s="5">
        <f t="shared" si="14"/>
        <v>45413</v>
      </c>
      <c r="C125" s="1" t="s">
        <v>533</v>
      </c>
      <c r="D125" s="195">
        <v>15146</v>
      </c>
      <c r="E125" s="186"/>
      <c r="F125" s="2">
        <v>7333.95</v>
      </c>
      <c r="G125" s="3">
        <f t="shared" si="15"/>
        <v>6189.67045125</v>
      </c>
      <c r="H125" s="187"/>
      <c r="I125" s="7">
        <v>7.0000000000000007E-2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513.37650000000008</v>
      </c>
      <c r="N125" s="11">
        <f t="shared" si="3"/>
        <v>112.53946275</v>
      </c>
      <c r="O125" s="11">
        <f t="shared" si="4"/>
        <v>518.36358599999994</v>
      </c>
      <c r="P125" s="11">
        <f t="shared" si="5"/>
        <v>0</v>
      </c>
    </row>
    <row r="126" spans="1:16" ht="15" customHeight="1">
      <c r="A126" s="44"/>
      <c r="B126" s="5">
        <f t="shared" si="14"/>
        <v>45413</v>
      </c>
      <c r="C126" s="1" t="s">
        <v>533</v>
      </c>
      <c r="D126" s="195">
        <v>15147</v>
      </c>
      <c r="E126" s="186"/>
      <c r="F126" s="2">
        <v>2002.58</v>
      </c>
      <c r="G126" s="3">
        <f t="shared" si="15"/>
        <v>1690.1274555</v>
      </c>
      <c r="H126" s="187"/>
      <c r="I126" s="7">
        <v>7.0000000000000007E-2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140.1806</v>
      </c>
      <c r="N126" s="11">
        <f t="shared" si="3"/>
        <v>30.729590100000003</v>
      </c>
      <c r="O126" s="11">
        <f t="shared" si="4"/>
        <v>141.54235439999999</v>
      </c>
      <c r="P126" s="11">
        <f t="shared" si="5"/>
        <v>0</v>
      </c>
    </row>
    <row r="127" spans="1:16" ht="15" customHeight="1">
      <c r="A127" s="44"/>
      <c r="B127" s="5">
        <f t="shared" si="14"/>
        <v>45413</v>
      </c>
      <c r="C127" s="1" t="s">
        <v>533</v>
      </c>
      <c r="D127" s="195">
        <v>15148</v>
      </c>
      <c r="E127" s="186"/>
      <c r="F127" s="2">
        <v>4704.21</v>
      </c>
      <c r="G127" s="3">
        <f t="shared" si="15"/>
        <v>3970.2356347499999</v>
      </c>
      <c r="H127" s="187"/>
      <c r="I127" s="7">
        <v>7.0000000000000007E-2</v>
      </c>
      <c r="J127" s="7">
        <v>1.6500000000000001E-2</v>
      </c>
      <c r="K127" s="7">
        <v>7.5999999999999998E-2</v>
      </c>
      <c r="L127" s="7">
        <v>0</v>
      </c>
      <c r="M127" s="11">
        <f t="shared" si="2"/>
        <v>329.29470000000003</v>
      </c>
      <c r="N127" s="11">
        <f t="shared" si="3"/>
        <v>72.186102449999993</v>
      </c>
      <c r="O127" s="11">
        <f t="shared" si="4"/>
        <v>332.49356279999995</v>
      </c>
      <c r="P127" s="11">
        <f t="shared" si="5"/>
        <v>0</v>
      </c>
    </row>
    <row r="128" spans="1:16" ht="15" customHeight="1">
      <c r="A128" s="44"/>
      <c r="B128" s="5">
        <f t="shared" si="14"/>
        <v>45413</v>
      </c>
      <c r="C128" s="1" t="s">
        <v>533</v>
      </c>
      <c r="D128" s="195">
        <v>15149</v>
      </c>
      <c r="E128" s="186"/>
      <c r="F128" s="2">
        <v>15470.44</v>
      </c>
      <c r="G128" s="3">
        <f t="shared" si="15"/>
        <v>13056.664599</v>
      </c>
      <c r="H128" s="187"/>
      <c r="I128" s="7">
        <v>7.0000000000000007E-2</v>
      </c>
      <c r="J128" s="7">
        <v>1.6500000000000001E-2</v>
      </c>
      <c r="K128" s="7">
        <v>7.5999999999999998E-2</v>
      </c>
      <c r="L128" s="7">
        <v>0</v>
      </c>
      <c r="M128" s="11">
        <f t="shared" si="2"/>
        <v>1082.9308000000001</v>
      </c>
      <c r="N128" s="11">
        <f t="shared" si="3"/>
        <v>237.39390180000001</v>
      </c>
      <c r="O128" s="11">
        <f t="shared" si="4"/>
        <v>1093.4506991999999</v>
      </c>
      <c r="P128" s="11">
        <f t="shared" si="5"/>
        <v>0</v>
      </c>
    </row>
    <row r="129" spans="1:16" ht="15" hidden="1" customHeight="1">
      <c r="A129" s="44"/>
      <c r="B129" s="5">
        <f t="shared" si="14"/>
        <v>45413</v>
      </c>
      <c r="C129" s="1" t="s">
        <v>533</v>
      </c>
      <c r="D129" s="195"/>
      <c r="E129" s="186"/>
      <c r="F129" s="2"/>
      <c r="G129" s="3">
        <f t="shared" si="15"/>
        <v>0</v>
      </c>
      <c r="H129" s="187"/>
      <c r="I129" s="7"/>
      <c r="J129" s="7">
        <v>1.6500000000000001E-2</v>
      </c>
      <c r="K129" s="7">
        <v>7.5999999999999998E-2</v>
      </c>
      <c r="L129" s="7">
        <v>0</v>
      </c>
      <c r="M129" s="11">
        <f t="shared" si="2"/>
        <v>0</v>
      </c>
      <c r="N129" s="11">
        <f t="shared" si="3"/>
        <v>0</v>
      </c>
      <c r="O129" s="11">
        <f t="shared" si="4"/>
        <v>0</v>
      </c>
      <c r="P129" s="11">
        <f t="shared" si="5"/>
        <v>0</v>
      </c>
    </row>
    <row r="130" spans="1:16" ht="15" hidden="1" customHeight="1">
      <c r="A130" s="44"/>
      <c r="B130" s="5">
        <f t="shared" si="14"/>
        <v>45413</v>
      </c>
      <c r="C130" s="1" t="s">
        <v>533</v>
      </c>
      <c r="D130" s="195"/>
      <c r="E130" s="186"/>
      <c r="F130" s="2"/>
      <c r="G130" s="3">
        <f t="shared" si="15"/>
        <v>0</v>
      </c>
      <c r="H130" s="187"/>
      <c r="I130" s="7"/>
      <c r="J130" s="7">
        <v>1.6500000000000001E-2</v>
      </c>
      <c r="K130" s="7">
        <v>7.5999999999999998E-2</v>
      </c>
      <c r="L130" s="7">
        <v>0</v>
      </c>
      <c r="M130" s="11">
        <f t="shared" si="2"/>
        <v>0</v>
      </c>
      <c r="N130" s="11">
        <f t="shared" si="3"/>
        <v>0</v>
      </c>
      <c r="O130" s="11">
        <f t="shared" si="4"/>
        <v>0</v>
      </c>
      <c r="P130" s="11">
        <f t="shared" si="5"/>
        <v>0</v>
      </c>
    </row>
    <row r="131" spans="1:16" ht="15" hidden="1" customHeight="1">
      <c r="A131" s="44"/>
      <c r="B131" s="5">
        <f t="shared" si="14"/>
        <v>45413</v>
      </c>
      <c r="C131" s="1" t="s">
        <v>533</v>
      </c>
      <c r="D131" s="195"/>
      <c r="E131" s="186"/>
      <c r="F131" s="2"/>
      <c r="G131" s="3">
        <f t="shared" si="15"/>
        <v>0</v>
      </c>
      <c r="H131" s="187"/>
      <c r="I131" s="7"/>
      <c r="J131" s="7">
        <v>1.6500000000000001E-2</v>
      </c>
      <c r="K131" s="7">
        <v>7.5999999999999998E-2</v>
      </c>
      <c r="L131" s="7">
        <v>0</v>
      </c>
      <c r="M131" s="11">
        <f t="shared" si="2"/>
        <v>0</v>
      </c>
      <c r="N131" s="11">
        <f t="shared" si="3"/>
        <v>0</v>
      </c>
      <c r="O131" s="11">
        <f t="shared" si="4"/>
        <v>0</v>
      </c>
      <c r="P131" s="11">
        <f t="shared" si="5"/>
        <v>0</v>
      </c>
    </row>
    <row r="132" spans="1:16" ht="15" hidden="1" customHeight="1">
      <c r="A132" s="44"/>
      <c r="B132" s="5">
        <f t="shared" si="14"/>
        <v>45413</v>
      </c>
      <c r="C132" s="1" t="s">
        <v>533</v>
      </c>
      <c r="D132" s="195"/>
      <c r="E132" s="186"/>
      <c r="F132" s="2"/>
      <c r="G132" s="3">
        <f t="shared" si="15"/>
        <v>0</v>
      </c>
      <c r="H132" s="187"/>
      <c r="I132" s="7"/>
      <c r="J132" s="7">
        <v>1.6500000000000001E-2</v>
      </c>
      <c r="K132" s="7">
        <v>7.5999999999999998E-2</v>
      </c>
      <c r="L132" s="7">
        <v>0</v>
      </c>
      <c r="M132" s="11">
        <f t="shared" si="2"/>
        <v>0</v>
      </c>
      <c r="N132" s="11">
        <f t="shared" si="3"/>
        <v>0</v>
      </c>
      <c r="O132" s="11">
        <f t="shared" si="4"/>
        <v>0</v>
      </c>
      <c r="P132" s="11">
        <f t="shared" ref="P132:P136" si="17">L132*(F132)</f>
        <v>0</v>
      </c>
    </row>
    <row r="133" spans="1:16" ht="15" hidden="1" customHeight="1">
      <c r="A133" s="44"/>
      <c r="B133" s="5">
        <f t="shared" si="14"/>
        <v>45413</v>
      </c>
      <c r="C133" s="1" t="s">
        <v>533</v>
      </c>
      <c r="D133" s="195"/>
      <c r="E133" s="186"/>
      <c r="F133" s="2"/>
      <c r="G133" s="3">
        <f t="shared" si="15"/>
        <v>0</v>
      </c>
      <c r="H133" s="187"/>
      <c r="I133" s="7"/>
      <c r="J133" s="7">
        <v>1.6500000000000001E-2</v>
      </c>
      <c r="K133" s="7">
        <v>7.5999999999999998E-2</v>
      </c>
      <c r="L133" s="7">
        <v>0</v>
      </c>
      <c r="M133" s="11">
        <f t="shared" si="2"/>
        <v>0</v>
      </c>
      <c r="N133" s="11">
        <f t="shared" si="3"/>
        <v>0</v>
      </c>
      <c r="O133" s="11">
        <f t="shared" si="4"/>
        <v>0</v>
      </c>
      <c r="P133" s="11">
        <f t="shared" si="17"/>
        <v>0</v>
      </c>
    </row>
    <row r="134" spans="1:16" ht="15" hidden="1" customHeight="1">
      <c r="A134" s="44"/>
      <c r="B134" s="5">
        <f t="shared" si="14"/>
        <v>45413</v>
      </c>
      <c r="C134" s="1" t="s">
        <v>533</v>
      </c>
      <c r="D134" s="195"/>
      <c r="E134" s="186"/>
      <c r="F134" s="2"/>
      <c r="G134" s="3">
        <f t="shared" si="15"/>
        <v>0</v>
      </c>
      <c r="H134" s="187"/>
      <c r="I134" s="7"/>
      <c r="J134" s="7">
        <v>1.6500000000000001E-2</v>
      </c>
      <c r="K134" s="7">
        <v>7.5999999999999998E-2</v>
      </c>
      <c r="L134" s="7">
        <v>0</v>
      </c>
      <c r="M134" s="11">
        <f t="shared" si="2"/>
        <v>0</v>
      </c>
      <c r="N134" s="11">
        <f t="shared" si="3"/>
        <v>0</v>
      </c>
      <c r="O134" s="11">
        <f t="shared" si="4"/>
        <v>0</v>
      </c>
      <c r="P134" s="11">
        <f t="shared" si="17"/>
        <v>0</v>
      </c>
    </row>
    <row r="135" spans="1:16" ht="15" hidden="1" customHeight="1">
      <c r="A135" s="44"/>
      <c r="B135" s="5">
        <f t="shared" si="14"/>
        <v>45413</v>
      </c>
      <c r="C135" s="1" t="s">
        <v>533</v>
      </c>
      <c r="D135" s="195"/>
      <c r="E135" s="186"/>
      <c r="F135" s="2"/>
      <c r="G135" s="3">
        <f t="shared" si="15"/>
        <v>0</v>
      </c>
      <c r="H135" s="187"/>
      <c r="I135" s="7"/>
      <c r="J135" s="7">
        <v>1.6500000000000001E-2</v>
      </c>
      <c r="K135" s="7">
        <v>7.5999999999999998E-2</v>
      </c>
      <c r="L135" s="7">
        <v>0</v>
      </c>
      <c r="M135" s="11">
        <f t="shared" si="2"/>
        <v>0</v>
      </c>
      <c r="N135" s="11">
        <f t="shared" si="3"/>
        <v>0</v>
      </c>
      <c r="O135" s="11">
        <f t="shared" si="4"/>
        <v>0</v>
      </c>
      <c r="P135" s="11">
        <f t="shared" si="17"/>
        <v>0</v>
      </c>
    </row>
    <row r="136" spans="1:16" hidden="1">
      <c r="A136" s="44"/>
      <c r="B136" s="5">
        <f>B113</f>
        <v>45413</v>
      </c>
      <c r="C136" s="1" t="s">
        <v>533</v>
      </c>
      <c r="D136" s="195"/>
      <c r="E136" s="186"/>
      <c r="F136" s="2"/>
      <c r="G136" s="3">
        <f t="shared" si="15"/>
        <v>0</v>
      </c>
      <c r="H136" s="187"/>
      <c r="I136" s="7"/>
      <c r="J136" s="7">
        <v>1.6500000000000001E-2</v>
      </c>
      <c r="K136" s="7">
        <v>7.5999999999999998E-2</v>
      </c>
      <c r="L136" s="7">
        <v>0</v>
      </c>
      <c r="M136" s="11">
        <f t="shared" si="2"/>
        <v>0</v>
      </c>
      <c r="N136" s="11">
        <f t="shared" si="3"/>
        <v>0</v>
      </c>
      <c r="O136" s="11">
        <f t="shared" si="4"/>
        <v>0</v>
      </c>
      <c r="P136" s="11">
        <f t="shared" si="17"/>
        <v>0</v>
      </c>
    </row>
    <row r="137" spans="1:16">
      <c r="B137" s="5"/>
      <c r="C137" s="1"/>
      <c r="E137" s="1"/>
      <c r="F137" s="2"/>
      <c r="G137" s="4"/>
      <c r="H137" s="4"/>
      <c r="I137" s="7"/>
      <c r="J137" s="7"/>
      <c r="K137" s="7"/>
      <c r="L137" s="7"/>
    </row>
    <row r="138" spans="1:16">
      <c r="E138" s="28">
        <f>SUM(E19:E137)</f>
        <v>49376568.542700022</v>
      </c>
      <c r="F138" s="133"/>
      <c r="G138" s="29">
        <f>SUM(G19:G137)</f>
        <v>113604453.31813882</v>
      </c>
    </row>
    <row r="139" spans="1:16">
      <c r="E139" s="137"/>
    </row>
    <row r="140" spans="1:16" ht="15.75" thickBot="1"/>
    <row r="141" spans="1:16">
      <c r="B141" s="391" t="s">
        <v>586</v>
      </c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4"/>
    </row>
    <row r="142" spans="1:16">
      <c r="B142" s="385"/>
      <c r="C142" s="386"/>
      <c r="D142" s="386"/>
      <c r="E142" s="386"/>
      <c r="F142" s="386"/>
      <c r="G142" s="386"/>
      <c r="H142" s="386"/>
      <c r="I142" s="386"/>
      <c r="J142" s="386"/>
      <c r="K142" s="386"/>
      <c r="L142" s="386"/>
      <c r="M142" s="386"/>
      <c r="N142" s="386"/>
      <c r="O142" s="387"/>
    </row>
    <row r="143" spans="1:16">
      <c r="B143" s="385"/>
      <c r="C143" s="386"/>
      <c r="D143" s="386"/>
      <c r="E143" s="386"/>
      <c r="F143" s="386"/>
      <c r="G143" s="386"/>
      <c r="H143" s="386"/>
      <c r="I143" s="386"/>
      <c r="J143" s="386"/>
      <c r="K143" s="386"/>
      <c r="L143" s="386"/>
      <c r="M143" s="386"/>
      <c r="N143" s="386"/>
      <c r="O143" s="387"/>
    </row>
    <row r="144" spans="1:16">
      <c r="B144" s="385"/>
      <c r="C144" s="386"/>
      <c r="D144" s="386"/>
      <c r="E144" s="386"/>
      <c r="F144" s="386"/>
      <c r="G144" s="386"/>
      <c r="H144" s="386"/>
      <c r="I144" s="386"/>
      <c r="J144" s="386"/>
      <c r="K144" s="386"/>
      <c r="L144" s="386"/>
      <c r="M144" s="386"/>
      <c r="N144" s="386"/>
      <c r="O144" s="387"/>
    </row>
    <row r="145" spans="2:15" ht="27" customHeight="1">
      <c r="B145" s="385"/>
      <c r="C145" s="386"/>
      <c r="D145" s="386"/>
      <c r="E145" s="386"/>
      <c r="F145" s="386"/>
      <c r="G145" s="386"/>
      <c r="H145" s="386"/>
      <c r="I145" s="386"/>
      <c r="J145" s="386"/>
      <c r="K145" s="386"/>
      <c r="L145" s="386"/>
      <c r="M145" s="386"/>
      <c r="N145" s="386"/>
      <c r="O145" s="387"/>
    </row>
    <row r="146" spans="2:15" ht="44.25" customHeight="1" thickBot="1">
      <c r="B146" s="388"/>
      <c r="C146" s="389"/>
      <c r="D146" s="389"/>
      <c r="E146" s="389"/>
      <c r="F146" s="389"/>
      <c r="G146" s="389"/>
      <c r="H146" s="389"/>
      <c r="I146" s="389"/>
      <c r="J146" s="389"/>
      <c r="K146" s="389"/>
      <c r="L146" s="389"/>
      <c r="M146" s="389"/>
      <c r="N146" s="389"/>
      <c r="O146" s="390"/>
    </row>
  </sheetData>
  <mergeCells count="3">
    <mergeCell ref="C2:M2"/>
    <mergeCell ref="M17:P17"/>
    <mergeCell ref="B141:O146"/>
  </mergeCells>
  <conditionalFormatting sqref="D1:D1048576">
    <cfRule type="duplicateValues" dxfId="116" priority="1"/>
    <cfRule type="duplicateValues" dxfId="115" priority="2"/>
  </conditionalFormatting>
  <conditionalFormatting sqref="D7 D10">
    <cfRule type="duplicateValues" dxfId="114" priority="3"/>
  </conditionalFormatting>
  <conditionalFormatting sqref="D19:D112">
    <cfRule type="duplicateValues" dxfId="113" priority="5"/>
  </conditionalFormatting>
  <conditionalFormatting sqref="D140:D1048576 D1:D138">
    <cfRule type="duplicateValues" dxfId="112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8D21-FE7C-49D2-9DC8-DDBE465FD86D}">
  <sheetPr>
    <pageSetUpPr fitToPage="1"/>
  </sheetPr>
  <dimension ref="A2:P220"/>
  <sheetViews>
    <sheetView showGridLines="0" topLeftCell="B177" zoomScale="85" zoomScaleNormal="85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6.425781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5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5" ht="23.25">
      <c r="C3" s="13">
        <v>45444</v>
      </c>
    </row>
    <row r="5" spans="3:15">
      <c r="C5" t="s">
        <v>17</v>
      </c>
      <c r="D5" s="14">
        <f t="shared" ref="D5:D11" ca="1" si="0">SUMIF($C$19:$G$210,$C$5:$C$11,$G$19:$G$210)/SUMIF($C$19:$G$210,$C$5:$C$11,$E$19:$E$210)</f>
        <v>2.2788999998752963</v>
      </c>
    </row>
    <row r="6" spans="3:15">
      <c r="C6" t="s">
        <v>440</v>
      </c>
      <c r="D6" s="14">
        <f t="shared" ca="1" si="0"/>
        <v>1.4618746617467184</v>
      </c>
    </row>
    <row r="7" spans="3:15">
      <c r="C7" t="s">
        <v>491</v>
      </c>
      <c r="D7" s="14">
        <f t="shared" ca="1" si="0"/>
        <v>1.9087095770992761</v>
      </c>
    </row>
    <row r="8" spans="3:15">
      <c r="C8" t="s">
        <v>37</v>
      </c>
      <c r="D8" s="14" t="e">
        <f t="shared" ca="1" si="0"/>
        <v>#DIV/0!</v>
      </c>
      <c r="I8" s="19"/>
      <c r="N8" s="15" t="s">
        <v>127</v>
      </c>
      <c r="O8" s="15" t="s">
        <v>128</v>
      </c>
    </row>
    <row r="9" spans="3:15">
      <c r="C9" t="s">
        <v>36</v>
      </c>
      <c r="D9" s="14" t="e">
        <f t="shared" ca="1" si="0"/>
        <v>#DIV/0!</v>
      </c>
      <c r="E9" s="14"/>
      <c r="F9" s="32"/>
      <c r="I9" s="19"/>
      <c r="M9" s="16" t="s">
        <v>17</v>
      </c>
      <c r="N9" s="17">
        <f>1415000/1620000</f>
        <v>0.87345679012345678</v>
      </c>
      <c r="O9" s="17">
        <f>+SUM(E19:E32)/E212</f>
        <v>0.85515195453953829</v>
      </c>
    </row>
    <row r="10" spans="3:15">
      <c r="C10" t="s">
        <v>534</v>
      </c>
      <c r="D10" s="14">
        <f t="shared" ca="1" si="0"/>
        <v>6.4299126955603603</v>
      </c>
      <c r="M10" s="16" t="s">
        <v>440</v>
      </c>
      <c r="N10" s="17">
        <f>10000/1620000</f>
        <v>6.1728395061728392E-3</v>
      </c>
      <c r="O10" s="17">
        <f>+SUM(E33)/E212</f>
        <v>3.8873324545359689E-2</v>
      </c>
    </row>
    <row r="11" spans="3:15">
      <c r="C11" t="s">
        <v>533</v>
      </c>
      <c r="D11" s="14" t="e">
        <f t="shared" ca="1" si="0"/>
        <v>#DIV/0!</v>
      </c>
      <c r="M11" s="16" t="s">
        <v>491</v>
      </c>
      <c r="N11" s="17">
        <f>150000/1620000</f>
        <v>9.2592592592592587E-2</v>
      </c>
      <c r="O11" s="17">
        <f>+SUM(E34)/E212</f>
        <v>6.1246705079916447E-4</v>
      </c>
    </row>
    <row r="12" spans="3:15">
      <c r="C12" s="30" t="s">
        <v>129</v>
      </c>
      <c r="D12" s="31">
        <f>+G212/E212</f>
        <v>2.3623369783592132</v>
      </c>
      <c r="M12" s="16" t="s">
        <v>544</v>
      </c>
      <c r="N12" s="17">
        <f>45000/1620000</f>
        <v>2.7777777777777776E-2</v>
      </c>
      <c r="O12" s="18">
        <f>+SUM(E37:E49)/E212</f>
        <v>5.5365145528161281E-3</v>
      </c>
    </row>
    <row r="13" spans="3:15">
      <c r="D13" s="19"/>
      <c r="M13" s="20" t="s">
        <v>38</v>
      </c>
      <c r="N13" s="197">
        <f>SUM(N9:N12)</f>
        <v>1</v>
      </c>
      <c r="O13" s="197">
        <f>SUM(O9:O12)</f>
        <v>0.90017426068851325</v>
      </c>
    </row>
    <row r="14" spans="3:15">
      <c r="D14" s="22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 ht="18.75" customHeight="1">
      <c r="A19" s="44"/>
      <c r="B19" s="5">
        <f>C3</f>
        <v>45444</v>
      </c>
      <c r="C19" s="1" t="s">
        <v>17</v>
      </c>
      <c r="D19" s="194" t="s">
        <v>681</v>
      </c>
      <c r="E19" s="1">
        <v>17125218</v>
      </c>
      <c r="F19" s="2">
        <v>48868844.600000001</v>
      </c>
      <c r="G19" s="3">
        <f t="shared" ref="G19:G37" si="1">F19-SUM(M19:P19)</f>
        <v>39026659.297559999</v>
      </c>
      <c r="H19" s="4">
        <f>+IF(G19=0,0,G19/E19)</f>
        <v>2.2788999998458412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ref="M19:M210" si="2">+I19*F19</f>
        <v>5864261.352</v>
      </c>
      <c r="N19" s="11">
        <f t="shared" ref="N19:N210" si="3">J19*(F19-M19)</f>
        <v>709575.62359200011</v>
      </c>
      <c r="O19" s="11">
        <f t="shared" ref="O19:O210" si="4">K19*(F19-M19)</f>
        <v>3268348.3268480003</v>
      </c>
      <c r="P19" s="11">
        <f t="shared" ref="P19:P205" si="5">L19*(F19)</f>
        <v>0</v>
      </c>
    </row>
    <row r="20" spans="1:16">
      <c r="A20" s="44"/>
      <c r="B20" s="5">
        <f>B19</f>
        <v>45444</v>
      </c>
      <c r="C20" s="1" t="s">
        <v>17</v>
      </c>
      <c r="D20" s="194" t="s">
        <v>682</v>
      </c>
      <c r="E20" s="1">
        <v>12201121</v>
      </c>
      <c r="F20" s="2">
        <v>34817348.670000002</v>
      </c>
      <c r="G20" s="3">
        <f t="shared" si="1"/>
        <v>27805134.647862002</v>
      </c>
      <c r="H20" s="4">
        <f t="shared" ref="H20:H36" si="6">+IF(G20=0,0,G20/E20)</f>
        <v>2.2789000000788455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4178081.8404000001</v>
      </c>
      <c r="N20" s="11">
        <f t="shared" si="3"/>
        <v>505547.90268840006</v>
      </c>
      <c r="O20" s="11">
        <f t="shared" si="4"/>
        <v>2328584.2790496</v>
      </c>
      <c r="P20" s="11">
        <f t="shared" si="5"/>
        <v>0</v>
      </c>
    </row>
    <row r="21" spans="1:16">
      <c r="A21" s="44"/>
      <c r="B21" s="5">
        <f t="shared" ref="B21:B84" si="7">B20</f>
        <v>45444</v>
      </c>
      <c r="C21" s="1" t="s">
        <v>17</v>
      </c>
      <c r="D21" s="194" t="s">
        <v>683</v>
      </c>
      <c r="E21" s="1">
        <v>151275</v>
      </c>
      <c r="F21" s="2">
        <v>431681.19</v>
      </c>
      <c r="G21" s="3">
        <f t="shared" si="1"/>
        <v>344740.59833399998</v>
      </c>
      <c r="H21" s="4">
        <f>+IF(G21=0,0,G21/E21)</f>
        <v>2.2789000055131381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51801.7428</v>
      </c>
      <c r="N21" s="11">
        <f t="shared" si="3"/>
        <v>6268.0108787999998</v>
      </c>
      <c r="O21" s="11">
        <f t="shared" si="4"/>
        <v>28870.8379872</v>
      </c>
      <c r="P21" s="11">
        <f t="shared" si="5"/>
        <v>0</v>
      </c>
    </row>
    <row r="22" spans="1:16">
      <c r="A22" s="44"/>
      <c r="B22" s="5">
        <f t="shared" si="7"/>
        <v>45444</v>
      </c>
      <c r="C22" s="1" t="s">
        <v>17</v>
      </c>
      <c r="D22" s="194" t="s">
        <v>684</v>
      </c>
      <c r="E22" s="1">
        <v>12409633</v>
      </c>
      <c r="F22" s="2">
        <v>33508471.98</v>
      </c>
      <c r="G22" s="3">
        <f t="shared" si="1"/>
        <v>28280312.6393205</v>
      </c>
      <c r="H22" s="4">
        <f t="shared" si="6"/>
        <v>2.2788999996470887</v>
      </c>
      <c r="I22" s="200">
        <v>7.0000000000000007E-2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2345593.0386000001</v>
      </c>
      <c r="N22" s="11">
        <f t="shared" si="3"/>
        <v>514187.50253310002</v>
      </c>
      <c r="O22" s="11">
        <f t="shared" si="4"/>
        <v>2368378.7995464001</v>
      </c>
      <c r="P22" s="11">
        <f t="shared" si="5"/>
        <v>0</v>
      </c>
    </row>
    <row r="23" spans="1:16" hidden="1">
      <c r="A23" s="44"/>
      <c r="B23" s="5">
        <f t="shared" si="7"/>
        <v>45444</v>
      </c>
      <c r="C23" s="1" t="s">
        <v>17</v>
      </c>
      <c r="D23" s="194"/>
      <c r="E23" s="1"/>
      <c r="F23" s="2"/>
      <c r="G23" s="3">
        <f t="shared" si="1"/>
        <v>0</v>
      </c>
      <c r="H23" s="4">
        <f t="shared" si="6"/>
        <v>0</v>
      </c>
      <c r="I23" s="200"/>
      <c r="J23" s="7">
        <v>1.6500000000000001E-2</v>
      </c>
      <c r="K23" s="7">
        <v>7.5999999999999998E-2</v>
      </c>
      <c r="L23" s="7">
        <v>0</v>
      </c>
      <c r="M23" s="11">
        <f t="shared" si="2"/>
        <v>0</v>
      </c>
      <c r="N23" s="11">
        <f t="shared" si="3"/>
        <v>0</v>
      </c>
      <c r="O23" s="11">
        <f t="shared" si="4"/>
        <v>0</v>
      </c>
      <c r="P23" s="11">
        <f t="shared" si="5"/>
        <v>0</v>
      </c>
    </row>
    <row r="24" spans="1:16" hidden="1">
      <c r="A24" s="44"/>
      <c r="B24" s="5">
        <f t="shared" si="7"/>
        <v>45444</v>
      </c>
      <c r="C24" s="1" t="s">
        <v>17</v>
      </c>
      <c r="D24" s="194"/>
      <c r="E24" s="1"/>
      <c r="F24" s="2"/>
      <c r="G24" s="3">
        <f t="shared" si="1"/>
        <v>0</v>
      </c>
      <c r="H24" s="4">
        <f t="shared" si="6"/>
        <v>0</v>
      </c>
      <c r="I24" s="200"/>
      <c r="J24" s="7">
        <v>1.6500000000000001E-2</v>
      </c>
      <c r="K24" s="7">
        <v>7.5999999999999998E-2</v>
      </c>
      <c r="L24" s="7">
        <v>0</v>
      </c>
      <c r="M24" s="11">
        <f t="shared" si="2"/>
        <v>0</v>
      </c>
      <c r="N24" s="11">
        <f t="shared" si="3"/>
        <v>0</v>
      </c>
      <c r="O24" s="11">
        <f t="shared" si="4"/>
        <v>0</v>
      </c>
      <c r="P24" s="11">
        <f t="shared" si="5"/>
        <v>0</v>
      </c>
    </row>
    <row r="25" spans="1:16" hidden="1">
      <c r="A25" s="44"/>
      <c r="B25" s="5">
        <f t="shared" si="7"/>
        <v>45444</v>
      </c>
      <c r="C25" s="1" t="s">
        <v>17</v>
      </c>
      <c r="D25" s="194"/>
      <c r="E25" s="1"/>
      <c r="F25" s="2"/>
      <c r="G25" s="3">
        <f t="shared" si="1"/>
        <v>0</v>
      </c>
      <c r="H25" s="4">
        <f t="shared" si="6"/>
        <v>0</v>
      </c>
      <c r="I25" s="200"/>
      <c r="J25" s="7">
        <v>1.6500000000000001E-2</v>
      </c>
      <c r="K25" s="7">
        <v>7.5999999999999998E-2</v>
      </c>
      <c r="L25" s="7">
        <v>0</v>
      </c>
      <c r="M25" s="11">
        <f t="shared" si="2"/>
        <v>0</v>
      </c>
      <c r="N25" s="11">
        <f t="shared" si="3"/>
        <v>0</v>
      </c>
      <c r="O25" s="11">
        <f t="shared" si="4"/>
        <v>0</v>
      </c>
      <c r="P25" s="11">
        <f t="shared" si="5"/>
        <v>0</v>
      </c>
    </row>
    <row r="26" spans="1:16" hidden="1">
      <c r="A26" s="44"/>
      <c r="B26" s="5">
        <f t="shared" si="7"/>
        <v>45444</v>
      </c>
      <c r="C26" s="1" t="s">
        <v>17</v>
      </c>
      <c r="D26" s="194"/>
      <c r="E26" s="1"/>
      <c r="F26" s="2"/>
      <c r="G26" s="3">
        <f t="shared" si="1"/>
        <v>0</v>
      </c>
      <c r="H26" s="4">
        <f t="shared" si="6"/>
        <v>0</v>
      </c>
      <c r="I26" s="200"/>
      <c r="J26" s="7">
        <v>1.6500000000000001E-2</v>
      </c>
      <c r="K26" s="7">
        <v>7.5999999999999998E-2</v>
      </c>
      <c r="L26" s="7">
        <v>0</v>
      </c>
      <c r="M26" s="11">
        <f t="shared" si="2"/>
        <v>0</v>
      </c>
      <c r="N26" s="11">
        <f t="shared" si="3"/>
        <v>0</v>
      </c>
      <c r="O26" s="11">
        <f t="shared" si="4"/>
        <v>0</v>
      </c>
      <c r="P26" s="11">
        <f t="shared" si="5"/>
        <v>0</v>
      </c>
    </row>
    <row r="27" spans="1:16" hidden="1">
      <c r="A27" s="44"/>
      <c r="B27" s="5">
        <f t="shared" si="7"/>
        <v>45444</v>
      </c>
      <c r="C27" s="1" t="s">
        <v>17</v>
      </c>
      <c r="D27" s="194"/>
      <c r="E27" s="1"/>
      <c r="F27" s="2"/>
      <c r="G27" s="3">
        <f t="shared" si="1"/>
        <v>0</v>
      </c>
      <c r="H27" s="4">
        <f t="shared" si="6"/>
        <v>0</v>
      </c>
      <c r="I27" s="200"/>
      <c r="J27" s="7">
        <v>1.6500000000000001E-2</v>
      </c>
      <c r="K27" s="7">
        <v>7.5999999999999998E-2</v>
      </c>
      <c r="L27" s="7">
        <v>0</v>
      </c>
      <c r="M27" s="11">
        <f t="shared" si="2"/>
        <v>0</v>
      </c>
      <c r="N27" s="11">
        <f t="shared" si="3"/>
        <v>0</v>
      </c>
      <c r="O27" s="11">
        <f t="shared" si="4"/>
        <v>0</v>
      </c>
      <c r="P27" s="11">
        <f t="shared" si="5"/>
        <v>0</v>
      </c>
    </row>
    <row r="28" spans="1:16" hidden="1">
      <c r="A28" s="44"/>
      <c r="B28" s="5">
        <f t="shared" si="7"/>
        <v>45444</v>
      </c>
      <c r="C28" s="1" t="s">
        <v>17</v>
      </c>
      <c r="D28" s="194"/>
      <c r="E28" s="1"/>
      <c r="F28" s="2"/>
      <c r="G28" s="3">
        <f t="shared" si="1"/>
        <v>0</v>
      </c>
      <c r="H28" s="4">
        <f t="shared" si="6"/>
        <v>0</v>
      </c>
      <c r="I28" s="200"/>
      <c r="J28" s="7">
        <v>1.6500000000000001E-2</v>
      </c>
      <c r="K28" s="7">
        <v>7.5999999999999998E-2</v>
      </c>
      <c r="L28" s="7">
        <v>0</v>
      </c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spans="1:16" hidden="1">
      <c r="A29" s="44"/>
      <c r="B29" s="5">
        <f t="shared" si="7"/>
        <v>45444</v>
      </c>
      <c r="C29" s="1" t="s">
        <v>17</v>
      </c>
      <c r="D29" s="194"/>
      <c r="E29" s="1"/>
      <c r="F29" s="2"/>
      <c r="G29" s="3">
        <f t="shared" si="1"/>
        <v>0</v>
      </c>
      <c r="H29" s="4">
        <f>+IF(G29=0,0,G29/E29)</f>
        <v>0</v>
      </c>
      <c r="I29" s="200"/>
      <c r="J29" s="7">
        <v>1.6500000000000001E-2</v>
      </c>
      <c r="K29" s="7">
        <v>7.5999999999999998E-2</v>
      </c>
      <c r="L29" s="7">
        <v>0</v>
      </c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spans="1:16" hidden="1">
      <c r="A30" s="44"/>
      <c r="B30" s="5">
        <f t="shared" si="7"/>
        <v>45444</v>
      </c>
      <c r="C30" s="1" t="s">
        <v>17</v>
      </c>
      <c r="D30" s="194"/>
      <c r="E30" s="1"/>
      <c r="F30" s="2"/>
      <c r="G30" s="3">
        <f t="shared" si="1"/>
        <v>0</v>
      </c>
      <c r="H30" s="4">
        <f>+IF(G30=0,0,G30/E30)</f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45444</v>
      </c>
      <c r="C31" s="1" t="s">
        <v>17</v>
      </c>
      <c r="D31" s="194"/>
      <c r="E31" s="1"/>
      <c r="F31" s="2"/>
      <c r="G31" s="3">
        <f t="shared" si="1"/>
        <v>0</v>
      </c>
      <c r="H31" s="4">
        <f t="shared" si="6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45444</v>
      </c>
      <c r="C32" s="1" t="s">
        <v>17</v>
      </c>
      <c r="D32" s="194"/>
      <c r="E32" s="1"/>
      <c r="F32" s="2"/>
      <c r="G32" s="3">
        <f t="shared" si="1"/>
        <v>0</v>
      </c>
      <c r="H32" s="4">
        <f t="shared" si="6"/>
        <v>0</v>
      </c>
      <c r="I32" s="200">
        <v>0.12</v>
      </c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>
      <c r="A33" s="44"/>
      <c r="B33" s="5">
        <f t="shared" si="7"/>
        <v>45444</v>
      </c>
      <c r="C33" s="1" t="s">
        <v>440</v>
      </c>
      <c r="D33" s="194" t="s">
        <v>685</v>
      </c>
      <c r="E33" s="1">
        <f>360000+1544102</f>
        <v>1904102</v>
      </c>
      <c r="F33" s="2">
        <f>2433504.75+864648</f>
        <v>3298152.75</v>
      </c>
      <c r="G33" s="3">
        <f t="shared" si="1"/>
        <v>2783558.46718125</v>
      </c>
      <c r="H33" s="4">
        <f t="shared" si="6"/>
        <v>1.4618746617467184</v>
      </c>
      <c r="I33" s="200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230870.69250000003</v>
      </c>
      <c r="N33" s="11">
        <f t="shared" si="3"/>
        <v>50610.153948750005</v>
      </c>
      <c r="O33" s="11">
        <f t="shared" si="4"/>
        <v>233113.43637000001</v>
      </c>
      <c r="P33" s="11">
        <f t="shared" si="5"/>
        <v>0</v>
      </c>
    </row>
    <row r="34" spans="1:16">
      <c r="A34" s="44"/>
      <c r="B34" s="5">
        <f t="shared" si="7"/>
        <v>45444</v>
      </c>
      <c r="C34" s="1" t="s">
        <v>491</v>
      </c>
      <c r="D34" s="194" t="s">
        <v>686</v>
      </c>
      <c r="E34" s="1">
        <v>30000</v>
      </c>
      <c r="F34" s="2">
        <v>65739</v>
      </c>
      <c r="G34" s="3">
        <f t="shared" si="1"/>
        <v>52499.165399999998</v>
      </c>
      <c r="H34" s="4">
        <f t="shared" si="6"/>
        <v>1.7499721799999999</v>
      </c>
      <c r="I34" s="200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7888.6799999999994</v>
      </c>
      <c r="N34" s="11">
        <f t="shared" si="3"/>
        <v>954.53028000000006</v>
      </c>
      <c r="O34" s="11">
        <f t="shared" si="4"/>
        <v>4396.6243199999999</v>
      </c>
      <c r="P34" s="11">
        <f t="shared" si="5"/>
        <v>0</v>
      </c>
    </row>
    <row r="35" spans="1:16">
      <c r="A35" s="44"/>
      <c r="B35" s="5">
        <f t="shared" ref="B35:B36" si="8">B32</f>
        <v>45444</v>
      </c>
      <c r="C35" s="1" t="s">
        <v>491</v>
      </c>
      <c r="D35" s="194" t="s">
        <v>687</v>
      </c>
      <c r="E35" s="118">
        <v>390000</v>
      </c>
      <c r="F35" s="2">
        <v>644685.41</v>
      </c>
      <c r="G35" s="3">
        <f t="shared" ref="G35:G36" si="9">F35-SUM(M35:P35)</f>
        <v>514845.76842600002</v>
      </c>
      <c r="H35" s="4">
        <f t="shared" si="6"/>
        <v>1.3201173549384615</v>
      </c>
      <c r="I35" s="200">
        <v>0.12</v>
      </c>
      <c r="J35" s="7">
        <v>1.6500000000000001E-2</v>
      </c>
      <c r="K35" s="7">
        <v>7.5999999999999998E-2</v>
      </c>
      <c r="L35" s="7">
        <v>0</v>
      </c>
      <c r="M35" s="11">
        <f t="shared" si="2"/>
        <v>77362.249200000006</v>
      </c>
      <c r="N35" s="11">
        <f t="shared" si="3"/>
        <v>9360.8321532000009</v>
      </c>
      <c r="O35" s="11">
        <f t="shared" si="4"/>
        <v>43116.560220800005</v>
      </c>
      <c r="P35" s="11">
        <f t="shared" si="5"/>
        <v>0</v>
      </c>
    </row>
    <row r="36" spans="1:16">
      <c r="A36" s="44"/>
      <c r="B36" s="5">
        <f t="shared" si="8"/>
        <v>45444</v>
      </c>
      <c r="C36" s="1" t="s">
        <v>491</v>
      </c>
      <c r="D36" s="195" t="s">
        <v>688</v>
      </c>
      <c r="E36" s="118">
        <v>3303498</v>
      </c>
      <c r="F36" s="2">
        <v>8188994.9400000004</v>
      </c>
      <c r="G36" s="3">
        <f t="shared" si="9"/>
        <v>6539731.3590840008</v>
      </c>
      <c r="H36" s="4">
        <f t="shared" si="6"/>
        <v>1.9796383588196513</v>
      </c>
      <c r="I36" s="200">
        <v>0.12</v>
      </c>
      <c r="J36" s="7">
        <v>1.6500000000000001E-2</v>
      </c>
      <c r="K36" s="7">
        <v>7.5999999999999998E-2</v>
      </c>
      <c r="L36" s="7">
        <v>0</v>
      </c>
      <c r="M36" s="11">
        <f t="shared" si="2"/>
        <v>982679.39280000003</v>
      </c>
      <c r="N36" s="11">
        <f t="shared" si="3"/>
        <v>118904.2065288</v>
      </c>
      <c r="O36" s="11">
        <f t="shared" si="4"/>
        <v>547679.98158719996</v>
      </c>
      <c r="P36" s="11">
        <f t="shared" si="5"/>
        <v>0</v>
      </c>
    </row>
    <row r="37" spans="1:16">
      <c r="A37" s="44"/>
      <c r="B37" s="5">
        <f>B34</f>
        <v>45444</v>
      </c>
      <c r="C37" s="1" t="s">
        <v>534</v>
      </c>
      <c r="D37" s="195">
        <v>91775</v>
      </c>
      <c r="E37" s="118">
        <v>25084.180100000001</v>
      </c>
      <c r="F37" s="2">
        <v>190847.97</v>
      </c>
      <c r="G37" s="3">
        <f t="shared" si="1"/>
        <v>161070.91548075</v>
      </c>
      <c r="H37" s="201">
        <f>+IF(G37=0,0,G37/E37)</f>
        <v>6.421215078134046</v>
      </c>
      <c r="I37" s="200">
        <v>7.0000000000000007E-2</v>
      </c>
      <c r="J37" s="7">
        <v>1.6500000000000001E-2</v>
      </c>
      <c r="K37" s="7">
        <v>7.5999999999999998E-2</v>
      </c>
      <c r="L37" s="7">
        <v>0</v>
      </c>
      <c r="M37" s="11">
        <f t="shared" si="2"/>
        <v>13359.357900000001</v>
      </c>
      <c r="N37" s="11">
        <f t="shared" si="3"/>
        <v>2928.5620996500002</v>
      </c>
      <c r="O37" s="11">
        <f t="shared" si="4"/>
        <v>13489.1345196</v>
      </c>
      <c r="P37" s="11">
        <f t="shared" si="5"/>
        <v>0</v>
      </c>
    </row>
    <row r="38" spans="1:16">
      <c r="A38" s="44"/>
      <c r="B38" s="5">
        <f t="shared" si="7"/>
        <v>45444</v>
      </c>
      <c r="C38" s="1" t="s">
        <v>534</v>
      </c>
      <c r="D38" s="195">
        <v>91785</v>
      </c>
      <c r="E38" s="118">
        <v>25014.8868</v>
      </c>
      <c r="F38" s="2">
        <v>190320.76</v>
      </c>
      <c r="G38" s="3">
        <f t="shared" ref="G38:G43" si="10">F38-SUM(M38:P38)</f>
        <v>160625.96342099999</v>
      </c>
      <c r="H38" s="201">
        <f t="shared" ref="H38:H101" si="11">+IF(G38=0,0,G38/E38)</f>
        <v>6.4212148831710882</v>
      </c>
      <c r="I38" s="200">
        <v>7.0000000000000007E-2</v>
      </c>
      <c r="J38" s="7">
        <v>1.6500000000000001E-2</v>
      </c>
      <c r="K38" s="7">
        <v>7.5999999999999998E-2</v>
      </c>
      <c r="L38" s="7">
        <v>0</v>
      </c>
      <c r="M38" s="11">
        <f t="shared" si="2"/>
        <v>13322.453200000002</v>
      </c>
      <c r="N38" s="11">
        <f t="shared" si="3"/>
        <v>2920.4720622000004</v>
      </c>
      <c r="O38" s="11">
        <f t="shared" si="4"/>
        <v>13451.871316800001</v>
      </c>
      <c r="P38" s="11">
        <f t="shared" si="5"/>
        <v>0</v>
      </c>
    </row>
    <row r="39" spans="1:16">
      <c r="A39" s="44"/>
      <c r="B39" s="5">
        <f t="shared" si="7"/>
        <v>45444</v>
      </c>
      <c r="C39" s="1" t="s">
        <v>534</v>
      </c>
      <c r="D39" s="195">
        <v>91786</v>
      </c>
      <c r="E39" s="118">
        <v>24000</v>
      </c>
      <c r="F39" s="2">
        <v>182599.2</v>
      </c>
      <c r="G39" s="3">
        <f t="shared" si="10"/>
        <v>154109.15982</v>
      </c>
      <c r="H39" s="201">
        <f t="shared" si="11"/>
        <v>6.4212149925000004</v>
      </c>
      <c r="I39" s="200">
        <v>7.0000000000000007E-2</v>
      </c>
      <c r="J39" s="7">
        <v>1.6500000000000001E-2</v>
      </c>
      <c r="K39" s="7">
        <v>7.5999999999999998E-2</v>
      </c>
      <c r="L39" s="7">
        <v>0</v>
      </c>
      <c r="M39" s="11">
        <f t="shared" si="2"/>
        <v>12781.944000000001</v>
      </c>
      <c r="N39" s="11">
        <f t="shared" si="3"/>
        <v>2801.9847240000004</v>
      </c>
      <c r="O39" s="11">
        <f t="shared" si="4"/>
        <v>12906.111456000001</v>
      </c>
      <c r="P39" s="11">
        <f t="shared" si="5"/>
        <v>0</v>
      </c>
    </row>
    <row r="40" spans="1:16">
      <c r="A40" s="44"/>
      <c r="B40" s="5">
        <f t="shared" si="7"/>
        <v>45444</v>
      </c>
      <c r="C40" s="1" t="s">
        <v>534</v>
      </c>
      <c r="D40" s="195">
        <v>91787</v>
      </c>
      <c r="E40" s="118">
        <v>24000</v>
      </c>
      <c r="F40" s="2">
        <v>182599.2</v>
      </c>
      <c r="G40" s="3">
        <f t="shared" si="10"/>
        <v>154109.15982</v>
      </c>
      <c r="H40" s="201">
        <f t="shared" si="11"/>
        <v>6.4212149925000004</v>
      </c>
      <c r="I40" s="200">
        <v>7.0000000000000007E-2</v>
      </c>
      <c r="J40" s="7">
        <v>1.6500000000000001E-2</v>
      </c>
      <c r="K40" s="7">
        <v>7.5999999999999998E-2</v>
      </c>
      <c r="L40" s="7">
        <v>0</v>
      </c>
      <c r="M40" s="11">
        <f t="shared" si="2"/>
        <v>12781.944000000001</v>
      </c>
      <c r="N40" s="11">
        <f t="shared" si="3"/>
        <v>2801.9847240000004</v>
      </c>
      <c r="O40" s="11">
        <f t="shared" si="4"/>
        <v>12906.111456000001</v>
      </c>
      <c r="P40" s="11">
        <f t="shared" si="5"/>
        <v>0</v>
      </c>
    </row>
    <row r="41" spans="1:16">
      <c r="A41" s="44"/>
      <c r="B41" s="5">
        <f t="shared" si="7"/>
        <v>45444</v>
      </c>
      <c r="C41" s="1" t="s">
        <v>534</v>
      </c>
      <c r="D41" s="195"/>
      <c r="E41" s="118"/>
      <c r="F41" s="2"/>
      <c r="G41" s="3">
        <f t="shared" si="10"/>
        <v>0</v>
      </c>
      <c r="H41" s="201">
        <f t="shared" si="11"/>
        <v>0</v>
      </c>
      <c r="I41" s="200">
        <v>7.0000000000000007E-2</v>
      </c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>
      <c r="A42" s="44"/>
      <c r="B42" s="5">
        <f t="shared" si="7"/>
        <v>45444</v>
      </c>
      <c r="C42" s="1" t="s">
        <v>534</v>
      </c>
      <c r="D42" s="195">
        <v>91800</v>
      </c>
      <c r="E42" s="118">
        <v>1012.199</v>
      </c>
      <c r="F42" s="2">
        <v>7785.02</v>
      </c>
      <c r="G42" s="3">
        <f t="shared" si="10"/>
        <v>6570.3622544999998</v>
      </c>
      <c r="H42" s="201">
        <f t="shared" si="11"/>
        <v>6.4911763936735758</v>
      </c>
      <c r="I42" s="200">
        <v>7.0000000000000007E-2</v>
      </c>
      <c r="J42" s="7">
        <v>1.6500000000000001E-2</v>
      </c>
      <c r="K42" s="7">
        <v>7.5999999999999998E-2</v>
      </c>
      <c r="L42" s="7">
        <v>0</v>
      </c>
      <c r="M42" s="11">
        <f t="shared" si="2"/>
        <v>544.95140000000004</v>
      </c>
      <c r="N42" s="11">
        <f t="shared" si="3"/>
        <v>119.46113190000001</v>
      </c>
      <c r="O42" s="11">
        <f t="shared" si="4"/>
        <v>550.24521360000006</v>
      </c>
      <c r="P42" s="11">
        <f t="shared" si="5"/>
        <v>0</v>
      </c>
    </row>
    <row r="43" spans="1:16">
      <c r="A43" s="44"/>
      <c r="B43" s="5">
        <f t="shared" si="7"/>
        <v>45444</v>
      </c>
      <c r="C43" s="1" t="s">
        <v>534</v>
      </c>
      <c r="D43" s="195">
        <v>91804</v>
      </c>
      <c r="E43" s="118">
        <v>24860.9951</v>
      </c>
      <c r="F43" s="2">
        <v>189149.91</v>
      </c>
      <c r="G43" s="3">
        <f t="shared" si="10"/>
        <v>159637.79529225</v>
      </c>
      <c r="H43" s="201">
        <f t="shared" si="11"/>
        <v>6.4212150257915459</v>
      </c>
      <c r="I43" s="200">
        <v>7.0000000000000007E-2</v>
      </c>
      <c r="J43" s="7">
        <v>1.6500000000000001E-2</v>
      </c>
      <c r="K43" s="7">
        <v>7.5999999999999998E-2</v>
      </c>
      <c r="L43" s="7">
        <v>0</v>
      </c>
      <c r="M43" s="11">
        <f t="shared" si="2"/>
        <v>13240.493700000001</v>
      </c>
      <c r="N43" s="11">
        <f t="shared" si="3"/>
        <v>2902.5053689500005</v>
      </c>
      <c r="O43" s="11">
        <f t="shared" si="4"/>
        <v>13369.1156388</v>
      </c>
      <c r="P43" s="11">
        <f t="shared" si="5"/>
        <v>0</v>
      </c>
    </row>
    <row r="44" spans="1:16">
      <c r="A44" s="44"/>
      <c r="B44" s="5">
        <f t="shared" si="7"/>
        <v>45444</v>
      </c>
      <c r="C44" s="1" t="s">
        <v>534</v>
      </c>
      <c r="D44" s="195">
        <v>91822</v>
      </c>
      <c r="E44" s="118">
        <v>23933.830099999999</v>
      </c>
      <c r="F44" s="2">
        <v>182095.76</v>
      </c>
      <c r="G44" s="3">
        <f t="shared" ref="G44:G91" si="12">F44-SUM(M44:P44)</f>
        <v>153684.269046</v>
      </c>
      <c r="H44" s="201">
        <f t="shared" si="11"/>
        <v>6.4212150083742765</v>
      </c>
      <c r="I44" s="200">
        <v>7.0000000000000007E-2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12746.703200000002</v>
      </c>
      <c r="N44" s="11">
        <f t="shared" si="3"/>
        <v>2794.2594372000003</v>
      </c>
      <c r="O44" s="11">
        <f t="shared" si="4"/>
        <v>12870.528316800001</v>
      </c>
      <c r="P44" s="11">
        <f t="shared" si="5"/>
        <v>0</v>
      </c>
    </row>
    <row r="45" spans="1:16">
      <c r="A45" s="44"/>
      <c r="B45" s="5">
        <f t="shared" si="7"/>
        <v>45444</v>
      </c>
      <c r="C45" s="1" t="s">
        <v>534</v>
      </c>
      <c r="D45" s="195">
        <v>91833</v>
      </c>
      <c r="E45" s="118">
        <v>25031.5383</v>
      </c>
      <c r="F45" s="2">
        <v>190447.45</v>
      </c>
      <c r="G45" s="3">
        <f t="shared" si="12"/>
        <v>160732.88661375002</v>
      </c>
      <c r="H45" s="201">
        <f t="shared" si="11"/>
        <v>6.4212148964792153</v>
      </c>
      <c r="I45" s="200">
        <v>7.0000000000000007E-2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13331.321500000002</v>
      </c>
      <c r="N45" s="11">
        <f t="shared" si="3"/>
        <v>2922.4161202500004</v>
      </c>
      <c r="O45" s="11">
        <f t="shared" si="4"/>
        <v>13460.825766000002</v>
      </c>
      <c r="P45" s="11">
        <f t="shared" si="5"/>
        <v>0</v>
      </c>
    </row>
    <row r="46" spans="1:16">
      <c r="A46" s="44"/>
      <c r="B46" s="5">
        <f t="shared" si="7"/>
        <v>45444</v>
      </c>
      <c r="C46" s="1" t="s">
        <v>534</v>
      </c>
      <c r="D46" s="195">
        <v>91839</v>
      </c>
      <c r="E46" s="118">
        <v>24753.182199999999</v>
      </c>
      <c r="F46" s="2">
        <v>188329.64</v>
      </c>
      <c r="G46" s="3">
        <f t="shared" si="12"/>
        <v>158945.507919</v>
      </c>
      <c r="H46" s="201">
        <f t="shared" si="11"/>
        <v>6.4212151243729787</v>
      </c>
      <c r="I46" s="200">
        <v>7.0000000000000007E-2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13183.074800000002</v>
      </c>
      <c r="N46" s="11">
        <f t="shared" si="3"/>
        <v>2889.9183258000003</v>
      </c>
      <c r="O46" s="11">
        <f t="shared" si="4"/>
        <v>13311.1389552</v>
      </c>
      <c r="P46" s="11">
        <f t="shared" si="5"/>
        <v>0</v>
      </c>
    </row>
    <row r="47" spans="1:16">
      <c r="A47" s="44"/>
      <c r="B47" s="5">
        <f t="shared" si="7"/>
        <v>45444</v>
      </c>
      <c r="C47" s="1" t="s">
        <v>534</v>
      </c>
      <c r="D47" s="195">
        <v>91852</v>
      </c>
      <c r="E47" s="118">
        <v>24500</v>
      </c>
      <c r="F47" s="2">
        <v>188434.4</v>
      </c>
      <c r="G47" s="3">
        <f t="shared" si="12"/>
        <v>159033.92274000001</v>
      </c>
      <c r="H47" s="4">
        <f t="shared" si="11"/>
        <v>6.4911805200000003</v>
      </c>
      <c r="I47" s="200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13190.408000000001</v>
      </c>
      <c r="N47" s="11">
        <f t="shared" si="3"/>
        <v>2891.5258680000002</v>
      </c>
      <c r="O47" s="11">
        <f t="shared" si="4"/>
        <v>13318.543392</v>
      </c>
      <c r="P47" s="11">
        <f t="shared" si="5"/>
        <v>0</v>
      </c>
    </row>
    <row r="48" spans="1:16">
      <c r="A48" s="44"/>
      <c r="B48" s="5">
        <f t="shared" si="7"/>
        <v>45444</v>
      </c>
      <c r="C48" s="1" t="s">
        <v>534</v>
      </c>
      <c r="D48" s="195">
        <v>91853</v>
      </c>
      <c r="E48" s="118">
        <v>24500</v>
      </c>
      <c r="F48" s="2">
        <v>186403.35</v>
      </c>
      <c r="G48" s="3">
        <f t="shared" si="12"/>
        <v>157319.76731625001</v>
      </c>
      <c r="H48" s="201">
        <f t="shared" si="11"/>
        <v>6.4212149925000004</v>
      </c>
      <c r="I48" s="200">
        <v>7.0000000000000007E-2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13048.234500000002</v>
      </c>
      <c r="N48" s="11">
        <f t="shared" si="3"/>
        <v>2860.3594057500004</v>
      </c>
      <c r="O48" s="11">
        <f t="shared" si="4"/>
        <v>13174.988778000001</v>
      </c>
      <c r="P48" s="11">
        <f t="shared" si="5"/>
        <v>0</v>
      </c>
    </row>
    <row r="49" spans="1:16">
      <c r="A49" s="44"/>
      <c r="B49" s="5">
        <f t="shared" si="7"/>
        <v>45444</v>
      </c>
      <c r="C49" s="1" t="s">
        <v>534</v>
      </c>
      <c r="D49" s="195">
        <v>91854</v>
      </c>
      <c r="E49" s="118">
        <v>24500</v>
      </c>
      <c r="F49" s="2">
        <v>186403.35</v>
      </c>
      <c r="G49" s="3">
        <f t="shared" si="12"/>
        <v>157319.76731625001</v>
      </c>
      <c r="H49" s="201">
        <f t="shared" si="11"/>
        <v>6.4212149925000004</v>
      </c>
      <c r="I49" s="200">
        <v>7.0000000000000007E-2</v>
      </c>
      <c r="J49" s="7">
        <v>1.6500000000000001E-2</v>
      </c>
      <c r="K49" s="7">
        <v>7.5999999999999998E-2</v>
      </c>
      <c r="L49" s="7">
        <v>0</v>
      </c>
      <c r="M49" s="11">
        <f t="shared" si="2"/>
        <v>13048.234500000002</v>
      </c>
      <c r="N49" s="11">
        <f t="shared" si="3"/>
        <v>2860.3594057500004</v>
      </c>
      <c r="O49" s="11">
        <f t="shared" si="4"/>
        <v>13174.988778000001</v>
      </c>
      <c r="P49" s="11">
        <f t="shared" si="5"/>
        <v>0</v>
      </c>
    </row>
    <row r="50" spans="1:16">
      <c r="A50" s="44"/>
      <c r="B50" s="5">
        <f t="shared" si="7"/>
        <v>45444</v>
      </c>
      <c r="C50" s="1" t="s">
        <v>534</v>
      </c>
      <c r="D50" s="195">
        <v>91855</v>
      </c>
      <c r="E50" s="118">
        <v>24500</v>
      </c>
      <c r="F50" s="2">
        <v>186403.35</v>
      </c>
      <c r="G50" s="3">
        <f t="shared" si="12"/>
        <v>157319.76731625001</v>
      </c>
      <c r="H50" s="201">
        <f t="shared" si="11"/>
        <v>6.4212149925000004</v>
      </c>
      <c r="I50" s="200">
        <v>7.0000000000000007E-2</v>
      </c>
      <c r="J50" s="7">
        <v>1.6500000000000001E-2</v>
      </c>
      <c r="K50" s="7">
        <v>7.5999999999999998E-2</v>
      </c>
      <c r="L50" s="7">
        <v>0</v>
      </c>
      <c r="M50" s="11">
        <f t="shared" si="2"/>
        <v>13048.234500000002</v>
      </c>
      <c r="N50" s="11">
        <f t="shared" si="3"/>
        <v>2860.3594057500004</v>
      </c>
      <c r="O50" s="11">
        <f t="shared" si="4"/>
        <v>13174.988778000001</v>
      </c>
      <c r="P50" s="11">
        <f t="shared" si="5"/>
        <v>0</v>
      </c>
    </row>
    <row r="51" spans="1:16">
      <c r="A51" s="44"/>
      <c r="B51" s="5">
        <f t="shared" si="7"/>
        <v>45444</v>
      </c>
      <c r="C51" s="1" t="s">
        <v>534</v>
      </c>
      <c r="D51" s="195">
        <v>91892</v>
      </c>
      <c r="E51" s="118">
        <v>24710.5687</v>
      </c>
      <c r="F51" s="2">
        <v>188005.42</v>
      </c>
      <c r="G51" s="3">
        <f t="shared" si="12"/>
        <v>158671.87434450001</v>
      </c>
      <c r="H51" s="201">
        <f t="shared" si="11"/>
        <v>6.4212149979575344</v>
      </c>
      <c r="I51" s="200">
        <v>7.0000000000000007E-2</v>
      </c>
      <c r="J51" s="7">
        <v>1.6500000000000001E-2</v>
      </c>
      <c r="K51" s="7">
        <v>7.5999999999999998E-2</v>
      </c>
      <c r="L51" s="7">
        <v>0</v>
      </c>
      <c r="M51" s="11">
        <f t="shared" si="2"/>
        <v>13160.379400000002</v>
      </c>
      <c r="N51" s="11">
        <f t="shared" si="3"/>
        <v>2884.9431699000002</v>
      </c>
      <c r="O51" s="11">
        <f t="shared" si="4"/>
        <v>13288.223085600001</v>
      </c>
      <c r="P51" s="11">
        <f t="shared" si="5"/>
        <v>0</v>
      </c>
    </row>
    <row r="52" spans="1:16">
      <c r="A52" s="44"/>
      <c r="B52" s="5">
        <f t="shared" si="7"/>
        <v>45444</v>
      </c>
      <c r="C52" s="1" t="s">
        <v>534</v>
      </c>
      <c r="D52" s="195">
        <v>91893</v>
      </c>
      <c r="E52" s="118">
        <v>24930.585500000001</v>
      </c>
      <c r="F52" s="2">
        <v>189679.37</v>
      </c>
      <c r="G52" s="3">
        <f t="shared" si="12"/>
        <v>160084.64629574999</v>
      </c>
      <c r="H52" s="201">
        <f t="shared" si="11"/>
        <v>6.4212148686098844</v>
      </c>
      <c r="I52" s="200">
        <v>7.0000000000000007E-2</v>
      </c>
      <c r="J52" s="7">
        <v>1.6500000000000001E-2</v>
      </c>
      <c r="K52" s="7">
        <v>7.5999999999999998E-2</v>
      </c>
      <c r="L52" s="7">
        <v>0</v>
      </c>
      <c r="M52" s="11">
        <f t="shared" si="2"/>
        <v>13277.555900000001</v>
      </c>
      <c r="N52" s="11">
        <f t="shared" si="3"/>
        <v>2910.6299326499998</v>
      </c>
      <c r="O52" s="11">
        <f t="shared" si="4"/>
        <v>13406.5378716</v>
      </c>
      <c r="P52" s="11">
        <f t="shared" si="5"/>
        <v>0</v>
      </c>
    </row>
    <row r="53" spans="1:16">
      <c r="A53" s="44"/>
      <c r="B53" s="5">
        <f t="shared" si="7"/>
        <v>45444</v>
      </c>
      <c r="C53" s="1" t="s">
        <v>534</v>
      </c>
      <c r="D53" s="195">
        <v>91894</v>
      </c>
      <c r="E53" s="118">
        <v>24848.079000000002</v>
      </c>
      <c r="F53" s="2">
        <v>189051.64</v>
      </c>
      <c r="G53" s="3">
        <f t="shared" si="12"/>
        <v>159554.857869</v>
      </c>
      <c r="H53" s="201">
        <f t="shared" si="11"/>
        <v>6.4212150109873685</v>
      </c>
      <c r="I53" s="200">
        <v>7.0000000000000007E-2</v>
      </c>
      <c r="J53" s="7">
        <v>1.6500000000000001E-2</v>
      </c>
      <c r="K53" s="7">
        <v>7.5999999999999998E-2</v>
      </c>
      <c r="L53" s="7">
        <v>0</v>
      </c>
      <c r="M53" s="11">
        <f t="shared" si="2"/>
        <v>13233.614800000003</v>
      </c>
      <c r="N53" s="11">
        <f t="shared" si="3"/>
        <v>2900.9974158</v>
      </c>
      <c r="O53" s="11">
        <f t="shared" si="4"/>
        <v>13362.1699152</v>
      </c>
      <c r="P53" s="11">
        <f t="shared" si="5"/>
        <v>0</v>
      </c>
    </row>
    <row r="54" spans="1:16">
      <c r="A54" s="44"/>
      <c r="B54" s="5">
        <f t="shared" si="7"/>
        <v>45444</v>
      </c>
      <c r="C54" s="1" t="s">
        <v>534</v>
      </c>
      <c r="D54" s="195">
        <v>91907</v>
      </c>
      <c r="E54" s="118">
        <v>24290.454399999999</v>
      </c>
      <c r="F54" s="2">
        <v>184809.06</v>
      </c>
      <c r="G54" s="3">
        <f t="shared" si="12"/>
        <v>155974.2264135</v>
      </c>
      <c r="H54" s="201">
        <f t="shared" si="11"/>
        <v>6.4212148461701899</v>
      </c>
      <c r="I54" s="200">
        <v>7.0000000000000007E-2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12936.6342</v>
      </c>
      <c r="N54" s="11">
        <f t="shared" si="3"/>
        <v>2835.8950257000001</v>
      </c>
      <c r="O54" s="11">
        <f t="shared" si="4"/>
        <v>13062.304360799999</v>
      </c>
      <c r="P54" s="11">
        <f t="shared" si="5"/>
        <v>0</v>
      </c>
    </row>
    <row r="55" spans="1:16">
      <c r="A55" s="44"/>
      <c r="B55" s="5">
        <f t="shared" si="7"/>
        <v>45444</v>
      </c>
      <c r="C55" s="1" t="s">
        <v>534</v>
      </c>
      <c r="D55" s="195">
        <v>91918</v>
      </c>
      <c r="E55" s="118">
        <v>24111.5452</v>
      </c>
      <c r="F55" s="2">
        <v>183447.87</v>
      </c>
      <c r="G55" s="3">
        <f t="shared" si="12"/>
        <v>154825.41608324999</v>
      </c>
      <c r="H55" s="201">
        <f t="shared" si="11"/>
        <v>6.4212150154213257</v>
      </c>
      <c r="I55" s="200">
        <v>7.0000000000000007E-2</v>
      </c>
      <c r="J55" s="7">
        <v>1.6500000000000001E-2</v>
      </c>
      <c r="K55" s="7">
        <v>7.5999999999999998E-2</v>
      </c>
      <c r="L55" s="7">
        <v>0</v>
      </c>
      <c r="M55" s="11">
        <f t="shared" si="2"/>
        <v>12841.350900000001</v>
      </c>
      <c r="N55" s="11">
        <f t="shared" si="3"/>
        <v>2815.0075651500001</v>
      </c>
      <c r="O55" s="11">
        <f t="shared" si="4"/>
        <v>12966.0954516</v>
      </c>
      <c r="P55" s="11">
        <f t="shared" si="5"/>
        <v>0</v>
      </c>
    </row>
    <row r="56" spans="1:16">
      <c r="A56" s="44"/>
      <c r="B56" s="5">
        <f t="shared" si="7"/>
        <v>45444</v>
      </c>
      <c r="C56" s="1" t="s">
        <v>534</v>
      </c>
      <c r="D56" s="195">
        <v>91931</v>
      </c>
      <c r="E56" s="118">
        <v>25191.855800000001</v>
      </c>
      <c r="F56" s="2">
        <v>191667.20000000001</v>
      </c>
      <c r="G56" s="3">
        <f t="shared" si="12"/>
        <v>161762.32511999999</v>
      </c>
      <c r="H56" s="201">
        <f t="shared" si="11"/>
        <v>6.4212151103214872</v>
      </c>
      <c r="I56" s="200">
        <v>7.0000000000000007E-2</v>
      </c>
      <c r="J56" s="7">
        <v>1.6500000000000001E-2</v>
      </c>
      <c r="K56" s="7">
        <v>7.5999999999999998E-2</v>
      </c>
      <c r="L56" s="7">
        <v>0</v>
      </c>
      <c r="M56" s="11">
        <f t="shared" si="2"/>
        <v>13416.704000000002</v>
      </c>
      <c r="N56" s="11">
        <f t="shared" si="3"/>
        <v>2941.1331840000003</v>
      </c>
      <c r="O56" s="11">
        <f t="shared" si="4"/>
        <v>13547.037696000001</v>
      </c>
      <c r="P56" s="11">
        <f t="shared" si="5"/>
        <v>0</v>
      </c>
    </row>
    <row r="57" spans="1:16">
      <c r="A57" s="44"/>
      <c r="B57" s="5">
        <f t="shared" si="7"/>
        <v>45444</v>
      </c>
      <c r="C57" s="1" t="s">
        <v>534</v>
      </c>
      <c r="D57" s="195">
        <v>91940</v>
      </c>
      <c r="E57" s="118">
        <v>25266.250599999999</v>
      </c>
      <c r="F57" s="2">
        <v>192233.21</v>
      </c>
      <c r="G57" s="3">
        <f t="shared" ref="G57:G87" si="13">F57-SUM(M57:P57)</f>
        <v>162240.02340974999</v>
      </c>
      <c r="H57" s="201">
        <f t="shared" si="11"/>
        <v>6.4212148441902182</v>
      </c>
      <c r="I57" s="200">
        <v>7.0000000000000007E-2</v>
      </c>
      <c r="J57" s="7">
        <v>1.6500000000000001E-2</v>
      </c>
      <c r="K57" s="7">
        <v>7.5999999999999998E-2</v>
      </c>
      <c r="L57" s="7">
        <v>0</v>
      </c>
      <c r="M57" s="11">
        <f t="shared" si="2"/>
        <v>13456.324700000001</v>
      </c>
      <c r="N57" s="11">
        <f t="shared" si="3"/>
        <v>2949.8186074499999</v>
      </c>
      <c r="O57" s="11">
        <f t="shared" si="4"/>
        <v>13587.043282799999</v>
      </c>
      <c r="P57" s="11">
        <f t="shared" si="5"/>
        <v>0</v>
      </c>
    </row>
    <row r="58" spans="1:16">
      <c r="A58" s="44"/>
      <c r="B58" s="5">
        <f t="shared" si="7"/>
        <v>45444</v>
      </c>
      <c r="C58" s="1" t="s">
        <v>534</v>
      </c>
      <c r="D58" s="195">
        <v>92210</v>
      </c>
      <c r="E58" s="118">
        <v>24894.656299999999</v>
      </c>
      <c r="F58" s="2">
        <v>190132.94</v>
      </c>
      <c r="G58" s="3">
        <f t="shared" si="13"/>
        <v>160467.44803649999</v>
      </c>
      <c r="H58" s="201">
        <f t="shared" si="11"/>
        <v>6.4458591475512756</v>
      </c>
      <c r="I58" s="200">
        <v>7.0000000000000007E-2</v>
      </c>
      <c r="J58" s="7">
        <v>1.6500000000000001E-2</v>
      </c>
      <c r="K58" s="7">
        <v>7.5999999999999998E-2</v>
      </c>
      <c r="L58" s="7">
        <v>0</v>
      </c>
      <c r="M58" s="11">
        <f t="shared" si="2"/>
        <v>13309.305800000002</v>
      </c>
      <c r="N58" s="11">
        <f t="shared" si="3"/>
        <v>2917.5899643000002</v>
      </c>
      <c r="O58" s="11">
        <f t="shared" si="4"/>
        <v>13438.596199199999</v>
      </c>
      <c r="P58" s="11">
        <f t="shared" si="5"/>
        <v>0</v>
      </c>
    </row>
    <row r="59" spans="1:16">
      <c r="A59" s="44"/>
      <c r="B59" s="5">
        <f t="shared" si="7"/>
        <v>45444</v>
      </c>
      <c r="C59" s="1" t="s">
        <v>534</v>
      </c>
      <c r="D59" s="195">
        <v>91956</v>
      </c>
      <c r="E59" s="118">
        <v>24000</v>
      </c>
      <c r="F59" s="2">
        <v>182599.2</v>
      </c>
      <c r="G59" s="3">
        <f t="shared" si="13"/>
        <v>154109.15982</v>
      </c>
      <c r="H59" s="201">
        <f t="shared" si="11"/>
        <v>6.4212149925000004</v>
      </c>
      <c r="I59" s="200">
        <v>7.0000000000000007E-2</v>
      </c>
      <c r="J59" s="7">
        <v>1.6500000000000001E-2</v>
      </c>
      <c r="K59" s="7">
        <v>7.5999999999999998E-2</v>
      </c>
      <c r="L59" s="7">
        <v>0</v>
      </c>
      <c r="M59" s="11">
        <f t="shared" si="2"/>
        <v>12781.944000000001</v>
      </c>
      <c r="N59" s="11">
        <f t="shared" si="3"/>
        <v>2801.9847240000004</v>
      </c>
      <c r="O59" s="11">
        <f t="shared" si="4"/>
        <v>12906.111456000001</v>
      </c>
      <c r="P59" s="11">
        <f t="shared" si="5"/>
        <v>0</v>
      </c>
    </row>
    <row r="60" spans="1:16">
      <c r="A60" s="44"/>
      <c r="B60" s="5">
        <f t="shared" si="7"/>
        <v>45444</v>
      </c>
      <c r="C60" s="1" t="s">
        <v>534</v>
      </c>
      <c r="D60" s="195">
        <v>91957</v>
      </c>
      <c r="E60" s="118">
        <v>24000</v>
      </c>
      <c r="F60" s="2">
        <v>182599.2</v>
      </c>
      <c r="G60" s="3">
        <f t="shared" si="13"/>
        <v>154109.15982</v>
      </c>
      <c r="H60" s="201">
        <f t="shared" si="11"/>
        <v>6.4212149925000004</v>
      </c>
      <c r="I60" s="200">
        <v>7.0000000000000007E-2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12781.944000000001</v>
      </c>
      <c r="N60" s="11">
        <f t="shared" si="3"/>
        <v>2801.9847240000004</v>
      </c>
      <c r="O60" s="11">
        <f t="shared" si="4"/>
        <v>12906.111456000001</v>
      </c>
      <c r="P60" s="11">
        <f t="shared" si="5"/>
        <v>0</v>
      </c>
    </row>
    <row r="61" spans="1:16">
      <c r="A61" s="44"/>
      <c r="B61" s="5">
        <f t="shared" si="7"/>
        <v>45444</v>
      </c>
      <c r="C61" s="1" t="s">
        <v>534</v>
      </c>
      <c r="D61" s="195">
        <v>91984</v>
      </c>
      <c r="E61" s="118">
        <v>24756.0949</v>
      </c>
      <c r="F61" s="2">
        <v>190404.08</v>
      </c>
      <c r="G61" s="3">
        <f t="shared" si="13"/>
        <v>160696.28341799998</v>
      </c>
      <c r="H61" s="201">
        <f t="shared" si="11"/>
        <v>6.4911806190402013</v>
      </c>
      <c r="I61" s="200">
        <v>7.0000000000000007E-2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13328.285600000001</v>
      </c>
      <c r="N61" s="11">
        <f t="shared" si="3"/>
        <v>2921.7506076</v>
      </c>
      <c r="O61" s="11">
        <f t="shared" si="4"/>
        <v>13457.760374399999</v>
      </c>
      <c r="P61" s="11">
        <f t="shared" si="5"/>
        <v>0</v>
      </c>
    </row>
    <row r="62" spans="1:16">
      <c r="A62" s="44"/>
      <c r="B62" s="5">
        <f t="shared" si="7"/>
        <v>45444</v>
      </c>
      <c r="C62" s="1" t="s">
        <v>534</v>
      </c>
      <c r="D62" s="195">
        <v>91987</v>
      </c>
      <c r="E62" s="118">
        <v>24674.637299999999</v>
      </c>
      <c r="F62" s="2">
        <v>187732.04</v>
      </c>
      <c r="G62" s="3">
        <f t="shared" si="13"/>
        <v>158441.14845899999</v>
      </c>
      <c r="H62" s="201">
        <f t="shared" si="11"/>
        <v>6.4212148909276978</v>
      </c>
      <c r="I62" s="200">
        <v>7.0000000000000007E-2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13141.242800000002</v>
      </c>
      <c r="N62" s="11">
        <f t="shared" si="3"/>
        <v>2880.7481538000002</v>
      </c>
      <c r="O62" s="11">
        <f t="shared" si="4"/>
        <v>13268.9005872</v>
      </c>
      <c r="P62" s="11">
        <f t="shared" si="5"/>
        <v>0</v>
      </c>
    </row>
    <row r="63" spans="1:16">
      <c r="A63" s="44"/>
      <c r="B63" s="5">
        <f t="shared" si="7"/>
        <v>45444</v>
      </c>
      <c r="C63" s="1" t="s">
        <v>534</v>
      </c>
      <c r="D63" s="195">
        <v>92021</v>
      </c>
      <c r="E63" s="118">
        <v>24744.065399999999</v>
      </c>
      <c r="F63" s="2">
        <v>188260.27</v>
      </c>
      <c r="G63" s="3">
        <f t="shared" si="13"/>
        <v>158886.96137325</v>
      </c>
      <c r="H63" s="201">
        <f t="shared" si="11"/>
        <v>6.421214897583079</v>
      </c>
      <c r="I63" s="200">
        <v>7.0000000000000007E-2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13178.2189</v>
      </c>
      <c r="N63" s="11">
        <f t="shared" si="3"/>
        <v>2888.8538431499996</v>
      </c>
      <c r="O63" s="11">
        <f t="shared" si="4"/>
        <v>13306.235883599998</v>
      </c>
      <c r="P63" s="11">
        <f t="shared" si="5"/>
        <v>0</v>
      </c>
    </row>
    <row r="64" spans="1:16">
      <c r="A64" s="44"/>
      <c r="B64" s="5">
        <f t="shared" si="7"/>
        <v>45444</v>
      </c>
      <c r="C64" s="1" t="s">
        <v>534</v>
      </c>
      <c r="D64" s="195">
        <v>92041</v>
      </c>
      <c r="E64" s="118">
        <v>24308.882600000001</v>
      </c>
      <c r="F64" s="2">
        <v>184949.27</v>
      </c>
      <c r="G64" s="3">
        <f t="shared" si="13"/>
        <v>156092.56014824999</v>
      </c>
      <c r="H64" s="201">
        <f t="shared" si="11"/>
        <v>6.421214940922459</v>
      </c>
      <c r="I64" s="200">
        <v>7.0000000000000007E-2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12946.448900000001</v>
      </c>
      <c r="N64" s="11">
        <f t="shared" si="3"/>
        <v>2838.04654815</v>
      </c>
      <c r="O64" s="11">
        <f t="shared" si="4"/>
        <v>13072.214403599999</v>
      </c>
      <c r="P64" s="11">
        <f t="shared" si="5"/>
        <v>0</v>
      </c>
    </row>
    <row r="65" spans="1:16">
      <c r="A65" s="44"/>
      <c r="B65" s="5">
        <f t="shared" si="7"/>
        <v>45444</v>
      </c>
      <c r="C65" s="1" t="s">
        <v>534</v>
      </c>
      <c r="D65" s="195">
        <v>92042</v>
      </c>
      <c r="E65" s="118">
        <v>24000.0003</v>
      </c>
      <c r="F65" s="2">
        <v>182599.2</v>
      </c>
      <c r="G65" s="3">
        <f t="shared" si="13"/>
        <v>154109.15982</v>
      </c>
      <c r="H65" s="201">
        <f t="shared" si="11"/>
        <v>6.4212149122348139</v>
      </c>
      <c r="I65" s="200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12781.944000000001</v>
      </c>
      <c r="N65" s="11">
        <f t="shared" si="3"/>
        <v>2801.9847240000004</v>
      </c>
      <c r="O65" s="11">
        <f t="shared" si="4"/>
        <v>12906.111456000001</v>
      </c>
      <c r="P65" s="11">
        <f t="shared" si="5"/>
        <v>0</v>
      </c>
    </row>
    <row r="66" spans="1:16">
      <c r="A66" s="44"/>
      <c r="B66" s="5">
        <f t="shared" si="7"/>
        <v>45444</v>
      </c>
      <c r="C66" s="1" t="s">
        <v>534</v>
      </c>
      <c r="D66" s="195">
        <v>92045</v>
      </c>
      <c r="E66" s="118">
        <v>24518.6371</v>
      </c>
      <c r="F66" s="2">
        <v>186545.15</v>
      </c>
      <c r="G66" s="3">
        <f t="shared" si="13"/>
        <v>157439.44297124998</v>
      </c>
      <c r="H66" s="201">
        <f t="shared" si="11"/>
        <v>6.4212151078841977</v>
      </c>
      <c r="I66" s="200">
        <v>7.0000000000000007E-2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13058.1605</v>
      </c>
      <c r="N66" s="11">
        <f t="shared" si="3"/>
        <v>2862.53532675</v>
      </c>
      <c r="O66" s="11">
        <f t="shared" si="4"/>
        <v>13185.011202</v>
      </c>
      <c r="P66" s="11">
        <f t="shared" si="5"/>
        <v>0</v>
      </c>
    </row>
    <row r="67" spans="1:16">
      <c r="A67" s="44"/>
      <c r="B67" s="5">
        <f t="shared" si="7"/>
        <v>45444</v>
      </c>
      <c r="C67" s="1" t="s">
        <v>534</v>
      </c>
      <c r="D67" s="195">
        <v>92054</v>
      </c>
      <c r="E67" s="118">
        <v>24866.123299999999</v>
      </c>
      <c r="F67" s="2">
        <v>189188.93</v>
      </c>
      <c r="G67" s="3">
        <f t="shared" si="13"/>
        <v>159670.72719675</v>
      </c>
      <c r="H67" s="201">
        <f t="shared" si="11"/>
        <v>6.4212151315420369</v>
      </c>
      <c r="I67" s="200">
        <v>7.0000000000000007E-2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13243.225100000001</v>
      </c>
      <c r="N67" s="11">
        <f t="shared" si="3"/>
        <v>2903.1041308499998</v>
      </c>
      <c r="O67" s="11">
        <f t="shared" si="4"/>
        <v>13371.873572399998</v>
      </c>
      <c r="P67" s="11">
        <f t="shared" si="5"/>
        <v>0</v>
      </c>
    </row>
    <row r="68" spans="1:16">
      <c r="A68" s="44"/>
      <c r="B68" s="5">
        <f t="shared" si="7"/>
        <v>45444</v>
      </c>
      <c r="C68" s="1" t="s">
        <v>534</v>
      </c>
      <c r="D68" s="195">
        <v>92070</v>
      </c>
      <c r="E68" s="118">
        <v>25005.198700000001</v>
      </c>
      <c r="F68" s="2">
        <v>192319.98</v>
      </c>
      <c r="G68" s="3">
        <f t="shared" si="13"/>
        <v>162313.25512050002</v>
      </c>
      <c r="H68" s="202">
        <f t="shared" si="11"/>
        <v>6.4911803768429968</v>
      </c>
      <c r="I68" s="200">
        <v>7.0000000000000007E-2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13462.398600000002</v>
      </c>
      <c r="N68" s="11">
        <f t="shared" si="3"/>
        <v>2951.1500931</v>
      </c>
      <c r="O68" s="11">
        <f t="shared" si="4"/>
        <v>13593.1761864</v>
      </c>
      <c r="P68" s="11">
        <f t="shared" si="5"/>
        <v>0</v>
      </c>
    </row>
    <row r="69" spans="1:16">
      <c r="A69" s="44"/>
      <c r="B69" s="5">
        <f t="shared" si="7"/>
        <v>45444</v>
      </c>
      <c r="C69" s="1" t="s">
        <v>534</v>
      </c>
      <c r="D69" s="195">
        <v>92073</v>
      </c>
      <c r="E69" s="118">
        <v>24172.616600000001</v>
      </c>
      <c r="F69" s="2">
        <v>183912.52</v>
      </c>
      <c r="G69" s="3">
        <f t="shared" si="13"/>
        <v>155217.569067</v>
      </c>
      <c r="H69" s="201">
        <f t="shared" si="11"/>
        <v>6.4212150316817587</v>
      </c>
      <c r="I69" s="200">
        <v>7.0000000000000007E-2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12873.876400000001</v>
      </c>
      <c r="N69" s="11">
        <f t="shared" si="3"/>
        <v>2822.1376193999999</v>
      </c>
      <c r="O69" s="11">
        <f t="shared" si="4"/>
        <v>12998.936913599999</v>
      </c>
      <c r="P69" s="11">
        <f t="shared" si="5"/>
        <v>0</v>
      </c>
    </row>
    <row r="70" spans="1:16">
      <c r="A70" s="44"/>
      <c r="B70" s="5">
        <f t="shared" si="7"/>
        <v>45444</v>
      </c>
      <c r="C70" s="1" t="s">
        <v>534</v>
      </c>
      <c r="D70" s="195">
        <v>92084</v>
      </c>
      <c r="E70" s="118">
        <v>24000</v>
      </c>
      <c r="F70" s="2">
        <v>182599.2</v>
      </c>
      <c r="G70" s="3">
        <f t="shared" si="13"/>
        <v>154109.15982</v>
      </c>
      <c r="H70" s="201">
        <f t="shared" si="11"/>
        <v>6.4212149925000004</v>
      </c>
      <c r="I70" s="200">
        <v>7.0000000000000007E-2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12781.944000000001</v>
      </c>
      <c r="N70" s="11">
        <f t="shared" si="3"/>
        <v>2801.9847240000004</v>
      </c>
      <c r="O70" s="11">
        <f t="shared" si="4"/>
        <v>12906.111456000001</v>
      </c>
      <c r="P70" s="11">
        <f t="shared" si="5"/>
        <v>0</v>
      </c>
    </row>
    <row r="71" spans="1:16">
      <c r="A71" s="44"/>
      <c r="B71" s="5">
        <f t="shared" si="7"/>
        <v>45444</v>
      </c>
      <c r="C71" s="1" t="s">
        <v>534</v>
      </c>
      <c r="D71" s="195">
        <v>92085</v>
      </c>
      <c r="E71" s="118">
        <v>24000</v>
      </c>
      <c r="F71" s="2">
        <v>182599.2</v>
      </c>
      <c r="G71" s="3">
        <f t="shared" si="13"/>
        <v>154109.15982</v>
      </c>
      <c r="H71" s="201">
        <f t="shared" si="11"/>
        <v>6.4212149925000004</v>
      </c>
      <c r="I71" s="200">
        <v>7.0000000000000007E-2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12781.944000000001</v>
      </c>
      <c r="N71" s="11">
        <f t="shared" si="3"/>
        <v>2801.9847240000004</v>
      </c>
      <c r="O71" s="11">
        <f t="shared" si="4"/>
        <v>12906.111456000001</v>
      </c>
      <c r="P71" s="11">
        <f t="shared" si="5"/>
        <v>0</v>
      </c>
    </row>
    <row r="72" spans="1:16">
      <c r="A72" s="44"/>
      <c r="B72" s="5">
        <f t="shared" si="7"/>
        <v>45444</v>
      </c>
      <c r="C72" s="1" t="s">
        <v>534</v>
      </c>
      <c r="D72" s="195">
        <v>92086</v>
      </c>
      <c r="E72" s="118">
        <v>24000</v>
      </c>
      <c r="F72" s="2">
        <v>182599.2</v>
      </c>
      <c r="G72" s="3">
        <f t="shared" si="13"/>
        <v>154109.15982</v>
      </c>
      <c r="H72" s="201">
        <f t="shared" si="11"/>
        <v>6.4212149925000004</v>
      </c>
      <c r="I72" s="200">
        <v>7.0000000000000007E-2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12781.944000000001</v>
      </c>
      <c r="N72" s="11">
        <f t="shared" si="3"/>
        <v>2801.9847240000004</v>
      </c>
      <c r="O72" s="11">
        <f t="shared" si="4"/>
        <v>12906.111456000001</v>
      </c>
      <c r="P72" s="11">
        <f t="shared" si="5"/>
        <v>0</v>
      </c>
    </row>
    <row r="73" spans="1:16">
      <c r="A73" s="44"/>
      <c r="B73" s="5">
        <f t="shared" si="7"/>
        <v>45444</v>
      </c>
      <c r="C73" s="1" t="s">
        <v>534</v>
      </c>
      <c r="D73" s="195">
        <v>92087</v>
      </c>
      <c r="E73" s="118">
        <v>24894.1875</v>
      </c>
      <c r="F73" s="2">
        <v>189402.45</v>
      </c>
      <c r="G73" s="3">
        <f t="shared" si="13"/>
        <v>159850.93273875001</v>
      </c>
      <c r="H73" s="201">
        <f t="shared" si="11"/>
        <v>6.4212151024712094</v>
      </c>
      <c r="I73" s="200">
        <v>7.0000000000000007E-2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13258.171500000002</v>
      </c>
      <c r="N73" s="11">
        <f t="shared" si="3"/>
        <v>2906.3805952500002</v>
      </c>
      <c r="O73" s="11">
        <f t="shared" si="4"/>
        <v>13386.965166</v>
      </c>
      <c r="P73" s="11">
        <f t="shared" si="5"/>
        <v>0</v>
      </c>
    </row>
    <row r="74" spans="1:16">
      <c r="A74" s="44"/>
      <c r="B74" s="5">
        <f t="shared" si="7"/>
        <v>45444</v>
      </c>
      <c r="C74" s="1" t="s">
        <v>534</v>
      </c>
      <c r="D74" s="195">
        <v>92112</v>
      </c>
      <c r="E74" s="118">
        <v>25050.421200000001</v>
      </c>
      <c r="F74" s="2">
        <v>190591.12</v>
      </c>
      <c r="G74" s="3">
        <f t="shared" si="13"/>
        <v>160854.14050199999</v>
      </c>
      <c r="H74" s="201">
        <f t="shared" si="11"/>
        <v>6.4212150054387109</v>
      </c>
      <c r="I74" s="200">
        <v>7.0000000000000007E-2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13341.378400000001</v>
      </c>
      <c r="N74" s="11">
        <f t="shared" si="3"/>
        <v>2924.6207364000002</v>
      </c>
      <c r="O74" s="11">
        <f t="shared" si="4"/>
        <v>13470.980361600001</v>
      </c>
      <c r="P74" s="11">
        <f t="shared" si="5"/>
        <v>0</v>
      </c>
    </row>
    <row r="75" spans="1:16">
      <c r="A75" s="44"/>
      <c r="B75" s="5">
        <f t="shared" si="7"/>
        <v>45444</v>
      </c>
      <c r="C75" s="1" t="s">
        <v>534</v>
      </c>
      <c r="D75" s="195">
        <v>92123</v>
      </c>
      <c r="E75" s="118">
        <v>25102.055100000001</v>
      </c>
      <c r="F75" s="2">
        <v>190983.97</v>
      </c>
      <c r="G75" s="3">
        <f t="shared" si="13"/>
        <v>161185.69608075</v>
      </c>
      <c r="H75" s="201">
        <f t="shared" si="11"/>
        <v>6.4212151331286815</v>
      </c>
      <c r="I75" s="200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13368.877900000001</v>
      </c>
      <c r="N75" s="11">
        <f t="shared" si="3"/>
        <v>2930.6490196500004</v>
      </c>
      <c r="O75" s="11">
        <f t="shared" si="4"/>
        <v>13498.7469996</v>
      </c>
      <c r="P75" s="11">
        <f t="shared" si="5"/>
        <v>0</v>
      </c>
    </row>
    <row r="76" spans="1:16">
      <c r="A76" s="44"/>
      <c r="B76" s="5">
        <f t="shared" si="7"/>
        <v>45444</v>
      </c>
      <c r="C76" s="1" t="s">
        <v>534</v>
      </c>
      <c r="D76" s="195">
        <v>92136</v>
      </c>
      <c r="E76" s="118">
        <v>25134.852500000001</v>
      </c>
      <c r="F76" s="2">
        <v>191233.5</v>
      </c>
      <c r="G76" s="3">
        <f t="shared" si="13"/>
        <v>161396.29316249999</v>
      </c>
      <c r="H76" s="201">
        <f t="shared" si="11"/>
        <v>6.421215050396655</v>
      </c>
      <c r="I76" s="200">
        <v>7.0000000000000007E-2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13386.345000000001</v>
      </c>
      <c r="N76" s="11">
        <f t="shared" si="3"/>
        <v>2934.4780575</v>
      </c>
      <c r="O76" s="11">
        <f t="shared" si="4"/>
        <v>13516.38378</v>
      </c>
      <c r="P76" s="11">
        <f t="shared" si="5"/>
        <v>0</v>
      </c>
    </row>
    <row r="77" spans="1:16">
      <c r="A77" s="44"/>
      <c r="B77" s="5">
        <f t="shared" si="7"/>
        <v>45444</v>
      </c>
      <c r="C77" s="1" t="s">
        <v>534</v>
      </c>
      <c r="D77" s="195">
        <v>92142</v>
      </c>
      <c r="E77" s="118">
        <v>24000</v>
      </c>
      <c r="F77" s="2">
        <v>183300</v>
      </c>
      <c r="G77" s="3">
        <f t="shared" si="13"/>
        <v>154700.61749999999</v>
      </c>
      <c r="H77" s="201">
        <f t="shared" si="11"/>
        <v>6.4458590624999994</v>
      </c>
      <c r="I77" s="200">
        <v>7.0000000000000007E-2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12831.000000000002</v>
      </c>
      <c r="N77" s="11">
        <f t="shared" si="3"/>
        <v>2812.7384999999999</v>
      </c>
      <c r="O77" s="11">
        <f t="shared" si="4"/>
        <v>12955.644</v>
      </c>
      <c r="P77" s="11">
        <f t="shared" si="5"/>
        <v>0</v>
      </c>
    </row>
    <row r="78" spans="1:16">
      <c r="A78" s="44"/>
      <c r="B78" s="5">
        <f t="shared" si="7"/>
        <v>45444</v>
      </c>
      <c r="C78" s="1" t="s">
        <v>534</v>
      </c>
      <c r="D78" s="195">
        <v>92166</v>
      </c>
      <c r="E78" s="118">
        <v>230.0333</v>
      </c>
      <c r="F78" s="2">
        <v>1776.18</v>
      </c>
      <c r="G78" s="3">
        <f t="shared" si="13"/>
        <v>1499.0515155000001</v>
      </c>
      <c r="H78" s="4">
        <f t="shared" si="11"/>
        <v>6.5166717840417023</v>
      </c>
      <c r="I78" s="200">
        <v>7.0000000000000007E-2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124.33260000000001</v>
      </c>
      <c r="N78" s="11">
        <f t="shared" si="3"/>
        <v>27.255482100000002</v>
      </c>
      <c r="O78" s="11">
        <f t="shared" si="4"/>
        <v>125.5404024</v>
      </c>
      <c r="P78" s="11">
        <f t="shared" si="5"/>
        <v>0</v>
      </c>
    </row>
    <row r="79" spans="1:16">
      <c r="A79" s="44"/>
      <c r="B79" s="5">
        <f t="shared" si="7"/>
        <v>45444</v>
      </c>
      <c r="C79" s="1" t="s">
        <v>534</v>
      </c>
      <c r="D79" s="195">
        <v>92189</v>
      </c>
      <c r="E79" s="118">
        <v>7710.1332000000002</v>
      </c>
      <c r="F79" s="2">
        <v>58886.14</v>
      </c>
      <c r="G79" s="3">
        <f t="shared" si="13"/>
        <v>49698.430006499999</v>
      </c>
      <c r="H79" s="201">
        <f t="shared" si="11"/>
        <v>6.4458588090929476</v>
      </c>
      <c r="I79" s="200">
        <v>7.0000000000000007E-2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4122.0298000000003</v>
      </c>
      <c r="N79" s="11">
        <f t="shared" si="3"/>
        <v>903.60781829999996</v>
      </c>
      <c r="O79" s="11">
        <f t="shared" si="4"/>
        <v>4162.0723751999994</v>
      </c>
      <c r="P79" s="11">
        <f t="shared" si="5"/>
        <v>0</v>
      </c>
    </row>
    <row r="80" spans="1:16">
      <c r="A80" s="44"/>
      <c r="B80" s="5">
        <f t="shared" si="7"/>
        <v>45444</v>
      </c>
      <c r="C80" s="1" t="s">
        <v>534</v>
      </c>
      <c r="D80" s="195">
        <v>92197</v>
      </c>
      <c r="E80" s="118">
        <v>24800</v>
      </c>
      <c r="F80" s="2">
        <v>189410</v>
      </c>
      <c r="G80" s="3">
        <f t="shared" si="13"/>
        <v>159857.30475000001</v>
      </c>
      <c r="H80" s="201">
        <f t="shared" si="11"/>
        <v>6.4458590625000003</v>
      </c>
      <c r="I80" s="200">
        <v>7.0000000000000007E-2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13258.7</v>
      </c>
      <c r="N80" s="11">
        <f t="shared" si="3"/>
        <v>2906.4964500000001</v>
      </c>
      <c r="O80" s="11">
        <f t="shared" si="4"/>
        <v>13387.498799999999</v>
      </c>
      <c r="P80" s="11">
        <f t="shared" si="5"/>
        <v>0</v>
      </c>
    </row>
    <row r="81" spans="1:16">
      <c r="A81" s="44"/>
      <c r="B81" s="5">
        <f t="shared" si="7"/>
        <v>45444</v>
      </c>
      <c r="C81" s="1" t="s">
        <v>534</v>
      </c>
      <c r="D81" s="195">
        <v>92198</v>
      </c>
      <c r="E81" s="118">
        <v>24800</v>
      </c>
      <c r="F81" s="2">
        <v>189410</v>
      </c>
      <c r="G81" s="3">
        <f t="shared" si="13"/>
        <v>159857.30475000001</v>
      </c>
      <c r="H81" s="201">
        <f t="shared" si="11"/>
        <v>6.4458590625000003</v>
      </c>
      <c r="I81" s="200">
        <v>7.0000000000000007E-2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13258.7</v>
      </c>
      <c r="N81" s="11">
        <f t="shared" si="3"/>
        <v>2906.4964500000001</v>
      </c>
      <c r="O81" s="11">
        <f t="shared" si="4"/>
        <v>13387.498799999999</v>
      </c>
      <c r="P81" s="11">
        <f t="shared" si="5"/>
        <v>0</v>
      </c>
    </row>
    <row r="82" spans="1:16">
      <c r="A82" s="44"/>
      <c r="B82" s="5">
        <f t="shared" si="7"/>
        <v>45444</v>
      </c>
      <c r="C82" s="1" t="s">
        <v>534</v>
      </c>
      <c r="D82" s="195">
        <v>92199</v>
      </c>
      <c r="E82" s="118">
        <v>24800</v>
      </c>
      <c r="F82" s="2">
        <v>189410</v>
      </c>
      <c r="G82" s="3">
        <f t="shared" si="13"/>
        <v>159857.30475000001</v>
      </c>
      <c r="H82" s="201">
        <f t="shared" si="11"/>
        <v>6.4458590625000003</v>
      </c>
      <c r="I82" s="200">
        <v>7.0000000000000007E-2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13258.7</v>
      </c>
      <c r="N82" s="11">
        <f t="shared" si="3"/>
        <v>2906.4964500000001</v>
      </c>
      <c r="O82" s="11">
        <f t="shared" si="4"/>
        <v>13387.498799999999</v>
      </c>
      <c r="P82" s="11">
        <f t="shared" si="5"/>
        <v>0</v>
      </c>
    </row>
    <row r="83" spans="1:16">
      <c r="A83" s="44"/>
      <c r="B83" s="5">
        <f t="shared" si="7"/>
        <v>45444</v>
      </c>
      <c r="C83" s="1" t="s">
        <v>534</v>
      </c>
      <c r="D83" s="195">
        <v>92200</v>
      </c>
      <c r="E83" s="118">
        <v>24519.360000000001</v>
      </c>
      <c r="F83" s="2">
        <v>187266.61</v>
      </c>
      <c r="G83" s="3">
        <f t="shared" si="13"/>
        <v>158048.33717474999</v>
      </c>
      <c r="H83" s="201">
        <f t="shared" si="11"/>
        <v>6.4458589936584803</v>
      </c>
      <c r="I83" s="200">
        <v>7.0000000000000007E-2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13108.662700000001</v>
      </c>
      <c r="N83" s="11">
        <f t="shared" si="3"/>
        <v>2873.6061304499999</v>
      </c>
      <c r="O83" s="11">
        <f t="shared" si="4"/>
        <v>13236.003994799999</v>
      </c>
      <c r="P83" s="11">
        <f t="shared" si="5"/>
        <v>0</v>
      </c>
    </row>
    <row r="84" spans="1:16">
      <c r="A84" s="44"/>
      <c r="B84" s="5">
        <f t="shared" si="7"/>
        <v>45444</v>
      </c>
      <c r="C84" s="1" t="s">
        <v>534</v>
      </c>
      <c r="D84" s="195">
        <v>92202</v>
      </c>
      <c r="E84" s="118">
        <v>25000</v>
      </c>
      <c r="F84" s="2">
        <v>190937.5</v>
      </c>
      <c r="G84" s="3">
        <f t="shared" si="13"/>
        <v>161146.4765625</v>
      </c>
      <c r="H84" s="201">
        <f t="shared" si="11"/>
        <v>6.4458590625000003</v>
      </c>
      <c r="I84" s="200">
        <v>7.0000000000000007E-2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13365.625000000002</v>
      </c>
      <c r="N84" s="11">
        <f t="shared" si="3"/>
        <v>2929.9359375000004</v>
      </c>
      <c r="O84" s="11">
        <f t="shared" si="4"/>
        <v>13495.4625</v>
      </c>
      <c r="P84" s="11">
        <f t="shared" si="5"/>
        <v>0</v>
      </c>
    </row>
    <row r="85" spans="1:16">
      <c r="A85" s="44"/>
      <c r="B85" s="5">
        <f t="shared" ref="B85:B112" si="14">B84</f>
        <v>45444</v>
      </c>
      <c r="C85" s="1" t="s">
        <v>534</v>
      </c>
      <c r="D85" s="195">
        <v>91659</v>
      </c>
      <c r="E85" s="118">
        <v>25000</v>
      </c>
      <c r="F85" s="2">
        <v>190207.5</v>
      </c>
      <c r="G85" s="3">
        <f t="shared" si="13"/>
        <v>160530.3748125</v>
      </c>
      <c r="H85" s="201">
        <f t="shared" si="11"/>
        <v>6.4212149924999995</v>
      </c>
      <c r="I85" s="200">
        <v>7.0000000000000007E-2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13314.525000000001</v>
      </c>
      <c r="N85" s="11">
        <f t="shared" si="3"/>
        <v>2918.7340875000004</v>
      </c>
      <c r="O85" s="11">
        <f t="shared" si="4"/>
        <v>13443.866099999999</v>
      </c>
      <c r="P85" s="11">
        <f t="shared" si="5"/>
        <v>0</v>
      </c>
    </row>
    <row r="86" spans="1:16">
      <c r="A86" s="44"/>
      <c r="B86" s="5">
        <f t="shared" si="14"/>
        <v>45444</v>
      </c>
      <c r="C86" s="1" t="s">
        <v>534</v>
      </c>
      <c r="D86" s="195">
        <v>91675</v>
      </c>
      <c r="E86" s="118">
        <v>24862.713800000001</v>
      </c>
      <c r="F86" s="2">
        <v>189162.99</v>
      </c>
      <c r="G86" s="3">
        <f t="shared" si="13"/>
        <v>159648.83448525</v>
      </c>
      <c r="H86" s="201">
        <f t="shared" si="11"/>
        <v>6.4212151484947713</v>
      </c>
      <c r="I86" s="200">
        <v>7.0000000000000007E-2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13241.409300000001</v>
      </c>
      <c r="N86" s="11">
        <f t="shared" si="3"/>
        <v>2902.7060815499999</v>
      </c>
      <c r="O86" s="11">
        <f t="shared" si="4"/>
        <v>13370.040133199998</v>
      </c>
      <c r="P86" s="11">
        <f t="shared" si="5"/>
        <v>0</v>
      </c>
    </row>
    <row r="87" spans="1:16">
      <c r="A87" s="44"/>
      <c r="B87" s="5">
        <f t="shared" si="14"/>
        <v>45444</v>
      </c>
      <c r="C87" s="1" t="s">
        <v>534</v>
      </c>
      <c r="D87" s="195">
        <v>91676</v>
      </c>
      <c r="E87" s="118">
        <v>24862.712800000001</v>
      </c>
      <c r="F87" s="2">
        <v>189162.98</v>
      </c>
      <c r="G87" s="3">
        <f t="shared" si="13"/>
        <v>159648.8260455</v>
      </c>
      <c r="H87" s="201">
        <f t="shared" si="11"/>
        <v>6.4212150673075383</v>
      </c>
      <c r="I87" s="200">
        <v>7.0000000000000007E-2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13241.408600000002</v>
      </c>
      <c r="N87" s="11">
        <f t="shared" si="3"/>
        <v>2902.7059281000002</v>
      </c>
      <c r="O87" s="11">
        <f t="shared" si="4"/>
        <v>13370.039426400001</v>
      </c>
      <c r="P87" s="11">
        <f t="shared" si="5"/>
        <v>0</v>
      </c>
    </row>
    <row r="88" spans="1:16">
      <c r="A88" s="44"/>
      <c r="B88" s="5">
        <f>B87</f>
        <v>45444</v>
      </c>
      <c r="C88" s="1" t="s">
        <v>534</v>
      </c>
      <c r="D88" s="195">
        <v>91686</v>
      </c>
      <c r="E88" s="118">
        <v>26046.2032</v>
      </c>
      <c r="F88" s="2">
        <v>198167.33</v>
      </c>
      <c r="G88" s="3">
        <f t="shared" si="12"/>
        <v>167248.27233675</v>
      </c>
      <c r="H88" s="201">
        <f t="shared" si="11"/>
        <v>6.4212150635740262</v>
      </c>
      <c r="I88" s="200">
        <v>7.0000000000000007E-2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13871.713100000001</v>
      </c>
      <c r="N88" s="11">
        <f t="shared" si="3"/>
        <v>3040.8776788499999</v>
      </c>
      <c r="O88" s="11">
        <f t="shared" si="4"/>
        <v>14006.466884399999</v>
      </c>
      <c r="P88" s="11">
        <f t="shared" si="5"/>
        <v>0</v>
      </c>
    </row>
    <row r="89" spans="1:16">
      <c r="A89" s="44"/>
      <c r="B89" s="5">
        <f t="shared" si="14"/>
        <v>45444</v>
      </c>
      <c r="C89" s="1" t="s">
        <v>534</v>
      </c>
      <c r="D89" s="195">
        <v>91691</v>
      </c>
      <c r="E89" s="118">
        <v>24798.905699999999</v>
      </c>
      <c r="F89" s="2">
        <v>188677.51</v>
      </c>
      <c r="G89" s="3">
        <f t="shared" si="12"/>
        <v>159239.10150225001</v>
      </c>
      <c r="H89" s="201">
        <f t="shared" si="11"/>
        <v>6.4212148482926814</v>
      </c>
      <c r="I89" s="200">
        <v>7.0000000000000007E-2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13207.425700000002</v>
      </c>
      <c r="N89" s="11">
        <f t="shared" si="3"/>
        <v>2895.2563909500004</v>
      </c>
      <c r="O89" s="11">
        <f t="shared" si="4"/>
        <v>13335.7264068</v>
      </c>
      <c r="P89" s="11">
        <f t="shared" si="5"/>
        <v>0</v>
      </c>
    </row>
    <row r="90" spans="1:16">
      <c r="A90" s="44"/>
      <c r="B90" s="5">
        <f t="shared" si="14"/>
        <v>45444</v>
      </c>
      <c r="C90" s="1" t="s">
        <v>534</v>
      </c>
      <c r="D90" s="195">
        <v>91698</v>
      </c>
      <c r="E90" s="118">
        <v>25118.4434</v>
      </c>
      <c r="F90" s="2">
        <v>191108.65</v>
      </c>
      <c r="G90" s="3">
        <f t="shared" si="12"/>
        <v>161290.92288375</v>
      </c>
      <c r="H90" s="201">
        <f t="shared" si="11"/>
        <v>6.421214894381154</v>
      </c>
      <c r="I90" s="200">
        <v>7.0000000000000007E-2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13377.605500000001</v>
      </c>
      <c r="N90" s="11">
        <f t="shared" si="3"/>
        <v>2932.5622342500001</v>
      </c>
      <c r="O90" s="11">
        <f t="shared" si="4"/>
        <v>13507.559381999999</v>
      </c>
      <c r="P90" s="11">
        <f t="shared" si="5"/>
        <v>0</v>
      </c>
    </row>
    <row r="91" spans="1:16">
      <c r="A91" s="44"/>
      <c r="B91" s="5">
        <f t="shared" si="14"/>
        <v>45444</v>
      </c>
      <c r="C91" s="1" t="s">
        <v>534</v>
      </c>
      <c r="D91" s="195">
        <v>91703</v>
      </c>
      <c r="E91" s="118">
        <v>1258.0820000000001</v>
      </c>
      <c r="F91" s="2">
        <v>9571.8700000000008</v>
      </c>
      <c r="G91" s="3">
        <f t="shared" si="12"/>
        <v>8078.4189832500006</v>
      </c>
      <c r="H91" s="201">
        <f t="shared" si="11"/>
        <v>6.4212181584745665</v>
      </c>
      <c r="I91" s="200">
        <v>7.0000000000000007E-2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670.03090000000009</v>
      </c>
      <c r="N91" s="11">
        <f t="shared" si="3"/>
        <v>146.88034515000001</v>
      </c>
      <c r="O91" s="11">
        <f t="shared" si="4"/>
        <v>676.53977160000011</v>
      </c>
      <c r="P91" s="11">
        <f t="shared" si="5"/>
        <v>0</v>
      </c>
    </row>
    <row r="92" spans="1:16">
      <c r="A92" s="44"/>
      <c r="B92" s="5">
        <f t="shared" si="14"/>
        <v>45444</v>
      </c>
      <c r="C92" s="1" t="s">
        <v>534</v>
      </c>
      <c r="D92" s="195">
        <v>91706</v>
      </c>
      <c r="E92" s="118">
        <v>24384.0972</v>
      </c>
      <c r="F92" s="2">
        <v>187542.97</v>
      </c>
      <c r="G92" s="3">
        <f t="shared" ref="G92:G210" si="15">F92-SUM(M92:P92)</f>
        <v>158281.57810575</v>
      </c>
      <c r="H92" s="201">
        <f t="shared" si="11"/>
        <v>6.4911805759103522</v>
      </c>
      <c r="I92" s="200">
        <v>7.0000000000000007E-2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13128.007900000001</v>
      </c>
      <c r="N92" s="11">
        <f t="shared" si="3"/>
        <v>2877.8468746500002</v>
      </c>
      <c r="O92" s="11">
        <f t="shared" si="4"/>
        <v>13255.5371196</v>
      </c>
      <c r="P92" s="11">
        <f t="shared" si="5"/>
        <v>0</v>
      </c>
    </row>
    <row r="93" spans="1:16">
      <c r="A93" s="44"/>
      <c r="B93" s="5">
        <f t="shared" si="14"/>
        <v>45444</v>
      </c>
      <c r="C93" s="1" t="s">
        <v>534</v>
      </c>
      <c r="D93" s="195">
        <v>91727</v>
      </c>
      <c r="E93" s="118">
        <v>24000</v>
      </c>
      <c r="F93" s="2">
        <v>182599.2</v>
      </c>
      <c r="G93" s="3">
        <f t="shared" si="15"/>
        <v>154109.15982</v>
      </c>
      <c r="H93" s="201">
        <f t="shared" si="11"/>
        <v>6.4212149925000004</v>
      </c>
      <c r="I93" s="200">
        <v>7.0000000000000007E-2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12781.944000000001</v>
      </c>
      <c r="N93" s="11">
        <f t="shared" si="3"/>
        <v>2801.9847240000004</v>
      </c>
      <c r="O93" s="11">
        <f t="shared" si="4"/>
        <v>12906.111456000001</v>
      </c>
      <c r="P93" s="11">
        <f t="shared" si="5"/>
        <v>0</v>
      </c>
    </row>
    <row r="94" spans="1:16">
      <c r="A94" s="44"/>
      <c r="B94" s="5">
        <f t="shared" si="14"/>
        <v>45444</v>
      </c>
      <c r="C94" s="1" t="s">
        <v>534</v>
      </c>
      <c r="D94" s="195">
        <v>91771</v>
      </c>
      <c r="E94" s="118">
        <v>328.55250000000001</v>
      </c>
      <c r="F94" s="2">
        <v>2499.73</v>
      </c>
      <c r="G94" s="3">
        <f t="shared" si="15"/>
        <v>2109.7096267500001</v>
      </c>
      <c r="H94" s="201">
        <f t="shared" si="11"/>
        <v>6.4212253041751319</v>
      </c>
      <c r="I94" s="200">
        <v>7.0000000000000007E-2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174.98110000000003</v>
      </c>
      <c r="N94" s="11">
        <f t="shared" si="3"/>
        <v>38.35835685</v>
      </c>
      <c r="O94" s="11">
        <f t="shared" si="4"/>
        <v>176.6809164</v>
      </c>
      <c r="P94" s="11">
        <f t="shared" si="5"/>
        <v>0</v>
      </c>
    </row>
    <row r="95" spans="1:16">
      <c r="A95" s="44"/>
      <c r="B95" s="5">
        <f t="shared" si="14"/>
        <v>45444</v>
      </c>
      <c r="C95" s="1" t="s">
        <v>534</v>
      </c>
      <c r="D95" s="195">
        <v>91773</v>
      </c>
      <c r="E95" s="118">
        <v>24000</v>
      </c>
      <c r="F95" s="2">
        <v>182599.2</v>
      </c>
      <c r="G95" s="3">
        <f t="shared" si="15"/>
        <v>154109.15982</v>
      </c>
      <c r="H95" s="201">
        <f t="shared" si="11"/>
        <v>6.4212149925000004</v>
      </c>
      <c r="I95" s="200">
        <v>7.0000000000000007E-2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12781.944000000001</v>
      </c>
      <c r="N95" s="11">
        <f t="shared" si="3"/>
        <v>2801.9847240000004</v>
      </c>
      <c r="O95" s="11">
        <f t="shared" si="4"/>
        <v>12906.111456000001</v>
      </c>
      <c r="P95" s="11">
        <f t="shared" si="5"/>
        <v>0</v>
      </c>
    </row>
    <row r="96" spans="1:16">
      <c r="A96" s="44"/>
      <c r="B96" s="5">
        <f t="shared" si="14"/>
        <v>45444</v>
      </c>
      <c r="C96" s="1" t="s">
        <v>534</v>
      </c>
      <c r="D96" s="195"/>
      <c r="E96" s="118"/>
      <c r="F96" s="2"/>
      <c r="G96" s="3">
        <f t="shared" si="15"/>
        <v>0</v>
      </c>
      <c r="H96" s="4">
        <f t="shared" si="11"/>
        <v>0</v>
      </c>
      <c r="I96" s="200">
        <v>7.0000000000000007E-2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0</v>
      </c>
      <c r="N96" s="11">
        <f t="shared" si="3"/>
        <v>0</v>
      </c>
      <c r="O96" s="11">
        <f t="shared" si="4"/>
        <v>0</v>
      </c>
      <c r="P96" s="11">
        <f t="shared" si="5"/>
        <v>0</v>
      </c>
    </row>
    <row r="97" spans="1:16">
      <c r="A97" s="44"/>
      <c r="B97" s="5">
        <f t="shared" si="14"/>
        <v>45444</v>
      </c>
      <c r="C97" s="1" t="s">
        <v>534</v>
      </c>
      <c r="D97" s="195"/>
      <c r="E97" s="118"/>
      <c r="F97" s="2"/>
      <c r="G97" s="3">
        <f t="shared" si="15"/>
        <v>0</v>
      </c>
      <c r="H97" s="4">
        <f t="shared" si="11"/>
        <v>0</v>
      </c>
      <c r="I97" s="200">
        <v>7.0000000000000007E-2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0</v>
      </c>
      <c r="N97" s="11">
        <f t="shared" si="3"/>
        <v>0</v>
      </c>
      <c r="O97" s="11">
        <f t="shared" si="4"/>
        <v>0</v>
      </c>
      <c r="P97" s="11">
        <f t="shared" si="5"/>
        <v>0</v>
      </c>
    </row>
    <row r="98" spans="1:16">
      <c r="A98" s="44"/>
      <c r="B98" s="5">
        <f t="shared" si="14"/>
        <v>45444</v>
      </c>
      <c r="C98" s="1" t="s">
        <v>534</v>
      </c>
      <c r="D98" s="195"/>
      <c r="E98" s="118"/>
      <c r="F98" s="2"/>
      <c r="G98" s="3">
        <f t="shared" si="15"/>
        <v>0</v>
      </c>
      <c r="H98" s="4">
        <f t="shared" si="11"/>
        <v>0</v>
      </c>
      <c r="I98" s="200">
        <v>7.0000000000000007E-2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0</v>
      </c>
      <c r="N98" s="11">
        <f t="shared" si="3"/>
        <v>0</v>
      </c>
      <c r="O98" s="11">
        <f t="shared" si="4"/>
        <v>0</v>
      </c>
      <c r="P98" s="11">
        <f t="shared" si="5"/>
        <v>0</v>
      </c>
    </row>
    <row r="99" spans="1:16">
      <c r="A99" s="44"/>
      <c r="B99" s="5">
        <f t="shared" si="14"/>
        <v>45444</v>
      </c>
      <c r="C99" s="1" t="s">
        <v>534</v>
      </c>
      <c r="D99" s="195"/>
      <c r="E99" s="118"/>
      <c r="F99" s="2"/>
      <c r="G99" s="3">
        <f t="shared" si="15"/>
        <v>0</v>
      </c>
      <c r="H99" s="4">
        <f t="shared" si="11"/>
        <v>0</v>
      </c>
      <c r="I99" s="200">
        <v>7.0000000000000007E-2</v>
      </c>
      <c r="J99" s="7">
        <v>1.6500000000000001E-2</v>
      </c>
      <c r="K99" s="7">
        <v>7.5999999999999998E-2</v>
      </c>
      <c r="L99" s="7">
        <v>0</v>
      </c>
      <c r="M99" s="11">
        <f>+I99*F99</f>
        <v>0</v>
      </c>
      <c r="N99" s="11">
        <f t="shared" si="3"/>
        <v>0</v>
      </c>
      <c r="O99" s="11">
        <f t="shared" si="4"/>
        <v>0</v>
      </c>
      <c r="P99" s="11">
        <f t="shared" si="5"/>
        <v>0</v>
      </c>
    </row>
    <row r="100" spans="1:16">
      <c r="A100" s="44"/>
      <c r="B100" s="5">
        <f t="shared" si="14"/>
        <v>45444</v>
      </c>
      <c r="C100" s="1" t="s">
        <v>534</v>
      </c>
      <c r="D100" s="195"/>
      <c r="E100" s="118"/>
      <c r="F100" s="2"/>
      <c r="G100" s="3">
        <f t="shared" si="15"/>
        <v>0</v>
      </c>
      <c r="H100" s="4">
        <f t="shared" si="11"/>
        <v>0</v>
      </c>
      <c r="I100" s="200">
        <v>7.0000000000000007E-2</v>
      </c>
      <c r="J100" s="7">
        <v>1.6500000000000001E-2</v>
      </c>
      <c r="K100" s="7">
        <v>7.5999999999999998E-2</v>
      </c>
      <c r="L100" s="7">
        <v>0</v>
      </c>
      <c r="M100" s="11">
        <f t="shared" si="2"/>
        <v>0</v>
      </c>
      <c r="N100" s="11">
        <f t="shared" si="3"/>
        <v>0</v>
      </c>
      <c r="O100" s="11">
        <f t="shared" si="4"/>
        <v>0</v>
      </c>
      <c r="P100" s="11">
        <f t="shared" si="5"/>
        <v>0</v>
      </c>
    </row>
    <row r="101" spans="1:16">
      <c r="A101" s="44"/>
      <c r="B101" s="5">
        <f t="shared" si="14"/>
        <v>45444</v>
      </c>
      <c r="C101" s="1" t="s">
        <v>534</v>
      </c>
      <c r="D101" s="195"/>
      <c r="E101" s="118"/>
      <c r="F101" s="2"/>
      <c r="G101" s="3">
        <f t="shared" si="15"/>
        <v>0</v>
      </c>
      <c r="H101" s="4">
        <f t="shared" si="11"/>
        <v>0</v>
      </c>
      <c r="I101" s="200">
        <v>7.0000000000000007E-2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0</v>
      </c>
      <c r="N101" s="11">
        <f t="shared" si="3"/>
        <v>0</v>
      </c>
      <c r="O101" s="11">
        <f t="shared" si="4"/>
        <v>0</v>
      </c>
      <c r="P101" s="11">
        <f t="shared" si="5"/>
        <v>0</v>
      </c>
    </row>
    <row r="102" spans="1:16">
      <c r="A102" s="44"/>
      <c r="B102" s="5">
        <f t="shared" si="14"/>
        <v>45444</v>
      </c>
      <c r="C102" s="1" t="s">
        <v>534</v>
      </c>
      <c r="D102" s="195"/>
      <c r="E102" s="118"/>
      <c r="F102" s="2"/>
      <c r="G102" s="3">
        <f t="shared" si="15"/>
        <v>0</v>
      </c>
      <c r="H102" s="4">
        <f t="shared" ref="H102:H112" si="16">+IF(G102=0,0,G102/E102)</f>
        <v>0</v>
      </c>
      <c r="I102" s="200">
        <v>7.0000000000000007E-2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0</v>
      </c>
      <c r="N102" s="11">
        <f t="shared" si="3"/>
        <v>0</v>
      </c>
      <c r="O102" s="11">
        <f t="shared" si="4"/>
        <v>0</v>
      </c>
      <c r="P102" s="11">
        <f t="shared" si="5"/>
        <v>0</v>
      </c>
    </row>
    <row r="103" spans="1:16">
      <c r="A103" s="44"/>
      <c r="B103" s="5">
        <f t="shared" si="14"/>
        <v>45444</v>
      </c>
      <c r="C103" s="1" t="s">
        <v>534</v>
      </c>
      <c r="D103" s="195"/>
      <c r="E103" s="118"/>
      <c r="F103" s="2"/>
      <c r="G103" s="3">
        <f t="shared" si="15"/>
        <v>0</v>
      </c>
      <c r="H103" s="4">
        <f t="shared" si="16"/>
        <v>0</v>
      </c>
      <c r="I103" s="200">
        <v>7.0000000000000007E-2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0</v>
      </c>
      <c r="N103" s="11">
        <f t="shared" si="3"/>
        <v>0</v>
      </c>
      <c r="O103" s="11">
        <f t="shared" si="4"/>
        <v>0</v>
      </c>
      <c r="P103" s="11">
        <f t="shared" si="5"/>
        <v>0</v>
      </c>
    </row>
    <row r="104" spans="1:16">
      <c r="A104" s="44"/>
      <c r="B104" s="5">
        <f t="shared" si="14"/>
        <v>45444</v>
      </c>
      <c r="C104" s="1" t="s">
        <v>534</v>
      </c>
      <c r="D104" s="195"/>
      <c r="E104" s="118"/>
      <c r="F104" s="2"/>
      <c r="G104" s="3">
        <f t="shared" si="15"/>
        <v>0</v>
      </c>
      <c r="H104" s="4">
        <f t="shared" si="16"/>
        <v>0</v>
      </c>
      <c r="I104" s="200">
        <v>7.0000000000000007E-2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0</v>
      </c>
      <c r="N104" s="11">
        <f t="shared" si="3"/>
        <v>0</v>
      </c>
      <c r="O104" s="11">
        <f t="shared" si="4"/>
        <v>0</v>
      </c>
      <c r="P104" s="11">
        <f t="shared" si="5"/>
        <v>0</v>
      </c>
    </row>
    <row r="105" spans="1:16">
      <c r="A105" s="44"/>
      <c r="B105" s="5">
        <f t="shared" si="14"/>
        <v>45444</v>
      </c>
      <c r="C105" s="1" t="s">
        <v>534</v>
      </c>
      <c r="D105" s="195"/>
      <c r="E105" s="118"/>
      <c r="F105" s="2"/>
      <c r="G105" s="3">
        <f t="shared" si="15"/>
        <v>0</v>
      </c>
      <c r="H105" s="4">
        <f t="shared" si="16"/>
        <v>0</v>
      </c>
      <c r="I105" s="200">
        <v>7.0000000000000007E-2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0</v>
      </c>
      <c r="N105" s="11">
        <f t="shared" si="3"/>
        <v>0</v>
      </c>
      <c r="O105" s="11">
        <f t="shared" si="4"/>
        <v>0</v>
      </c>
      <c r="P105" s="11">
        <f t="shared" si="5"/>
        <v>0</v>
      </c>
    </row>
    <row r="106" spans="1:16">
      <c r="A106" s="44"/>
      <c r="B106" s="5">
        <f t="shared" si="14"/>
        <v>45444</v>
      </c>
      <c r="C106" s="1" t="s">
        <v>534</v>
      </c>
      <c r="D106" s="195"/>
      <c r="E106" s="118"/>
      <c r="F106" s="2"/>
      <c r="G106" s="3">
        <f t="shared" si="15"/>
        <v>0</v>
      </c>
      <c r="H106" s="4">
        <f t="shared" si="16"/>
        <v>0</v>
      </c>
      <c r="I106" s="200">
        <v>7.0000000000000007E-2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0</v>
      </c>
      <c r="N106" s="11">
        <f t="shared" si="3"/>
        <v>0</v>
      </c>
      <c r="O106" s="11">
        <f t="shared" si="4"/>
        <v>0</v>
      </c>
      <c r="P106" s="11">
        <f t="shared" si="5"/>
        <v>0</v>
      </c>
    </row>
    <row r="107" spans="1:16">
      <c r="A107" s="44"/>
      <c r="B107" s="5">
        <f t="shared" si="14"/>
        <v>45444</v>
      </c>
      <c r="C107" s="1" t="s">
        <v>534</v>
      </c>
      <c r="D107" s="195"/>
      <c r="E107" s="118"/>
      <c r="F107" s="2"/>
      <c r="G107" s="3">
        <f t="shared" si="15"/>
        <v>0</v>
      </c>
      <c r="H107" s="4">
        <f t="shared" si="16"/>
        <v>0</v>
      </c>
      <c r="I107" s="200">
        <v>7.0000000000000007E-2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0</v>
      </c>
      <c r="N107" s="11">
        <f t="shared" si="3"/>
        <v>0</v>
      </c>
      <c r="O107" s="11">
        <f t="shared" si="4"/>
        <v>0</v>
      </c>
      <c r="P107" s="11">
        <f t="shared" si="5"/>
        <v>0</v>
      </c>
    </row>
    <row r="108" spans="1:16">
      <c r="A108" s="44"/>
      <c r="B108" s="5">
        <f t="shared" si="14"/>
        <v>45444</v>
      </c>
      <c r="C108" s="1" t="s">
        <v>534</v>
      </c>
      <c r="D108" s="195"/>
      <c r="E108" s="118"/>
      <c r="F108" s="2"/>
      <c r="G108" s="3">
        <f t="shared" si="15"/>
        <v>0</v>
      </c>
      <c r="H108" s="4">
        <f t="shared" si="16"/>
        <v>0</v>
      </c>
      <c r="I108" s="200">
        <v>7.0000000000000007E-2</v>
      </c>
      <c r="J108" s="7">
        <v>1.6500000000000001E-2</v>
      </c>
      <c r="K108" s="7">
        <v>7.5999999999999998E-2</v>
      </c>
      <c r="L108" s="7">
        <v>0</v>
      </c>
      <c r="M108" s="11">
        <f t="shared" si="2"/>
        <v>0</v>
      </c>
      <c r="N108" s="11">
        <f t="shared" si="3"/>
        <v>0</v>
      </c>
      <c r="O108" s="11">
        <f t="shared" si="4"/>
        <v>0</v>
      </c>
      <c r="P108" s="11">
        <f t="shared" si="5"/>
        <v>0</v>
      </c>
    </row>
    <row r="109" spans="1:16">
      <c r="A109" s="44"/>
      <c r="B109" s="5">
        <f t="shared" si="14"/>
        <v>45444</v>
      </c>
      <c r="C109" s="1" t="s">
        <v>534</v>
      </c>
      <c r="D109" s="195"/>
      <c r="E109" s="118"/>
      <c r="F109" s="2"/>
      <c r="G109" s="3">
        <f t="shared" si="15"/>
        <v>0</v>
      </c>
      <c r="H109" s="4">
        <f t="shared" si="16"/>
        <v>0</v>
      </c>
      <c r="I109" s="200">
        <v>7.0000000000000007E-2</v>
      </c>
      <c r="J109" s="7">
        <v>1.6500000000000001E-2</v>
      </c>
      <c r="K109" s="7">
        <v>7.5999999999999998E-2</v>
      </c>
      <c r="L109" s="7">
        <v>0</v>
      </c>
      <c r="M109" s="11">
        <f t="shared" si="2"/>
        <v>0</v>
      </c>
      <c r="N109" s="11">
        <f t="shared" si="3"/>
        <v>0</v>
      </c>
      <c r="O109" s="11">
        <f t="shared" si="4"/>
        <v>0</v>
      </c>
      <c r="P109" s="11">
        <f t="shared" si="5"/>
        <v>0</v>
      </c>
    </row>
    <row r="110" spans="1:16">
      <c r="A110" s="44"/>
      <c r="B110" s="5">
        <f t="shared" si="14"/>
        <v>45444</v>
      </c>
      <c r="C110" s="1" t="s">
        <v>534</v>
      </c>
      <c r="D110" s="195"/>
      <c r="E110" s="118"/>
      <c r="F110" s="2"/>
      <c r="G110" s="3">
        <f t="shared" si="15"/>
        <v>0</v>
      </c>
      <c r="H110" s="4">
        <f t="shared" si="16"/>
        <v>0</v>
      </c>
      <c r="I110" s="200">
        <v>7.0000000000000007E-2</v>
      </c>
      <c r="J110" s="7">
        <v>1.6500000000000001E-2</v>
      </c>
      <c r="K110" s="7">
        <v>7.5999999999999998E-2</v>
      </c>
      <c r="L110" s="7">
        <v>0</v>
      </c>
      <c r="M110" s="11">
        <f t="shared" si="2"/>
        <v>0</v>
      </c>
      <c r="N110" s="11">
        <f t="shared" si="3"/>
        <v>0</v>
      </c>
      <c r="O110" s="11">
        <f t="shared" si="4"/>
        <v>0</v>
      </c>
      <c r="P110" s="11">
        <f t="shared" si="5"/>
        <v>0</v>
      </c>
    </row>
    <row r="111" spans="1:16">
      <c r="A111" s="44"/>
      <c r="B111" s="5">
        <f t="shared" si="14"/>
        <v>45444</v>
      </c>
      <c r="C111" s="1" t="s">
        <v>689</v>
      </c>
      <c r="D111" s="195">
        <v>398763</v>
      </c>
      <c r="E111" s="118">
        <v>140000</v>
      </c>
      <c r="F111" s="2">
        <v>358526</v>
      </c>
      <c r="G111" s="3">
        <f t="shared" si="15"/>
        <v>286318.86360000004</v>
      </c>
      <c r="H111" s="4">
        <f t="shared" si="16"/>
        <v>2.0451347400000004</v>
      </c>
      <c r="I111" s="200">
        <v>0.12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43023.119999999995</v>
      </c>
      <c r="N111" s="11">
        <f t="shared" si="3"/>
        <v>5205.7975200000001</v>
      </c>
      <c r="O111" s="11">
        <f t="shared" si="4"/>
        <v>23978.21888</v>
      </c>
      <c r="P111" s="11">
        <f t="shared" si="5"/>
        <v>0</v>
      </c>
    </row>
    <row r="112" spans="1:16">
      <c r="A112" s="44"/>
      <c r="B112" s="5">
        <f t="shared" si="14"/>
        <v>45444</v>
      </c>
      <c r="C112" s="1" t="s">
        <v>690</v>
      </c>
      <c r="D112" s="195">
        <v>113289</v>
      </c>
      <c r="E112" s="118">
        <v>11698</v>
      </c>
      <c r="F112" s="2">
        <v>27244.639999999999</v>
      </c>
      <c r="G112" s="3">
        <f t="shared" si="15"/>
        <v>21757.569503999999</v>
      </c>
      <c r="H112" s="4">
        <f t="shared" si="16"/>
        <v>1.8599392634638399</v>
      </c>
      <c r="I112" s="200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3269.3568</v>
      </c>
      <c r="N112" s="11">
        <f t="shared" si="3"/>
        <v>395.59217280000001</v>
      </c>
      <c r="O112" s="11">
        <f t="shared" si="4"/>
        <v>1822.1215231999997</v>
      </c>
      <c r="P112" s="11">
        <f t="shared" si="5"/>
        <v>0</v>
      </c>
    </row>
    <row r="113" spans="1:16" ht="15" customHeight="1">
      <c r="A113" s="44"/>
      <c r="B113" s="5">
        <f>B112</f>
        <v>45444</v>
      </c>
      <c r="C113" s="1" t="s">
        <v>533</v>
      </c>
      <c r="D113" s="195">
        <v>4323</v>
      </c>
      <c r="E113" s="186"/>
      <c r="F113" s="2">
        <v>162476.96</v>
      </c>
      <c r="G113" s="3">
        <f t="shared" si="15"/>
        <v>129754.10025599999</v>
      </c>
      <c r="H113" s="187"/>
      <c r="I113" s="7">
        <v>0.12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19497.235199999999</v>
      </c>
      <c r="N113" s="11">
        <f t="shared" si="3"/>
        <v>2359.1654592</v>
      </c>
      <c r="O113" s="11">
        <f t="shared" si="4"/>
        <v>10866.459084799999</v>
      </c>
      <c r="P113" s="11">
        <f t="shared" si="5"/>
        <v>0</v>
      </c>
    </row>
    <row r="114" spans="1:16" ht="15" customHeight="1">
      <c r="A114" s="44"/>
      <c r="B114" s="5">
        <f>B113</f>
        <v>45444</v>
      </c>
      <c r="C114" s="1" t="s">
        <v>533</v>
      </c>
      <c r="D114" s="195">
        <v>4324</v>
      </c>
      <c r="E114" s="186"/>
      <c r="F114" s="2">
        <v>237478.14</v>
      </c>
      <c r="G114" s="3">
        <f t="shared" si="15"/>
        <v>189650.04260400002</v>
      </c>
      <c r="H114" s="187"/>
      <c r="I114" s="7">
        <v>0.12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28497.376800000002</v>
      </c>
      <c r="N114" s="11">
        <f t="shared" si="3"/>
        <v>3448.1825928000003</v>
      </c>
      <c r="O114" s="11">
        <f t="shared" si="4"/>
        <v>15882.538003200001</v>
      </c>
      <c r="P114" s="11">
        <f t="shared" si="5"/>
        <v>0</v>
      </c>
    </row>
    <row r="115" spans="1:16" ht="15" customHeight="1">
      <c r="A115" s="44"/>
      <c r="B115" s="5">
        <f t="shared" ref="B115:B178" si="17">B114</f>
        <v>45444</v>
      </c>
      <c r="C115" s="1" t="s">
        <v>533</v>
      </c>
      <c r="D115" s="195">
        <v>15737</v>
      </c>
      <c r="E115" s="186"/>
      <c r="F115" s="2">
        <v>1555.6</v>
      </c>
      <c r="G115" s="3">
        <f t="shared" si="15"/>
        <v>1312.88751</v>
      </c>
      <c r="H115" s="187"/>
      <c r="I115" s="7">
        <v>7.0000000000000007E-2</v>
      </c>
      <c r="J115" s="7">
        <v>1.6500000000000001E-2</v>
      </c>
      <c r="K115" s="7">
        <v>7.5999999999999998E-2</v>
      </c>
      <c r="L115" s="7">
        <v>0</v>
      </c>
      <c r="M115" s="11">
        <f t="shared" ref="M115:M178" si="18">+I115*F115</f>
        <v>108.89200000000001</v>
      </c>
      <c r="N115" s="11">
        <f t="shared" ref="N115:N178" si="19">J115*(F115-M115)</f>
        <v>23.870681999999999</v>
      </c>
      <c r="O115" s="11">
        <f t="shared" ref="O115:O178" si="20">K115*(F115-M115)</f>
        <v>109.94980799999999</v>
      </c>
      <c r="P115" s="11">
        <f t="shared" ref="P115:P178" si="21">L115*(F115)</f>
        <v>0</v>
      </c>
    </row>
    <row r="116" spans="1:16" ht="15" customHeight="1">
      <c r="A116" s="44"/>
      <c r="B116" s="5">
        <f t="shared" si="17"/>
        <v>45444</v>
      </c>
      <c r="C116" s="1" t="s">
        <v>533</v>
      </c>
      <c r="D116" s="195">
        <v>15738</v>
      </c>
      <c r="E116" s="186"/>
      <c r="F116" s="2">
        <v>2240.34</v>
      </c>
      <c r="G116" s="3">
        <f t="shared" si="15"/>
        <v>1890.7909515000001</v>
      </c>
      <c r="H116" s="187"/>
      <c r="I116" s="7">
        <v>7.0000000000000007E-2</v>
      </c>
      <c r="J116" s="7">
        <v>1.6500000000000001E-2</v>
      </c>
      <c r="K116" s="7">
        <v>7.5999999999999998E-2</v>
      </c>
      <c r="L116" s="7">
        <v>0</v>
      </c>
      <c r="M116" s="11">
        <f t="shared" si="18"/>
        <v>156.82380000000003</v>
      </c>
      <c r="N116" s="11">
        <f t="shared" si="19"/>
        <v>34.378017300000003</v>
      </c>
      <c r="O116" s="11">
        <f t="shared" si="20"/>
        <v>158.34723120000001</v>
      </c>
      <c r="P116" s="11">
        <f t="shared" si="21"/>
        <v>0</v>
      </c>
    </row>
    <row r="117" spans="1:16" ht="15" customHeight="1">
      <c r="A117" s="44"/>
      <c r="B117" s="5">
        <f t="shared" si="17"/>
        <v>45444</v>
      </c>
      <c r="C117" s="1" t="s">
        <v>533</v>
      </c>
      <c r="D117" s="195">
        <v>19130</v>
      </c>
      <c r="E117" s="186"/>
      <c r="F117" s="2">
        <v>6436.79</v>
      </c>
      <c r="G117" s="3">
        <f t="shared" si="15"/>
        <v>5140.420494</v>
      </c>
      <c r="H117" s="187"/>
      <c r="I117" s="7">
        <v>0.12</v>
      </c>
      <c r="J117" s="7">
        <v>1.6500000000000001E-2</v>
      </c>
      <c r="K117" s="7">
        <v>7.5999999999999998E-2</v>
      </c>
      <c r="L117" s="7">
        <v>0</v>
      </c>
      <c r="M117" s="11">
        <f t="shared" si="18"/>
        <v>772.41480000000001</v>
      </c>
      <c r="N117" s="11">
        <f t="shared" si="19"/>
        <v>93.462190800000016</v>
      </c>
      <c r="O117" s="11">
        <f t="shared" si="20"/>
        <v>430.49251520000001</v>
      </c>
      <c r="P117" s="11">
        <f t="shared" si="21"/>
        <v>0</v>
      </c>
    </row>
    <row r="118" spans="1:16" ht="15" customHeight="1">
      <c r="A118" s="44"/>
      <c r="B118" s="5">
        <f t="shared" si="17"/>
        <v>45444</v>
      </c>
      <c r="C118" s="1" t="s">
        <v>533</v>
      </c>
      <c r="D118" s="195">
        <v>19131</v>
      </c>
      <c r="E118" s="186"/>
      <c r="F118" s="2">
        <v>9593.73</v>
      </c>
      <c r="G118" s="3">
        <f t="shared" si="15"/>
        <v>7661.5527779999993</v>
      </c>
      <c r="H118" s="187"/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18"/>
        <v>1151.2475999999999</v>
      </c>
      <c r="N118" s="11">
        <f t="shared" si="19"/>
        <v>139.3009596</v>
      </c>
      <c r="O118" s="11">
        <f t="shared" si="20"/>
        <v>641.62866239999994</v>
      </c>
      <c r="P118" s="11">
        <f t="shared" si="21"/>
        <v>0</v>
      </c>
    </row>
    <row r="119" spans="1:16" ht="15" customHeight="1">
      <c r="A119" s="44"/>
      <c r="B119" s="5">
        <f t="shared" si="17"/>
        <v>45444</v>
      </c>
      <c r="C119" s="1" t="s">
        <v>533</v>
      </c>
      <c r="D119" s="195">
        <v>15739</v>
      </c>
      <c r="E119" s="186"/>
      <c r="F119" s="2">
        <v>1200.1300000000001</v>
      </c>
      <c r="G119" s="3">
        <f t="shared" si="15"/>
        <v>1012.8797167500001</v>
      </c>
      <c r="H119" s="187"/>
      <c r="I119" s="7">
        <v>7.0000000000000007E-2</v>
      </c>
      <c r="J119" s="7">
        <v>1.6500000000000001E-2</v>
      </c>
      <c r="K119" s="7">
        <v>7.5999999999999998E-2</v>
      </c>
      <c r="L119" s="7">
        <v>0</v>
      </c>
      <c r="M119" s="11">
        <f t="shared" si="18"/>
        <v>84.009100000000018</v>
      </c>
      <c r="N119" s="11">
        <f t="shared" si="19"/>
        <v>18.415994850000004</v>
      </c>
      <c r="O119" s="11">
        <f t="shared" si="20"/>
        <v>84.825188400000002</v>
      </c>
      <c r="P119" s="11">
        <f t="shared" si="21"/>
        <v>0</v>
      </c>
    </row>
    <row r="120" spans="1:16" ht="15" customHeight="1">
      <c r="A120" s="44"/>
      <c r="B120" s="5">
        <f t="shared" si="17"/>
        <v>45444</v>
      </c>
      <c r="C120" s="1" t="s">
        <v>533</v>
      </c>
      <c r="D120" s="195">
        <v>15772</v>
      </c>
      <c r="E120" s="186"/>
      <c r="F120" s="2">
        <v>1781.56</v>
      </c>
      <c r="G120" s="3">
        <f t="shared" si="15"/>
        <v>1503.592101</v>
      </c>
      <c r="H120" s="187"/>
      <c r="I120" s="7">
        <v>7.0000000000000007E-2</v>
      </c>
      <c r="J120" s="7">
        <v>1.6500000000000001E-2</v>
      </c>
      <c r="K120" s="7">
        <v>7.5999999999999998E-2</v>
      </c>
      <c r="L120" s="7">
        <v>0</v>
      </c>
      <c r="M120" s="11">
        <f t="shared" si="18"/>
        <v>124.70920000000001</v>
      </c>
      <c r="N120" s="11">
        <f t="shared" si="19"/>
        <v>27.3380382</v>
      </c>
      <c r="O120" s="11">
        <f t="shared" si="20"/>
        <v>125.92066079999999</v>
      </c>
      <c r="P120" s="11">
        <f t="shared" si="21"/>
        <v>0</v>
      </c>
    </row>
    <row r="121" spans="1:16" ht="15" customHeight="1">
      <c r="A121" s="44"/>
      <c r="B121" s="5">
        <f t="shared" si="17"/>
        <v>45444</v>
      </c>
      <c r="C121" s="1" t="s">
        <v>533</v>
      </c>
      <c r="D121" s="195">
        <v>4328</v>
      </c>
      <c r="E121" s="186"/>
      <c r="F121" s="2">
        <v>130251.93</v>
      </c>
      <c r="G121" s="3">
        <f t="shared" si="15"/>
        <v>104019.19129799999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18"/>
        <v>15630.231599999999</v>
      </c>
      <c r="N121" s="11">
        <f t="shared" si="19"/>
        <v>1891.2580235999999</v>
      </c>
      <c r="O121" s="11">
        <f t="shared" si="20"/>
        <v>8711.2490784000001</v>
      </c>
      <c r="P121" s="11">
        <f t="shared" si="21"/>
        <v>0</v>
      </c>
    </row>
    <row r="122" spans="1:16" ht="15" customHeight="1">
      <c r="A122" s="44"/>
      <c r="B122" s="5">
        <f t="shared" si="17"/>
        <v>45444</v>
      </c>
      <c r="C122" s="1" t="s">
        <v>533</v>
      </c>
      <c r="D122" s="195">
        <v>4329</v>
      </c>
      <c r="E122" s="186"/>
      <c r="F122" s="2">
        <v>150129.01</v>
      </c>
      <c r="G122" s="3">
        <f t="shared" si="15"/>
        <v>119893.027386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18"/>
        <v>18015.481200000002</v>
      </c>
      <c r="N122" s="11">
        <f t="shared" si="19"/>
        <v>2179.8732252</v>
      </c>
      <c r="O122" s="11">
        <f t="shared" si="20"/>
        <v>10040.628188799999</v>
      </c>
      <c r="P122" s="11">
        <f t="shared" si="21"/>
        <v>0</v>
      </c>
    </row>
    <row r="123" spans="1:16" ht="15" customHeight="1">
      <c r="A123" s="44"/>
      <c r="B123" s="5">
        <f t="shared" si="17"/>
        <v>45444</v>
      </c>
      <c r="C123" s="1" t="s">
        <v>533</v>
      </c>
      <c r="D123" s="195">
        <v>4330</v>
      </c>
      <c r="E123" s="186"/>
      <c r="F123" s="2">
        <v>72373.460000000006</v>
      </c>
      <c r="G123" s="3">
        <f t="shared" si="15"/>
        <v>57797.445156000002</v>
      </c>
      <c r="H123" s="187"/>
      <c r="I123" s="7">
        <v>0.12</v>
      </c>
      <c r="J123" s="7">
        <v>1.6500000000000001E-2</v>
      </c>
      <c r="K123" s="7">
        <v>7.5999999999999998E-2</v>
      </c>
      <c r="L123" s="7">
        <v>0</v>
      </c>
      <c r="M123" s="11">
        <f t="shared" si="18"/>
        <v>8684.8152000000009</v>
      </c>
      <c r="N123" s="11">
        <f t="shared" si="19"/>
        <v>1050.8626392000001</v>
      </c>
      <c r="O123" s="11">
        <f t="shared" si="20"/>
        <v>4840.3370048000006</v>
      </c>
      <c r="P123" s="11">
        <f t="shared" si="21"/>
        <v>0</v>
      </c>
    </row>
    <row r="124" spans="1:16" ht="15" customHeight="1">
      <c r="A124" s="44"/>
      <c r="B124" s="5">
        <f t="shared" si="17"/>
        <v>45444</v>
      </c>
      <c r="C124" s="1" t="s">
        <v>533</v>
      </c>
      <c r="D124" s="195">
        <v>4331</v>
      </c>
      <c r="E124" s="186"/>
      <c r="F124" s="2">
        <v>19167.46</v>
      </c>
      <c r="G124" s="3">
        <f t="shared" si="15"/>
        <v>15307.133556000001</v>
      </c>
      <c r="H124" s="187"/>
      <c r="I124" s="7">
        <v>0.12</v>
      </c>
      <c r="J124" s="7">
        <v>1.6500000000000001E-2</v>
      </c>
      <c r="K124" s="7">
        <v>7.5999999999999998E-2</v>
      </c>
      <c r="L124" s="7">
        <v>0</v>
      </c>
      <c r="M124" s="11">
        <f t="shared" si="18"/>
        <v>2300.0951999999997</v>
      </c>
      <c r="N124" s="11">
        <f t="shared" si="19"/>
        <v>278.31151920000002</v>
      </c>
      <c r="O124" s="11">
        <f t="shared" si="20"/>
        <v>1281.9197247999998</v>
      </c>
      <c r="P124" s="11">
        <f t="shared" si="21"/>
        <v>0</v>
      </c>
    </row>
    <row r="125" spans="1:16" ht="15" customHeight="1">
      <c r="A125" s="44"/>
      <c r="B125" s="5">
        <f t="shared" si="17"/>
        <v>45444</v>
      </c>
      <c r="C125" s="1" t="s">
        <v>533</v>
      </c>
      <c r="D125" s="195">
        <v>4334</v>
      </c>
      <c r="E125" s="186"/>
      <c r="F125" s="2">
        <v>45477.27</v>
      </c>
      <c r="G125" s="3">
        <f t="shared" si="15"/>
        <v>36318.147821999999</v>
      </c>
      <c r="H125" s="187"/>
      <c r="I125" s="7">
        <v>0.12</v>
      </c>
      <c r="J125" s="7">
        <v>1.6500000000000001E-2</v>
      </c>
      <c r="K125" s="7">
        <v>7.5999999999999998E-2</v>
      </c>
      <c r="L125" s="7">
        <v>0</v>
      </c>
      <c r="M125" s="11">
        <f t="shared" si="18"/>
        <v>5457.2723999999998</v>
      </c>
      <c r="N125" s="11">
        <f t="shared" si="19"/>
        <v>660.3299604</v>
      </c>
      <c r="O125" s="11">
        <f t="shared" si="20"/>
        <v>3041.5198175999994</v>
      </c>
      <c r="P125" s="11">
        <f t="shared" si="21"/>
        <v>0</v>
      </c>
    </row>
    <row r="126" spans="1:16" ht="15" customHeight="1">
      <c r="A126" s="44"/>
      <c r="B126" s="5">
        <f t="shared" si="17"/>
        <v>45444</v>
      </c>
      <c r="C126" s="1" t="s">
        <v>533</v>
      </c>
      <c r="D126" s="195">
        <v>4335</v>
      </c>
      <c r="E126" s="186"/>
      <c r="F126" s="2">
        <v>157754.73000000001</v>
      </c>
      <c r="G126" s="3">
        <f t="shared" si="15"/>
        <v>125982.92737800001</v>
      </c>
      <c r="H126" s="187"/>
      <c r="I126" s="7">
        <v>0.12</v>
      </c>
      <c r="J126" s="7">
        <v>1.6500000000000001E-2</v>
      </c>
      <c r="K126" s="7">
        <v>7.5999999999999998E-2</v>
      </c>
      <c r="L126" s="7">
        <v>0</v>
      </c>
      <c r="M126" s="11">
        <f t="shared" si="18"/>
        <v>18930.567600000002</v>
      </c>
      <c r="N126" s="11">
        <f t="shared" si="19"/>
        <v>2290.5986796000002</v>
      </c>
      <c r="O126" s="11">
        <f t="shared" si="20"/>
        <v>10550.636342399999</v>
      </c>
      <c r="P126" s="11">
        <f t="shared" si="21"/>
        <v>0</v>
      </c>
    </row>
    <row r="127" spans="1:16" ht="15" customHeight="1">
      <c r="A127" s="44"/>
      <c r="B127" s="5">
        <f t="shared" si="17"/>
        <v>45444</v>
      </c>
      <c r="C127" s="1" t="s">
        <v>533</v>
      </c>
      <c r="D127" s="195">
        <v>15797</v>
      </c>
      <c r="E127" s="186"/>
      <c r="F127" s="2">
        <v>1514.6</v>
      </c>
      <c r="G127" s="3">
        <f t="shared" si="15"/>
        <v>1278.2845349999998</v>
      </c>
      <c r="H127" s="187"/>
      <c r="I127" s="7">
        <v>7.0000000000000007E-2</v>
      </c>
      <c r="J127" s="7">
        <v>1.6500000000000001E-2</v>
      </c>
      <c r="K127" s="7">
        <v>7.5999999999999998E-2</v>
      </c>
      <c r="L127" s="7">
        <v>0</v>
      </c>
      <c r="M127" s="11">
        <f t="shared" si="18"/>
        <v>106.02200000000001</v>
      </c>
      <c r="N127" s="11">
        <f t="shared" si="19"/>
        <v>23.241537000000001</v>
      </c>
      <c r="O127" s="11">
        <f t="shared" si="20"/>
        <v>107.05192799999999</v>
      </c>
      <c r="P127" s="11">
        <f t="shared" si="21"/>
        <v>0</v>
      </c>
    </row>
    <row r="128" spans="1:16" ht="15" customHeight="1">
      <c r="A128" s="44"/>
      <c r="B128" s="5">
        <f t="shared" si="17"/>
        <v>45444</v>
      </c>
      <c r="C128" s="1" t="s">
        <v>533</v>
      </c>
      <c r="D128" s="195">
        <v>15798</v>
      </c>
      <c r="E128" s="186"/>
      <c r="F128" s="2">
        <v>1565.54</v>
      </c>
      <c r="G128" s="3">
        <f t="shared" si="15"/>
        <v>1321.2766214999999</v>
      </c>
      <c r="H128" s="187"/>
      <c r="I128" s="7">
        <v>7.0000000000000007E-2</v>
      </c>
      <c r="J128" s="7">
        <v>1.6500000000000001E-2</v>
      </c>
      <c r="K128" s="7">
        <v>7.5999999999999998E-2</v>
      </c>
      <c r="L128" s="7">
        <v>0</v>
      </c>
      <c r="M128" s="11">
        <f t="shared" si="18"/>
        <v>109.5878</v>
      </c>
      <c r="N128" s="11">
        <f t="shared" si="19"/>
        <v>24.0232113</v>
      </c>
      <c r="O128" s="11">
        <f t="shared" si="20"/>
        <v>110.65236719999999</v>
      </c>
      <c r="P128" s="11">
        <f t="shared" si="21"/>
        <v>0</v>
      </c>
    </row>
    <row r="129" spans="1:16" ht="15" customHeight="1">
      <c r="A129" s="44"/>
      <c r="B129" s="5">
        <f t="shared" si="17"/>
        <v>45444</v>
      </c>
      <c r="C129" s="1" t="s">
        <v>533</v>
      </c>
      <c r="D129" s="195">
        <v>15799</v>
      </c>
      <c r="E129" s="186"/>
      <c r="F129" s="2">
        <v>801.44</v>
      </c>
      <c r="G129" s="3">
        <f t="shared" si="15"/>
        <v>676.39532400000007</v>
      </c>
      <c r="H129" s="187"/>
      <c r="I129" s="7">
        <v>7.0000000000000007E-2</v>
      </c>
      <c r="J129" s="7">
        <v>1.6500000000000001E-2</v>
      </c>
      <c r="K129" s="7">
        <v>7.5999999999999998E-2</v>
      </c>
      <c r="L129" s="7">
        <v>0</v>
      </c>
      <c r="M129" s="11">
        <f t="shared" si="18"/>
        <v>56.100800000000007</v>
      </c>
      <c r="N129" s="11">
        <f t="shared" si="19"/>
        <v>12.298096800000001</v>
      </c>
      <c r="O129" s="11">
        <f t="shared" si="20"/>
        <v>56.6457792</v>
      </c>
      <c r="P129" s="11">
        <f t="shared" si="21"/>
        <v>0</v>
      </c>
    </row>
    <row r="130" spans="1:16" ht="15" customHeight="1">
      <c r="A130" s="44"/>
      <c r="B130" s="5">
        <f t="shared" si="17"/>
        <v>45444</v>
      </c>
      <c r="C130" s="1" t="s">
        <v>533</v>
      </c>
      <c r="D130" s="195">
        <v>15800</v>
      </c>
      <c r="E130" s="186"/>
      <c r="F130" s="2">
        <v>190.92</v>
      </c>
      <c r="G130" s="3">
        <f t="shared" si="15"/>
        <v>161.13170699999998</v>
      </c>
      <c r="H130" s="187"/>
      <c r="I130" s="7">
        <v>7.0000000000000007E-2</v>
      </c>
      <c r="J130" s="7">
        <v>1.6500000000000001E-2</v>
      </c>
      <c r="K130" s="7">
        <v>7.5999999999999998E-2</v>
      </c>
      <c r="L130" s="7">
        <v>0</v>
      </c>
      <c r="M130" s="11">
        <f t="shared" si="18"/>
        <v>13.3644</v>
      </c>
      <c r="N130" s="11">
        <f t="shared" si="19"/>
        <v>2.9296674</v>
      </c>
      <c r="O130" s="11">
        <f t="shared" si="20"/>
        <v>13.4942256</v>
      </c>
      <c r="P130" s="11">
        <f t="shared" si="21"/>
        <v>0</v>
      </c>
    </row>
    <row r="131" spans="1:16" ht="15" customHeight="1">
      <c r="A131" s="44"/>
      <c r="B131" s="5">
        <f t="shared" si="17"/>
        <v>45444</v>
      </c>
      <c r="C131" s="1" t="s">
        <v>533</v>
      </c>
      <c r="D131" s="195">
        <v>15801</v>
      </c>
      <c r="E131" s="186"/>
      <c r="F131" s="2">
        <v>600.97</v>
      </c>
      <c r="G131" s="3">
        <f t="shared" si="15"/>
        <v>507.20365575000005</v>
      </c>
      <c r="H131" s="187"/>
      <c r="I131" s="7">
        <v>7.0000000000000007E-2</v>
      </c>
      <c r="J131" s="7">
        <v>1.6500000000000001E-2</v>
      </c>
      <c r="K131" s="7">
        <v>7.5999999999999998E-2</v>
      </c>
      <c r="L131" s="7">
        <v>0</v>
      </c>
      <c r="M131" s="11">
        <f t="shared" si="18"/>
        <v>42.067900000000009</v>
      </c>
      <c r="N131" s="11">
        <f t="shared" si="19"/>
        <v>9.2218846500000016</v>
      </c>
      <c r="O131" s="11">
        <f t="shared" si="20"/>
        <v>42.476559600000002</v>
      </c>
      <c r="P131" s="11">
        <f t="shared" si="21"/>
        <v>0</v>
      </c>
    </row>
    <row r="132" spans="1:16" ht="15" customHeight="1">
      <c r="A132" s="44"/>
      <c r="B132" s="5">
        <f t="shared" si="17"/>
        <v>45444</v>
      </c>
      <c r="C132" s="1" t="s">
        <v>533</v>
      </c>
      <c r="D132" s="195">
        <v>15802</v>
      </c>
      <c r="E132" s="186"/>
      <c r="F132" s="2">
        <v>1648.24</v>
      </c>
      <c r="G132" s="3">
        <f t="shared" si="15"/>
        <v>1391.0733540000001</v>
      </c>
      <c r="H132" s="187"/>
      <c r="I132" s="7">
        <v>7.0000000000000007E-2</v>
      </c>
      <c r="J132" s="7">
        <v>1.6500000000000001E-2</v>
      </c>
      <c r="K132" s="7">
        <v>7.5999999999999998E-2</v>
      </c>
      <c r="L132" s="7">
        <v>0</v>
      </c>
      <c r="M132" s="11">
        <f t="shared" si="18"/>
        <v>115.37680000000002</v>
      </c>
      <c r="N132" s="11">
        <f t="shared" si="19"/>
        <v>25.2922428</v>
      </c>
      <c r="O132" s="11">
        <f t="shared" si="20"/>
        <v>116.4976032</v>
      </c>
      <c r="P132" s="11">
        <f t="shared" si="21"/>
        <v>0</v>
      </c>
    </row>
    <row r="133" spans="1:16" ht="15" customHeight="1">
      <c r="A133" s="44"/>
      <c r="B133" s="5">
        <f t="shared" si="17"/>
        <v>45444</v>
      </c>
      <c r="C133" s="1" t="s">
        <v>533</v>
      </c>
      <c r="D133" s="195">
        <v>19139</v>
      </c>
      <c r="E133" s="186"/>
      <c r="F133" s="2">
        <v>5754</v>
      </c>
      <c r="G133" s="3">
        <f t="shared" si="15"/>
        <v>4595.1444000000001</v>
      </c>
      <c r="H133" s="187"/>
      <c r="I133" s="7">
        <v>0.12</v>
      </c>
      <c r="J133" s="7">
        <v>1.6500000000000001E-2</v>
      </c>
      <c r="K133" s="7">
        <v>7.5999999999999998E-2</v>
      </c>
      <c r="L133" s="7">
        <v>0</v>
      </c>
      <c r="M133" s="11">
        <f t="shared" si="18"/>
        <v>690.48</v>
      </c>
      <c r="N133" s="11">
        <f t="shared" si="19"/>
        <v>83.548080000000013</v>
      </c>
      <c r="O133" s="11">
        <f t="shared" si="20"/>
        <v>384.82752000000005</v>
      </c>
      <c r="P133" s="11">
        <f t="shared" si="21"/>
        <v>0</v>
      </c>
    </row>
    <row r="134" spans="1:16" ht="15" customHeight="1">
      <c r="A134" s="44"/>
      <c r="B134" s="5">
        <f t="shared" si="17"/>
        <v>45444</v>
      </c>
      <c r="C134" s="1" t="s">
        <v>533</v>
      </c>
      <c r="D134" s="195">
        <v>19140</v>
      </c>
      <c r="E134" s="186"/>
      <c r="F134" s="2">
        <v>6030.11</v>
      </c>
      <c r="G134" s="3">
        <f t="shared" si="15"/>
        <v>4815.6458459999994</v>
      </c>
      <c r="H134" s="187"/>
      <c r="I134" s="7">
        <v>0.12</v>
      </c>
      <c r="J134" s="7">
        <v>1.6500000000000001E-2</v>
      </c>
      <c r="K134" s="7">
        <v>7.5999999999999998E-2</v>
      </c>
      <c r="L134" s="7">
        <v>0</v>
      </c>
      <c r="M134" s="11">
        <f t="shared" si="18"/>
        <v>723.61319999999989</v>
      </c>
      <c r="N134" s="11">
        <f t="shared" si="19"/>
        <v>87.557197200000004</v>
      </c>
      <c r="O134" s="11">
        <f t="shared" si="20"/>
        <v>403.29375679999998</v>
      </c>
      <c r="P134" s="11">
        <f t="shared" si="21"/>
        <v>0</v>
      </c>
    </row>
    <row r="135" spans="1:16" ht="15" customHeight="1">
      <c r="A135" s="44"/>
      <c r="B135" s="5">
        <f t="shared" si="17"/>
        <v>45444</v>
      </c>
      <c r="C135" s="1" t="s">
        <v>533</v>
      </c>
      <c r="D135" s="195">
        <v>19141</v>
      </c>
      <c r="E135" s="186"/>
      <c r="F135" s="2">
        <v>3239.52</v>
      </c>
      <c r="G135" s="3">
        <f t="shared" si="15"/>
        <v>2587.080672</v>
      </c>
      <c r="H135" s="187"/>
      <c r="I135" s="7">
        <v>0.12</v>
      </c>
      <c r="J135" s="7">
        <v>1.6500000000000001E-2</v>
      </c>
      <c r="K135" s="7">
        <v>7.5999999999999998E-2</v>
      </c>
      <c r="L135" s="7">
        <v>0</v>
      </c>
      <c r="M135" s="11">
        <f t="shared" si="18"/>
        <v>388.74239999999998</v>
      </c>
      <c r="N135" s="11">
        <f t="shared" si="19"/>
        <v>47.037830399999997</v>
      </c>
      <c r="O135" s="11">
        <f t="shared" si="20"/>
        <v>216.6590976</v>
      </c>
      <c r="P135" s="11">
        <f t="shared" si="21"/>
        <v>0</v>
      </c>
    </row>
    <row r="136" spans="1:16" ht="15" customHeight="1">
      <c r="A136" s="44"/>
      <c r="B136" s="5">
        <f t="shared" si="17"/>
        <v>45444</v>
      </c>
      <c r="C136" s="1" t="s">
        <v>533</v>
      </c>
      <c r="D136" s="195">
        <v>19142</v>
      </c>
      <c r="E136" s="186"/>
      <c r="F136" s="2">
        <v>769.42</v>
      </c>
      <c r="G136" s="3">
        <f t="shared" si="15"/>
        <v>614.45881199999997</v>
      </c>
      <c r="H136" s="187"/>
      <c r="I136" s="7">
        <v>0.12</v>
      </c>
      <c r="J136" s="7">
        <v>1.6500000000000001E-2</v>
      </c>
      <c r="K136" s="7">
        <v>7.5999999999999998E-2</v>
      </c>
      <c r="L136" s="7">
        <v>0</v>
      </c>
      <c r="M136" s="11">
        <f t="shared" si="18"/>
        <v>92.330399999999997</v>
      </c>
      <c r="N136" s="11">
        <f t="shared" si="19"/>
        <v>11.1719784</v>
      </c>
      <c r="O136" s="11">
        <f t="shared" si="20"/>
        <v>51.458809600000002</v>
      </c>
      <c r="P136" s="11">
        <f t="shared" si="21"/>
        <v>0</v>
      </c>
    </row>
    <row r="137" spans="1:16" ht="15" customHeight="1">
      <c r="A137" s="44"/>
      <c r="B137" s="5">
        <f t="shared" si="17"/>
        <v>45444</v>
      </c>
      <c r="C137" s="1" t="s">
        <v>533</v>
      </c>
      <c r="D137" s="195">
        <v>19143</v>
      </c>
      <c r="E137" s="186"/>
      <c r="F137" s="2">
        <v>2241.9499999999998</v>
      </c>
      <c r="G137" s="3">
        <f t="shared" si="15"/>
        <v>1790.4212699999998</v>
      </c>
      <c r="H137" s="187"/>
      <c r="I137" s="7">
        <v>0.12</v>
      </c>
      <c r="J137" s="7">
        <v>1.6500000000000001E-2</v>
      </c>
      <c r="K137" s="7">
        <v>7.5999999999999998E-2</v>
      </c>
      <c r="L137" s="7">
        <v>0</v>
      </c>
      <c r="M137" s="11">
        <f t="shared" si="18"/>
        <v>269.03399999999999</v>
      </c>
      <c r="N137" s="11">
        <f t="shared" si="19"/>
        <v>32.553113999999994</v>
      </c>
      <c r="O137" s="11">
        <f t="shared" si="20"/>
        <v>149.94161599999998</v>
      </c>
      <c r="P137" s="11">
        <f t="shared" si="21"/>
        <v>0</v>
      </c>
    </row>
    <row r="138" spans="1:16" ht="15" customHeight="1">
      <c r="A138" s="44"/>
      <c r="B138" s="5">
        <f t="shared" si="17"/>
        <v>45444</v>
      </c>
      <c r="C138" s="1" t="s">
        <v>533</v>
      </c>
      <c r="D138" s="195">
        <v>19147</v>
      </c>
      <c r="E138" s="186"/>
      <c r="F138" s="2">
        <v>6492.8</v>
      </c>
      <c r="G138" s="3">
        <f t="shared" si="15"/>
        <v>5185.1500800000003</v>
      </c>
      <c r="H138" s="187"/>
      <c r="I138" s="7">
        <v>0.12</v>
      </c>
      <c r="J138" s="7">
        <v>1.6500000000000001E-2</v>
      </c>
      <c r="K138" s="7">
        <v>7.5999999999999998E-2</v>
      </c>
      <c r="L138" s="7">
        <v>0</v>
      </c>
      <c r="M138" s="11">
        <f t="shared" si="18"/>
        <v>779.13599999999997</v>
      </c>
      <c r="N138" s="11">
        <f t="shared" si="19"/>
        <v>94.27545600000002</v>
      </c>
      <c r="O138" s="11">
        <f t="shared" si="20"/>
        <v>434.23846400000002</v>
      </c>
      <c r="P138" s="11">
        <f t="shared" si="21"/>
        <v>0</v>
      </c>
    </row>
    <row r="139" spans="1:16" ht="15" customHeight="1">
      <c r="A139" s="44"/>
      <c r="B139" s="5">
        <f t="shared" si="17"/>
        <v>45444</v>
      </c>
      <c r="C139" s="1" t="s">
        <v>533</v>
      </c>
      <c r="D139" s="195">
        <v>15856</v>
      </c>
      <c r="E139" s="186"/>
      <c r="F139" s="2">
        <v>6077.03</v>
      </c>
      <c r="G139" s="3">
        <f t="shared" si="15"/>
        <v>5128.8613942499996</v>
      </c>
      <c r="H139" s="187"/>
      <c r="I139" s="7">
        <v>7.0000000000000007E-2</v>
      </c>
      <c r="J139" s="7">
        <v>1.6500000000000001E-2</v>
      </c>
      <c r="K139" s="7">
        <v>7.5999999999999998E-2</v>
      </c>
      <c r="L139" s="7">
        <v>0</v>
      </c>
      <c r="M139" s="11">
        <f t="shared" si="18"/>
        <v>425.39210000000003</v>
      </c>
      <c r="N139" s="11">
        <f t="shared" si="19"/>
        <v>93.252025349999997</v>
      </c>
      <c r="O139" s="11">
        <f t="shared" si="20"/>
        <v>429.52448039999996</v>
      </c>
      <c r="P139" s="11">
        <f t="shared" si="21"/>
        <v>0</v>
      </c>
    </row>
    <row r="140" spans="1:16" ht="15" customHeight="1">
      <c r="A140" s="44"/>
      <c r="B140" s="5">
        <f t="shared" si="17"/>
        <v>45444</v>
      </c>
      <c r="C140" s="1" t="s">
        <v>533</v>
      </c>
      <c r="D140" s="195">
        <v>15857</v>
      </c>
      <c r="E140" s="186"/>
      <c r="F140" s="2">
        <v>7020.28</v>
      </c>
      <c r="G140" s="3">
        <f t="shared" si="15"/>
        <v>5924.9408129999993</v>
      </c>
      <c r="H140" s="187"/>
      <c r="I140" s="7">
        <v>7.0000000000000007E-2</v>
      </c>
      <c r="J140" s="7">
        <v>1.6500000000000001E-2</v>
      </c>
      <c r="K140" s="7">
        <v>7.5999999999999998E-2</v>
      </c>
      <c r="L140" s="7">
        <v>0</v>
      </c>
      <c r="M140" s="11">
        <f t="shared" si="18"/>
        <v>491.4196</v>
      </c>
      <c r="N140" s="11">
        <f t="shared" si="19"/>
        <v>107.72619659999999</v>
      </c>
      <c r="O140" s="11">
        <f t="shared" si="20"/>
        <v>496.19339039999994</v>
      </c>
      <c r="P140" s="11">
        <f t="shared" si="21"/>
        <v>0</v>
      </c>
    </row>
    <row r="141" spans="1:16" ht="15" customHeight="1">
      <c r="A141" s="44"/>
      <c r="B141" s="5">
        <f t="shared" si="17"/>
        <v>45444</v>
      </c>
      <c r="C141" s="1" t="s">
        <v>533</v>
      </c>
      <c r="D141" s="195">
        <v>15858</v>
      </c>
      <c r="E141" s="186"/>
      <c r="F141" s="2">
        <v>3353.44</v>
      </c>
      <c r="G141" s="3">
        <f t="shared" si="15"/>
        <v>2830.2195240000001</v>
      </c>
      <c r="H141" s="187"/>
      <c r="I141" s="7">
        <v>7.0000000000000007E-2</v>
      </c>
      <c r="J141" s="7">
        <v>1.6500000000000001E-2</v>
      </c>
      <c r="K141" s="7">
        <v>7.5999999999999998E-2</v>
      </c>
      <c r="L141" s="7">
        <v>0</v>
      </c>
      <c r="M141" s="11">
        <f t="shared" si="18"/>
        <v>234.74080000000004</v>
      </c>
      <c r="N141" s="11">
        <f t="shared" si="19"/>
        <v>51.458536800000005</v>
      </c>
      <c r="O141" s="11">
        <f t="shared" si="20"/>
        <v>237.02113919999999</v>
      </c>
      <c r="P141" s="11">
        <f t="shared" si="21"/>
        <v>0</v>
      </c>
    </row>
    <row r="142" spans="1:16" ht="15" customHeight="1">
      <c r="A142" s="44"/>
      <c r="B142" s="5">
        <f t="shared" si="17"/>
        <v>45444</v>
      </c>
      <c r="C142" s="1" t="s">
        <v>533</v>
      </c>
      <c r="D142" s="195">
        <v>15859</v>
      </c>
      <c r="E142" s="186"/>
      <c r="F142" s="2">
        <v>886.52</v>
      </c>
      <c r="G142" s="3">
        <f t="shared" si="15"/>
        <v>748.20071699999994</v>
      </c>
      <c r="H142" s="187"/>
      <c r="I142" s="7">
        <v>7.0000000000000007E-2</v>
      </c>
      <c r="J142" s="7">
        <v>1.6500000000000001E-2</v>
      </c>
      <c r="K142" s="7">
        <v>7.5999999999999998E-2</v>
      </c>
      <c r="L142" s="7">
        <v>0</v>
      </c>
      <c r="M142" s="11">
        <f t="shared" si="18"/>
        <v>62.056400000000004</v>
      </c>
      <c r="N142" s="11">
        <f t="shared" si="19"/>
        <v>13.6036494</v>
      </c>
      <c r="O142" s="11">
        <f t="shared" si="20"/>
        <v>62.659233599999993</v>
      </c>
      <c r="P142" s="11">
        <f t="shared" si="21"/>
        <v>0</v>
      </c>
    </row>
    <row r="143" spans="1:16" ht="15" customHeight="1">
      <c r="A143" s="44"/>
      <c r="B143" s="5">
        <f t="shared" si="17"/>
        <v>45444</v>
      </c>
      <c r="C143" s="1" t="s">
        <v>533</v>
      </c>
      <c r="D143" s="195">
        <v>15860</v>
      </c>
      <c r="E143" s="186"/>
      <c r="F143" s="2">
        <v>2074.94</v>
      </c>
      <c r="G143" s="3">
        <f t="shared" si="15"/>
        <v>1751.1974865000002</v>
      </c>
      <c r="H143" s="187"/>
      <c r="I143" s="7">
        <v>7.0000000000000007E-2</v>
      </c>
      <c r="J143" s="7">
        <v>1.6500000000000001E-2</v>
      </c>
      <c r="K143" s="7">
        <v>7.5999999999999998E-2</v>
      </c>
      <c r="L143" s="7">
        <v>0</v>
      </c>
      <c r="M143" s="11">
        <f t="shared" si="18"/>
        <v>145.24580000000003</v>
      </c>
      <c r="N143" s="11">
        <f t="shared" si="19"/>
        <v>31.839954299999999</v>
      </c>
      <c r="O143" s="11">
        <f t="shared" si="20"/>
        <v>146.65675919999998</v>
      </c>
      <c r="P143" s="11">
        <f t="shared" si="21"/>
        <v>0</v>
      </c>
    </row>
    <row r="144" spans="1:16" ht="15" customHeight="1">
      <c r="A144" s="44"/>
      <c r="B144" s="5">
        <f t="shared" si="17"/>
        <v>45444</v>
      </c>
      <c r="C144" s="1" t="s">
        <v>533</v>
      </c>
      <c r="D144" s="195">
        <v>15861</v>
      </c>
      <c r="E144" s="186"/>
      <c r="F144" s="2">
        <v>7423</v>
      </c>
      <c r="G144" s="3">
        <f t="shared" si="15"/>
        <v>6264.8264250000002</v>
      </c>
      <c r="H144" s="187"/>
      <c r="I144" s="7">
        <v>7.0000000000000007E-2</v>
      </c>
      <c r="J144" s="7">
        <v>1.6500000000000001E-2</v>
      </c>
      <c r="K144" s="7">
        <v>7.5999999999999998E-2</v>
      </c>
      <c r="L144" s="7">
        <v>0</v>
      </c>
      <c r="M144" s="11">
        <f t="shared" si="18"/>
        <v>519.61</v>
      </c>
      <c r="N144" s="11">
        <f t="shared" si="19"/>
        <v>113.90593500000001</v>
      </c>
      <c r="O144" s="11">
        <f t="shared" si="20"/>
        <v>524.65764000000001</v>
      </c>
      <c r="P144" s="11">
        <f t="shared" si="21"/>
        <v>0</v>
      </c>
    </row>
    <row r="145" spans="1:16" ht="15" customHeight="1">
      <c r="A145" s="44"/>
      <c r="B145" s="5">
        <f t="shared" si="17"/>
        <v>45444</v>
      </c>
      <c r="C145" s="1" t="s">
        <v>533</v>
      </c>
      <c r="D145" s="195">
        <v>4358</v>
      </c>
      <c r="E145" s="186"/>
      <c r="F145" s="2">
        <v>5.6</v>
      </c>
      <c r="G145" s="3">
        <f t="shared" si="15"/>
        <v>4.4721599999999997</v>
      </c>
      <c r="H145" s="187"/>
      <c r="I145" s="7">
        <v>0.12</v>
      </c>
      <c r="J145" s="7">
        <v>1.6500000000000001E-2</v>
      </c>
      <c r="K145" s="7">
        <v>7.5999999999999998E-2</v>
      </c>
      <c r="L145" s="7">
        <v>0</v>
      </c>
      <c r="M145" s="11">
        <f t="shared" si="18"/>
        <v>0.67199999999999993</v>
      </c>
      <c r="N145" s="11">
        <f t="shared" si="19"/>
        <v>8.1312000000000009E-2</v>
      </c>
      <c r="O145" s="11">
        <f t="shared" si="20"/>
        <v>0.37452799999999997</v>
      </c>
      <c r="P145" s="11">
        <f t="shared" si="21"/>
        <v>0</v>
      </c>
    </row>
    <row r="146" spans="1:16" ht="15" customHeight="1">
      <c r="A146" s="44"/>
      <c r="B146" s="5">
        <f t="shared" si="17"/>
        <v>45444</v>
      </c>
      <c r="C146" s="1" t="s">
        <v>533</v>
      </c>
      <c r="D146" s="195">
        <v>4359</v>
      </c>
      <c r="E146" s="186"/>
      <c r="F146" s="2">
        <v>6.19</v>
      </c>
      <c r="G146" s="3">
        <f t="shared" si="15"/>
        <v>4.9433340000000001</v>
      </c>
      <c r="H146" s="187"/>
      <c r="I146" s="7">
        <v>0.12</v>
      </c>
      <c r="J146" s="7">
        <v>1.6500000000000001E-2</v>
      </c>
      <c r="K146" s="7">
        <v>7.5999999999999998E-2</v>
      </c>
      <c r="L146" s="7">
        <v>0</v>
      </c>
      <c r="M146" s="11">
        <f t="shared" si="18"/>
        <v>0.74280000000000002</v>
      </c>
      <c r="N146" s="11">
        <f t="shared" si="19"/>
        <v>8.9878800000000009E-2</v>
      </c>
      <c r="O146" s="11">
        <f t="shared" si="20"/>
        <v>0.4139872</v>
      </c>
      <c r="P146" s="11">
        <f t="shared" si="21"/>
        <v>0</v>
      </c>
    </row>
    <row r="147" spans="1:16" ht="15" customHeight="1">
      <c r="A147" s="44"/>
      <c r="B147" s="5">
        <f t="shared" si="17"/>
        <v>45444</v>
      </c>
      <c r="C147" s="1" t="s">
        <v>533</v>
      </c>
      <c r="D147" s="195">
        <v>4360</v>
      </c>
      <c r="E147" s="186"/>
      <c r="F147" s="2">
        <v>3.14</v>
      </c>
      <c r="G147" s="3">
        <f t="shared" si="15"/>
        <v>2.5076040000000002</v>
      </c>
      <c r="H147" s="187"/>
      <c r="I147" s="7">
        <v>0.12</v>
      </c>
      <c r="J147" s="7">
        <v>1.6500000000000001E-2</v>
      </c>
      <c r="K147" s="7">
        <v>7.5999999999999998E-2</v>
      </c>
      <c r="L147" s="7">
        <v>0</v>
      </c>
      <c r="M147" s="11">
        <f t="shared" si="18"/>
        <v>0.37680000000000002</v>
      </c>
      <c r="N147" s="11">
        <f t="shared" si="19"/>
        <v>4.559280000000001E-2</v>
      </c>
      <c r="O147" s="11">
        <f t="shared" si="20"/>
        <v>0.21000320000000003</v>
      </c>
      <c r="P147" s="11">
        <f t="shared" si="21"/>
        <v>0</v>
      </c>
    </row>
    <row r="148" spans="1:16" ht="15" customHeight="1">
      <c r="A148" s="44"/>
      <c r="B148" s="5">
        <f t="shared" si="17"/>
        <v>45444</v>
      </c>
      <c r="C148" s="1" t="s">
        <v>533</v>
      </c>
      <c r="D148" s="195">
        <v>4361</v>
      </c>
      <c r="E148" s="186"/>
      <c r="F148" s="2">
        <v>1.93</v>
      </c>
      <c r="G148" s="3">
        <f t="shared" si="15"/>
        <v>1.5412980000000001</v>
      </c>
      <c r="H148" s="187"/>
      <c r="I148" s="7">
        <v>0.12</v>
      </c>
      <c r="J148" s="7">
        <v>1.6500000000000001E-2</v>
      </c>
      <c r="K148" s="7">
        <v>7.5999999999999998E-2</v>
      </c>
      <c r="L148" s="7">
        <v>0</v>
      </c>
      <c r="M148" s="11">
        <f t="shared" si="18"/>
        <v>0.23159999999999997</v>
      </c>
      <c r="N148" s="11">
        <f t="shared" si="19"/>
        <v>2.8023599999999999E-2</v>
      </c>
      <c r="O148" s="11">
        <f t="shared" si="20"/>
        <v>0.12907839999999998</v>
      </c>
      <c r="P148" s="11">
        <f t="shared" si="21"/>
        <v>0</v>
      </c>
    </row>
    <row r="149" spans="1:16" ht="15" customHeight="1">
      <c r="A149" s="44"/>
      <c r="B149" s="5">
        <f t="shared" si="17"/>
        <v>45444</v>
      </c>
      <c r="C149" s="1" t="s">
        <v>533</v>
      </c>
      <c r="D149" s="195">
        <v>4362</v>
      </c>
      <c r="E149" s="186"/>
      <c r="F149" s="2">
        <v>6.17</v>
      </c>
      <c r="G149" s="3">
        <f t="shared" si="15"/>
        <v>4.9273620000000005</v>
      </c>
      <c r="H149" s="187"/>
      <c r="I149" s="7">
        <v>0.12</v>
      </c>
      <c r="J149" s="7">
        <v>1.6500000000000001E-2</v>
      </c>
      <c r="K149" s="7">
        <v>7.5999999999999998E-2</v>
      </c>
      <c r="L149" s="7">
        <v>0</v>
      </c>
      <c r="M149" s="11">
        <f t="shared" si="18"/>
        <v>0.74039999999999995</v>
      </c>
      <c r="N149" s="11">
        <f t="shared" si="19"/>
        <v>8.9588399999999999E-2</v>
      </c>
      <c r="O149" s="11">
        <f t="shared" si="20"/>
        <v>0.41264959999999995</v>
      </c>
      <c r="P149" s="11">
        <f t="shared" si="21"/>
        <v>0</v>
      </c>
    </row>
    <row r="150" spans="1:16" ht="15" customHeight="1">
      <c r="A150" s="44"/>
      <c r="B150" s="5">
        <f t="shared" si="17"/>
        <v>45444</v>
      </c>
      <c r="C150" s="1" t="s">
        <v>533</v>
      </c>
      <c r="D150" s="195">
        <v>19104</v>
      </c>
      <c r="E150" s="186"/>
      <c r="F150" s="2">
        <v>3.41</v>
      </c>
      <c r="G150" s="3">
        <f t="shared" si="15"/>
        <v>2.7232260000000004</v>
      </c>
      <c r="H150" s="187"/>
      <c r="I150" s="7">
        <v>0.12</v>
      </c>
      <c r="J150" s="7">
        <v>1.6500000000000001E-2</v>
      </c>
      <c r="K150" s="7">
        <v>7.5999999999999998E-2</v>
      </c>
      <c r="L150" s="7">
        <v>0</v>
      </c>
      <c r="M150" s="11">
        <f t="shared" si="18"/>
        <v>0.40920000000000001</v>
      </c>
      <c r="N150" s="11">
        <f t="shared" si="19"/>
        <v>4.95132E-2</v>
      </c>
      <c r="O150" s="11">
        <f t="shared" si="20"/>
        <v>0.22806079999999998</v>
      </c>
      <c r="P150" s="11">
        <f t="shared" si="21"/>
        <v>0</v>
      </c>
    </row>
    <row r="151" spans="1:16" ht="15" customHeight="1">
      <c r="A151" s="44"/>
      <c r="B151" s="5">
        <f t="shared" si="17"/>
        <v>45444</v>
      </c>
      <c r="C151" s="1" t="s">
        <v>533</v>
      </c>
      <c r="D151" s="195">
        <v>19105</v>
      </c>
      <c r="E151" s="186"/>
      <c r="F151" s="2">
        <v>3.77</v>
      </c>
      <c r="G151" s="3">
        <f t="shared" si="15"/>
        <v>3.0107220000000003</v>
      </c>
      <c r="H151" s="187"/>
      <c r="I151" s="7">
        <v>0.12</v>
      </c>
      <c r="J151" s="7">
        <v>1.6500000000000001E-2</v>
      </c>
      <c r="K151" s="7">
        <v>7.5999999999999998E-2</v>
      </c>
      <c r="L151" s="7">
        <v>0</v>
      </c>
      <c r="M151" s="11">
        <f t="shared" si="18"/>
        <v>0.45239999999999997</v>
      </c>
      <c r="N151" s="11">
        <f t="shared" si="19"/>
        <v>5.4740400000000002E-2</v>
      </c>
      <c r="O151" s="11">
        <f t="shared" si="20"/>
        <v>0.25213760000000002</v>
      </c>
      <c r="P151" s="11">
        <f t="shared" si="21"/>
        <v>0</v>
      </c>
    </row>
    <row r="152" spans="1:16" ht="15" customHeight="1">
      <c r="A152" s="44"/>
      <c r="B152" s="5">
        <f t="shared" si="17"/>
        <v>45444</v>
      </c>
      <c r="C152" s="1" t="s">
        <v>533</v>
      </c>
      <c r="D152" s="195">
        <v>19106</v>
      </c>
      <c r="E152" s="186"/>
      <c r="F152" s="2">
        <v>1.91</v>
      </c>
      <c r="G152" s="3">
        <f t="shared" si="15"/>
        <v>1.525326</v>
      </c>
      <c r="H152" s="187"/>
      <c r="I152" s="7">
        <v>0.12</v>
      </c>
      <c r="J152" s="7">
        <v>1.6500000000000001E-2</v>
      </c>
      <c r="K152" s="7">
        <v>7.5999999999999998E-2</v>
      </c>
      <c r="L152" s="7">
        <v>0</v>
      </c>
      <c r="M152" s="11">
        <f t="shared" si="18"/>
        <v>0.22919999999999999</v>
      </c>
      <c r="N152" s="11">
        <f t="shared" si="19"/>
        <v>2.77332E-2</v>
      </c>
      <c r="O152" s="11">
        <f t="shared" si="20"/>
        <v>0.12774079999999999</v>
      </c>
      <c r="P152" s="11">
        <f t="shared" si="21"/>
        <v>0</v>
      </c>
    </row>
    <row r="153" spans="1:16" ht="15" customHeight="1">
      <c r="A153" s="44"/>
      <c r="B153" s="5">
        <f t="shared" si="17"/>
        <v>45444</v>
      </c>
      <c r="C153" s="1" t="s">
        <v>533</v>
      </c>
      <c r="D153" s="195">
        <v>19102</v>
      </c>
      <c r="E153" s="186"/>
      <c r="F153" s="2">
        <v>1.17</v>
      </c>
      <c r="G153" s="3">
        <f t="shared" si="15"/>
        <v>0.93436199999999991</v>
      </c>
      <c r="H153" s="187"/>
      <c r="I153" s="7">
        <v>0.12</v>
      </c>
      <c r="J153" s="7">
        <v>1.6500000000000001E-2</v>
      </c>
      <c r="K153" s="7">
        <v>7.5999999999999998E-2</v>
      </c>
      <c r="L153" s="7">
        <v>0</v>
      </c>
      <c r="M153" s="11">
        <f t="shared" si="18"/>
        <v>0.1404</v>
      </c>
      <c r="N153" s="11">
        <f t="shared" si="19"/>
        <v>1.6988399999999997E-2</v>
      </c>
      <c r="O153" s="11">
        <f t="shared" si="20"/>
        <v>7.8249599999999989E-2</v>
      </c>
      <c r="P153" s="11">
        <f t="shared" si="21"/>
        <v>0</v>
      </c>
    </row>
    <row r="154" spans="1:16" ht="15" customHeight="1">
      <c r="A154" s="44"/>
      <c r="B154" s="5">
        <f t="shared" si="17"/>
        <v>45444</v>
      </c>
      <c r="C154" s="1" t="s">
        <v>533</v>
      </c>
      <c r="D154" s="195">
        <v>19103</v>
      </c>
      <c r="E154" s="186"/>
      <c r="F154" s="2">
        <v>3.76</v>
      </c>
      <c r="G154" s="3">
        <f t="shared" si="15"/>
        <v>3.0027359999999996</v>
      </c>
      <c r="H154" s="187"/>
      <c r="I154" s="7">
        <v>0.12</v>
      </c>
      <c r="J154" s="7">
        <v>1.6500000000000001E-2</v>
      </c>
      <c r="K154" s="7">
        <v>7.5999999999999998E-2</v>
      </c>
      <c r="L154" s="7">
        <v>0</v>
      </c>
      <c r="M154" s="11">
        <f t="shared" si="18"/>
        <v>0.45119999999999993</v>
      </c>
      <c r="N154" s="11">
        <f t="shared" si="19"/>
        <v>5.4595199999999997E-2</v>
      </c>
      <c r="O154" s="11">
        <f t="shared" si="20"/>
        <v>0.25146879999999999</v>
      </c>
      <c r="P154" s="11">
        <f t="shared" si="21"/>
        <v>0</v>
      </c>
    </row>
    <row r="155" spans="1:16" ht="15" customHeight="1">
      <c r="A155" s="44"/>
      <c r="B155" s="5">
        <f t="shared" si="17"/>
        <v>45444</v>
      </c>
      <c r="C155" s="1" t="s">
        <v>533</v>
      </c>
      <c r="D155" s="195">
        <v>4336</v>
      </c>
      <c r="E155" s="186"/>
      <c r="F155" s="2">
        <v>80740.89</v>
      </c>
      <c r="G155" s="3">
        <f t="shared" si="15"/>
        <v>64479.674754</v>
      </c>
      <c r="H155" s="187"/>
      <c r="I155" s="7">
        <v>0.12</v>
      </c>
      <c r="J155" s="7">
        <v>1.6500000000000001E-2</v>
      </c>
      <c r="K155" s="7">
        <v>7.5999999999999998E-2</v>
      </c>
      <c r="L155" s="7">
        <v>0</v>
      </c>
      <c r="M155" s="11">
        <f t="shared" si="18"/>
        <v>9688.9067999999988</v>
      </c>
      <c r="N155" s="11">
        <f t="shared" si="19"/>
        <v>1172.3577228000001</v>
      </c>
      <c r="O155" s="11">
        <f t="shared" si="20"/>
        <v>5399.9507231999996</v>
      </c>
      <c r="P155" s="11">
        <f t="shared" si="21"/>
        <v>0</v>
      </c>
    </row>
    <row r="156" spans="1:16" ht="15" customHeight="1">
      <c r="A156" s="44"/>
      <c r="B156" s="5">
        <f t="shared" si="17"/>
        <v>45444</v>
      </c>
      <c r="C156" s="1" t="s">
        <v>533</v>
      </c>
      <c r="D156" s="195">
        <v>4337</v>
      </c>
      <c r="E156" s="186"/>
      <c r="F156" s="2">
        <v>118519.92</v>
      </c>
      <c r="G156" s="3">
        <f t="shared" si="15"/>
        <v>94650.008111999996</v>
      </c>
      <c r="H156" s="187"/>
      <c r="I156" s="7">
        <v>0.12</v>
      </c>
      <c r="J156" s="7">
        <v>1.6500000000000001E-2</v>
      </c>
      <c r="K156" s="7">
        <v>7.5999999999999998E-2</v>
      </c>
      <c r="L156" s="7">
        <v>0</v>
      </c>
      <c r="M156" s="11">
        <f t="shared" si="18"/>
        <v>14222.390399999998</v>
      </c>
      <c r="N156" s="11">
        <f t="shared" si="19"/>
        <v>1720.9092384</v>
      </c>
      <c r="O156" s="11">
        <f t="shared" si="20"/>
        <v>7926.6122495999998</v>
      </c>
      <c r="P156" s="11">
        <f t="shared" si="21"/>
        <v>0</v>
      </c>
    </row>
    <row r="157" spans="1:16" ht="15" customHeight="1">
      <c r="A157" s="44"/>
      <c r="B157" s="5">
        <f t="shared" si="17"/>
        <v>45444</v>
      </c>
      <c r="C157" s="1" t="s">
        <v>533</v>
      </c>
      <c r="D157" s="195">
        <v>15808</v>
      </c>
      <c r="E157" s="186"/>
      <c r="F157" s="2">
        <v>20847.53</v>
      </c>
      <c r="G157" s="3">
        <f t="shared" si="15"/>
        <v>17594.794131750001</v>
      </c>
      <c r="H157" s="187"/>
      <c r="I157" s="7">
        <v>7.0000000000000007E-2</v>
      </c>
      <c r="J157" s="7">
        <v>1.6500000000000001E-2</v>
      </c>
      <c r="K157" s="7">
        <v>7.5999999999999998E-2</v>
      </c>
      <c r="L157" s="7">
        <v>0</v>
      </c>
      <c r="M157" s="11">
        <f t="shared" si="18"/>
        <v>1459.3271</v>
      </c>
      <c r="N157" s="11">
        <f t="shared" si="19"/>
        <v>319.90534785</v>
      </c>
      <c r="O157" s="11">
        <f t="shared" si="20"/>
        <v>1473.5034203999999</v>
      </c>
      <c r="P157" s="11">
        <f t="shared" si="21"/>
        <v>0</v>
      </c>
    </row>
    <row r="158" spans="1:16" ht="15" customHeight="1">
      <c r="A158" s="44"/>
      <c r="B158" s="5">
        <f t="shared" si="17"/>
        <v>45444</v>
      </c>
      <c r="C158" s="1" t="s">
        <v>533</v>
      </c>
      <c r="D158" s="195">
        <v>15809</v>
      </c>
      <c r="E158" s="186"/>
      <c r="F158" s="2">
        <v>30024.11</v>
      </c>
      <c r="G158" s="3">
        <f t="shared" si="15"/>
        <v>25339.59823725</v>
      </c>
      <c r="H158" s="187"/>
      <c r="I158" s="7">
        <v>7.0000000000000007E-2</v>
      </c>
      <c r="J158" s="7">
        <v>1.6500000000000001E-2</v>
      </c>
      <c r="K158" s="7">
        <v>7.5999999999999998E-2</v>
      </c>
      <c r="L158" s="7">
        <v>0</v>
      </c>
      <c r="M158" s="11">
        <f t="shared" si="18"/>
        <v>2101.6877000000004</v>
      </c>
      <c r="N158" s="11">
        <f t="shared" si="19"/>
        <v>460.71996795000001</v>
      </c>
      <c r="O158" s="11">
        <f t="shared" si="20"/>
        <v>2122.1040948</v>
      </c>
      <c r="P158" s="11">
        <f t="shared" si="21"/>
        <v>0</v>
      </c>
    </row>
    <row r="159" spans="1:16" ht="15" customHeight="1">
      <c r="A159" s="44"/>
      <c r="B159" s="5">
        <f t="shared" si="17"/>
        <v>45444</v>
      </c>
      <c r="C159" s="1" t="s">
        <v>533</v>
      </c>
      <c r="D159" s="195">
        <v>19137</v>
      </c>
      <c r="E159" s="186"/>
      <c r="F159" s="2">
        <v>48668.13</v>
      </c>
      <c r="G159" s="3">
        <f t="shared" si="15"/>
        <v>38866.368618</v>
      </c>
      <c r="H159" s="187"/>
      <c r="I159" s="7">
        <v>0.12</v>
      </c>
      <c r="J159" s="7">
        <v>1.6500000000000001E-2</v>
      </c>
      <c r="K159" s="7">
        <v>7.5999999999999998E-2</v>
      </c>
      <c r="L159" s="7">
        <v>0</v>
      </c>
      <c r="M159" s="11">
        <f t="shared" si="18"/>
        <v>5840.1755999999996</v>
      </c>
      <c r="N159" s="11">
        <f t="shared" si="19"/>
        <v>706.66124759999991</v>
      </c>
      <c r="O159" s="11">
        <f t="shared" si="20"/>
        <v>3254.9245343999996</v>
      </c>
      <c r="P159" s="11">
        <f t="shared" si="21"/>
        <v>0</v>
      </c>
    </row>
    <row r="160" spans="1:16" ht="15" customHeight="1">
      <c r="A160" s="44"/>
      <c r="B160" s="5">
        <f t="shared" si="17"/>
        <v>45444</v>
      </c>
      <c r="C160" s="1" t="s">
        <v>533</v>
      </c>
      <c r="D160" s="195">
        <v>19138</v>
      </c>
      <c r="E160" s="186"/>
      <c r="F160" s="2">
        <v>72178.490000000005</v>
      </c>
      <c r="G160" s="3">
        <f t="shared" si="15"/>
        <v>57641.742114000008</v>
      </c>
      <c r="H160" s="187"/>
      <c r="I160" s="7">
        <v>0.12</v>
      </c>
      <c r="J160" s="7">
        <v>1.6500000000000001E-2</v>
      </c>
      <c r="K160" s="7">
        <v>7.5999999999999998E-2</v>
      </c>
      <c r="L160" s="7">
        <v>0</v>
      </c>
      <c r="M160" s="11">
        <f t="shared" si="18"/>
        <v>8661.4187999999995</v>
      </c>
      <c r="N160" s="11">
        <f t="shared" si="19"/>
        <v>1048.0316748000002</v>
      </c>
      <c r="O160" s="11">
        <f t="shared" si="20"/>
        <v>4827.2974112000002</v>
      </c>
      <c r="P160" s="11">
        <f t="shared" si="21"/>
        <v>0</v>
      </c>
    </row>
    <row r="161" spans="1:16" ht="15" customHeight="1">
      <c r="A161" s="44"/>
      <c r="B161" s="5">
        <f t="shared" si="17"/>
        <v>45444</v>
      </c>
      <c r="C161" s="1" t="s">
        <v>533</v>
      </c>
      <c r="D161" s="195">
        <v>4340</v>
      </c>
      <c r="E161" s="186"/>
      <c r="F161" s="2">
        <v>60143.72</v>
      </c>
      <c r="G161" s="3">
        <f t="shared" si="15"/>
        <v>48030.774791999997</v>
      </c>
      <c r="H161" s="187"/>
      <c r="I161" s="7">
        <v>0.12</v>
      </c>
      <c r="J161" s="7">
        <v>1.6500000000000001E-2</v>
      </c>
      <c r="K161" s="7">
        <v>7.5999999999999998E-2</v>
      </c>
      <c r="L161" s="7">
        <v>0</v>
      </c>
      <c r="M161" s="11">
        <f t="shared" si="18"/>
        <v>7217.2464</v>
      </c>
      <c r="N161" s="11">
        <f t="shared" si="19"/>
        <v>873.28681440000003</v>
      </c>
      <c r="O161" s="11">
        <f t="shared" si="20"/>
        <v>4022.4119935999997</v>
      </c>
      <c r="P161" s="11">
        <f t="shared" si="21"/>
        <v>0</v>
      </c>
    </row>
    <row r="162" spans="1:16" ht="15" customHeight="1">
      <c r="A162" s="44"/>
      <c r="B162" s="5">
        <f t="shared" si="17"/>
        <v>45444</v>
      </c>
      <c r="C162" s="1" t="s">
        <v>533</v>
      </c>
      <c r="D162" s="195">
        <v>4341</v>
      </c>
      <c r="E162" s="186"/>
      <c r="F162" s="2">
        <v>62836.18</v>
      </c>
      <c r="G162" s="3">
        <f t="shared" si="15"/>
        <v>50180.973348</v>
      </c>
      <c r="H162" s="187"/>
      <c r="I162" s="7">
        <v>0.12</v>
      </c>
      <c r="J162" s="7">
        <v>1.6500000000000001E-2</v>
      </c>
      <c r="K162" s="7">
        <v>7.5999999999999998E-2</v>
      </c>
      <c r="L162" s="7">
        <v>0</v>
      </c>
      <c r="M162" s="11">
        <f t="shared" si="18"/>
        <v>7540.3415999999997</v>
      </c>
      <c r="N162" s="11">
        <f t="shared" si="19"/>
        <v>912.38133360000006</v>
      </c>
      <c r="O162" s="11">
        <f t="shared" si="20"/>
        <v>4202.4837183999998</v>
      </c>
      <c r="P162" s="11">
        <f t="shared" si="21"/>
        <v>0</v>
      </c>
    </row>
    <row r="163" spans="1:16" ht="15" customHeight="1">
      <c r="A163" s="44"/>
      <c r="B163" s="5">
        <f t="shared" si="17"/>
        <v>45444</v>
      </c>
      <c r="C163" s="1" t="s">
        <v>533</v>
      </c>
      <c r="D163" s="195">
        <v>4342</v>
      </c>
      <c r="E163" s="186"/>
      <c r="F163" s="2">
        <v>32939.300000000003</v>
      </c>
      <c r="G163" s="3">
        <f t="shared" si="15"/>
        <v>26305.324980000005</v>
      </c>
      <c r="H163" s="187"/>
      <c r="I163" s="7">
        <v>0.12</v>
      </c>
      <c r="J163" s="7">
        <v>1.6500000000000001E-2</v>
      </c>
      <c r="K163" s="7">
        <v>7.5999999999999998E-2</v>
      </c>
      <c r="L163" s="7">
        <v>0</v>
      </c>
      <c r="M163" s="11">
        <f t="shared" si="18"/>
        <v>3952.7160000000003</v>
      </c>
      <c r="N163" s="11">
        <f t="shared" si="19"/>
        <v>478.27863600000006</v>
      </c>
      <c r="O163" s="11">
        <f t="shared" si="20"/>
        <v>2202.980384</v>
      </c>
      <c r="P163" s="11">
        <f t="shared" si="21"/>
        <v>0</v>
      </c>
    </row>
    <row r="164" spans="1:16" ht="15" customHeight="1">
      <c r="A164" s="44"/>
      <c r="B164" s="5">
        <f t="shared" si="17"/>
        <v>45444</v>
      </c>
      <c r="C164" s="1" t="s">
        <v>533</v>
      </c>
      <c r="D164" s="195">
        <v>4343</v>
      </c>
      <c r="E164" s="186"/>
      <c r="F164" s="2">
        <v>7857.59</v>
      </c>
      <c r="G164" s="3">
        <f t="shared" si="15"/>
        <v>6275.0713740000001</v>
      </c>
      <c r="H164" s="187"/>
      <c r="I164" s="7">
        <v>0.12</v>
      </c>
      <c r="J164" s="7">
        <v>1.6500000000000001E-2</v>
      </c>
      <c r="K164" s="7">
        <v>7.5999999999999998E-2</v>
      </c>
      <c r="L164" s="7">
        <v>0</v>
      </c>
      <c r="M164" s="11">
        <f t="shared" si="18"/>
        <v>942.91079999999999</v>
      </c>
      <c r="N164" s="11">
        <f t="shared" si="19"/>
        <v>114.09220680000001</v>
      </c>
      <c r="O164" s="11">
        <f t="shared" si="20"/>
        <v>525.51561920000006</v>
      </c>
      <c r="P164" s="11">
        <f t="shared" si="21"/>
        <v>0</v>
      </c>
    </row>
    <row r="165" spans="1:16" ht="15" customHeight="1">
      <c r="A165" s="44"/>
      <c r="B165" s="5">
        <f t="shared" si="17"/>
        <v>45444</v>
      </c>
      <c r="C165" s="1" t="s">
        <v>533</v>
      </c>
      <c r="D165" s="195">
        <v>4338</v>
      </c>
      <c r="E165" s="186"/>
      <c r="F165" s="2">
        <v>23472.240000000002</v>
      </c>
      <c r="G165" s="3">
        <f t="shared" si="15"/>
        <v>18744.930864000002</v>
      </c>
      <c r="H165" s="187"/>
      <c r="I165" s="7">
        <v>0.12</v>
      </c>
      <c r="J165" s="7">
        <v>1.6500000000000001E-2</v>
      </c>
      <c r="K165" s="7">
        <v>7.5999999999999998E-2</v>
      </c>
      <c r="L165" s="7">
        <v>0</v>
      </c>
      <c r="M165" s="11">
        <f t="shared" si="18"/>
        <v>2816.6687999999999</v>
      </c>
      <c r="N165" s="11">
        <f t="shared" si="19"/>
        <v>340.81692480000004</v>
      </c>
      <c r="O165" s="11">
        <f t="shared" si="20"/>
        <v>1569.8234112000002</v>
      </c>
      <c r="P165" s="11">
        <f t="shared" si="21"/>
        <v>0</v>
      </c>
    </row>
    <row r="166" spans="1:16" ht="15" customHeight="1">
      <c r="A166" s="44"/>
      <c r="B166" s="5">
        <f t="shared" si="17"/>
        <v>45444</v>
      </c>
      <c r="C166" s="1" t="s">
        <v>533</v>
      </c>
      <c r="D166" s="195">
        <v>4339</v>
      </c>
      <c r="E166" s="186"/>
      <c r="F166" s="2">
        <v>66687.78</v>
      </c>
      <c r="G166" s="3">
        <f t="shared" si="15"/>
        <v>53256.861107999997</v>
      </c>
      <c r="H166" s="187"/>
      <c r="I166" s="7">
        <v>0.12</v>
      </c>
      <c r="J166" s="7">
        <v>1.6500000000000001E-2</v>
      </c>
      <c r="K166" s="7">
        <v>7.5999999999999998E-2</v>
      </c>
      <c r="L166" s="7">
        <v>0</v>
      </c>
      <c r="M166" s="11">
        <f t="shared" si="18"/>
        <v>8002.5335999999998</v>
      </c>
      <c r="N166" s="11">
        <f t="shared" si="19"/>
        <v>968.3065656</v>
      </c>
      <c r="O166" s="11">
        <f t="shared" si="20"/>
        <v>4460.0787264000001</v>
      </c>
      <c r="P166" s="11">
        <f t="shared" si="21"/>
        <v>0</v>
      </c>
    </row>
    <row r="167" spans="1:16" ht="15" customHeight="1">
      <c r="A167" s="44"/>
      <c r="B167" s="5">
        <f t="shared" si="17"/>
        <v>45444</v>
      </c>
      <c r="C167" s="1" t="s">
        <v>533</v>
      </c>
      <c r="D167" s="195">
        <v>15838</v>
      </c>
      <c r="E167" s="186"/>
      <c r="F167" s="2">
        <v>18921.490000000002</v>
      </c>
      <c r="G167" s="3">
        <f t="shared" si="15"/>
        <v>15969.264522750002</v>
      </c>
      <c r="H167" s="187"/>
      <c r="I167" s="7">
        <v>7.0000000000000007E-2</v>
      </c>
      <c r="J167" s="7">
        <v>1.6500000000000001E-2</v>
      </c>
      <c r="K167" s="7">
        <v>7.5999999999999998E-2</v>
      </c>
      <c r="L167" s="7">
        <v>0</v>
      </c>
      <c r="M167" s="11">
        <f t="shared" si="18"/>
        <v>1324.5043000000003</v>
      </c>
      <c r="N167" s="11">
        <f t="shared" si="19"/>
        <v>290.35026405000002</v>
      </c>
      <c r="O167" s="11">
        <f t="shared" si="20"/>
        <v>1337.3709132000001</v>
      </c>
      <c r="P167" s="11">
        <f t="shared" si="21"/>
        <v>0</v>
      </c>
    </row>
    <row r="168" spans="1:16" ht="15" customHeight="1">
      <c r="A168" s="44"/>
      <c r="B168" s="5">
        <f t="shared" si="17"/>
        <v>45444</v>
      </c>
      <c r="C168" s="1" t="s">
        <v>533</v>
      </c>
      <c r="D168" s="195">
        <v>15839</v>
      </c>
      <c r="E168" s="186"/>
      <c r="F168" s="2">
        <v>19557.91</v>
      </c>
      <c r="G168" s="3">
        <f t="shared" si="15"/>
        <v>16506.387092249999</v>
      </c>
      <c r="H168" s="187"/>
      <c r="I168" s="7">
        <v>7.0000000000000007E-2</v>
      </c>
      <c r="J168" s="7">
        <v>1.6500000000000001E-2</v>
      </c>
      <c r="K168" s="7">
        <v>7.5999999999999998E-2</v>
      </c>
      <c r="L168" s="7">
        <v>0</v>
      </c>
      <c r="M168" s="11">
        <f t="shared" si="18"/>
        <v>1369.0537000000002</v>
      </c>
      <c r="N168" s="11">
        <f t="shared" si="19"/>
        <v>300.11612895000002</v>
      </c>
      <c r="O168" s="11">
        <f t="shared" si="20"/>
        <v>1382.3530787999998</v>
      </c>
      <c r="P168" s="11">
        <f t="shared" si="21"/>
        <v>0</v>
      </c>
    </row>
    <row r="169" spans="1:16" ht="15" customHeight="1">
      <c r="A169" s="44"/>
      <c r="B169" s="5">
        <f t="shared" si="17"/>
        <v>45444</v>
      </c>
      <c r="C169" s="1" t="s">
        <v>533</v>
      </c>
      <c r="D169" s="195">
        <v>15873</v>
      </c>
      <c r="E169" s="186"/>
      <c r="F169" s="2">
        <v>10012.129999999999</v>
      </c>
      <c r="G169" s="3">
        <f t="shared" si="15"/>
        <v>8449.9874167499984</v>
      </c>
      <c r="H169" s="187"/>
      <c r="I169" s="7">
        <v>7.0000000000000007E-2</v>
      </c>
      <c r="J169" s="7">
        <v>1.6500000000000001E-2</v>
      </c>
      <c r="K169" s="7">
        <v>7.5999999999999998E-2</v>
      </c>
      <c r="L169" s="7">
        <v>0</v>
      </c>
      <c r="M169" s="11">
        <f t="shared" si="18"/>
        <v>700.84910000000002</v>
      </c>
      <c r="N169" s="11">
        <f t="shared" si="19"/>
        <v>153.63613484999999</v>
      </c>
      <c r="O169" s="11">
        <f t="shared" si="20"/>
        <v>707.65734839999993</v>
      </c>
      <c r="P169" s="11">
        <f t="shared" si="21"/>
        <v>0</v>
      </c>
    </row>
    <row r="170" spans="1:16" ht="15" customHeight="1">
      <c r="A170" s="44"/>
      <c r="B170" s="5">
        <f t="shared" si="17"/>
        <v>45444</v>
      </c>
      <c r="C170" s="1" t="s">
        <v>533</v>
      </c>
      <c r="D170" s="195">
        <v>15874</v>
      </c>
      <c r="E170" s="186"/>
      <c r="F170" s="2">
        <v>2385.1</v>
      </c>
      <c r="G170" s="3">
        <f t="shared" si="15"/>
        <v>2012.9647725</v>
      </c>
      <c r="H170" s="187"/>
      <c r="I170" s="7">
        <v>7.0000000000000007E-2</v>
      </c>
      <c r="J170" s="7">
        <v>1.6500000000000001E-2</v>
      </c>
      <c r="K170" s="7">
        <v>7.5999999999999998E-2</v>
      </c>
      <c r="L170" s="7">
        <v>0</v>
      </c>
      <c r="M170" s="11">
        <f t="shared" si="18"/>
        <v>166.95700000000002</v>
      </c>
      <c r="N170" s="11">
        <f t="shared" si="19"/>
        <v>36.599359500000006</v>
      </c>
      <c r="O170" s="11">
        <f t="shared" si="20"/>
        <v>168.578868</v>
      </c>
      <c r="P170" s="11">
        <f t="shared" si="21"/>
        <v>0</v>
      </c>
    </row>
    <row r="171" spans="1:16" ht="15" customHeight="1">
      <c r="A171" s="44"/>
      <c r="B171" s="5">
        <f t="shared" si="17"/>
        <v>45444</v>
      </c>
      <c r="C171" s="1" t="s">
        <v>533</v>
      </c>
      <c r="D171" s="195">
        <v>15875</v>
      </c>
      <c r="E171" s="186"/>
      <c r="F171" s="2">
        <v>7507.81</v>
      </c>
      <c r="G171" s="3">
        <f t="shared" si="15"/>
        <v>6336.4039447499999</v>
      </c>
      <c r="H171" s="187"/>
      <c r="I171" s="7">
        <v>7.0000000000000007E-2</v>
      </c>
      <c r="J171" s="7">
        <v>1.6500000000000001E-2</v>
      </c>
      <c r="K171" s="7">
        <v>7.5999999999999998E-2</v>
      </c>
      <c r="L171" s="7">
        <v>0</v>
      </c>
      <c r="M171" s="11">
        <f t="shared" si="18"/>
        <v>525.5467000000001</v>
      </c>
      <c r="N171" s="11">
        <f t="shared" si="19"/>
        <v>115.20734445000001</v>
      </c>
      <c r="O171" s="11">
        <f t="shared" si="20"/>
        <v>530.65201079999997</v>
      </c>
      <c r="P171" s="11">
        <f t="shared" si="21"/>
        <v>0</v>
      </c>
    </row>
    <row r="172" spans="1:16" ht="15" customHeight="1">
      <c r="A172" s="44"/>
      <c r="B172" s="5">
        <f t="shared" si="17"/>
        <v>45444</v>
      </c>
      <c r="C172" s="1" t="s">
        <v>533</v>
      </c>
      <c r="D172" s="195">
        <v>15876</v>
      </c>
      <c r="E172" s="186"/>
      <c r="F172" s="2">
        <v>20591.03</v>
      </c>
      <c r="G172" s="3">
        <f t="shared" si="15"/>
        <v>17378.314544249999</v>
      </c>
      <c r="H172" s="187"/>
      <c r="I172" s="7">
        <v>7.0000000000000007E-2</v>
      </c>
      <c r="J172" s="7">
        <v>1.6500000000000001E-2</v>
      </c>
      <c r="K172" s="7">
        <v>7.5999999999999998E-2</v>
      </c>
      <c r="L172" s="7">
        <v>0</v>
      </c>
      <c r="M172" s="11">
        <f t="shared" si="18"/>
        <v>1441.3721</v>
      </c>
      <c r="N172" s="11">
        <f t="shared" si="19"/>
        <v>315.96935535</v>
      </c>
      <c r="O172" s="11">
        <f t="shared" si="20"/>
        <v>1455.3740003999999</v>
      </c>
      <c r="P172" s="11">
        <f t="shared" si="21"/>
        <v>0</v>
      </c>
    </row>
    <row r="173" spans="1:16" ht="15" customHeight="1">
      <c r="A173" s="44"/>
      <c r="B173" s="5">
        <f t="shared" si="17"/>
        <v>45444</v>
      </c>
      <c r="C173" s="1" t="s">
        <v>533</v>
      </c>
      <c r="D173" s="195">
        <v>19148</v>
      </c>
      <c r="E173" s="186"/>
      <c r="F173" s="2">
        <v>39488.33</v>
      </c>
      <c r="G173" s="3">
        <f t="shared" si="15"/>
        <v>31535.380338000003</v>
      </c>
      <c r="H173" s="187"/>
      <c r="I173" s="7">
        <v>0.12</v>
      </c>
      <c r="J173" s="7">
        <v>1.6500000000000001E-2</v>
      </c>
      <c r="K173" s="7">
        <v>7.5999999999999998E-2</v>
      </c>
      <c r="L173" s="7">
        <v>0</v>
      </c>
      <c r="M173" s="11">
        <f t="shared" si="18"/>
        <v>4738.5996000000005</v>
      </c>
      <c r="N173" s="11">
        <f t="shared" si="19"/>
        <v>573.3705516</v>
      </c>
      <c r="O173" s="11">
        <f t="shared" si="20"/>
        <v>2640.9795104</v>
      </c>
      <c r="P173" s="11">
        <f t="shared" si="21"/>
        <v>0</v>
      </c>
    </row>
    <row r="174" spans="1:16" ht="15" customHeight="1">
      <c r="A174" s="44"/>
      <c r="B174" s="5">
        <f t="shared" si="17"/>
        <v>45444</v>
      </c>
      <c r="C174" s="1" t="s">
        <v>533</v>
      </c>
      <c r="D174" s="195">
        <v>19149</v>
      </c>
      <c r="E174" s="186"/>
      <c r="F174" s="2">
        <v>41031.1</v>
      </c>
      <c r="G174" s="3">
        <f t="shared" si="15"/>
        <v>32767.436459999997</v>
      </c>
      <c r="H174" s="187"/>
      <c r="I174" s="7">
        <v>0.12</v>
      </c>
      <c r="J174" s="7">
        <v>1.6500000000000001E-2</v>
      </c>
      <c r="K174" s="7">
        <v>7.5999999999999998E-2</v>
      </c>
      <c r="L174" s="7">
        <v>0</v>
      </c>
      <c r="M174" s="11">
        <f t="shared" si="18"/>
        <v>4923.732</v>
      </c>
      <c r="N174" s="11">
        <f t="shared" si="19"/>
        <v>595.77157200000011</v>
      </c>
      <c r="O174" s="11">
        <f t="shared" si="20"/>
        <v>2744.1599679999999</v>
      </c>
      <c r="P174" s="11">
        <f t="shared" si="21"/>
        <v>0</v>
      </c>
    </row>
    <row r="175" spans="1:16" ht="15" customHeight="1">
      <c r="A175" s="44"/>
      <c r="B175" s="5">
        <f t="shared" si="17"/>
        <v>45444</v>
      </c>
      <c r="C175" s="1" t="s">
        <v>533</v>
      </c>
      <c r="D175" s="195">
        <v>19150</v>
      </c>
      <c r="E175" s="186"/>
      <c r="F175" s="2">
        <v>22043.43</v>
      </c>
      <c r="G175" s="3">
        <f t="shared" si="15"/>
        <v>17603.883198</v>
      </c>
      <c r="H175" s="187"/>
      <c r="I175" s="7">
        <v>0.12</v>
      </c>
      <c r="J175" s="7">
        <v>1.6500000000000001E-2</v>
      </c>
      <c r="K175" s="7">
        <v>7.5999999999999998E-2</v>
      </c>
      <c r="L175" s="7">
        <v>0</v>
      </c>
      <c r="M175" s="11">
        <f t="shared" si="18"/>
        <v>2645.2116000000001</v>
      </c>
      <c r="N175" s="11">
        <f t="shared" si="19"/>
        <v>320.07060360000003</v>
      </c>
      <c r="O175" s="11">
        <f t="shared" si="20"/>
        <v>1474.2645984000001</v>
      </c>
      <c r="P175" s="11">
        <f t="shared" si="21"/>
        <v>0</v>
      </c>
    </row>
    <row r="176" spans="1:16" ht="15" customHeight="1">
      <c r="A176" s="44"/>
      <c r="B176" s="5">
        <f t="shared" si="17"/>
        <v>45444</v>
      </c>
      <c r="C176" s="1" t="s">
        <v>533</v>
      </c>
      <c r="D176" s="195">
        <v>19151</v>
      </c>
      <c r="E176" s="186"/>
      <c r="F176" s="2">
        <v>5204.72</v>
      </c>
      <c r="G176" s="3">
        <f t="shared" si="15"/>
        <v>4156.4893920000004</v>
      </c>
      <c r="H176" s="187"/>
      <c r="I176" s="7">
        <v>0.12</v>
      </c>
      <c r="J176" s="7">
        <v>1.6500000000000001E-2</v>
      </c>
      <c r="K176" s="7">
        <v>7.5999999999999998E-2</v>
      </c>
      <c r="L176" s="7">
        <v>0</v>
      </c>
      <c r="M176" s="11">
        <f t="shared" si="18"/>
        <v>624.56640000000004</v>
      </c>
      <c r="N176" s="11">
        <f t="shared" si="19"/>
        <v>75.572534400000009</v>
      </c>
      <c r="O176" s="11">
        <f t="shared" si="20"/>
        <v>348.09167360000004</v>
      </c>
      <c r="P176" s="11">
        <f t="shared" si="21"/>
        <v>0</v>
      </c>
    </row>
    <row r="177" spans="1:16" ht="15" customHeight="1">
      <c r="A177" s="44"/>
      <c r="B177" s="5">
        <f t="shared" si="17"/>
        <v>45444</v>
      </c>
      <c r="C177" s="1" t="s">
        <v>533</v>
      </c>
      <c r="D177" s="195">
        <v>19152</v>
      </c>
      <c r="E177" s="186"/>
      <c r="F177" s="2">
        <v>15640.18</v>
      </c>
      <c r="G177" s="3">
        <f t="shared" si="15"/>
        <v>12490.247748</v>
      </c>
      <c r="H177" s="187"/>
      <c r="I177" s="7">
        <v>0.12</v>
      </c>
      <c r="J177" s="7">
        <v>1.6500000000000001E-2</v>
      </c>
      <c r="K177" s="7">
        <v>7.5999999999999998E-2</v>
      </c>
      <c r="L177" s="7">
        <v>0</v>
      </c>
      <c r="M177" s="11">
        <f t="shared" si="18"/>
        <v>1876.8216</v>
      </c>
      <c r="N177" s="11">
        <f t="shared" si="19"/>
        <v>227.09541360000003</v>
      </c>
      <c r="O177" s="11">
        <f t="shared" si="20"/>
        <v>1046.0152384</v>
      </c>
      <c r="P177" s="11">
        <f t="shared" si="21"/>
        <v>0</v>
      </c>
    </row>
    <row r="178" spans="1:16" ht="15" customHeight="1">
      <c r="A178" s="44"/>
      <c r="B178" s="5">
        <f t="shared" si="17"/>
        <v>45444</v>
      </c>
      <c r="C178" s="1" t="s">
        <v>533</v>
      </c>
      <c r="D178" s="195">
        <v>19153</v>
      </c>
      <c r="E178" s="186"/>
      <c r="F178" s="2">
        <v>44453.45</v>
      </c>
      <c r="G178" s="3">
        <f t="shared" si="15"/>
        <v>35500.525169999994</v>
      </c>
      <c r="H178" s="187"/>
      <c r="I178" s="7">
        <v>0.12</v>
      </c>
      <c r="J178" s="7">
        <v>1.6500000000000001E-2</v>
      </c>
      <c r="K178" s="7">
        <v>7.5999999999999998E-2</v>
      </c>
      <c r="L178" s="7">
        <v>0</v>
      </c>
      <c r="M178" s="11">
        <f t="shared" si="18"/>
        <v>5334.4139999999998</v>
      </c>
      <c r="N178" s="11">
        <f t="shared" si="19"/>
        <v>645.46409400000005</v>
      </c>
      <c r="O178" s="11">
        <f t="shared" si="20"/>
        <v>2973.0467359999998</v>
      </c>
      <c r="P178" s="11">
        <f t="shared" si="21"/>
        <v>0</v>
      </c>
    </row>
    <row r="179" spans="1:16" ht="15" customHeight="1">
      <c r="A179" s="44"/>
      <c r="B179" s="5">
        <f t="shared" ref="B179:B210" si="22">B178</f>
        <v>45444</v>
      </c>
      <c r="C179" s="1" t="s">
        <v>533</v>
      </c>
      <c r="D179" s="195">
        <v>4344</v>
      </c>
      <c r="E179" s="186"/>
      <c r="F179" s="2">
        <v>6496.42</v>
      </c>
      <c r="G179" s="3">
        <f t="shared" si="15"/>
        <v>5188.0410119999997</v>
      </c>
      <c r="H179" s="187"/>
      <c r="I179" s="7">
        <v>0.12</v>
      </c>
      <c r="J179" s="7">
        <v>1.6500000000000001E-2</v>
      </c>
      <c r="K179" s="7">
        <v>7.5999999999999998E-2</v>
      </c>
      <c r="L179" s="7">
        <v>0</v>
      </c>
      <c r="M179" s="11">
        <f t="shared" ref="M179:M188" si="23">+I179*F179</f>
        <v>779.57039999999995</v>
      </c>
      <c r="N179" s="11">
        <f t="shared" ref="N179:N188" si="24">J179*(F179-M179)</f>
        <v>94.328018400000019</v>
      </c>
      <c r="O179" s="11">
        <f t="shared" ref="O179:O188" si="25">K179*(F179-M179)</f>
        <v>434.48056960000002</v>
      </c>
      <c r="P179" s="11">
        <f t="shared" ref="P179:P188" si="26">L179*(F179)</f>
        <v>0</v>
      </c>
    </row>
    <row r="180" spans="1:16" ht="15" customHeight="1">
      <c r="A180" s="44"/>
      <c r="B180" s="5">
        <f t="shared" si="22"/>
        <v>45444</v>
      </c>
      <c r="C180" s="1" t="s">
        <v>533</v>
      </c>
      <c r="D180" s="195">
        <v>4348</v>
      </c>
      <c r="E180" s="186"/>
      <c r="F180" s="2">
        <v>9591.67</v>
      </c>
      <c r="G180" s="3">
        <f t="shared" si="15"/>
        <v>7659.9076619999996</v>
      </c>
      <c r="H180" s="187"/>
      <c r="I180" s="7">
        <v>0.12</v>
      </c>
      <c r="J180" s="7">
        <v>1.6500000000000001E-2</v>
      </c>
      <c r="K180" s="7">
        <v>7.5999999999999998E-2</v>
      </c>
      <c r="L180" s="7">
        <v>0</v>
      </c>
      <c r="M180" s="11">
        <f t="shared" si="23"/>
        <v>1151.0003999999999</v>
      </c>
      <c r="N180" s="11">
        <f t="shared" si="24"/>
        <v>139.27104840000001</v>
      </c>
      <c r="O180" s="11">
        <f t="shared" si="25"/>
        <v>641.49088960000006</v>
      </c>
      <c r="P180" s="11">
        <f t="shared" si="26"/>
        <v>0</v>
      </c>
    </row>
    <row r="181" spans="1:16" ht="15" customHeight="1">
      <c r="A181" s="44"/>
      <c r="B181" s="5">
        <f t="shared" si="22"/>
        <v>45444</v>
      </c>
      <c r="C181" s="1" t="s">
        <v>533</v>
      </c>
      <c r="D181" s="195">
        <v>15916</v>
      </c>
      <c r="E181" s="186"/>
      <c r="F181" s="2">
        <v>777.8</v>
      </c>
      <c r="G181" s="3">
        <f t="shared" si="15"/>
        <v>656.44375500000001</v>
      </c>
      <c r="H181" s="187"/>
      <c r="I181" s="7">
        <v>7.0000000000000007E-2</v>
      </c>
      <c r="J181" s="7">
        <v>1.6500000000000001E-2</v>
      </c>
      <c r="K181" s="7">
        <v>7.5999999999999998E-2</v>
      </c>
      <c r="L181" s="7">
        <v>0</v>
      </c>
      <c r="M181" s="11">
        <f t="shared" si="23"/>
        <v>54.446000000000005</v>
      </c>
      <c r="N181" s="11">
        <f t="shared" si="24"/>
        <v>11.935340999999999</v>
      </c>
      <c r="O181" s="11">
        <f t="shared" si="25"/>
        <v>54.974903999999995</v>
      </c>
      <c r="P181" s="11">
        <f t="shared" si="26"/>
        <v>0</v>
      </c>
    </row>
    <row r="182" spans="1:16" ht="15" customHeight="1">
      <c r="A182" s="44"/>
      <c r="B182" s="5">
        <f t="shared" si="22"/>
        <v>45444</v>
      </c>
      <c r="C182" s="1" t="s">
        <v>533</v>
      </c>
      <c r="D182" s="195">
        <v>15917</v>
      </c>
      <c r="E182" s="186"/>
      <c r="F182" s="2">
        <v>1120.17</v>
      </c>
      <c r="G182" s="3">
        <f t="shared" si="15"/>
        <v>945.39547575000006</v>
      </c>
      <c r="H182" s="187"/>
      <c r="I182" s="7">
        <v>7.0000000000000007E-2</v>
      </c>
      <c r="J182" s="7">
        <v>1.6500000000000001E-2</v>
      </c>
      <c r="K182" s="7">
        <v>7.5999999999999998E-2</v>
      </c>
      <c r="L182" s="7">
        <v>0</v>
      </c>
      <c r="M182" s="11">
        <f t="shared" si="23"/>
        <v>78.411900000000017</v>
      </c>
      <c r="N182" s="11">
        <f t="shared" si="24"/>
        <v>17.189008650000002</v>
      </c>
      <c r="O182" s="11">
        <f t="shared" si="25"/>
        <v>79.173615600000005</v>
      </c>
      <c r="P182" s="11">
        <f t="shared" si="26"/>
        <v>0</v>
      </c>
    </row>
    <row r="183" spans="1:16" ht="15" customHeight="1">
      <c r="A183" s="44"/>
      <c r="B183" s="5">
        <f t="shared" si="22"/>
        <v>45444</v>
      </c>
      <c r="C183" s="1" t="s">
        <v>533</v>
      </c>
      <c r="D183" s="195">
        <v>19154</v>
      </c>
      <c r="E183" s="186"/>
      <c r="F183" s="2">
        <v>3218.4</v>
      </c>
      <c r="G183" s="3">
        <f t="shared" si="15"/>
        <v>2570.2142400000002</v>
      </c>
      <c r="H183" s="187"/>
      <c r="I183" s="7">
        <v>0.12</v>
      </c>
      <c r="J183" s="7">
        <v>1.6500000000000001E-2</v>
      </c>
      <c r="K183" s="7">
        <v>7.5999999999999998E-2</v>
      </c>
      <c r="L183" s="7">
        <v>0</v>
      </c>
      <c r="M183" s="11">
        <f t="shared" si="23"/>
        <v>386.20799999999997</v>
      </c>
      <c r="N183" s="11">
        <f t="shared" si="24"/>
        <v>46.731168000000004</v>
      </c>
      <c r="O183" s="11">
        <f t="shared" si="25"/>
        <v>215.24659199999999</v>
      </c>
      <c r="P183" s="11">
        <f t="shared" si="26"/>
        <v>0</v>
      </c>
    </row>
    <row r="184" spans="1:16" ht="15" customHeight="1">
      <c r="A184" s="44"/>
      <c r="B184" s="5">
        <f t="shared" si="22"/>
        <v>45444</v>
      </c>
      <c r="C184" s="1" t="s">
        <v>533</v>
      </c>
      <c r="D184" s="195">
        <v>19155</v>
      </c>
      <c r="E184" s="186"/>
      <c r="F184" s="2">
        <v>4796.8599999999997</v>
      </c>
      <c r="G184" s="3">
        <f t="shared" si="15"/>
        <v>3830.7723959999998</v>
      </c>
      <c r="H184" s="187"/>
      <c r="I184" s="7">
        <v>0.12</v>
      </c>
      <c r="J184" s="7">
        <v>1.6500000000000001E-2</v>
      </c>
      <c r="K184" s="7">
        <v>7.5999999999999998E-2</v>
      </c>
      <c r="L184" s="7">
        <v>0</v>
      </c>
      <c r="M184" s="11">
        <f t="shared" si="23"/>
        <v>575.62319999999988</v>
      </c>
      <c r="N184" s="11">
        <f t="shared" si="24"/>
        <v>69.650407200000004</v>
      </c>
      <c r="O184" s="11">
        <f t="shared" si="25"/>
        <v>320.81399679999998</v>
      </c>
      <c r="P184" s="11">
        <f t="shared" si="26"/>
        <v>0</v>
      </c>
    </row>
    <row r="185" spans="1:16" ht="15" customHeight="1">
      <c r="A185" s="44"/>
      <c r="B185" s="5">
        <f t="shared" si="22"/>
        <v>45444</v>
      </c>
      <c r="C185" s="1" t="s">
        <v>533</v>
      </c>
      <c r="D185" s="195">
        <v>4349</v>
      </c>
      <c r="E185" s="186"/>
      <c r="F185" s="2">
        <v>5053.08</v>
      </c>
      <c r="G185" s="3">
        <f t="shared" si="15"/>
        <v>4035.3896880000002</v>
      </c>
      <c r="H185" s="187"/>
      <c r="I185" s="7">
        <v>0.12</v>
      </c>
      <c r="J185" s="7">
        <v>1.6500000000000001E-2</v>
      </c>
      <c r="K185" s="7">
        <v>7.5999999999999998E-2</v>
      </c>
      <c r="L185" s="7">
        <v>0</v>
      </c>
      <c r="M185" s="11">
        <f t="shared" si="23"/>
        <v>606.36959999999999</v>
      </c>
      <c r="N185" s="11">
        <f t="shared" si="24"/>
        <v>73.370721599999996</v>
      </c>
      <c r="O185" s="11">
        <f t="shared" si="25"/>
        <v>337.94999039999999</v>
      </c>
      <c r="P185" s="11">
        <f t="shared" si="26"/>
        <v>0</v>
      </c>
    </row>
    <row r="186" spans="1:16" ht="15" customHeight="1">
      <c r="A186" s="44"/>
      <c r="B186" s="5">
        <f t="shared" si="22"/>
        <v>45444</v>
      </c>
      <c r="C186" s="1" t="s">
        <v>533</v>
      </c>
      <c r="D186" s="195">
        <v>4350</v>
      </c>
      <c r="E186" s="186"/>
      <c r="F186" s="2">
        <v>5318.52</v>
      </c>
      <c r="G186" s="3">
        <f t="shared" si="15"/>
        <v>4247.3700720000006</v>
      </c>
      <c r="H186" s="187"/>
      <c r="I186" s="7">
        <v>0.12</v>
      </c>
      <c r="J186" s="7">
        <v>1.6500000000000001E-2</v>
      </c>
      <c r="K186" s="7">
        <v>7.5999999999999998E-2</v>
      </c>
      <c r="L186" s="7">
        <v>0</v>
      </c>
      <c r="M186" s="11">
        <f t="shared" si="23"/>
        <v>638.22239999999999</v>
      </c>
      <c r="N186" s="11">
        <f t="shared" si="24"/>
        <v>77.224910400000013</v>
      </c>
      <c r="O186" s="11">
        <f t="shared" si="25"/>
        <v>355.70261760000005</v>
      </c>
      <c r="P186" s="11">
        <f t="shared" si="26"/>
        <v>0</v>
      </c>
    </row>
    <row r="187" spans="1:16" ht="15" customHeight="1">
      <c r="A187" s="44"/>
      <c r="B187" s="5">
        <f t="shared" si="22"/>
        <v>45444</v>
      </c>
      <c r="C187" s="1" t="s">
        <v>533</v>
      </c>
      <c r="D187" s="195">
        <v>4351</v>
      </c>
      <c r="E187" s="186"/>
      <c r="F187" s="2">
        <v>2744.17</v>
      </c>
      <c r="G187" s="3">
        <f t="shared" si="15"/>
        <v>2191.494162</v>
      </c>
      <c r="H187" s="187"/>
      <c r="I187" s="7">
        <v>0.12</v>
      </c>
      <c r="J187" s="7">
        <v>1.6500000000000001E-2</v>
      </c>
      <c r="K187" s="7">
        <v>7.5999999999999998E-2</v>
      </c>
      <c r="L187" s="7">
        <v>0</v>
      </c>
      <c r="M187" s="11">
        <f t="shared" si="23"/>
        <v>329.30040000000002</v>
      </c>
      <c r="N187" s="11">
        <f t="shared" si="24"/>
        <v>39.845348399999999</v>
      </c>
      <c r="O187" s="11">
        <f t="shared" si="25"/>
        <v>183.5300896</v>
      </c>
      <c r="P187" s="11">
        <f t="shared" si="26"/>
        <v>0</v>
      </c>
    </row>
    <row r="188" spans="1:16" ht="15" customHeight="1">
      <c r="A188" s="44"/>
      <c r="B188" s="5">
        <f t="shared" si="22"/>
        <v>45444</v>
      </c>
      <c r="C188" s="1" t="s">
        <v>533</v>
      </c>
      <c r="D188" s="195">
        <v>4355</v>
      </c>
      <c r="E188" s="186"/>
      <c r="F188" s="2">
        <v>677.13</v>
      </c>
      <c r="G188" s="3">
        <f t="shared" si="15"/>
        <v>540.75601800000004</v>
      </c>
      <c r="H188" s="187"/>
      <c r="I188" s="7">
        <v>0.12</v>
      </c>
      <c r="J188" s="7">
        <v>1.6500000000000001E-2</v>
      </c>
      <c r="K188" s="7">
        <v>7.5999999999999998E-2</v>
      </c>
      <c r="L188" s="7">
        <v>0</v>
      </c>
      <c r="M188" s="11">
        <f t="shared" si="23"/>
        <v>81.255600000000001</v>
      </c>
      <c r="N188" s="11">
        <f t="shared" si="24"/>
        <v>9.8319276000000002</v>
      </c>
      <c r="O188" s="11">
        <f t="shared" si="25"/>
        <v>45.286454400000004</v>
      </c>
      <c r="P188" s="11">
        <f t="shared" si="26"/>
        <v>0</v>
      </c>
    </row>
    <row r="189" spans="1:16" ht="15" customHeight="1">
      <c r="A189" s="44"/>
      <c r="B189" s="5">
        <f t="shared" si="22"/>
        <v>45444</v>
      </c>
      <c r="C189" s="1" t="s">
        <v>533</v>
      </c>
      <c r="D189" s="195">
        <v>4356</v>
      </c>
      <c r="E189" s="186"/>
      <c r="F189" s="2">
        <v>1891.15</v>
      </c>
      <c r="G189" s="3">
        <f t="shared" si="15"/>
        <v>1510.2723900000001</v>
      </c>
      <c r="H189" s="187"/>
      <c r="I189" s="7">
        <v>0.12</v>
      </c>
      <c r="J189" s="7">
        <v>1.6500000000000001E-2</v>
      </c>
      <c r="K189" s="7">
        <v>7.5999999999999998E-2</v>
      </c>
      <c r="L189" s="7">
        <v>0</v>
      </c>
      <c r="M189" s="11">
        <f t="shared" si="2"/>
        <v>226.93800000000002</v>
      </c>
      <c r="N189" s="11">
        <f t="shared" si="3"/>
        <v>27.459498</v>
      </c>
      <c r="O189" s="11">
        <f t="shared" si="4"/>
        <v>126.48011199999999</v>
      </c>
      <c r="P189" s="11">
        <f t="shared" si="5"/>
        <v>0</v>
      </c>
    </row>
    <row r="190" spans="1:16" ht="15" customHeight="1">
      <c r="A190" s="44"/>
      <c r="B190" s="5">
        <f t="shared" si="22"/>
        <v>45444</v>
      </c>
      <c r="C190" s="1" t="s">
        <v>533</v>
      </c>
      <c r="D190" s="195">
        <v>4357</v>
      </c>
      <c r="E190" s="186"/>
      <c r="F190" s="2">
        <v>5624.54</v>
      </c>
      <c r="G190" s="3">
        <f t="shared" si="15"/>
        <v>4491.7576440000003</v>
      </c>
      <c r="H190" s="187"/>
      <c r="I190" s="7">
        <v>0.12</v>
      </c>
      <c r="J190" s="7">
        <v>1.6500000000000001E-2</v>
      </c>
      <c r="K190" s="7">
        <v>7.5999999999999998E-2</v>
      </c>
      <c r="L190" s="7">
        <v>0</v>
      </c>
      <c r="M190" s="11">
        <f t="shared" si="2"/>
        <v>674.94479999999999</v>
      </c>
      <c r="N190" s="11">
        <f t="shared" si="3"/>
        <v>81.668320800000004</v>
      </c>
      <c r="O190" s="11">
        <f t="shared" si="4"/>
        <v>376.16923519999995</v>
      </c>
      <c r="P190" s="11">
        <f t="shared" si="5"/>
        <v>0</v>
      </c>
    </row>
    <row r="191" spans="1:16" ht="15" customHeight="1">
      <c r="A191" s="44"/>
      <c r="B191" s="5">
        <f t="shared" si="22"/>
        <v>45444</v>
      </c>
      <c r="C191" s="1" t="s">
        <v>533</v>
      </c>
      <c r="D191" s="195">
        <v>15951</v>
      </c>
      <c r="E191" s="186"/>
      <c r="F191" s="2">
        <v>757.3</v>
      </c>
      <c r="G191" s="3">
        <f t="shared" si="15"/>
        <v>639.14226749999989</v>
      </c>
      <c r="H191" s="187"/>
      <c r="I191" s="7">
        <v>7.0000000000000007E-2</v>
      </c>
      <c r="J191" s="7">
        <v>1.6500000000000001E-2</v>
      </c>
      <c r="K191" s="7">
        <v>7.5999999999999998E-2</v>
      </c>
      <c r="L191" s="7">
        <v>0</v>
      </c>
      <c r="M191" s="11">
        <f t="shared" si="2"/>
        <v>53.011000000000003</v>
      </c>
      <c r="N191" s="11">
        <f t="shared" si="3"/>
        <v>11.620768500000001</v>
      </c>
      <c r="O191" s="11">
        <f t="shared" si="4"/>
        <v>53.525963999999995</v>
      </c>
      <c r="P191" s="11">
        <f t="shared" si="5"/>
        <v>0</v>
      </c>
    </row>
    <row r="192" spans="1:16" ht="15" customHeight="1">
      <c r="A192" s="44"/>
      <c r="B192" s="5">
        <f t="shared" si="22"/>
        <v>45444</v>
      </c>
      <c r="C192" s="1" t="s">
        <v>533</v>
      </c>
      <c r="D192" s="195">
        <v>15952</v>
      </c>
      <c r="E192" s="186"/>
      <c r="F192" s="2">
        <v>782.77</v>
      </c>
      <c r="G192" s="3">
        <f t="shared" si="15"/>
        <v>660.63831074999996</v>
      </c>
      <c r="H192" s="187"/>
      <c r="I192" s="7">
        <v>7.0000000000000007E-2</v>
      </c>
      <c r="J192" s="7">
        <v>1.6500000000000001E-2</v>
      </c>
      <c r="K192" s="7">
        <v>7.5999999999999998E-2</v>
      </c>
      <c r="L192" s="7">
        <v>0</v>
      </c>
      <c r="M192" s="11">
        <f t="shared" si="2"/>
        <v>54.793900000000001</v>
      </c>
      <c r="N192" s="11">
        <f t="shared" si="3"/>
        <v>12.01160565</v>
      </c>
      <c r="O192" s="11">
        <f t="shared" si="4"/>
        <v>55.326183599999993</v>
      </c>
      <c r="P192" s="11">
        <f t="shared" si="5"/>
        <v>0</v>
      </c>
    </row>
    <row r="193" spans="1:16" ht="15" customHeight="1">
      <c r="A193" s="44"/>
      <c r="B193" s="5">
        <f t="shared" si="22"/>
        <v>45444</v>
      </c>
      <c r="C193" s="1" t="s">
        <v>533</v>
      </c>
      <c r="D193" s="195">
        <v>15953</v>
      </c>
      <c r="E193" s="186"/>
      <c r="F193" s="2">
        <v>400.72</v>
      </c>
      <c r="G193" s="3">
        <f t="shared" si="15"/>
        <v>338.19766200000004</v>
      </c>
      <c r="H193" s="187"/>
      <c r="I193" s="7">
        <v>7.0000000000000007E-2</v>
      </c>
      <c r="J193" s="7">
        <v>1.6500000000000001E-2</v>
      </c>
      <c r="K193" s="7">
        <v>7.5999999999999998E-2</v>
      </c>
      <c r="L193" s="7">
        <v>0</v>
      </c>
      <c r="M193" s="11">
        <f t="shared" si="2"/>
        <v>28.050400000000003</v>
      </c>
      <c r="N193" s="11">
        <f t="shared" si="3"/>
        <v>6.1490484000000007</v>
      </c>
      <c r="O193" s="11">
        <f t="shared" si="4"/>
        <v>28.3228896</v>
      </c>
      <c r="P193" s="11">
        <f t="shared" si="5"/>
        <v>0</v>
      </c>
    </row>
    <row r="194" spans="1:16" ht="15" customHeight="1">
      <c r="A194" s="44"/>
      <c r="B194" s="5">
        <f t="shared" si="22"/>
        <v>45444</v>
      </c>
      <c r="C194" s="1" t="s">
        <v>533</v>
      </c>
      <c r="D194" s="195">
        <v>15954</v>
      </c>
      <c r="E194" s="186"/>
      <c r="F194" s="2">
        <v>95.46</v>
      </c>
      <c r="G194" s="3">
        <f t="shared" si="15"/>
        <v>80.565853499999989</v>
      </c>
      <c r="H194" s="187"/>
      <c r="I194" s="7">
        <v>7.0000000000000007E-2</v>
      </c>
      <c r="J194" s="7">
        <v>1.6500000000000001E-2</v>
      </c>
      <c r="K194" s="7">
        <v>7.5999999999999998E-2</v>
      </c>
      <c r="L194" s="7">
        <v>0</v>
      </c>
      <c r="M194" s="11">
        <f t="shared" si="2"/>
        <v>6.6821999999999999</v>
      </c>
      <c r="N194" s="11">
        <f t="shared" si="3"/>
        <v>1.4648337</v>
      </c>
      <c r="O194" s="11">
        <f t="shared" si="4"/>
        <v>6.7471128</v>
      </c>
      <c r="P194" s="11">
        <f t="shared" si="5"/>
        <v>0</v>
      </c>
    </row>
    <row r="195" spans="1:16" ht="15" customHeight="1">
      <c r="A195" s="44"/>
      <c r="B195" s="5">
        <f t="shared" si="22"/>
        <v>45444</v>
      </c>
      <c r="C195" s="1" t="s">
        <v>533</v>
      </c>
      <c r="D195" s="195">
        <v>15955</v>
      </c>
      <c r="E195" s="186"/>
      <c r="F195" s="2">
        <v>300.49</v>
      </c>
      <c r="G195" s="3">
        <f t="shared" si="15"/>
        <v>253.60604775000002</v>
      </c>
      <c r="H195" s="187"/>
      <c r="I195" s="7">
        <v>7.0000000000000007E-2</v>
      </c>
      <c r="J195" s="7">
        <v>1.6500000000000001E-2</v>
      </c>
      <c r="K195" s="7">
        <v>7.5999999999999998E-2</v>
      </c>
      <c r="L195" s="7">
        <v>0</v>
      </c>
      <c r="M195" s="11">
        <f t="shared" si="2"/>
        <v>21.034300000000002</v>
      </c>
      <c r="N195" s="11">
        <f t="shared" si="3"/>
        <v>4.6110190499999995</v>
      </c>
      <c r="O195" s="11">
        <f t="shared" si="4"/>
        <v>21.238633199999999</v>
      </c>
      <c r="P195" s="11">
        <f t="shared" si="5"/>
        <v>0</v>
      </c>
    </row>
    <row r="196" spans="1:16" ht="15" customHeight="1">
      <c r="A196" s="44"/>
      <c r="B196" s="5">
        <f t="shared" si="22"/>
        <v>45444</v>
      </c>
      <c r="C196" s="1" t="s">
        <v>533</v>
      </c>
      <c r="D196" s="195">
        <v>15996</v>
      </c>
      <c r="E196" s="186"/>
      <c r="F196" s="2">
        <v>824.12</v>
      </c>
      <c r="G196" s="3">
        <f t="shared" si="15"/>
        <v>695.53667700000005</v>
      </c>
      <c r="H196" s="187"/>
      <c r="I196" s="7">
        <v>7.0000000000000007E-2</v>
      </c>
      <c r="J196" s="7">
        <v>1.6500000000000001E-2</v>
      </c>
      <c r="K196" s="7">
        <v>7.5999999999999998E-2</v>
      </c>
      <c r="L196" s="7">
        <v>0</v>
      </c>
      <c r="M196" s="11">
        <f t="shared" si="2"/>
        <v>57.688400000000009</v>
      </c>
      <c r="N196" s="11">
        <f t="shared" si="3"/>
        <v>12.6461214</v>
      </c>
      <c r="O196" s="11">
        <f t="shared" si="4"/>
        <v>58.2488016</v>
      </c>
      <c r="P196" s="11">
        <f t="shared" si="5"/>
        <v>0</v>
      </c>
    </row>
    <row r="197" spans="1:16" ht="15" customHeight="1">
      <c r="A197" s="44"/>
      <c r="B197" s="5">
        <f t="shared" si="22"/>
        <v>45444</v>
      </c>
      <c r="C197" s="1" t="s">
        <v>533</v>
      </c>
      <c r="D197" s="195">
        <v>19158</v>
      </c>
      <c r="E197" s="186"/>
      <c r="F197" s="2">
        <v>2877</v>
      </c>
      <c r="G197" s="3">
        <f t="shared" si="15"/>
        <v>2297.5722000000001</v>
      </c>
      <c r="H197" s="187"/>
      <c r="I197" s="7">
        <v>0.12</v>
      </c>
      <c r="J197" s="7">
        <v>1.6500000000000001E-2</v>
      </c>
      <c r="K197" s="7">
        <v>7.5999999999999998E-2</v>
      </c>
      <c r="L197" s="7">
        <v>0</v>
      </c>
      <c r="M197" s="11">
        <f t="shared" si="2"/>
        <v>345.24</v>
      </c>
      <c r="N197" s="11">
        <f t="shared" si="3"/>
        <v>41.774040000000007</v>
      </c>
      <c r="O197" s="11">
        <f t="shared" si="4"/>
        <v>192.41376000000002</v>
      </c>
      <c r="P197" s="11">
        <f t="shared" si="5"/>
        <v>0</v>
      </c>
    </row>
    <row r="198" spans="1:16" ht="15" customHeight="1">
      <c r="A198" s="44"/>
      <c r="B198" s="5">
        <f t="shared" si="22"/>
        <v>45444</v>
      </c>
      <c r="C198" s="1" t="s">
        <v>533</v>
      </c>
      <c r="D198" s="195">
        <v>19159</v>
      </c>
      <c r="E198" s="186"/>
      <c r="F198" s="2">
        <v>3015.06</v>
      </c>
      <c r="G198" s="3">
        <f t="shared" si="15"/>
        <v>2407.826916</v>
      </c>
      <c r="H198" s="187"/>
      <c r="I198" s="7">
        <v>0.12</v>
      </c>
      <c r="J198" s="7">
        <v>1.6500000000000001E-2</v>
      </c>
      <c r="K198" s="7">
        <v>7.5999999999999998E-2</v>
      </c>
      <c r="L198" s="7">
        <v>0</v>
      </c>
      <c r="M198" s="11">
        <f t="shared" si="2"/>
        <v>361.80719999999997</v>
      </c>
      <c r="N198" s="11">
        <f t="shared" si="3"/>
        <v>43.778671200000005</v>
      </c>
      <c r="O198" s="11">
        <f t="shared" si="4"/>
        <v>201.64721280000001</v>
      </c>
      <c r="P198" s="11">
        <f t="shared" si="5"/>
        <v>0</v>
      </c>
    </row>
    <row r="199" spans="1:16" ht="15" customHeight="1">
      <c r="A199" s="44"/>
      <c r="B199" s="5">
        <f t="shared" si="22"/>
        <v>45444</v>
      </c>
      <c r="C199" s="1" t="s">
        <v>533</v>
      </c>
      <c r="D199" s="195">
        <v>19160</v>
      </c>
      <c r="E199" s="186"/>
      <c r="F199" s="2">
        <v>1619.76</v>
      </c>
      <c r="G199" s="3">
        <f t="shared" si="15"/>
        <v>1293.540336</v>
      </c>
      <c r="H199" s="187"/>
      <c r="I199" s="7">
        <v>0.12</v>
      </c>
      <c r="J199" s="7">
        <v>1.6500000000000001E-2</v>
      </c>
      <c r="K199" s="7">
        <v>7.5999999999999998E-2</v>
      </c>
      <c r="L199" s="7">
        <v>0</v>
      </c>
      <c r="M199" s="11">
        <f t="shared" si="2"/>
        <v>194.37119999999999</v>
      </c>
      <c r="N199" s="11">
        <f t="shared" si="3"/>
        <v>23.518915199999999</v>
      </c>
      <c r="O199" s="11">
        <f t="shared" si="4"/>
        <v>108.3295488</v>
      </c>
      <c r="P199" s="11">
        <f t="shared" si="5"/>
        <v>0</v>
      </c>
    </row>
    <row r="200" spans="1:16" ht="15" customHeight="1">
      <c r="A200" s="44"/>
      <c r="B200" s="5">
        <f t="shared" si="22"/>
        <v>45444</v>
      </c>
      <c r="C200" s="1" t="s">
        <v>533</v>
      </c>
      <c r="D200" s="195">
        <v>19161</v>
      </c>
      <c r="E200" s="186"/>
      <c r="F200" s="2">
        <v>384.71</v>
      </c>
      <c r="G200" s="3">
        <f t="shared" si="15"/>
        <v>307.22940599999998</v>
      </c>
      <c r="H200" s="187"/>
      <c r="I200" s="7">
        <v>0.12</v>
      </c>
      <c r="J200" s="7">
        <v>1.6500000000000001E-2</v>
      </c>
      <c r="K200" s="7">
        <v>7.5999999999999998E-2</v>
      </c>
      <c r="L200" s="7">
        <v>0</v>
      </c>
      <c r="M200" s="11">
        <f t="shared" si="2"/>
        <v>46.165199999999999</v>
      </c>
      <c r="N200" s="11">
        <f t="shared" si="3"/>
        <v>5.5859892000000002</v>
      </c>
      <c r="O200" s="11">
        <f t="shared" si="4"/>
        <v>25.729404800000001</v>
      </c>
      <c r="P200" s="11">
        <f t="shared" si="5"/>
        <v>0</v>
      </c>
    </row>
    <row r="201" spans="1:16" ht="15" customHeight="1">
      <c r="A201" s="44"/>
      <c r="B201" s="5">
        <f t="shared" si="22"/>
        <v>45444</v>
      </c>
      <c r="C201" s="1" t="s">
        <v>533</v>
      </c>
      <c r="D201" s="195">
        <v>19162</v>
      </c>
      <c r="E201" s="186"/>
      <c r="F201" s="2">
        <v>1120.97</v>
      </c>
      <c r="G201" s="3">
        <f t="shared" si="15"/>
        <v>895.2066420000001</v>
      </c>
      <c r="H201" s="187"/>
      <c r="I201" s="7">
        <v>0.12</v>
      </c>
      <c r="J201" s="7">
        <v>1.6500000000000001E-2</v>
      </c>
      <c r="K201" s="7">
        <v>7.5999999999999998E-2</v>
      </c>
      <c r="L201" s="7">
        <v>0</v>
      </c>
      <c r="M201" s="11">
        <f t="shared" si="2"/>
        <v>134.5164</v>
      </c>
      <c r="N201" s="11">
        <f t="shared" si="3"/>
        <v>16.276484400000001</v>
      </c>
      <c r="O201" s="11">
        <f t="shared" si="4"/>
        <v>74.970473600000005</v>
      </c>
      <c r="P201" s="11">
        <f t="shared" si="5"/>
        <v>0</v>
      </c>
    </row>
    <row r="202" spans="1:16" ht="15" customHeight="1">
      <c r="A202" s="44"/>
      <c r="B202" s="5">
        <f t="shared" si="22"/>
        <v>45444</v>
      </c>
      <c r="C202" s="1" t="s">
        <v>533</v>
      </c>
      <c r="D202" s="195">
        <v>19163</v>
      </c>
      <c r="E202" s="186"/>
      <c r="F202" s="2">
        <v>3246.4</v>
      </c>
      <c r="G202" s="3">
        <f t="shared" si="15"/>
        <v>2592.5750400000002</v>
      </c>
      <c r="H202" s="187"/>
      <c r="I202" s="7">
        <v>0.12</v>
      </c>
      <c r="J202" s="7">
        <v>1.6500000000000001E-2</v>
      </c>
      <c r="K202" s="7">
        <v>7.5999999999999998E-2</v>
      </c>
      <c r="L202" s="7">
        <v>0</v>
      </c>
      <c r="M202" s="11">
        <f t="shared" si="2"/>
        <v>389.56799999999998</v>
      </c>
      <c r="N202" s="11">
        <f t="shared" si="3"/>
        <v>47.13772800000001</v>
      </c>
      <c r="O202" s="11">
        <f t="shared" si="4"/>
        <v>217.11923200000001</v>
      </c>
      <c r="P202" s="11">
        <f t="shared" si="5"/>
        <v>0</v>
      </c>
    </row>
    <row r="203" spans="1:16" ht="15" hidden="1" customHeight="1">
      <c r="A203" s="44"/>
      <c r="B203" s="5">
        <f t="shared" si="22"/>
        <v>45444</v>
      </c>
      <c r="C203" s="1" t="s">
        <v>533</v>
      </c>
      <c r="D203" s="195"/>
      <c r="E203" s="186"/>
      <c r="F203" s="2"/>
      <c r="G203" s="3">
        <f t="shared" si="15"/>
        <v>0</v>
      </c>
      <c r="H203" s="187"/>
      <c r="I203" s="7"/>
      <c r="J203" s="7">
        <v>1.6500000000000001E-2</v>
      </c>
      <c r="K203" s="7">
        <v>7.5999999999999998E-2</v>
      </c>
      <c r="L203" s="7">
        <v>0</v>
      </c>
      <c r="M203" s="11">
        <f t="shared" si="2"/>
        <v>0</v>
      </c>
      <c r="N203" s="11">
        <f t="shared" si="3"/>
        <v>0</v>
      </c>
      <c r="O203" s="11">
        <f t="shared" si="4"/>
        <v>0</v>
      </c>
      <c r="P203" s="11">
        <f t="shared" si="5"/>
        <v>0</v>
      </c>
    </row>
    <row r="204" spans="1:16" ht="15" hidden="1" customHeight="1">
      <c r="A204" s="44"/>
      <c r="B204" s="5">
        <f t="shared" si="22"/>
        <v>45444</v>
      </c>
      <c r="C204" s="1" t="s">
        <v>533</v>
      </c>
      <c r="D204" s="195"/>
      <c r="E204" s="186"/>
      <c r="F204" s="2"/>
      <c r="G204" s="3">
        <f t="shared" si="15"/>
        <v>0</v>
      </c>
      <c r="H204" s="187"/>
      <c r="I204" s="7"/>
      <c r="J204" s="7">
        <v>1.6500000000000001E-2</v>
      </c>
      <c r="K204" s="7">
        <v>7.5999999999999998E-2</v>
      </c>
      <c r="L204" s="7">
        <v>0</v>
      </c>
      <c r="M204" s="11">
        <f t="shared" si="2"/>
        <v>0</v>
      </c>
      <c r="N204" s="11">
        <f t="shared" si="3"/>
        <v>0</v>
      </c>
      <c r="O204" s="11">
        <f t="shared" si="4"/>
        <v>0</v>
      </c>
      <c r="P204" s="11">
        <f t="shared" si="5"/>
        <v>0</v>
      </c>
    </row>
    <row r="205" spans="1:16" ht="15" hidden="1" customHeight="1">
      <c r="A205" s="44"/>
      <c r="B205" s="5">
        <f t="shared" si="22"/>
        <v>45444</v>
      </c>
      <c r="C205" s="1" t="s">
        <v>533</v>
      </c>
      <c r="D205" s="195"/>
      <c r="E205" s="186"/>
      <c r="F205" s="2"/>
      <c r="G205" s="3">
        <f t="shared" si="15"/>
        <v>0</v>
      </c>
      <c r="H205" s="187"/>
      <c r="I205" s="7"/>
      <c r="J205" s="7">
        <v>1.6500000000000001E-2</v>
      </c>
      <c r="K205" s="7">
        <v>7.5999999999999998E-2</v>
      </c>
      <c r="L205" s="7">
        <v>0</v>
      </c>
      <c r="M205" s="11">
        <f t="shared" si="2"/>
        <v>0</v>
      </c>
      <c r="N205" s="11">
        <f t="shared" si="3"/>
        <v>0</v>
      </c>
      <c r="O205" s="11">
        <f t="shared" si="4"/>
        <v>0</v>
      </c>
      <c r="P205" s="11">
        <f t="shared" si="5"/>
        <v>0</v>
      </c>
    </row>
    <row r="206" spans="1:16" ht="15" hidden="1" customHeight="1">
      <c r="A206" s="44"/>
      <c r="B206" s="5">
        <f t="shared" si="22"/>
        <v>45444</v>
      </c>
      <c r="C206" s="1" t="s">
        <v>533</v>
      </c>
      <c r="D206" s="195"/>
      <c r="E206" s="186"/>
      <c r="F206" s="2"/>
      <c r="G206" s="3">
        <f t="shared" si="15"/>
        <v>0</v>
      </c>
      <c r="H206" s="187"/>
      <c r="I206" s="7"/>
      <c r="J206" s="7">
        <v>1.6500000000000001E-2</v>
      </c>
      <c r="K206" s="7">
        <v>7.5999999999999998E-2</v>
      </c>
      <c r="L206" s="7">
        <v>0</v>
      </c>
      <c r="M206" s="11">
        <f t="shared" si="2"/>
        <v>0</v>
      </c>
      <c r="N206" s="11">
        <f t="shared" si="3"/>
        <v>0</v>
      </c>
      <c r="O206" s="11">
        <f t="shared" si="4"/>
        <v>0</v>
      </c>
      <c r="P206" s="11">
        <f t="shared" ref="P206:P210" si="27">L206*(F206)</f>
        <v>0</v>
      </c>
    </row>
    <row r="207" spans="1:16" ht="15" hidden="1" customHeight="1">
      <c r="A207" s="44"/>
      <c r="B207" s="5">
        <f t="shared" si="22"/>
        <v>45444</v>
      </c>
      <c r="C207" s="1" t="s">
        <v>533</v>
      </c>
      <c r="D207" s="195"/>
      <c r="E207" s="186"/>
      <c r="F207" s="2"/>
      <c r="G207" s="3">
        <f t="shared" si="15"/>
        <v>0</v>
      </c>
      <c r="H207" s="187"/>
      <c r="I207" s="7"/>
      <c r="J207" s="7">
        <v>1.6500000000000001E-2</v>
      </c>
      <c r="K207" s="7">
        <v>7.5999999999999998E-2</v>
      </c>
      <c r="L207" s="7">
        <v>0</v>
      </c>
      <c r="M207" s="11">
        <f t="shared" si="2"/>
        <v>0</v>
      </c>
      <c r="N207" s="11">
        <f t="shared" si="3"/>
        <v>0</v>
      </c>
      <c r="O207" s="11">
        <f t="shared" si="4"/>
        <v>0</v>
      </c>
      <c r="P207" s="11">
        <f t="shared" si="27"/>
        <v>0</v>
      </c>
    </row>
    <row r="208" spans="1:16" ht="15" hidden="1" customHeight="1">
      <c r="A208" s="44"/>
      <c r="B208" s="5">
        <f t="shared" si="22"/>
        <v>45444</v>
      </c>
      <c r="C208" s="1" t="s">
        <v>533</v>
      </c>
      <c r="D208" s="195"/>
      <c r="E208" s="186"/>
      <c r="F208" s="2"/>
      <c r="G208" s="3">
        <f t="shared" si="15"/>
        <v>0</v>
      </c>
      <c r="H208" s="187"/>
      <c r="I208" s="7"/>
      <c r="J208" s="7">
        <v>1.6500000000000001E-2</v>
      </c>
      <c r="K208" s="7">
        <v>7.5999999999999998E-2</v>
      </c>
      <c r="L208" s="7">
        <v>0</v>
      </c>
      <c r="M208" s="11">
        <f t="shared" si="2"/>
        <v>0</v>
      </c>
      <c r="N208" s="11">
        <f t="shared" si="3"/>
        <v>0</v>
      </c>
      <c r="O208" s="11">
        <f t="shared" si="4"/>
        <v>0</v>
      </c>
      <c r="P208" s="11">
        <f t="shared" si="27"/>
        <v>0</v>
      </c>
    </row>
    <row r="209" spans="1:16" ht="15" hidden="1" customHeight="1">
      <c r="A209" s="44"/>
      <c r="B209" s="5">
        <f t="shared" si="22"/>
        <v>45444</v>
      </c>
      <c r="C209" s="1" t="s">
        <v>533</v>
      </c>
      <c r="D209" s="195"/>
      <c r="E209" s="186"/>
      <c r="F209" s="2"/>
      <c r="G209" s="3">
        <f t="shared" si="15"/>
        <v>0</v>
      </c>
      <c r="H209" s="187"/>
      <c r="I209" s="7"/>
      <c r="J209" s="7">
        <v>1.6500000000000001E-2</v>
      </c>
      <c r="K209" s="7">
        <v>7.5999999999999998E-2</v>
      </c>
      <c r="L209" s="7">
        <v>0</v>
      </c>
      <c r="M209" s="11">
        <f t="shared" si="2"/>
        <v>0</v>
      </c>
      <c r="N209" s="11">
        <f t="shared" si="3"/>
        <v>0</v>
      </c>
      <c r="O209" s="11">
        <f t="shared" si="4"/>
        <v>0</v>
      </c>
      <c r="P209" s="11">
        <f t="shared" si="27"/>
        <v>0</v>
      </c>
    </row>
    <row r="210" spans="1:16" hidden="1">
      <c r="A210" s="44"/>
      <c r="B210" s="5">
        <f t="shared" si="22"/>
        <v>45444</v>
      </c>
      <c r="C210" s="1" t="s">
        <v>533</v>
      </c>
      <c r="D210" s="195"/>
      <c r="E210" s="186"/>
      <c r="F210" s="2"/>
      <c r="G210" s="3">
        <f t="shared" si="15"/>
        <v>0</v>
      </c>
      <c r="H210" s="187"/>
      <c r="I210" s="7"/>
      <c r="J210" s="7">
        <v>1.6500000000000001E-2</v>
      </c>
      <c r="K210" s="7">
        <v>7.5999999999999998E-2</v>
      </c>
      <c r="L210" s="7">
        <v>0</v>
      </c>
      <c r="M210" s="11">
        <f t="shared" si="2"/>
        <v>0</v>
      </c>
      <c r="N210" s="11">
        <f t="shared" si="3"/>
        <v>0</v>
      </c>
      <c r="O210" s="11">
        <f t="shared" si="4"/>
        <v>0</v>
      </c>
      <c r="P210" s="11">
        <f t="shared" si="27"/>
        <v>0</v>
      </c>
    </row>
    <row r="211" spans="1:16">
      <c r="B211" s="5"/>
      <c r="C211" s="1"/>
      <c r="E211" s="1"/>
      <c r="F211" s="2"/>
      <c r="G211" s="4"/>
      <c r="H211" s="4"/>
      <c r="I211" s="7"/>
      <c r="J211" s="7"/>
      <c r="K211" s="7"/>
      <c r="L211" s="7"/>
    </row>
    <row r="212" spans="1:16">
      <c r="E212" s="28">
        <f>SUM(E19:E211)</f>
        <v>48982226.816700011</v>
      </c>
      <c r="F212" s="133"/>
      <c r="G212" s="29">
        <f>SUM(G19:G211)</f>
        <v>115712525.69146873</v>
      </c>
    </row>
    <row r="213" spans="1:16">
      <c r="E213" s="137"/>
      <c r="F213" s="41"/>
    </row>
    <row r="214" spans="1:16" ht="15.75" thickBot="1"/>
    <row r="215" spans="1:16">
      <c r="B215" s="391" t="s">
        <v>586</v>
      </c>
      <c r="C215" s="383"/>
      <c r="D215" s="383"/>
      <c r="E215" s="383"/>
      <c r="F215" s="383"/>
      <c r="G215" s="383"/>
      <c r="H215" s="383"/>
      <c r="I215" s="383"/>
      <c r="J215" s="383"/>
      <c r="K215" s="383"/>
      <c r="L215" s="383"/>
      <c r="M215" s="383"/>
      <c r="N215" s="383"/>
      <c r="O215" s="384"/>
    </row>
    <row r="216" spans="1:16">
      <c r="B216" s="385"/>
      <c r="C216" s="386"/>
      <c r="D216" s="386"/>
      <c r="E216" s="386"/>
      <c r="F216" s="386"/>
      <c r="G216" s="386"/>
      <c r="H216" s="386"/>
      <c r="I216" s="386"/>
      <c r="J216" s="386"/>
      <c r="K216" s="386"/>
      <c r="L216" s="386"/>
      <c r="M216" s="386"/>
      <c r="N216" s="386"/>
      <c r="O216" s="387"/>
    </row>
    <row r="217" spans="1:16">
      <c r="B217" s="385"/>
      <c r="C217" s="386"/>
      <c r="D217" s="386"/>
      <c r="E217" s="386"/>
      <c r="F217" s="386"/>
      <c r="G217" s="386"/>
      <c r="H217" s="386"/>
      <c r="I217" s="386"/>
      <c r="J217" s="386"/>
      <c r="K217" s="386"/>
      <c r="L217" s="386"/>
      <c r="M217" s="386"/>
      <c r="N217" s="386"/>
      <c r="O217" s="387"/>
    </row>
    <row r="218" spans="1:16">
      <c r="B218" s="385"/>
      <c r="C218" s="386"/>
      <c r="D218" s="386"/>
      <c r="E218" s="386"/>
      <c r="F218" s="386"/>
      <c r="G218" s="386"/>
      <c r="H218" s="386"/>
      <c r="I218" s="386"/>
      <c r="J218" s="386"/>
      <c r="K218" s="386"/>
      <c r="L218" s="386"/>
      <c r="M218" s="386"/>
      <c r="N218" s="386"/>
      <c r="O218" s="387"/>
    </row>
    <row r="219" spans="1:16" ht="27" customHeight="1">
      <c r="B219" s="385"/>
      <c r="C219" s="386"/>
      <c r="D219" s="386"/>
      <c r="E219" s="386"/>
      <c r="F219" s="386"/>
      <c r="G219" s="386"/>
      <c r="H219" s="386"/>
      <c r="I219" s="386"/>
      <c r="J219" s="386"/>
      <c r="K219" s="386"/>
      <c r="L219" s="386"/>
      <c r="M219" s="386"/>
      <c r="N219" s="386"/>
      <c r="O219" s="387"/>
    </row>
    <row r="220" spans="1:16" ht="44.25" customHeight="1" thickBot="1">
      <c r="B220" s="388"/>
      <c r="C220" s="389"/>
      <c r="D220" s="389"/>
      <c r="E220" s="389"/>
      <c r="F220" s="389"/>
      <c r="G220" s="389"/>
      <c r="H220" s="389"/>
      <c r="I220" s="389"/>
      <c r="J220" s="389"/>
      <c r="K220" s="389"/>
      <c r="L220" s="389"/>
      <c r="M220" s="389"/>
      <c r="N220" s="389"/>
      <c r="O220" s="390"/>
    </row>
  </sheetData>
  <mergeCells count="3">
    <mergeCell ref="C2:M2"/>
    <mergeCell ref="M17:P17"/>
    <mergeCell ref="B215:O220"/>
  </mergeCells>
  <conditionalFormatting sqref="D1:D1048576">
    <cfRule type="duplicateValues" dxfId="111" priority="1"/>
    <cfRule type="duplicateValues" dxfId="110" priority="2"/>
  </conditionalFormatting>
  <conditionalFormatting sqref="D7 D10">
    <cfRule type="duplicateValues" dxfId="109" priority="3"/>
  </conditionalFormatting>
  <conditionalFormatting sqref="D19:D112">
    <cfRule type="duplicateValues" dxfId="108" priority="5"/>
  </conditionalFormatting>
  <conditionalFormatting sqref="D214:D1048576 D1:D212">
    <cfRule type="duplicateValues" dxfId="107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636F-7400-4710-B931-0E0E2D7A38E5}">
  <sheetPr>
    <pageSetUpPr fitToPage="1"/>
  </sheetPr>
  <dimension ref="A2:P259"/>
  <sheetViews>
    <sheetView showGridLines="0" topLeftCell="A224" zoomScale="85" zoomScaleNormal="85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6.425781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5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5" ht="23.25">
      <c r="C3" s="13">
        <v>45474</v>
      </c>
    </row>
    <row r="5" spans="3:15">
      <c r="C5" t="s">
        <v>17</v>
      </c>
      <c r="D5" s="14">
        <f t="shared" ref="D5:D11" ca="1" si="0">SUMIF($C$19:$G$249,$C$5:$C$11,$G$19:$G$249)/SUMIF($C$19:$G$249,$C$5:$C$11,$E$19:$E$249)</f>
        <v>2.2763099636513302</v>
      </c>
    </row>
    <row r="6" spans="3:15">
      <c r="C6" t="s">
        <v>440</v>
      </c>
      <c r="D6" s="14">
        <f t="shared" ca="1" si="0"/>
        <v>2.0299286699999999</v>
      </c>
    </row>
    <row r="7" spans="3:15">
      <c r="C7" t="s">
        <v>491</v>
      </c>
      <c r="D7" s="14">
        <f t="shared" ca="1" si="0"/>
        <v>2.0151875805543713</v>
      </c>
    </row>
    <row r="8" spans="3:15">
      <c r="C8" t="s">
        <v>37</v>
      </c>
      <c r="D8" s="14" t="e">
        <f t="shared" ca="1" si="0"/>
        <v>#DIV/0!</v>
      </c>
      <c r="I8" s="19"/>
      <c r="N8" s="15" t="s">
        <v>127</v>
      </c>
      <c r="O8" s="15" t="s">
        <v>128</v>
      </c>
    </row>
    <row r="9" spans="3:15">
      <c r="C9" t="s">
        <v>36</v>
      </c>
      <c r="D9" s="14" t="e">
        <f t="shared" ca="1" si="0"/>
        <v>#DIV/0!</v>
      </c>
      <c r="E9" s="14"/>
      <c r="F9" s="32"/>
      <c r="H9" s="137"/>
      <c r="I9" s="19"/>
      <c r="M9" s="16" t="s">
        <v>17</v>
      </c>
      <c r="N9" s="17">
        <f>1415000/1620000</f>
        <v>0.87345679012345678</v>
      </c>
      <c r="O9" s="17">
        <f>+SUM(E19:E32)/E251</f>
        <v>0.87629015580493941</v>
      </c>
    </row>
    <row r="10" spans="3:15">
      <c r="C10" t="s">
        <v>534</v>
      </c>
      <c r="D10" s="14">
        <f t="shared" ca="1" si="0"/>
        <v>6.5301634592778761</v>
      </c>
      <c r="M10" s="16" t="s">
        <v>440</v>
      </c>
      <c r="N10" s="17">
        <f>10000/1620000</f>
        <v>6.1728395061728392E-3</v>
      </c>
      <c r="O10" s="17">
        <f>+SUM(E33)/E251</f>
        <v>9.6272468404797838E-3</v>
      </c>
    </row>
    <row r="11" spans="3:15">
      <c r="C11" t="s">
        <v>533</v>
      </c>
      <c r="D11" s="14">
        <f t="shared" ca="1" si="0"/>
        <v>24.749765512899611</v>
      </c>
      <c r="M11" s="16" t="s">
        <v>491</v>
      </c>
      <c r="N11" s="17">
        <f>150000/1620000</f>
        <v>9.2592592592592587E-2</v>
      </c>
      <c r="O11" s="17">
        <f>+SUM(E34)/E251</f>
        <v>9.5248293209002105E-2</v>
      </c>
    </row>
    <row r="12" spans="3:15">
      <c r="C12" s="30" t="s">
        <v>129</v>
      </c>
      <c r="D12" s="31">
        <f>+G251/E251</f>
        <v>2.3436682551595984</v>
      </c>
      <c r="M12" s="16" t="s">
        <v>544</v>
      </c>
      <c r="N12" s="17">
        <f>45000/1620000</f>
        <v>2.7777777777777776E-2</v>
      </c>
      <c r="O12" s="18">
        <f>+SUM(E37:E49)/E251</f>
        <v>5.9895096017581169E-3</v>
      </c>
    </row>
    <row r="13" spans="3:15">
      <c r="D13" s="19"/>
      <c r="M13" s="20" t="s">
        <v>38</v>
      </c>
      <c r="N13" s="197">
        <f>SUM(N9:N12)</f>
        <v>1</v>
      </c>
      <c r="O13" s="197">
        <f>SUM(O9:O12)</f>
        <v>0.98715520545617941</v>
      </c>
    </row>
    <row r="14" spans="3:15">
      <c r="D14" s="22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 ht="18.75" customHeight="1">
      <c r="A19" s="44"/>
      <c r="B19" s="5">
        <f>C3</f>
        <v>45474</v>
      </c>
      <c r="C19" s="1" t="s">
        <v>17</v>
      </c>
      <c r="D19" s="194" t="s">
        <v>698</v>
      </c>
      <c r="E19" s="1">
        <v>867663</v>
      </c>
      <c r="F19" s="2">
        <v>2472937.33</v>
      </c>
      <c r="G19" s="3">
        <f t="shared" ref="G19:G37" si="1">F19-SUM(M19:P19)</f>
        <v>1974887.7517380002</v>
      </c>
      <c r="H19" s="202">
        <f>+IF(G19=0,0,G19/E19)</f>
        <v>2.2760999970472411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ref="M19:M249" si="2">+I19*F19</f>
        <v>296752.47960000002</v>
      </c>
      <c r="N19" s="11">
        <f t="shared" ref="N19:N249" si="3">J19*(F19-M19)</f>
        <v>35907.050031599996</v>
      </c>
      <c r="O19" s="11">
        <f t="shared" ref="O19:O249" si="4">K19*(F19-M19)</f>
        <v>165390.04863039998</v>
      </c>
      <c r="P19" s="11">
        <f t="shared" ref="P19:P205" si="5">L19*(F19)</f>
        <v>0</v>
      </c>
    </row>
    <row r="20" spans="1:16">
      <c r="A20" s="44"/>
      <c r="B20" s="5">
        <f>B19</f>
        <v>45474</v>
      </c>
      <c r="C20" s="1" t="s">
        <v>17</v>
      </c>
      <c r="D20" s="194" t="s">
        <v>699</v>
      </c>
      <c r="E20" s="1">
        <v>9997</v>
      </c>
      <c r="F20" s="2">
        <v>39740.15</v>
      </c>
      <c r="G20" s="3">
        <f t="shared" si="1"/>
        <v>31736.483790000002</v>
      </c>
      <c r="H20" s="202">
        <f t="shared" ref="H20:H36" si="6">+IF(G20=0,0,G20/E20)</f>
        <v>3.1746007592277685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4768.8180000000002</v>
      </c>
      <c r="N20" s="11">
        <f t="shared" si="3"/>
        <v>577.0269780000001</v>
      </c>
      <c r="O20" s="11">
        <f t="shared" si="4"/>
        <v>2657.8212320000002</v>
      </c>
      <c r="P20" s="11">
        <f t="shared" si="5"/>
        <v>0</v>
      </c>
    </row>
    <row r="21" spans="1:16">
      <c r="A21" s="44"/>
      <c r="B21" s="5">
        <f t="shared" ref="B21:B84" si="7">B20</f>
        <v>45474</v>
      </c>
      <c r="C21" s="1" t="s">
        <v>17</v>
      </c>
      <c r="D21" s="194" t="s">
        <v>700</v>
      </c>
      <c r="E21" s="1">
        <v>39825784</v>
      </c>
      <c r="F21" s="2">
        <v>113507972.65000001</v>
      </c>
      <c r="G21" s="3">
        <f t="shared" si="1"/>
        <v>90647466.958290011</v>
      </c>
      <c r="H21" s="202">
        <f>+IF(G21=0,0,G21/E21)</f>
        <v>2.2760999998968008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13620956.718</v>
      </c>
      <c r="N21" s="11">
        <f t="shared" si="3"/>
        <v>1648135.7628780003</v>
      </c>
      <c r="O21" s="11">
        <f t="shared" si="4"/>
        <v>7591413.2108320007</v>
      </c>
      <c r="P21" s="11">
        <f t="shared" si="5"/>
        <v>0</v>
      </c>
    </row>
    <row r="22" spans="1:16">
      <c r="A22" s="44"/>
      <c r="B22" s="5">
        <f t="shared" si="7"/>
        <v>45474</v>
      </c>
      <c r="C22" s="1" t="s">
        <v>17</v>
      </c>
      <c r="D22" s="194" t="s">
        <v>701</v>
      </c>
      <c r="E22" s="1">
        <v>2076842</v>
      </c>
      <c r="F22" s="2">
        <v>5600995.3799999999</v>
      </c>
      <c r="G22" s="3">
        <f t="shared" si="1"/>
        <v>4727100.0758354999</v>
      </c>
      <c r="H22" s="202">
        <f>+IF(G22=0,0,G22/E22)</f>
        <v>2.2760999998244933</v>
      </c>
      <c r="I22" s="200">
        <v>7.0000000000000007E-2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392069.67660000001</v>
      </c>
      <c r="N22" s="11">
        <f t="shared" si="3"/>
        <v>85947.274106099998</v>
      </c>
      <c r="O22" s="11">
        <f t="shared" si="4"/>
        <v>395878.3534584</v>
      </c>
      <c r="P22" s="11">
        <f t="shared" si="5"/>
        <v>0</v>
      </c>
    </row>
    <row r="23" spans="1:16" hidden="1">
      <c r="A23" s="44"/>
      <c r="B23" s="5">
        <f t="shared" si="7"/>
        <v>45474</v>
      </c>
      <c r="C23" s="1" t="s">
        <v>17</v>
      </c>
      <c r="D23" s="194"/>
      <c r="E23" s="1"/>
      <c r="F23" s="2"/>
      <c r="G23" s="3">
        <f t="shared" si="1"/>
        <v>0</v>
      </c>
      <c r="H23" s="202">
        <f t="shared" si="6"/>
        <v>0</v>
      </c>
      <c r="I23" s="200"/>
      <c r="J23" s="7">
        <v>1.6500000000000001E-2</v>
      </c>
      <c r="K23" s="7">
        <v>7.5999999999999998E-2</v>
      </c>
      <c r="L23" s="7">
        <v>0</v>
      </c>
      <c r="M23" s="11">
        <f t="shared" si="2"/>
        <v>0</v>
      </c>
      <c r="N23" s="11">
        <f t="shared" si="3"/>
        <v>0</v>
      </c>
      <c r="O23" s="11">
        <f t="shared" si="4"/>
        <v>0</v>
      </c>
      <c r="P23" s="11">
        <f t="shared" si="5"/>
        <v>0</v>
      </c>
    </row>
    <row r="24" spans="1:16" hidden="1">
      <c r="A24" s="44"/>
      <c r="B24" s="5">
        <f t="shared" si="7"/>
        <v>45474</v>
      </c>
      <c r="C24" s="1" t="s">
        <v>17</v>
      </c>
      <c r="D24" s="194"/>
      <c r="E24" s="1"/>
      <c r="F24" s="2"/>
      <c r="G24" s="3">
        <f t="shared" si="1"/>
        <v>0</v>
      </c>
      <c r="H24" s="202">
        <f t="shared" si="6"/>
        <v>0</v>
      </c>
      <c r="I24" s="200"/>
      <c r="J24" s="7">
        <v>1.6500000000000001E-2</v>
      </c>
      <c r="K24" s="7">
        <v>7.5999999999999998E-2</v>
      </c>
      <c r="L24" s="7">
        <v>0</v>
      </c>
      <c r="M24" s="11">
        <f t="shared" si="2"/>
        <v>0</v>
      </c>
      <c r="N24" s="11">
        <f t="shared" si="3"/>
        <v>0</v>
      </c>
      <c r="O24" s="11">
        <f t="shared" si="4"/>
        <v>0</v>
      </c>
      <c r="P24" s="11">
        <f t="shared" si="5"/>
        <v>0</v>
      </c>
    </row>
    <row r="25" spans="1:16" hidden="1">
      <c r="A25" s="44"/>
      <c r="B25" s="5">
        <f t="shared" si="7"/>
        <v>45474</v>
      </c>
      <c r="C25" s="1" t="s">
        <v>17</v>
      </c>
      <c r="D25" s="194"/>
      <c r="E25" s="1"/>
      <c r="F25" s="2"/>
      <c r="G25" s="3">
        <f t="shared" si="1"/>
        <v>0</v>
      </c>
      <c r="H25" s="202">
        <f t="shared" si="6"/>
        <v>0</v>
      </c>
      <c r="I25" s="200"/>
      <c r="J25" s="7">
        <v>1.6500000000000001E-2</v>
      </c>
      <c r="K25" s="7">
        <v>7.5999999999999998E-2</v>
      </c>
      <c r="L25" s="7">
        <v>0</v>
      </c>
      <c r="M25" s="11">
        <f t="shared" si="2"/>
        <v>0</v>
      </c>
      <c r="N25" s="11">
        <f t="shared" si="3"/>
        <v>0</v>
      </c>
      <c r="O25" s="11">
        <f t="shared" si="4"/>
        <v>0</v>
      </c>
      <c r="P25" s="11">
        <f t="shared" si="5"/>
        <v>0</v>
      </c>
    </row>
    <row r="26" spans="1:16" hidden="1">
      <c r="A26" s="44"/>
      <c r="B26" s="5">
        <f t="shared" si="7"/>
        <v>45474</v>
      </c>
      <c r="C26" s="1" t="s">
        <v>17</v>
      </c>
      <c r="D26" s="194"/>
      <c r="E26" s="1"/>
      <c r="F26" s="2"/>
      <c r="G26" s="3">
        <f t="shared" si="1"/>
        <v>0</v>
      </c>
      <c r="H26" s="202">
        <f t="shared" si="6"/>
        <v>0</v>
      </c>
      <c r="I26" s="200"/>
      <c r="J26" s="7">
        <v>1.6500000000000001E-2</v>
      </c>
      <c r="K26" s="7">
        <v>7.5999999999999998E-2</v>
      </c>
      <c r="L26" s="7">
        <v>0</v>
      </c>
      <c r="M26" s="11">
        <f t="shared" si="2"/>
        <v>0</v>
      </c>
      <c r="N26" s="11">
        <f t="shared" si="3"/>
        <v>0</v>
      </c>
      <c r="O26" s="11">
        <f t="shared" si="4"/>
        <v>0</v>
      </c>
      <c r="P26" s="11">
        <f t="shared" si="5"/>
        <v>0</v>
      </c>
    </row>
    <row r="27" spans="1:16" hidden="1">
      <c r="A27" s="44"/>
      <c r="B27" s="5">
        <f t="shared" si="7"/>
        <v>45474</v>
      </c>
      <c r="C27" s="1" t="s">
        <v>17</v>
      </c>
      <c r="D27" s="194"/>
      <c r="E27" s="1"/>
      <c r="F27" s="2"/>
      <c r="G27" s="3">
        <f t="shared" si="1"/>
        <v>0</v>
      </c>
      <c r="H27" s="202">
        <f t="shared" si="6"/>
        <v>0</v>
      </c>
      <c r="I27" s="200"/>
      <c r="J27" s="7">
        <v>1.6500000000000001E-2</v>
      </c>
      <c r="K27" s="7">
        <v>7.5999999999999998E-2</v>
      </c>
      <c r="L27" s="7">
        <v>0</v>
      </c>
      <c r="M27" s="11">
        <f t="shared" si="2"/>
        <v>0</v>
      </c>
      <c r="N27" s="11">
        <f t="shared" si="3"/>
        <v>0</v>
      </c>
      <c r="O27" s="11">
        <f t="shared" si="4"/>
        <v>0</v>
      </c>
      <c r="P27" s="11">
        <f t="shared" si="5"/>
        <v>0</v>
      </c>
    </row>
    <row r="28" spans="1:16" hidden="1">
      <c r="A28" s="44"/>
      <c r="B28" s="5">
        <f t="shared" si="7"/>
        <v>45474</v>
      </c>
      <c r="C28" s="1" t="s">
        <v>17</v>
      </c>
      <c r="D28" s="194"/>
      <c r="E28" s="1"/>
      <c r="F28" s="2"/>
      <c r="G28" s="3">
        <f t="shared" si="1"/>
        <v>0</v>
      </c>
      <c r="H28" s="202">
        <f t="shared" si="6"/>
        <v>0</v>
      </c>
      <c r="I28" s="200"/>
      <c r="J28" s="7">
        <v>1.6500000000000001E-2</v>
      </c>
      <c r="K28" s="7">
        <v>7.5999999999999998E-2</v>
      </c>
      <c r="L28" s="7">
        <v>0</v>
      </c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spans="1:16" hidden="1">
      <c r="A29" s="44"/>
      <c r="B29" s="5">
        <f t="shared" si="7"/>
        <v>45474</v>
      </c>
      <c r="C29" s="1" t="s">
        <v>17</v>
      </c>
      <c r="D29" s="194"/>
      <c r="E29" s="1"/>
      <c r="F29" s="2"/>
      <c r="G29" s="3">
        <f t="shared" si="1"/>
        <v>0</v>
      </c>
      <c r="H29" s="202">
        <f>+IF(G29=0,0,G29/E29)</f>
        <v>0</v>
      </c>
      <c r="I29" s="200"/>
      <c r="J29" s="7">
        <v>1.6500000000000001E-2</v>
      </c>
      <c r="K29" s="7">
        <v>7.5999999999999998E-2</v>
      </c>
      <c r="L29" s="7">
        <v>0</v>
      </c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spans="1:16" hidden="1">
      <c r="A30" s="44"/>
      <c r="B30" s="5">
        <f t="shared" si="7"/>
        <v>45474</v>
      </c>
      <c r="C30" s="1" t="s">
        <v>17</v>
      </c>
      <c r="D30" s="194"/>
      <c r="E30" s="1"/>
      <c r="F30" s="2"/>
      <c r="G30" s="3">
        <f t="shared" si="1"/>
        <v>0</v>
      </c>
      <c r="H30" s="202">
        <f>+IF(G30=0,0,G30/E30)</f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45474</v>
      </c>
      <c r="C31" s="1" t="s">
        <v>17</v>
      </c>
      <c r="D31" s="194"/>
      <c r="E31" s="1"/>
      <c r="F31" s="2"/>
      <c r="G31" s="3">
        <f t="shared" si="1"/>
        <v>0</v>
      </c>
      <c r="H31" s="202">
        <f t="shared" si="6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45474</v>
      </c>
      <c r="C32" s="1" t="s">
        <v>17</v>
      </c>
      <c r="D32" s="194"/>
      <c r="E32" s="1"/>
      <c r="F32" s="2"/>
      <c r="G32" s="3">
        <f t="shared" si="1"/>
        <v>0</v>
      </c>
      <c r="H32" s="202">
        <f t="shared" si="6"/>
        <v>0</v>
      </c>
      <c r="I32" s="200">
        <v>0.12</v>
      </c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>
      <c r="A33" s="44"/>
      <c r="B33" s="5">
        <f t="shared" si="7"/>
        <v>45474</v>
      </c>
      <c r="C33" s="1" t="s">
        <v>440</v>
      </c>
      <c r="D33" s="194" t="s">
        <v>702</v>
      </c>
      <c r="E33" s="1">
        <f>310000+160000</f>
        <v>470000</v>
      </c>
      <c r="F33" s="2">
        <f>745612+384832</f>
        <v>1130444</v>
      </c>
      <c r="G33" s="3">
        <f t="shared" si="1"/>
        <v>954066.47490000003</v>
      </c>
      <c r="H33" s="202">
        <f t="shared" si="6"/>
        <v>2.0299286699999999</v>
      </c>
      <c r="I33" s="200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79131.08</v>
      </c>
      <c r="N33" s="11">
        <f t="shared" si="3"/>
        <v>17346.66318</v>
      </c>
      <c r="O33" s="11">
        <f t="shared" si="4"/>
        <v>79899.781919999994</v>
      </c>
      <c r="P33" s="11">
        <f t="shared" si="5"/>
        <v>0</v>
      </c>
    </row>
    <row r="34" spans="1:16">
      <c r="A34" s="44"/>
      <c r="B34" s="5">
        <f t="shared" si="7"/>
        <v>45474</v>
      </c>
      <c r="C34" s="1" t="s">
        <v>491</v>
      </c>
      <c r="D34" s="194" t="s">
        <v>703</v>
      </c>
      <c r="E34" s="1">
        <v>4650000</v>
      </c>
      <c r="F34" s="2">
        <v>11732880</v>
      </c>
      <c r="G34" s="3">
        <f t="shared" si="1"/>
        <v>9369877.9680000003</v>
      </c>
      <c r="H34" s="202">
        <f t="shared" si="6"/>
        <v>2.0150275200000003</v>
      </c>
      <c r="I34" s="200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1407945.5999999999</v>
      </c>
      <c r="N34" s="11">
        <f t="shared" si="3"/>
        <v>170361.41760000002</v>
      </c>
      <c r="O34" s="11">
        <f t="shared" si="4"/>
        <v>784695.01439999999</v>
      </c>
      <c r="P34" s="11">
        <f t="shared" si="5"/>
        <v>0</v>
      </c>
    </row>
    <row r="35" spans="1:16">
      <c r="A35" s="44"/>
      <c r="B35" s="5">
        <f t="shared" ref="B35:B36" si="8">B32</f>
        <v>45474</v>
      </c>
      <c r="C35" s="1" t="s">
        <v>491</v>
      </c>
      <c r="D35" s="194" t="s">
        <v>704</v>
      </c>
      <c r="E35" s="118">
        <v>40000</v>
      </c>
      <c r="F35" s="2">
        <v>101868</v>
      </c>
      <c r="G35" s="3">
        <f t="shared" ref="G35:G36" si="9">F35-SUM(M35:P35)</f>
        <v>81351.784799999994</v>
      </c>
      <c r="H35" s="202">
        <f t="shared" si="6"/>
        <v>2.0337946199999997</v>
      </c>
      <c r="I35" s="200">
        <v>0.12</v>
      </c>
      <c r="J35" s="7">
        <v>1.6500000000000001E-2</v>
      </c>
      <c r="K35" s="7">
        <v>7.5999999999999998E-2</v>
      </c>
      <c r="L35" s="7">
        <v>0</v>
      </c>
      <c r="M35" s="11">
        <f t="shared" si="2"/>
        <v>12224.16</v>
      </c>
      <c r="N35" s="11">
        <f t="shared" si="3"/>
        <v>1479.12336</v>
      </c>
      <c r="O35" s="11">
        <f t="shared" si="4"/>
        <v>6812.9318399999993</v>
      </c>
      <c r="P35" s="11">
        <f t="shared" si="5"/>
        <v>0</v>
      </c>
    </row>
    <row r="36" spans="1:16" hidden="1">
      <c r="A36" s="44"/>
      <c r="B36" s="5">
        <f t="shared" si="8"/>
        <v>45474</v>
      </c>
      <c r="C36" s="1" t="s">
        <v>491</v>
      </c>
      <c r="D36" s="195"/>
      <c r="E36" s="118"/>
      <c r="F36" s="2"/>
      <c r="G36" s="3">
        <f t="shared" si="9"/>
        <v>0</v>
      </c>
      <c r="H36" s="202">
        <f t="shared" si="6"/>
        <v>0</v>
      </c>
      <c r="I36" s="200">
        <v>0.12</v>
      </c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>
      <c r="A37" s="44"/>
      <c r="B37" s="5">
        <f>B34</f>
        <v>45474</v>
      </c>
      <c r="C37" s="1" t="s">
        <v>534</v>
      </c>
      <c r="D37" s="195">
        <v>92361</v>
      </c>
      <c r="E37" s="118">
        <v>24000</v>
      </c>
      <c r="F37" s="2">
        <v>183300</v>
      </c>
      <c r="G37" s="3">
        <f t="shared" si="1"/>
        <v>154700.61749999999</v>
      </c>
      <c r="H37" s="202">
        <f>+IF(G37=0,0,G37/E37)</f>
        <v>6.4458590624999994</v>
      </c>
      <c r="I37" s="200">
        <v>7.0000000000000007E-2</v>
      </c>
      <c r="J37" s="7">
        <v>1.6500000000000001E-2</v>
      </c>
      <c r="K37" s="7">
        <v>7.5999999999999998E-2</v>
      </c>
      <c r="L37" s="7">
        <v>0</v>
      </c>
      <c r="M37" s="11">
        <f t="shared" si="2"/>
        <v>12831.000000000002</v>
      </c>
      <c r="N37" s="11">
        <f t="shared" si="3"/>
        <v>2812.7384999999999</v>
      </c>
      <c r="O37" s="11">
        <f t="shared" si="4"/>
        <v>12955.644</v>
      </c>
      <c r="P37" s="11">
        <f t="shared" si="5"/>
        <v>0</v>
      </c>
    </row>
    <row r="38" spans="1:16">
      <c r="A38" s="44"/>
      <c r="B38" s="5">
        <f t="shared" si="7"/>
        <v>45474</v>
      </c>
      <c r="C38" s="1" t="s">
        <v>534</v>
      </c>
      <c r="D38" s="195">
        <v>92350</v>
      </c>
      <c r="E38" s="118">
        <v>24976.884699999999</v>
      </c>
      <c r="F38" s="2">
        <v>190760.95999999999</v>
      </c>
      <c r="G38" s="3">
        <f t="shared" ref="G38:G43" si="10">F38-SUM(M38:P38)</f>
        <v>160997.48121599999</v>
      </c>
      <c r="H38" s="202">
        <f t="shared" ref="H38:H101" si="11">+IF(G38=0,0,G38/E38)</f>
        <v>6.445859167376466</v>
      </c>
      <c r="I38" s="200">
        <v>7.0000000000000007E-2</v>
      </c>
      <c r="J38" s="7">
        <v>1.6500000000000001E-2</v>
      </c>
      <c r="K38" s="7">
        <v>7.5999999999999998E-2</v>
      </c>
      <c r="L38" s="7">
        <v>0</v>
      </c>
      <c r="M38" s="11">
        <f t="shared" si="2"/>
        <v>13353.2672</v>
      </c>
      <c r="N38" s="11">
        <f t="shared" si="3"/>
        <v>2927.2269311999999</v>
      </c>
      <c r="O38" s="11">
        <f t="shared" si="4"/>
        <v>13482.984652799998</v>
      </c>
      <c r="P38" s="11">
        <f t="shared" si="5"/>
        <v>0</v>
      </c>
    </row>
    <row r="39" spans="1:16">
      <c r="A39" s="44"/>
      <c r="B39" s="5">
        <f t="shared" si="7"/>
        <v>45474</v>
      </c>
      <c r="C39" s="1" t="s">
        <v>534</v>
      </c>
      <c r="D39" s="195">
        <v>92356</v>
      </c>
      <c r="E39" s="118">
        <v>23992.864000000001</v>
      </c>
      <c r="F39" s="2">
        <v>183245.5</v>
      </c>
      <c r="G39" s="3">
        <f t="shared" si="10"/>
        <v>154654.62086249999</v>
      </c>
      <c r="H39" s="202">
        <f t="shared" si="11"/>
        <v>6.4458591047112996</v>
      </c>
      <c r="I39" s="200">
        <v>7.0000000000000007E-2</v>
      </c>
      <c r="J39" s="7">
        <v>1.6500000000000001E-2</v>
      </c>
      <c r="K39" s="7">
        <v>7.5999999999999998E-2</v>
      </c>
      <c r="L39" s="7">
        <v>0</v>
      </c>
      <c r="M39" s="11">
        <f t="shared" si="2"/>
        <v>12827.185000000001</v>
      </c>
      <c r="N39" s="11">
        <f t="shared" si="3"/>
        <v>2811.9021975000001</v>
      </c>
      <c r="O39" s="11">
        <f t="shared" si="4"/>
        <v>12951.791939999999</v>
      </c>
      <c r="P39" s="11">
        <f t="shared" si="5"/>
        <v>0</v>
      </c>
    </row>
    <row r="40" spans="1:16">
      <c r="A40" s="44"/>
      <c r="B40" s="5">
        <f t="shared" si="7"/>
        <v>45474</v>
      </c>
      <c r="C40" s="1" t="s">
        <v>534</v>
      </c>
      <c r="D40" s="195"/>
      <c r="E40" s="118"/>
      <c r="F40" s="2"/>
      <c r="G40" s="3">
        <f t="shared" si="10"/>
        <v>0</v>
      </c>
      <c r="H40" s="202">
        <f t="shared" si="11"/>
        <v>0</v>
      </c>
      <c r="I40" s="200">
        <v>7.0000000000000007E-2</v>
      </c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>
      <c r="A41" s="44"/>
      <c r="B41" s="5">
        <f t="shared" si="7"/>
        <v>45474</v>
      </c>
      <c r="C41" s="1" t="s">
        <v>534</v>
      </c>
      <c r="D41" s="195">
        <v>92289</v>
      </c>
      <c r="E41" s="118">
        <v>24000</v>
      </c>
      <c r="F41" s="2">
        <v>183300</v>
      </c>
      <c r="G41" s="3">
        <f t="shared" si="10"/>
        <v>154700.61749999999</v>
      </c>
      <c r="H41" s="202">
        <f t="shared" si="11"/>
        <v>6.4458590624999994</v>
      </c>
      <c r="I41" s="200">
        <v>7.0000000000000007E-2</v>
      </c>
      <c r="J41" s="7">
        <v>1.6500000000000001E-2</v>
      </c>
      <c r="K41" s="7">
        <v>7.5999999999999998E-2</v>
      </c>
      <c r="L41" s="7">
        <v>0</v>
      </c>
      <c r="M41" s="11">
        <f t="shared" si="2"/>
        <v>12831.000000000002</v>
      </c>
      <c r="N41" s="11">
        <f t="shared" si="3"/>
        <v>2812.7384999999999</v>
      </c>
      <c r="O41" s="11">
        <f t="shared" si="4"/>
        <v>12955.644</v>
      </c>
      <c r="P41" s="11">
        <f t="shared" si="5"/>
        <v>0</v>
      </c>
    </row>
    <row r="42" spans="1:16">
      <c r="A42" s="44"/>
      <c r="B42" s="5">
        <f t="shared" si="7"/>
        <v>45474</v>
      </c>
      <c r="C42" s="1" t="s">
        <v>534</v>
      </c>
      <c r="D42" s="195">
        <v>92291</v>
      </c>
      <c r="E42" s="118">
        <v>24850.2284</v>
      </c>
      <c r="F42" s="2">
        <v>189793.62</v>
      </c>
      <c r="G42" s="3">
        <f t="shared" si="10"/>
        <v>160181.07043950001</v>
      </c>
      <c r="H42" s="202">
        <f t="shared" si="11"/>
        <v>6.4458590827076669</v>
      </c>
      <c r="I42" s="200">
        <v>7.0000000000000007E-2</v>
      </c>
      <c r="J42" s="7">
        <v>1.6500000000000001E-2</v>
      </c>
      <c r="K42" s="7">
        <v>7.5999999999999998E-2</v>
      </c>
      <c r="L42" s="7">
        <v>0</v>
      </c>
      <c r="M42" s="11">
        <f t="shared" si="2"/>
        <v>13285.553400000001</v>
      </c>
      <c r="N42" s="11">
        <f t="shared" si="3"/>
        <v>2912.3830988999998</v>
      </c>
      <c r="O42" s="11">
        <f t="shared" si="4"/>
        <v>13414.613061599999</v>
      </c>
      <c r="P42" s="11">
        <f t="shared" si="5"/>
        <v>0</v>
      </c>
    </row>
    <row r="43" spans="1:16">
      <c r="A43" s="44"/>
      <c r="B43" s="5">
        <f t="shared" si="7"/>
        <v>45474</v>
      </c>
      <c r="C43" s="1" t="s">
        <v>534</v>
      </c>
      <c r="D43" s="195">
        <v>92292</v>
      </c>
      <c r="E43" s="118">
        <v>24000</v>
      </c>
      <c r="F43" s="2">
        <v>183300</v>
      </c>
      <c r="G43" s="3">
        <f t="shared" si="10"/>
        <v>154700.61749999999</v>
      </c>
      <c r="H43" s="202">
        <f t="shared" si="11"/>
        <v>6.4458590624999994</v>
      </c>
      <c r="I43" s="200">
        <v>7.0000000000000007E-2</v>
      </c>
      <c r="J43" s="7">
        <v>1.6500000000000001E-2</v>
      </c>
      <c r="K43" s="7">
        <v>7.5999999999999998E-2</v>
      </c>
      <c r="L43" s="7">
        <v>0</v>
      </c>
      <c r="M43" s="11">
        <f t="shared" si="2"/>
        <v>12831.000000000002</v>
      </c>
      <c r="N43" s="11">
        <f t="shared" si="3"/>
        <v>2812.7384999999999</v>
      </c>
      <c r="O43" s="11">
        <f t="shared" si="4"/>
        <v>12955.644</v>
      </c>
      <c r="P43" s="11">
        <f t="shared" si="5"/>
        <v>0</v>
      </c>
    </row>
    <row r="44" spans="1:16">
      <c r="A44" s="44"/>
      <c r="B44" s="5">
        <f t="shared" si="7"/>
        <v>45474</v>
      </c>
      <c r="C44" s="1" t="s">
        <v>534</v>
      </c>
      <c r="D44" s="195">
        <v>92248</v>
      </c>
      <c r="E44" s="118">
        <v>24862.298900000002</v>
      </c>
      <c r="F44" s="2">
        <v>189885.81</v>
      </c>
      <c r="G44" s="3">
        <f t="shared" ref="G44:G91" si="12">F44-SUM(M44:P44)</f>
        <v>160258.87649475</v>
      </c>
      <c r="H44" s="202">
        <f t="shared" si="11"/>
        <v>6.4458591355262804</v>
      </c>
      <c r="I44" s="200">
        <v>7.0000000000000007E-2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13292.006700000002</v>
      </c>
      <c r="N44" s="11">
        <f t="shared" si="3"/>
        <v>2913.79775445</v>
      </c>
      <c r="O44" s="11">
        <f t="shared" si="4"/>
        <v>13421.1290508</v>
      </c>
      <c r="P44" s="11">
        <f t="shared" si="5"/>
        <v>0</v>
      </c>
    </row>
    <row r="45" spans="1:16">
      <c r="A45" s="44"/>
      <c r="B45" s="5">
        <f t="shared" si="7"/>
        <v>45474</v>
      </c>
      <c r="C45" s="1" t="s">
        <v>534</v>
      </c>
      <c r="D45" s="195">
        <v>92290</v>
      </c>
      <c r="E45" s="118">
        <v>24000</v>
      </c>
      <c r="F45" s="2">
        <v>183300</v>
      </c>
      <c r="G45" s="3">
        <f t="shared" si="12"/>
        <v>154700.61749999999</v>
      </c>
      <c r="H45" s="202">
        <f t="shared" si="11"/>
        <v>6.4458590624999994</v>
      </c>
      <c r="I45" s="200">
        <v>7.0000000000000007E-2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12831.000000000002</v>
      </c>
      <c r="N45" s="11">
        <f t="shared" si="3"/>
        <v>2812.7384999999999</v>
      </c>
      <c r="O45" s="11">
        <f t="shared" si="4"/>
        <v>12955.644</v>
      </c>
      <c r="P45" s="11">
        <f t="shared" si="5"/>
        <v>0</v>
      </c>
    </row>
    <row r="46" spans="1:16">
      <c r="A46" s="44"/>
      <c r="B46" s="5">
        <f t="shared" si="7"/>
        <v>45474</v>
      </c>
      <c r="C46" s="1" t="s">
        <v>534</v>
      </c>
      <c r="D46" s="195">
        <v>92431</v>
      </c>
      <c r="E46" s="118">
        <v>24664.6126</v>
      </c>
      <c r="F46" s="2">
        <v>188375.98</v>
      </c>
      <c r="G46" s="3">
        <f t="shared" si="12"/>
        <v>158984.61772050001</v>
      </c>
      <c r="H46" s="202">
        <f t="shared" si="11"/>
        <v>6.4458591058713814</v>
      </c>
      <c r="I46" s="200">
        <v>7.0000000000000007E-2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13186.318600000002</v>
      </c>
      <c r="N46" s="11">
        <f t="shared" si="3"/>
        <v>2890.6294131000004</v>
      </c>
      <c r="O46" s="11">
        <f t="shared" si="4"/>
        <v>13314.414266400001</v>
      </c>
      <c r="P46" s="11">
        <f t="shared" si="5"/>
        <v>0</v>
      </c>
    </row>
    <row r="47" spans="1:16">
      <c r="A47" s="44"/>
      <c r="B47" s="5">
        <f t="shared" si="7"/>
        <v>45474</v>
      </c>
      <c r="C47" s="1" t="s">
        <v>534</v>
      </c>
      <c r="D47" s="195">
        <v>92389</v>
      </c>
      <c r="E47" s="118">
        <v>24890.489300000001</v>
      </c>
      <c r="F47" s="2">
        <v>190101.11</v>
      </c>
      <c r="G47" s="3">
        <f t="shared" si="12"/>
        <v>160440.58431224999</v>
      </c>
      <c r="H47" s="202">
        <f t="shared" si="11"/>
        <v>6.4458589937100994</v>
      </c>
      <c r="I47" s="200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13307.0777</v>
      </c>
      <c r="N47" s="11">
        <f t="shared" si="3"/>
        <v>2917.1015329500001</v>
      </c>
      <c r="O47" s="11">
        <f t="shared" si="4"/>
        <v>13436.346454799999</v>
      </c>
      <c r="P47" s="11">
        <f t="shared" si="5"/>
        <v>0</v>
      </c>
    </row>
    <row r="48" spans="1:16">
      <c r="A48" s="44"/>
      <c r="B48" s="5">
        <f t="shared" si="7"/>
        <v>45474</v>
      </c>
      <c r="C48" s="1" t="s">
        <v>534</v>
      </c>
      <c r="D48" s="195">
        <v>92422</v>
      </c>
      <c r="E48" s="118">
        <v>24000</v>
      </c>
      <c r="F48" s="2">
        <v>183300</v>
      </c>
      <c r="G48" s="3">
        <f t="shared" si="12"/>
        <v>154700.61749999999</v>
      </c>
      <c r="H48" s="202">
        <f t="shared" si="11"/>
        <v>6.4458590624999994</v>
      </c>
      <c r="I48" s="200">
        <v>7.0000000000000007E-2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12831.000000000002</v>
      </c>
      <c r="N48" s="11">
        <f t="shared" si="3"/>
        <v>2812.7384999999999</v>
      </c>
      <c r="O48" s="11">
        <f t="shared" si="4"/>
        <v>12955.644</v>
      </c>
      <c r="P48" s="11">
        <f t="shared" si="5"/>
        <v>0</v>
      </c>
    </row>
    <row r="49" spans="1:16">
      <c r="A49" s="44"/>
      <c r="B49" s="5">
        <f t="shared" si="7"/>
        <v>45474</v>
      </c>
      <c r="C49" s="1" t="s">
        <v>534</v>
      </c>
      <c r="D49" s="195">
        <v>92428</v>
      </c>
      <c r="E49" s="118">
        <v>24169.117900000001</v>
      </c>
      <c r="F49" s="2">
        <v>184591.64</v>
      </c>
      <c r="G49" s="3">
        <f t="shared" si="12"/>
        <v>155790.72936900001</v>
      </c>
      <c r="H49" s="202">
        <f t="shared" si="11"/>
        <v>6.4458591336922559</v>
      </c>
      <c r="I49" s="200">
        <v>7.0000000000000007E-2</v>
      </c>
      <c r="J49" s="7">
        <v>1.6500000000000001E-2</v>
      </c>
      <c r="K49" s="7">
        <v>7.5999999999999998E-2</v>
      </c>
      <c r="L49" s="7">
        <v>0</v>
      </c>
      <c r="M49" s="11">
        <f t="shared" si="2"/>
        <v>12921.414800000002</v>
      </c>
      <c r="N49" s="11">
        <f t="shared" si="3"/>
        <v>2832.5587158000003</v>
      </c>
      <c r="O49" s="11">
        <f t="shared" si="4"/>
        <v>13046.9371152</v>
      </c>
      <c r="P49" s="11">
        <f t="shared" si="5"/>
        <v>0</v>
      </c>
    </row>
    <row r="50" spans="1:16">
      <c r="A50" s="44"/>
      <c r="B50" s="5">
        <f t="shared" si="7"/>
        <v>45474</v>
      </c>
      <c r="C50" s="1" t="s">
        <v>534</v>
      </c>
      <c r="D50" s="195">
        <v>92387</v>
      </c>
      <c r="E50" s="118">
        <v>24000</v>
      </c>
      <c r="F50" s="2">
        <v>183300</v>
      </c>
      <c r="G50" s="3">
        <f t="shared" si="12"/>
        <v>154700.61749999999</v>
      </c>
      <c r="H50" s="202">
        <f t="shared" si="11"/>
        <v>6.4458590624999994</v>
      </c>
      <c r="I50" s="200">
        <v>7.0000000000000007E-2</v>
      </c>
      <c r="J50" s="7">
        <v>1.6500000000000001E-2</v>
      </c>
      <c r="K50" s="7">
        <v>7.5999999999999998E-2</v>
      </c>
      <c r="L50" s="7">
        <v>0</v>
      </c>
      <c r="M50" s="11">
        <f t="shared" si="2"/>
        <v>12831.000000000002</v>
      </c>
      <c r="N50" s="11">
        <f t="shared" si="3"/>
        <v>2812.7384999999999</v>
      </c>
      <c r="O50" s="11">
        <f t="shared" si="4"/>
        <v>12955.644</v>
      </c>
      <c r="P50" s="11">
        <f t="shared" si="5"/>
        <v>0</v>
      </c>
    </row>
    <row r="51" spans="1:16">
      <c r="A51" s="44"/>
      <c r="B51" s="5">
        <f t="shared" si="7"/>
        <v>45474</v>
      </c>
      <c r="C51" s="1" t="s">
        <v>534</v>
      </c>
      <c r="D51" s="195">
        <v>92385</v>
      </c>
      <c r="E51" s="118">
        <v>24000</v>
      </c>
      <c r="F51" s="2">
        <v>183300</v>
      </c>
      <c r="G51" s="3">
        <f t="shared" si="12"/>
        <v>154700.61749999999</v>
      </c>
      <c r="H51" s="202">
        <f t="shared" si="11"/>
        <v>6.4458590624999994</v>
      </c>
      <c r="I51" s="200">
        <v>7.0000000000000007E-2</v>
      </c>
      <c r="J51" s="7">
        <v>1.6500000000000001E-2</v>
      </c>
      <c r="K51" s="7">
        <v>7.5999999999999998E-2</v>
      </c>
      <c r="L51" s="7">
        <v>0</v>
      </c>
      <c r="M51" s="11">
        <f t="shared" si="2"/>
        <v>12831.000000000002</v>
      </c>
      <c r="N51" s="11">
        <f t="shared" si="3"/>
        <v>2812.7384999999999</v>
      </c>
      <c r="O51" s="11">
        <f t="shared" si="4"/>
        <v>12955.644</v>
      </c>
      <c r="P51" s="11">
        <f t="shared" si="5"/>
        <v>0</v>
      </c>
    </row>
    <row r="52" spans="1:16">
      <c r="A52" s="44"/>
      <c r="B52" s="5">
        <f t="shared" si="7"/>
        <v>45474</v>
      </c>
      <c r="C52" s="1" t="s">
        <v>534</v>
      </c>
      <c r="D52" s="195">
        <v>92384</v>
      </c>
      <c r="E52" s="118">
        <v>24973.828300000001</v>
      </c>
      <c r="F52" s="2">
        <v>190737.61</v>
      </c>
      <c r="G52" s="3">
        <f t="shared" si="12"/>
        <v>160977.77439974999</v>
      </c>
      <c r="H52" s="202">
        <f t="shared" si="11"/>
        <v>6.4458589394462198</v>
      </c>
      <c r="I52" s="200">
        <v>7.0000000000000007E-2</v>
      </c>
      <c r="J52" s="7">
        <v>1.6500000000000001E-2</v>
      </c>
      <c r="K52" s="7">
        <v>7.5999999999999998E-2</v>
      </c>
      <c r="L52" s="7">
        <v>0</v>
      </c>
      <c r="M52" s="11">
        <f t="shared" si="2"/>
        <v>13351.6327</v>
      </c>
      <c r="N52" s="11">
        <f t="shared" si="3"/>
        <v>2926.8686254500003</v>
      </c>
      <c r="O52" s="11">
        <f t="shared" si="4"/>
        <v>13481.3342748</v>
      </c>
      <c r="P52" s="11">
        <f t="shared" si="5"/>
        <v>0</v>
      </c>
    </row>
    <row r="53" spans="1:16">
      <c r="A53" s="44"/>
      <c r="B53" s="5">
        <f t="shared" si="7"/>
        <v>45474</v>
      </c>
      <c r="C53" s="1" t="s">
        <v>534</v>
      </c>
      <c r="D53" s="195">
        <v>92386</v>
      </c>
      <c r="E53" s="118">
        <v>24000</v>
      </c>
      <c r="F53" s="2">
        <v>183300</v>
      </c>
      <c r="G53" s="3">
        <f t="shared" si="12"/>
        <v>154700.61749999999</v>
      </c>
      <c r="H53" s="202">
        <f t="shared" si="11"/>
        <v>6.4458590624999994</v>
      </c>
      <c r="I53" s="200">
        <v>7.0000000000000007E-2</v>
      </c>
      <c r="J53" s="7">
        <v>1.6500000000000001E-2</v>
      </c>
      <c r="K53" s="7">
        <v>7.5999999999999998E-2</v>
      </c>
      <c r="L53" s="7">
        <v>0</v>
      </c>
      <c r="M53" s="11">
        <f t="shared" si="2"/>
        <v>12831.000000000002</v>
      </c>
      <c r="N53" s="11">
        <f t="shared" si="3"/>
        <v>2812.7384999999999</v>
      </c>
      <c r="O53" s="11">
        <f t="shared" si="4"/>
        <v>12955.644</v>
      </c>
      <c r="P53" s="11">
        <f t="shared" si="5"/>
        <v>0</v>
      </c>
    </row>
    <row r="54" spans="1:16">
      <c r="A54" s="44"/>
      <c r="B54" s="5">
        <f t="shared" si="7"/>
        <v>45474</v>
      </c>
      <c r="C54" s="1" t="s">
        <v>534</v>
      </c>
      <c r="D54" s="195">
        <v>92370</v>
      </c>
      <c r="E54" s="118">
        <v>24956.091899999999</v>
      </c>
      <c r="F54" s="2">
        <v>190602.15</v>
      </c>
      <c r="G54" s="3">
        <f t="shared" si="12"/>
        <v>160863.44954624999</v>
      </c>
      <c r="H54" s="202">
        <f t="shared" si="11"/>
        <v>6.4458589987100501</v>
      </c>
      <c r="I54" s="200">
        <v>7.0000000000000007E-2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13342.150500000002</v>
      </c>
      <c r="N54" s="11">
        <f t="shared" si="3"/>
        <v>2924.7899917500004</v>
      </c>
      <c r="O54" s="11">
        <f t="shared" si="4"/>
        <v>13471.759962</v>
      </c>
      <c r="P54" s="11">
        <f t="shared" si="5"/>
        <v>0</v>
      </c>
    </row>
    <row r="55" spans="1:16">
      <c r="A55" s="44"/>
      <c r="B55" s="5">
        <f t="shared" si="7"/>
        <v>45474</v>
      </c>
      <c r="C55" s="1" t="s">
        <v>534</v>
      </c>
      <c r="D55" s="195">
        <v>92443</v>
      </c>
      <c r="E55" s="118">
        <v>24857.812600000001</v>
      </c>
      <c r="F55" s="2">
        <v>189851.54</v>
      </c>
      <c r="G55" s="3">
        <f t="shared" si="12"/>
        <v>160229.95347150002</v>
      </c>
      <c r="H55" s="202">
        <f t="shared" si="11"/>
        <v>6.4458589357737779</v>
      </c>
      <c r="I55" s="200">
        <v>7.0000000000000007E-2</v>
      </c>
      <c r="J55" s="7">
        <v>1.6500000000000001E-2</v>
      </c>
      <c r="K55" s="7">
        <v>7.5999999999999998E-2</v>
      </c>
      <c r="L55" s="7">
        <v>0</v>
      </c>
      <c r="M55" s="11">
        <f t="shared" si="2"/>
        <v>13289.607800000002</v>
      </c>
      <c r="N55" s="11">
        <f t="shared" si="3"/>
        <v>2913.2718813000001</v>
      </c>
      <c r="O55" s="11">
        <f t="shared" si="4"/>
        <v>13418.706847200001</v>
      </c>
      <c r="P55" s="11">
        <f t="shared" si="5"/>
        <v>0</v>
      </c>
    </row>
    <row r="56" spans="1:16">
      <c r="A56" s="44"/>
      <c r="B56" s="5">
        <f t="shared" si="7"/>
        <v>45474</v>
      </c>
      <c r="C56" s="1" t="s">
        <v>534</v>
      </c>
      <c r="D56" s="195">
        <v>92574</v>
      </c>
      <c r="E56" s="118">
        <v>25606.801599999999</v>
      </c>
      <c r="F56" s="2">
        <v>195571.95</v>
      </c>
      <c r="G56" s="3">
        <f t="shared" si="12"/>
        <v>165057.83650125001</v>
      </c>
      <c r="H56" s="202">
        <f t="shared" si="11"/>
        <v>6.445859154126067</v>
      </c>
      <c r="I56" s="200">
        <v>7.0000000000000007E-2</v>
      </c>
      <c r="J56" s="7">
        <v>1.6500000000000001E-2</v>
      </c>
      <c r="K56" s="7">
        <v>7.5999999999999998E-2</v>
      </c>
      <c r="L56" s="7">
        <v>0</v>
      </c>
      <c r="M56" s="11">
        <f t="shared" si="2"/>
        <v>13690.036500000002</v>
      </c>
      <c r="N56" s="11">
        <f t="shared" si="3"/>
        <v>3001.0515727500006</v>
      </c>
      <c r="O56" s="11">
        <f t="shared" si="4"/>
        <v>13823.025426000002</v>
      </c>
      <c r="P56" s="11">
        <f t="shared" si="5"/>
        <v>0</v>
      </c>
    </row>
    <row r="57" spans="1:16">
      <c r="A57" s="44"/>
      <c r="B57" s="5">
        <f t="shared" si="7"/>
        <v>45474</v>
      </c>
      <c r="C57" s="1" t="s">
        <v>534</v>
      </c>
      <c r="D57" s="195">
        <v>92584</v>
      </c>
      <c r="E57" s="118">
        <v>24826.132000000001</v>
      </c>
      <c r="F57" s="2">
        <v>189609.58</v>
      </c>
      <c r="G57" s="3">
        <f t="shared" ref="G57:G87" si="13">F57-SUM(M57:P57)</f>
        <v>160025.74528049998</v>
      </c>
      <c r="H57" s="202">
        <f t="shared" si="11"/>
        <v>6.4458589554143986</v>
      </c>
      <c r="I57" s="200">
        <v>7.0000000000000007E-2</v>
      </c>
      <c r="J57" s="7">
        <v>1.6500000000000001E-2</v>
      </c>
      <c r="K57" s="7">
        <v>7.5999999999999998E-2</v>
      </c>
      <c r="L57" s="7">
        <v>0</v>
      </c>
      <c r="M57" s="11">
        <f t="shared" si="2"/>
        <v>13272.670599999999</v>
      </c>
      <c r="N57" s="11">
        <f t="shared" si="3"/>
        <v>2909.5590050999999</v>
      </c>
      <c r="O57" s="11">
        <f t="shared" si="4"/>
        <v>13401.605114399998</v>
      </c>
      <c r="P57" s="11">
        <f t="shared" si="5"/>
        <v>0</v>
      </c>
    </row>
    <row r="58" spans="1:16">
      <c r="A58" s="44"/>
      <c r="B58" s="5">
        <f t="shared" si="7"/>
        <v>45474</v>
      </c>
      <c r="C58" s="1" t="s">
        <v>534</v>
      </c>
      <c r="D58" s="195">
        <v>92587</v>
      </c>
      <c r="E58" s="118">
        <v>25006.837299999999</v>
      </c>
      <c r="F58" s="2">
        <v>190989.72</v>
      </c>
      <c r="G58" s="3">
        <f t="shared" si="13"/>
        <v>161190.54893699999</v>
      </c>
      <c r="H58" s="202">
        <f t="shared" si="11"/>
        <v>6.4458590665921589</v>
      </c>
      <c r="I58" s="200">
        <v>7.0000000000000007E-2</v>
      </c>
      <c r="J58" s="7">
        <v>1.6500000000000001E-2</v>
      </c>
      <c r="K58" s="7">
        <v>7.5999999999999998E-2</v>
      </c>
      <c r="L58" s="7">
        <v>0</v>
      </c>
      <c r="M58" s="11">
        <f t="shared" si="2"/>
        <v>13369.280400000001</v>
      </c>
      <c r="N58" s="11">
        <f t="shared" si="3"/>
        <v>2930.7372534000006</v>
      </c>
      <c r="O58" s="11">
        <f t="shared" si="4"/>
        <v>13499.153409600001</v>
      </c>
      <c r="P58" s="11">
        <f t="shared" si="5"/>
        <v>0</v>
      </c>
    </row>
    <row r="59" spans="1:16">
      <c r="A59" s="44"/>
      <c r="B59" s="5">
        <f t="shared" si="7"/>
        <v>45474</v>
      </c>
      <c r="C59" s="1" t="s">
        <v>534</v>
      </c>
      <c r="D59" s="195"/>
      <c r="E59" s="118"/>
      <c r="F59" s="2"/>
      <c r="G59" s="3">
        <f t="shared" si="13"/>
        <v>0</v>
      </c>
      <c r="H59" s="202">
        <f t="shared" si="11"/>
        <v>0</v>
      </c>
      <c r="I59" s="200">
        <v>7.0000000000000007E-2</v>
      </c>
      <c r="J59" s="7">
        <v>1.6500000000000001E-2</v>
      </c>
      <c r="K59" s="7">
        <v>7.5999999999999998E-2</v>
      </c>
      <c r="L59" s="7">
        <v>0</v>
      </c>
      <c r="M59" s="11">
        <f t="shared" si="2"/>
        <v>0</v>
      </c>
      <c r="N59" s="11">
        <f t="shared" si="3"/>
        <v>0</v>
      </c>
      <c r="O59" s="11">
        <f t="shared" si="4"/>
        <v>0</v>
      </c>
      <c r="P59" s="11">
        <f t="shared" si="5"/>
        <v>0</v>
      </c>
    </row>
    <row r="60" spans="1:16">
      <c r="A60" s="44"/>
      <c r="B60" s="5">
        <f t="shared" si="7"/>
        <v>45474</v>
      </c>
      <c r="C60" s="1" t="s">
        <v>534</v>
      </c>
      <c r="D60" s="195">
        <v>92445</v>
      </c>
      <c r="E60" s="118">
        <v>24885.3105</v>
      </c>
      <c r="F60" s="2">
        <v>190061.56</v>
      </c>
      <c r="G60" s="3">
        <f t="shared" si="13"/>
        <v>160407.205101</v>
      </c>
      <c r="H60" s="202">
        <f t="shared" si="11"/>
        <v>6.4458590983222814</v>
      </c>
      <c r="I60" s="200">
        <v>7.0000000000000007E-2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13304.309200000002</v>
      </c>
      <c r="N60" s="11">
        <f t="shared" si="3"/>
        <v>2916.4946382000003</v>
      </c>
      <c r="O60" s="11">
        <f t="shared" si="4"/>
        <v>13433.5510608</v>
      </c>
      <c r="P60" s="11">
        <f t="shared" si="5"/>
        <v>0</v>
      </c>
    </row>
    <row r="61" spans="1:16">
      <c r="A61" s="44"/>
      <c r="B61" s="5">
        <f t="shared" si="7"/>
        <v>45474</v>
      </c>
      <c r="C61" s="1" t="s">
        <v>534</v>
      </c>
      <c r="D61" s="195">
        <v>92444</v>
      </c>
      <c r="E61" s="118">
        <v>24000</v>
      </c>
      <c r="F61" s="2">
        <v>183300</v>
      </c>
      <c r="G61" s="3">
        <f t="shared" si="13"/>
        <v>154700.61749999999</v>
      </c>
      <c r="H61" s="202">
        <f t="shared" si="11"/>
        <v>6.4458590624999994</v>
      </c>
      <c r="I61" s="200">
        <v>7.0000000000000007E-2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12831.000000000002</v>
      </c>
      <c r="N61" s="11">
        <f t="shared" si="3"/>
        <v>2812.7384999999999</v>
      </c>
      <c r="O61" s="11">
        <f t="shared" si="4"/>
        <v>12955.644</v>
      </c>
      <c r="P61" s="11">
        <f t="shared" si="5"/>
        <v>0</v>
      </c>
    </row>
    <row r="62" spans="1:16">
      <c r="A62" s="44"/>
      <c r="B62" s="5">
        <f t="shared" si="7"/>
        <v>45474</v>
      </c>
      <c r="C62" s="1" t="s">
        <v>534</v>
      </c>
      <c r="D62" s="195">
        <v>92516</v>
      </c>
      <c r="E62" s="118">
        <v>24000</v>
      </c>
      <c r="F62" s="2">
        <v>183300</v>
      </c>
      <c r="G62" s="3">
        <f t="shared" si="13"/>
        <v>154700.61749999999</v>
      </c>
      <c r="H62" s="202">
        <f t="shared" si="11"/>
        <v>6.4458590624999994</v>
      </c>
      <c r="I62" s="200">
        <v>7.0000000000000007E-2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12831.000000000002</v>
      </c>
      <c r="N62" s="11">
        <f t="shared" si="3"/>
        <v>2812.7384999999999</v>
      </c>
      <c r="O62" s="11">
        <f t="shared" si="4"/>
        <v>12955.644</v>
      </c>
      <c r="P62" s="11">
        <f t="shared" si="5"/>
        <v>0</v>
      </c>
    </row>
    <row r="63" spans="1:16">
      <c r="A63" s="44"/>
      <c r="B63" s="5">
        <f t="shared" si="7"/>
        <v>45474</v>
      </c>
      <c r="C63" s="1" t="s">
        <v>534</v>
      </c>
      <c r="D63" s="195">
        <v>92504</v>
      </c>
      <c r="E63" s="118">
        <v>24455.1574</v>
      </c>
      <c r="F63" s="2">
        <v>186776.26</v>
      </c>
      <c r="G63" s="3">
        <f t="shared" si="13"/>
        <v>157634.4940335</v>
      </c>
      <c r="H63" s="202">
        <f t="shared" si="11"/>
        <v>6.4458589022821009</v>
      </c>
      <c r="I63" s="200">
        <v>7.0000000000000007E-2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13074.338200000002</v>
      </c>
      <c r="N63" s="11">
        <f t="shared" si="3"/>
        <v>2866.0817097000004</v>
      </c>
      <c r="O63" s="11">
        <f t="shared" si="4"/>
        <v>13201.346056800001</v>
      </c>
      <c r="P63" s="11">
        <f t="shared" si="5"/>
        <v>0</v>
      </c>
    </row>
    <row r="64" spans="1:16">
      <c r="A64" s="44"/>
      <c r="B64" s="5">
        <f t="shared" si="7"/>
        <v>45474</v>
      </c>
      <c r="C64" s="1" t="s">
        <v>534</v>
      </c>
      <c r="D64" s="195">
        <v>92567</v>
      </c>
      <c r="E64" s="118">
        <v>24136.421900000001</v>
      </c>
      <c r="F64" s="2">
        <v>184341.92</v>
      </c>
      <c r="G64" s="3">
        <f t="shared" si="13"/>
        <v>155579.97193200001</v>
      </c>
      <c r="H64" s="202">
        <f t="shared" si="11"/>
        <v>6.4458589834311777</v>
      </c>
      <c r="I64" s="200">
        <v>7.0000000000000007E-2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12903.934400000002</v>
      </c>
      <c r="N64" s="11">
        <f t="shared" si="3"/>
        <v>2828.7267624000006</v>
      </c>
      <c r="O64" s="11">
        <f t="shared" si="4"/>
        <v>13029.2869056</v>
      </c>
      <c r="P64" s="11">
        <f t="shared" si="5"/>
        <v>0</v>
      </c>
    </row>
    <row r="65" spans="1:16">
      <c r="A65" s="44"/>
      <c r="B65" s="5">
        <f t="shared" si="7"/>
        <v>45474</v>
      </c>
      <c r="C65" s="1" t="s">
        <v>534</v>
      </c>
      <c r="D65" s="195">
        <v>92658</v>
      </c>
      <c r="E65" s="118">
        <v>25206.068299999999</v>
      </c>
      <c r="F65" s="2">
        <v>192511.35</v>
      </c>
      <c r="G65" s="3">
        <f t="shared" si="13"/>
        <v>162474.76661625001</v>
      </c>
      <c r="H65" s="202">
        <f t="shared" si="11"/>
        <v>6.4458591749610559</v>
      </c>
      <c r="I65" s="200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13475.794500000002</v>
      </c>
      <c r="N65" s="11">
        <f t="shared" si="3"/>
        <v>2954.0866657500005</v>
      </c>
      <c r="O65" s="11">
        <f t="shared" si="4"/>
        <v>13606.702218</v>
      </c>
      <c r="P65" s="11">
        <f t="shared" si="5"/>
        <v>0</v>
      </c>
    </row>
    <row r="66" spans="1:16">
      <c r="A66" s="44"/>
      <c r="B66" s="5">
        <f t="shared" si="7"/>
        <v>45474</v>
      </c>
      <c r="C66" s="1" t="s">
        <v>534</v>
      </c>
      <c r="D66" s="195">
        <v>92650</v>
      </c>
      <c r="E66" s="118">
        <v>23510.970099999999</v>
      </c>
      <c r="F66" s="2">
        <v>179565.03</v>
      </c>
      <c r="G66" s="3">
        <f t="shared" si="13"/>
        <v>151548.39619425</v>
      </c>
      <c r="H66" s="202">
        <f t="shared" si="11"/>
        <v>6.4458589139309916</v>
      </c>
      <c r="I66" s="200">
        <v>7.0000000000000007E-2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12569.552100000001</v>
      </c>
      <c r="N66" s="11">
        <f t="shared" si="3"/>
        <v>2755.4253853499999</v>
      </c>
      <c r="O66" s="11">
        <f t="shared" si="4"/>
        <v>12691.656320399999</v>
      </c>
      <c r="P66" s="11">
        <f t="shared" si="5"/>
        <v>0</v>
      </c>
    </row>
    <row r="67" spans="1:16">
      <c r="A67" s="44"/>
      <c r="B67" s="5">
        <f t="shared" si="7"/>
        <v>45474</v>
      </c>
      <c r="C67" s="1" t="s">
        <v>534</v>
      </c>
      <c r="D67" s="195"/>
      <c r="E67" s="118"/>
      <c r="F67" s="2"/>
      <c r="G67" s="3">
        <f t="shared" si="13"/>
        <v>0</v>
      </c>
      <c r="H67" s="202">
        <f t="shared" si="11"/>
        <v>0</v>
      </c>
      <c r="I67" s="200">
        <v>7.0000000000000007E-2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0</v>
      </c>
      <c r="N67" s="11">
        <f t="shared" si="3"/>
        <v>0</v>
      </c>
      <c r="O67" s="11">
        <f t="shared" si="4"/>
        <v>0</v>
      </c>
      <c r="P67" s="11">
        <f t="shared" si="5"/>
        <v>0</v>
      </c>
    </row>
    <row r="68" spans="1:16">
      <c r="A68" s="44"/>
      <c r="B68" s="5">
        <f t="shared" si="7"/>
        <v>45474</v>
      </c>
      <c r="C68" s="1" t="s">
        <v>534</v>
      </c>
      <c r="D68" s="195">
        <v>92621</v>
      </c>
      <c r="E68" s="118">
        <v>24000</v>
      </c>
      <c r="F68" s="2">
        <v>183300</v>
      </c>
      <c r="G68" s="3">
        <f t="shared" si="13"/>
        <v>154700.61749999999</v>
      </c>
      <c r="H68" s="202">
        <f t="shared" si="11"/>
        <v>6.4458590624999994</v>
      </c>
      <c r="I68" s="200">
        <v>7.0000000000000007E-2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12831.000000000002</v>
      </c>
      <c r="N68" s="11">
        <f t="shared" si="3"/>
        <v>2812.7384999999999</v>
      </c>
      <c r="O68" s="11">
        <f t="shared" si="4"/>
        <v>12955.644</v>
      </c>
      <c r="P68" s="11">
        <f t="shared" si="5"/>
        <v>0</v>
      </c>
    </row>
    <row r="69" spans="1:16">
      <c r="A69" s="44"/>
      <c r="B69" s="5">
        <f t="shared" si="7"/>
        <v>45474</v>
      </c>
      <c r="C69" s="1" t="s">
        <v>534</v>
      </c>
      <c r="D69" s="195">
        <v>92652</v>
      </c>
      <c r="E69" s="118">
        <v>24000</v>
      </c>
      <c r="F69" s="2">
        <v>183300</v>
      </c>
      <c r="G69" s="3">
        <f t="shared" si="13"/>
        <v>154700.61749999999</v>
      </c>
      <c r="H69" s="202">
        <f t="shared" si="11"/>
        <v>6.4458590624999994</v>
      </c>
      <c r="I69" s="200">
        <v>7.0000000000000007E-2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12831.000000000002</v>
      </c>
      <c r="N69" s="11">
        <f t="shared" si="3"/>
        <v>2812.7384999999999</v>
      </c>
      <c r="O69" s="11">
        <f t="shared" si="4"/>
        <v>12955.644</v>
      </c>
      <c r="P69" s="11">
        <f t="shared" si="5"/>
        <v>0</v>
      </c>
    </row>
    <row r="70" spans="1:16">
      <c r="A70" s="44"/>
      <c r="B70" s="5">
        <f t="shared" si="7"/>
        <v>45474</v>
      </c>
      <c r="C70" s="1" t="s">
        <v>534</v>
      </c>
      <c r="D70" s="195"/>
      <c r="E70" s="118"/>
      <c r="F70" s="2"/>
      <c r="G70" s="3">
        <f t="shared" si="13"/>
        <v>0</v>
      </c>
      <c r="H70" s="202">
        <f t="shared" si="11"/>
        <v>0</v>
      </c>
      <c r="I70" s="200">
        <v>7.0000000000000007E-2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0</v>
      </c>
      <c r="N70" s="11">
        <f t="shared" si="3"/>
        <v>0</v>
      </c>
      <c r="O70" s="11">
        <f t="shared" si="4"/>
        <v>0</v>
      </c>
      <c r="P70" s="11">
        <f t="shared" si="5"/>
        <v>0</v>
      </c>
    </row>
    <row r="71" spans="1:16">
      <c r="A71" s="44"/>
      <c r="B71" s="5">
        <f t="shared" si="7"/>
        <v>45474</v>
      </c>
      <c r="C71" s="1" t="s">
        <v>534</v>
      </c>
      <c r="D71" s="195">
        <v>92657</v>
      </c>
      <c r="E71" s="118">
        <v>1</v>
      </c>
      <c r="F71" s="2">
        <v>77490.080000000002</v>
      </c>
      <c r="G71" s="3">
        <f t="shared" si="13"/>
        <v>65399.690268000006</v>
      </c>
      <c r="H71" s="202">
        <f t="shared" si="11"/>
        <v>65399.690268000006</v>
      </c>
      <c r="I71" s="200">
        <v>7.0000000000000007E-2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5424.3056000000006</v>
      </c>
      <c r="N71" s="11">
        <f t="shared" si="3"/>
        <v>1189.0852775999999</v>
      </c>
      <c r="O71" s="11">
        <f t="shared" si="4"/>
        <v>5476.9988543999998</v>
      </c>
      <c r="P71" s="11">
        <f t="shared" si="5"/>
        <v>0</v>
      </c>
    </row>
    <row r="72" spans="1:16">
      <c r="A72" s="44"/>
      <c r="B72" s="5">
        <f t="shared" si="7"/>
        <v>45474</v>
      </c>
      <c r="C72" s="1" t="s">
        <v>534</v>
      </c>
      <c r="D72" s="195">
        <v>92325</v>
      </c>
      <c r="E72" s="118">
        <v>25032.358499999998</v>
      </c>
      <c r="F72" s="2">
        <v>193284.85</v>
      </c>
      <c r="G72" s="3">
        <f t="shared" si="13"/>
        <v>163127.58127875</v>
      </c>
      <c r="H72" s="202">
        <f t="shared" si="11"/>
        <v>6.5166684664870873</v>
      </c>
      <c r="I72" s="200">
        <v>7.0000000000000007E-2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13529.939500000002</v>
      </c>
      <c r="N72" s="11">
        <f t="shared" si="3"/>
        <v>2965.9560232500003</v>
      </c>
      <c r="O72" s="11">
        <f t="shared" si="4"/>
        <v>13661.373197999999</v>
      </c>
      <c r="P72" s="11">
        <f t="shared" si="5"/>
        <v>0</v>
      </c>
    </row>
    <row r="73" spans="1:16">
      <c r="A73" s="44"/>
      <c r="B73" s="5">
        <f t="shared" si="7"/>
        <v>45474</v>
      </c>
      <c r="C73" s="1" t="s">
        <v>534</v>
      </c>
      <c r="D73" s="195">
        <v>92380</v>
      </c>
      <c r="E73" s="118">
        <v>24904.379199999999</v>
      </c>
      <c r="F73" s="2">
        <v>192296.67</v>
      </c>
      <c r="G73" s="3">
        <f t="shared" si="13"/>
        <v>162293.58206325001</v>
      </c>
      <c r="H73" s="202">
        <f t="shared" si="11"/>
        <v>6.5166684445300289</v>
      </c>
      <c r="I73" s="200">
        <v>7.0000000000000007E-2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13460.766900000002</v>
      </c>
      <c r="N73" s="11">
        <f t="shared" si="3"/>
        <v>2950.7924011499999</v>
      </c>
      <c r="O73" s="11">
        <f t="shared" si="4"/>
        <v>13591.5286356</v>
      </c>
      <c r="P73" s="11">
        <f t="shared" si="5"/>
        <v>0</v>
      </c>
    </row>
    <row r="74" spans="1:16">
      <c r="A74" s="44"/>
      <c r="B74" s="5">
        <f t="shared" si="7"/>
        <v>45474</v>
      </c>
      <c r="C74" s="1" t="s">
        <v>534</v>
      </c>
      <c r="D74" s="195">
        <v>92623</v>
      </c>
      <c r="E74" s="118">
        <v>24000</v>
      </c>
      <c r="F74" s="2">
        <v>185313.6</v>
      </c>
      <c r="G74" s="3">
        <f t="shared" si="13"/>
        <v>156400.04556</v>
      </c>
      <c r="H74" s="202">
        <f t="shared" si="11"/>
        <v>6.5166685649999998</v>
      </c>
      <c r="I74" s="200">
        <v>7.0000000000000007E-2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12971.952000000001</v>
      </c>
      <c r="N74" s="11">
        <f t="shared" si="3"/>
        <v>2843.6371920000006</v>
      </c>
      <c r="O74" s="11">
        <f t="shared" si="4"/>
        <v>13097.965248</v>
      </c>
      <c r="P74" s="11">
        <f t="shared" si="5"/>
        <v>0</v>
      </c>
    </row>
    <row r="75" spans="1:16">
      <c r="A75" s="44"/>
      <c r="B75" s="5">
        <f t="shared" si="7"/>
        <v>45474</v>
      </c>
      <c r="C75" s="1" t="s">
        <v>534</v>
      </c>
      <c r="D75" s="195">
        <v>91788</v>
      </c>
      <c r="E75" s="118">
        <v>24000</v>
      </c>
      <c r="F75" s="2">
        <v>182599.2</v>
      </c>
      <c r="G75" s="3">
        <f t="shared" si="13"/>
        <v>154109.15982</v>
      </c>
      <c r="H75" s="202">
        <f t="shared" si="11"/>
        <v>6.4212149925000004</v>
      </c>
      <c r="I75" s="200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12781.944000000001</v>
      </c>
      <c r="N75" s="11">
        <f t="shared" si="3"/>
        <v>2801.9847240000004</v>
      </c>
      <c r="O75" s="11">
        <f t="shared" si="4"/>
        <v>12906.111456000001</v>
      </c>
      <c r="P75" s="11">
        <f t="shared" si="5"/>
        <v>0</v>
      </c>
    </row>
    <row r="76" spans="1:16" hidden="1">
      <c r="A76" s="44"/>
      <c r="B76" s="5">
        <f t="shared" si="7"/>
        <v>45474</v>
      </c>
      <c r="C76" s="1" t="s">
        <v>534</v>
      </c>
      <c r="D76" s="195"/>
      <c r="E76" s="118"/>
      <c r="F76" s="2"/>
      <c r="G76" s="3">
        <f t="shared" si="13"/>
        <v>0</v>
      </c>
      <c r="H76" s="202">
        <f t="shared" si="11"/>
        <v>0</v>
      </c>
      <c r="I76" s="200"/>
      <c r="J76" s="7">
        <v>1.6500000000000001E-2</v>
      </c>
      <c r="K76" s="7">
        <v>7.5999999999999998E-2</v>
      </c>
      <c r="L76" s="7">
        <v>0</v>
      </c>
      <c r="M76" s="11">
        <f t="shared" si="2"/>
        <v>0</v>
      </c>
      <c r="N76" s="11">
        <f t="shared" si="3"/>
        <v>0</v>
      </c>
      <c r="O76" s="11">
        <f t="shared" si="4"/>
        <v>0</v>
      </c>
      <c r="P76" s="11">
        <f t="shared" si="5"/>
        <v>0</v>
      </c>
    </row>
    <row r="77" spans="1:16" hidden="1">
      <c r="A77" s="44"/>
      <c r="B77" s="5">
        <f t="shared" si="7"/>
        <v>45474</v>
      </c>
      <c r="C77" s="1" t="s">
        <v>534</v>
      </c>
      <c r="D77" s="195"/>
      <c r="E77" s="118"/>
      <c r="F77" s="2"/>
      <c r="G77" s="3">
        <f t="shared" si="13"/>
        <v>0</v>
      </c>
      <c r="H77" s="202">
        <f t="shared" si="11"/>
        <v>0</v>
      </c>
      <c r="I77" s="200"/>
      <c r="J77" s="7">
        <v>1.6500000000000001E-2</v>
      </c>
      <c r="K77" s="7">
        <v>7.5999999999999998E-2</v>
      </c>
      <c r="L77" s="7">
        <v>0</v>
      </c>
      <c r="M77" s="11">
        <f t="shared" si="2"/>
        <v>0</v>
      </c>
      <c r="N77" s="11">
        <f t="shared" si="3"/>
        <v>0</v>
      </c>
      <c r="O77" s="11">
        <f t="shared" si="4"/>
        <v>0</v>
      </c>
      <c r="P77" s="11">
        <f t="shared" si="5"/>
        <v>0</v>
      </c>
    </row>
    <row r="78" spans="1:16" hidden="1">
      <c r="A78" s="44"/>
      <c r="B78" s="5">
        <f t="shared" si="7"/>
        <v>45474</v>
      </c>
      <c r="C78" s="1" t="s">
        <v>534</v>
      </c>
      <c r="D78" s="195"/>
      <c r="E78" s="118"/>
      <c r="F78" s="2"/>
      <c r="G78" s="3">
        <f t="shared" si="13"/>
        <v>0</v>
      </c>
      <c r="H78" s="202">
        <f t="shared" si="11"/>
        <v>0</v>
      </c>
      <c r="I78" s="200"/>
      <c r="J78" s="7">
        <v>1.6500000000000001E-2</v>
      </c>
      <c r="K78" s="7">
        <v>7.5999999999999998E-2</v>
      </c>
      <c r="L78" s="7">
        <v>0</v>
      </c>
      <c r="M78" s="11">
        <f t="shared" si="2"/>
        <v>0</v>
      </c>
      <c r="N78" s="11">
        <f t="shared" si="3"/>
        <v>0</v>
      </c>
      <c r="O78" s="11">
        <f t="shared" si="4"/>
        <v>0</v>
      </c>
      <c r="P78" s="11">
        <f t="shared" si="5"/>
        <v>0</v>
      </c>
    </row>
    <row r="79" spans="1:16" hidden="1">
      <c r="A79" s="44"/>
      <c r="B79" s="5">
        <f t="shared" si="7"/>
        <v>45474</v>
      </c>
      <c r="C79" s="1" t="s">
        <v>534</v>
      </c>
      <c r="D79" s="195"/>
      <c r="E79" s="118"/>
      <c r="F79" s="2"/>
      <c r="G79" s="3">
        <f t="shared" si="13"/>
        <v>0</v>
      </c>
      <c r="H79" s="202">
        <f t="shared" si="11"/>
        <v>0</v>
      </c>
      <c r="I79" s="200"/>
      <c r="J79" s="7">
        <v>1.6500000000000001E-2</v>
      </c>
      <c r="K79" s="7">
        <v>7.5999999999999998E-2</v>
      </c>
      <c r="L79" s="7">
        <v>0</v>
      </c>
      <c r="M79" s="11">
        <f t="shared" si="2"/>
        <v>0</v>
      </c>
      <c r="N79" s="11">
        <f t="shared" si="3"/>
        <v>0</v>
      </c>
      <c r="O79" s="11">
        <f t="shared" si="4"/>
        <v>0</v>
      </c>
      <c r="P79" s="11">
        <f t="shared" si="5"/>
        <v>0</v>
      </c>
    </row>
    <row r="80" spans="1:16" hidden="1">
      <c r="A80" s="44"/>
      <c r="B80" s="5">
        <f t="shared" si="7"/>
        <v>45474</v>
      </c>
      <c r="C80" s="1" t="s">
        <v>534</v>
      </c>
      <c r="D80" s="195"/>
      <c r="E80" s="118"/>
      <c r="F80" s="2"/>
      <c r="G80" s="3">
        <f t="shared" si="13"/>
        <v>0</v>
      </c>
      <c r="H80" s="202">
        <f t="shared" si="11"/>
        <v>0</v>
      </c>
      <c r="I80" s="200"/>
      <c r="J80" s="7">
        <v>1.6500000000000001E-2</v>
      </c>
      <c r="K80" s="7">
        <v>7.5999999999999998E-2</v>
      </c>
      <c r="L80" s="7">
        <v>0</v>
      </c>
      <c r="M80" s="11">
        <f t="shared" si="2"/>
        <v>0</v>
      </c>
      <c r="N80" s="11">
        <f t="shared" si="3"/>
        <v>0</v>
      </c>
      <c r="O80" s="11">
        <f t="shared" si="4"/>
        <v>0</v>
      </c>
      <c r="P80" s="11">
        <f t="shared" si="5"/>
        <v>0</v>
      </c>
    </row>
    <row r="81" spans="1:16" hidden="1">
      <c r="A81" s="44"/>
      <c r="B81" s="5">
        <f t="shared" si="7"/>
        <v>45474</v>
      </c>
      <c r="C81" s="1" t="s">
        <v>534</v>
      </c>
      <c r="D81" s="195"/>
      <c r="E81" s="118"/>
      <c r="F81" s="2"/>
      <c r="G81" s="3">
        <f t="shared" si="13"/>
        <v>0</v>
      </c>
      <c r="H81" s="202">
        <f t="shared" si="11"/>
        <v>0</v>
      </c>
      <c r="I81" s="200"/>
      <c r="J81" s="7">
        <v>1.6500000000000001E-2</v>
      </c>
      <c r="K81" s="7">
        <v>7.5999999999999998E-2</v>
      </c>
      <c r="L81" s="7">
        <v>0</v>
      </c>
      <c r="M81" s="11">
        <f t="shared" si="2"/>
        <v>0</v>
      </c>
      <c r="N81" s="11">
        <f t="shared" si="3"/>
        <v>0</v>
      </c>
      <c r="O81" s="11">
        <f t="shared" si="4"/>
        <v>0</v>
      </c>
      <c r="P81" s="11">
        <f t="shared" si="5"/>
        <v>0</v>
      </c>
    </row>
    <row r="82" spans="1:16" hidden="1">
      <c r="A82" s="44"/>
      <c r="B82" s="5">
        <f t="shared" si="7"/>
        <v>45474</v>
      </c>
      <c r="C82" s="1" t="s">
        <v>534</v>
      </c>
      <c r="D82" s="195"/>
      <c r="E82" s="118"/>
      <c r="F82" s="2"/>
      <c r="G82" s="3">
        <f t="shared" si="13"/>
        <v>0</v>
      </c>
      <c r="H82" s="202">
        <f t="shared" si="11"/>
        <v>0</v>
      </c>
      <c r="I82" s="200"/>
      <c r="J82" s="7">
        <v>1.6500000000000001E-2</v>
      </c>
      <c r="K82" s="7">
        <v>7.5999999999999998E-2</v>
      </c>
      <c r="L82" s="7">
        <v>0</v>
      </c>
      <c r="M82" s="11">
        <f t="shared" si="2"/>
        <v>0</v>
      </c>
      <c r="N82" s="11">
        <f t="shared" si="3"/>
        <v>0</v>
      </c>
      <c r="O82" s="11">
        <f t="shared" si="4"/>
        <v>0</v>
      </c>
      <c r="P82" s="11">
        <f t="shared" si="5"/>
        <v>0</v>
      </c>
    </row>
    <row r="83" spans="1:16" hidden="1">
      <c r="A83" s="44"/>
      <c r="B83" s="5">
        <f t="shared" si="7"/>
        <v>45474</v>
      </c>
      <c r="C83" s="1" t="s">
        <v>534</v>
      </c>
      <c r="D83" s="195"/>
      <c r="E83" s="118"/>
      <c r="F83" s="2"/>
      <c r="G83" s="3">
        <f t="shared" si="13"/>
        <v>0</v>
      </c>
      <c r="H83" s="202">
        <f t="shared" si="11"/>
        <v>0</v>
      </c>
      <c r="I83" s="200"/>
      <c r="J83" s="7">
        <v>1.6500000000000001E-2</v>
      </c>
      <c r="K83" s="7">
        <v>7.5999999999999998E-2</v>
      </c>
      <c r="L83" s="7">
        <v>0</v>
      </c>
      <c r="M83" s="11">
        <f t="shared" si="2"/>
        <v>0</v>
      </c>
      <c r="N83" s="11">
        <f t="shared" si="3"/>
        <v>0</v>
      </c>
      <c r="O83" s="11">
        <f t="shared" si="4"/>
        <v>0</v>
      </c>
      <c r="P83" s="11">
        <f t="shared" si="5"/>
        <v>0</v>
      </c>
    </row>
    <row r="84" spans="1:16" hidden="1">
      <c r="A84" s="44"/>
      <c r="B84" s="5">
        <f t="shared" si="7"/>
        <v>45474</v>
      </c>
      <c r="C84" s="1" t="s">
        <v>534</v>
      </c>
      <c r="D84" s="195"/>
      <c r="E84" s="118"/>
      <c r="F84" s="2"/>
      <c r="G84" s="3">
        <f t="shared" si="13"/>
        <v>0</v>
      </c>
      <c r="H84" s="202">
        <f t="shared" si="11"/>
        <v>0</v>
      </c>
      <c r="I84" s="200"/>
      <c r="J84" s="7">
        <v>1.6500000000000001E-2</v>
      </c>
      <c r="K84" s="7">
        <v>7.5999999999999998E-2</v>
      </c>
      <c r="L84" s="7">
        <v>0</v>
      </c>
      <c r="M84" s="11">
        <f t="shared" si="2"/>
        <v>0</v>
      </c>
      <c r="N84" s="11">
        <f t="shared" si="3"/>
        <v>0</v>
      </c>
      <c r="O84" s="11">
        <f t="shared" si="4"/>
        <v>0</v>
      </c>
      <c r="P84" s="11">
        <f t="shared" si="5"/>
        <v>0</v>
      </c>
    </row>
    <row r="85" spans="1:16" hidden="1">
      <c r="A85" s="44"/>
      <c r="B85" s="5">
        <f t="shared" ref="B85:B112" si="14">B84</f>
        <v>45474</v>
      </c>
      <c r="C85" s="1" t="s">
        <v>534</v>
      </c>
      <c r="D85" s="195"/>
      <c r="E85" s="118"/>
      <c r="F85" s="2"/>
      <c r="G85" s="3">
        <f t="shared" si="13"/>
        <v>0</v>
      </c>
      <c r="H85" s="202">
        <f t="shared" si="11"/>
        <v>0</v>
      </c>
      <c r="I85" s="200"/>
      <c r="J85" s="7">
        <v>1.6500000000000001E-2</v>
      </c>
      <c r="K85" s="7">
        <v>7.5999999999999998E-2</v>
      </c>
      <c r="L85" s="7">
        <v>0</v>
      </c>
      <c r="M85" s="11">
        <f t="shared" si="2"/>
        <v>0</v>
      </c>
      <c r="N85" s="11">
        <f t="shared" si="3"/>
        <v>0</v>
      </c>
      <c r="O85" s="11">
        <f t="shared" si="4"/>
        <v>0</v>
      </c>
      <c r="P85" s="11">
        <f t="shared" si="5"/>
        <v>0</v>
      </c>
    </row>
    <row r="86" spans="1:16" hidden="1">
      <c r="A86" s="44"/>
      <c r="B86" s="5">
        <f t="shared" si="14"/>
        <v>45474</v>
      </c>
      <c r="C86" s="1" t="s">
        <v>534</v>
      </c>
      <c r="D86" s="195"/>
      <c r="E86" s="118"/>
      <c r="F86" s="2"/>
      <c r="G86" s="3">
        <f t="shared" si="13"/>
        <v>0</v>
      </c>
      <c r="H86" s="202">
        <f t="shared" si="11"/>
        <v>0</v>
      </c>
      <c r="I86" s="200"/>
      <c r="J86" s="7">
        <v>1.6500000000000001E-2</v>
      </c>
      <c r="K86" s="7">
        <v>7.5999999999999998E-2</v>
      </c>
      <c r="L86" s="7">
        <v>0</v>
      </c>
      <c r="M86" s="11">
        <f t="shared" si="2"/>
        <v>0</v>
      </c>
      <c r="N86" s="11">
        <f t="shared" si="3"/>
        <v>0</v>
      </c>
      <c r="O86" s="11">
        <f t="shared" si="4"/>
        <v>0</v>
      </c>
      <c r="P86" s="11">
        <f t="shared" si="5"/>
        <v>0</v>
      </c>
    </row>
    <row r="87" spans="1:16" hidden="1">
      <c r="A87" s="44"/>
      <c r="B87" s="5">
        <f t="shared" si="14"/>
        <v>45474</v>
      </c>
      <c r="C87" s="1" t="s">
        <v>534</v>
      </c>
      <c r="D87" s="195"/>
      <c r="E87" s="118"/>
      <c r="F87" s="2"/>
      <c r="G87" s="3">
        <f t="shared" si="13"/>
        <v>0</v>
      </c>
      <c r="H87" s="202">
        <f t="shared" si="11"/>
        <v>0</v>
      </c>
      <c r="I87" s="200"/>
      <c r="J87" s="7">
        <v>1.6500000000000001E-2</v>
      </c>
      <c r="K87" s="7">
        <v>7.5999999999999998E-2</v>
      </c>
      <c r="L87" s="7">
        <v>0</v>
      </c>
      <c r="M87" s="11">
        <f t="shared" si="2"/>
        <v>0</v>
      </c>
      <c r="N87" s="11">
        <f t="shared" si="3"/>
        <v>0</v>
      </c>
      <c r="O87" s="11">
        <f t="shared" si="4"/>
        <v>0</v>
      </c>
      <c r="P87" s="11">
        <f t="shared" si="5"/>
        <v>0</v>
      </c>
    </row>
    <row r="88" spans="1:16" hidden="1">
      <c r="A88" s="44"/>
      <c r="B88" s="5">
        <f>B87</f>
        <v>45474</v>
      </c>
      <c r="C88" s="1" t="s">
        <v>534</v>
      </c>
      <c r="D88" s="195"/>
      <c r="E88" s="118"/>
      <c r="F88" s="2"/>
      <c r="G88" s="3">
        <f t="shared" si="12"/>
        <v>0</v>
      </c>
      <c r="H88" s="202">
        <f t="shared" si="11"/>
        <v>0</v>
      </c>
      <c r="I88" s="200"/>
      <c r="J88" s="7">
        <v>1.6500000000000001E-2</v>
      </c>
      <c r="K88" s="7">
        <v>7.5999999999999998E-2</v>
      </c>
      <c r="L88" s="7">
        <v>0</v>
      </c>
      <c r="M88" s="11">
        <f t="shared" si="2"/>
        <v>0</v>
      </c>
      <c r="N88" s="11">
        <f t="shared" si="3"/>
        <v>0</v>
      </c>
      <c r="O88" s="11">
        <f t="shared" si="4"/>
        <v>0</v>
      </c>
      <c r="P88" s="11">
        <f t="shared" si="5"/>
        <v>0</v>
      </c>
    </row>
    <row r="89" spans="1:16" hidden="1">
      <c r="A89" s="44"/>
      <c r="B89" s="5">
        <f t="shared" si="14"/>
        <v>45474</v>
      </c>
      <c r="C89" s="1" t="s">
        <v>534</v>
      </c>
      <c r="D89" s="195"/>
      <c r="E89" s="118"/>
      <c r="F89" s="2"/>
      <c r="G89" s="3">
        <f t="shared" si="12"/>
        <v>0</v>
      </c>
      <c r="H89" s="202">
        <f t="shared" si="11"/>
        <v>0</v>
      </c>
      <c r="I89" s="200"/>
      <c r="J89" s="7">
        <v>1.6500000000000001E-2</v>
      </c>
      <c r="K89" s="7">
        <v>7.5999999999999998E-2</v>
      </c>
      <c r="L89" s="7">
        <v>0</v>
      </c>
      <c r="M89" s="11">
        <f t="shared" si="2"/>
        <v>0</v>
      </c>
      <c r="N89" s="11">
        <f t="shared" si="3"/>
        <v>0</v>
      </c>
      <c r="O89" s="11">
        <f t="shared" si="4"/>
        <v>0</v>
      </c>
      <c r="P89" s="11">
        <f t="shared" si="5"/>
        <v>0</v>
      </c>
    </row>
    <row r="90" spans="1:16" hidden="1">
      <c r="A90" s="44"/>
      <c r="B90" s="5">
        <f t="shared" si="14"/>
        <v>45474</v>
      </c>
      <c r="C90" s="1" t="s">
        <v>534</v>
      </c>
      <c r="D90" s="195"/>
      <c r="E90" s="118"/>
      <c r="F90" s="2"/>
      <c r="G90" s="3">
        <f t="shared" si="12"/>
        <v>0</v>
      </c>
      <c r="H90" s="202">
        <f t="shared" si="11"/>
        <v>0</v>
      </c>
      <c r="I90" s="200"/>
      <c r="J90" s="7">
        <v>1.6500000000000001E-2</v>
      </c>
      <c r="K90" s="7">
        <v>7.5999999999999998E-2</v>
      </c>
      <c r="L90" s="7">
        <v>0</v>
      </c>
      <c r="M90" s="11">
        <f t="shared" si="2"/>
        <v>0</v>
      </c>
      <c r="N90" s="11">
        <f t="shared" si="3"/>
        <v>0</v>
      </c>
      <c r="O90" s="11">
        <f t="shared" si="4"/>
        <v>0</v>
      </c>
      <c r="P90" s="11">
        <f t="shared" si="5"/>
        <v>0</v>
      </c>
    </row>
    <row r="91" spans="1:16" hidden="1">
      <c r="A91" s="44"/>
      <c r="B91" s="5">
        <f t="shared" si="14"/>
        <v>45474</v>
      </c>
      <c r="C91" s="1" t="s">
        <v>534</v>
      </c>
      <c r="D91" s="195"/>
      <c r="E91" s="118"/>
      <c r="F91" s="2"/>
      <c r="G91" s="3">
        <f t="shared" si="12"/>
        <v>0</v>
      </c>
      <c r="H91" s="202">
        <f t="shared" si="11"/>
        <v>0</v>
      </c>
      <c r="I91" s="200"/>
      <c r="J91" s="7">
        <v>1.6500000000000001E-2</v>
      </c>
      <c r="K91" s="7">
        <v>7.5999999999999998E-2</v>
      </c>
      <c r="L91" s="7">
        <v>0</v>
      </c>
      <c r="M91" s="11">
        <f t="shared" si="2"/>
        <v>0</v>
      </c>
      <c r="N91" s="11">
        <f t="shared" si="3"/>
        <v>0</v>
      </c>
      <c r="O91" s="11">
        <f t="shared" si="4"/>
        <v>0</v>
      </c>
      <c r="P91" s="11">
        <f t="shared" si="5"/>
        <v>0</v>
      </c>
    </row>
    <row r="92" spans="1:16" hidden="1">
      <c r="A92" s="44"/>
      <c r="B92" s="5">
        <f t="shared" si="14"/>
        <v>45474</v>
      </c>
      <c r="C92" s="1" t="s">
        <v>534</v>
      </c>
      <c r="D92" s="195"/>
      <c r="E92" s="118"/>
      <c r="F92" s="2"/>
      <c r="G92" s="3">
        <f t="shared" ref="G92:G249" si="15">F92-SUM(M92:P92)</f>
        <v>0</v>
      </c>
      <c r="H92" s="202">
        <f t="shared" si="11"/>
        <v>0</v>
      </c>
      <c r="I92" s="200"/>
      <c r="J92" s="7">
        <v>1.6500000000000001E-2</v>
      </c>
      <c r="K92" s="7">
        <v>7.5999999999999998E-2</v>
      </c>
      <c r="L92" s="7">
        <v>0</v>
      </c>
      <c r="M92" s="11">
        <f t="shared" si="2"/>
        <v>0</v>
      </c>
      <c r="N92" s="11">
        <f t="shared" si="3"/>
        <v>0</v>
      </c>
      <c r="O92" s="11">
        <f t="shared" si="4"/>
        <v>0</v>
      </c>
      <c r="P92" s="11">
        <f t="shared" si="5"/>
        <v>0</v>
      </c>
    </row>
    <row r="93" spans="1:16" hidden="1">
      <c r="A93" s="44"/>
      <c r="B93" s="5">
        <f t="shared" si="14"/>
        <v>45474</v>
      </c>
      <c r="C93" s="1" t="s">
        <v>534</v>
      </c>
      <c r="D93" s="195"/>
      <c r="E93" s="118"/>
      <c r="F93" s="2"/>
      <c r="G93" s="3">
        <f t="shared" si="15"/>
        <v>0</v>
      </c>
      <c r="H93" s="202">
        <f t="shared" si="11"/>
        <v>0</v>
      </c>
      <c r="I93" s="200"/>
      <c r="J93" s="7">
        <v>1.6500000000000001E-2</v>
      </c>
      <c r="K93" s="7">
        <v>7.5999999999999998E-2</v>
      </c>
      <c r="L93" s="7">
        <v>0</v>
      </c>
      <c r="M93" s="11">
        <f t="shared" si="2"/>
        <v>0</v>
      </c>
      <c r="N93" s="11">
        <f t="shared" si="3"/>
        <v>0</v>
      </c>
      <c r="O93" s="11">
        <f t="shared" si="4"/>
        <v>0</v>
      </c>
      <c r="P93" s="11">
        <f t="shared" si="5"/>
        <v>0</v>
      </c>
    </row>
    <row r="94" spans="1:16" hidden="1">
      <c r="A94" s="44"/>
      <c r="B94" s="5">
        <f t="shared" si="14"/>
        <v>45474</v>
      </c>
      <c r="C94" s="1" t="s">
        <v>534</v>
      </c>
      <c r="D94" s="195"/>
      <c r="E94" s="118"/>
      <c r="F94" s="2"/>
      <c r="G94" s="3">
        <f t="shared" si="15"/>
        <v>0</v>
      </c>
      <c r="H94" s="202">
        <f t="shared" si="11"/>
        <v>0</v>
      </c>
      <c r="I94" s="200"/>
      <c r="J94" s="7">
        <v>1.6500000000000001E-2</v>
      </c>
      <c r="K94" s="7">
        <v>7.5999999999999998E-2</v>
      </c>
      <c r="L94" s="7">
        <v>0</v>
      </c>
      <c r="M94" s="11">
        <f t="shared" si="2"/>
        <v>0</v>
      </c>
      <c r="N94" s="11">
        <f t="shared" si="3"/>
        <v>0</v>
      </c>
      <c r="O94" s="11">
        <f t="shared" si="4"/>
        <v>0</v>
      </c>
      <c r="P94" s="11">
        <f t="shared" si="5"/>
        <v>0</v>
      </c>
    </row>
    <row r="95" spans="1:16" hidden="1">
      <c r="A95" s="44"/>
      <c r="B95" s="5">
        <f t="shared" si="14"/>
        <v>45474</v>
      </c>
      <c r="C95" s="1" t="s">
        <v>534</v>
      </c>
      <c r="D95" s="195"/>
      <c r="E95" s="118"/>
      <c r="F95" s="2"/>
      <c r="G95" s="3">
        <f t="shared" si="15"/>
        <v>0</v>
      </c>
      <c r="H95" s="202">
        <f t="shared" si="11"/>
        <v>0</v>
      </c>
      <c r="I95" s="200"/>
      <c r="J95" s="7">
        <v>1.6500000000000001E-2</v>
      </c>
      <c r="K95" s="7">
        <v>7.5999999999999998E-2</v>
      </c>
      <c r="L95" s="7">
        <v>0</v>
      </c>
      <c r="M95" s="11">
        <f t="shared" si="2"/>
        <v>0</v>
      </c>
      <c r="N95" s="11">
        <f t="shared" si="3"/>
        <v>0</v>
      </c>
      <c r="O95" s="11">
        <f t="shared" si="4"/>
        <v>0</v>
      </c>
      <c r="P95" s="11">
        <f t="shared" si="5"/>
        <v>0</v>
      </c>
    </row>
    <row r="96" spans="1:16" hidden="1">
      <c r="A96" s="44"/>
      <c r="B96" s="5">
        <f t="shared" si="14"/>
        <v>45474</v>
      </c>
      <c r="C96" s="1" t="s">
        <v>534</v>
      </c>
      <c r="D96" s="195"/>
      <c r="E96" s="118"/>
      <c r="F96" s="2"/>
      <c r="G96" s="3">
        <f t="shared" si="15"/>
        <v>0</v>
      </c>
      <c r="H96" s="202">
        <f t="shared" si="11"/>
        <v>0</v>
      </c>
      <c r="I96" s="200"/>
      <c r="J96" s="7">
        <v>1.6500000000000001E-2</v>
      </c>
      <c r="K96" s="7">
        <v>7.5999999999999998E-2</v>
      </c>
      <c r="L96" s="7">
        <v>0</v>
      </c>
      <c r="M96" s="11">
        <f t="shared" si="2"/>
        <v>0</v>
      </c>
      <c r="N96" s="11">
        <f t="shared" si="3"/>
        <v>0</v>
      </c>
      <c r="O96" s="11">
        <f t="shared" si="4"/>
        <v>0</v>
      </c>
      <c r="P96" s="11">
        <f t="shared" si="5"/>
        <v>0</v>
      </c>
    </row>
    <row r="97" spans="1:16" hidden="1">
      <c r="A97" s="44"/>
      <c r="B97" s="5">
        <f t="shared" si="14"/>
        <v>45474</v>
      </c>
      <c r="C97" s="1" t="s">
        <v>534</v>
      </c>
      <c r="D97" s="195"/>
      <c r="E97" s="118"/>
      <c r="F97" s="2"/>
      <c r="G97" s="3">
        <f t="shared" si="15"/>
        <v>0</v>
      </c>
      <c r="H97" s="202">
        <f t="shared" si="11"/>
        <v>0</v>
      </c>
      <c r="I97" s="200"/>
      <c r="J97" s="7">
        <v>1.6500000000000001E-2</v>
      </c>
      <c r="K97" s="7">
        <v>7.5999999999999998E-2</v>
      </c>
      <c r="L97" s="7">
        <v>0</v>
      </c>
      <c r="M97" s="11">
        <f t="shared" si="2"/>
        <v>0</v>
      </c>
      <c r="N97" s="11">
        <f t="shared" si="3"/>
        <v>0</v>
      </c>
      <c r="O97" s="11">
        <f t="shared" si="4"/>
        <v>0</v>
      </c>
      <c r="P97" s="11">
        <f t="shared" si="5"/>
        <v>0</v>
      </c>
    </row>
    <row r="98" spans="1:16" hidden="1">
      <c r="A98" s="44"/>
      <c r="B98" s="5">
        <f t="shared" si="14"/>
        <v>45474</v>
      </c>
      <c r="C98" s="1" t="s">
        <v>534</v>
      </c>
      <c r="D98" s="195"/>
      <c r="E98" s="118"/>
      <c r="F98" s="2"/>
      <c r="G98" s="3">
        <f t="shared" si="15"/>
        <v>0</v>
      </c>
      <c r="H98" s="202">
        <f t="shared" si="11"/>
        <v>0</v>
      </c>
      <c r="I98" s="200"/>
      <c r="J98" s="7">
        <v>1.6500000000000001E-2</v>
      </c>
      <c r="K98" s="7">
        <v>7.5999999999999998E-2</v>
      </c>
      <c r="L98" s="7">
        <v>0</v>
      </c>
      <c r="M98" s="11">
        <f t="shared" si="2"/>
        <v>0</v>
      </c>
      <c r="N98" s="11">
        <f t="shared" si="3"/>
        <v>0</v>
      </c>
      <c r="O98" s="11">
        <f t="shared" si="4"/>
        <v>0</v>
      </c>
      <c r="P98" s="11">
        <f t="shared" si="5"/>
        <v>0</v>
      </c>
    </row>
    <row r="99" spans="1:16" hidden="1">
      <c r="A99" s="44"/>
      <c r="B99" s="5">
        <f t="shared" si="14"/>
        <v>45474</v>
      </c>
      <c r="C99" s="1" t="s">
        <v>534</v>
      </c>
      <c r="D99" s="195"/>
      <c r="E99" s="118"/>
      <c r="F99" s="2"/>
      <c r="G99" s="3">
        <f t="shared" si="15"/>
        <v>0</v>
      </c>
      <c r="H99" s="202">
        <f t="shared" si="11"/>
        <v>0</v>
      </c>
      <c r="I99" s="200"/>
      <c r="J99" s="7">
        <v>1.6500000000000001E-2</v>
      </c>
      <c r="K99" s="7">
        <v>7.5999999999999998E-2</v>
      </c>
      <c r="L99" s="7">
        <v>0</v>
      </c>
      <c r="M99" s="11">
        <f>+I99*F99</f>
        <v>0</v>
      </c>
      <c r="N99" s="11">
        <f t="shared" si="3"/>
        <v>0</v>
      </c>
      <c r="O99" s="11">
        <f t="shared" si="4"/>
        <v>0</v>
      </c>
      <c r="P99" s="11">
        <f t="shared" si="5"/>
        <v>0</v>
      </c>
    </row>
    <row r="100" spans="1:16" hidden="1">
      <c r="A100" s="44"/>
      <c r="B100" s="5">
        <f t="shared" si="14"/>
        <v>45474</v>
      </c>
      <c r="C100" s="1" t="s">
        <v>534</v>
      </c>
      <c r="D100" s="195"/>
      <c r="E100" s="118"/>
      <c r="F100" s="2"/>
      <c r="G100" s="3">
        <f t="shared" si="15"/>
        <v>0</v>
      </c>
      <c r="H100" s="202">
        <f t="shared" si="11"/>
        <v>0</v>
      </c>
      <c r="I100" s="200"/>
      <c r="J100" s="7">
        <v>1.6500000000000001E-2</v>
      </c>
      <c r="K100" s="7">
        <v>7.5999999999999998E-2</v>
      </c>
      <c r="L100" s="7">
        <v>0</v>
      </c>
      <c r="M100" s="11">
        <f t="shared" si="2"/>
        <v>0</v>
      </c>
      <c r="N100" s="11">
        <f t="shared" si="3"/>
        <v>0</v>
      </c>
      <c r="O100" s="11">
        <f t="shared" si="4"/>
        <v>0</v>
      </c>
      <c r="P100" s="11">
        <f t="shared" si="5"/>
        <v>0</v>
      </c>
    </row>
    <row r="101" spans="1:16" hidden="1">
      <c r="A101" s="44"/>
      <c r="B101" s="5">
        <f t="shared" si="14"/>
        <v>45474</v>
      </c>
      <c r="C101" s="1" t="s">
        <v>534</v>
      </c>
      <c r="D101" s="195"/>
      <c r="E101" s="118"/>
      <c r="F101" s="2"/>
      <c r="G101" s="3">
        <f t="shared" si="15"/>
        <v>0</v>
      </c>
      <c r="H101" s="202">
        <f t="shared" si="11"/>
        <v>0</v>
      </c>
      <c r="I101" s="200"/>
      <c r="J101" s="7">
        <v>1.6500000000000001E-2</v>
      </c>
      <c r="K101" s="7">
        <v>7.5999999999999998E-2</v>
      </c>
      <c r="L101" s="7">
        <v>0</v>
      </c>
      <c r="M101" s="11">
        <f t="shared" si="2"/>
        <v>0</v>
      </c>
      <c r="N101" s="11">
        <f t="shared" si="3"/>
        <v>0</v>
      </c>
      <c r="O101" s="11">
        <f t="shared" si="4"/>
        <v>0</v>
      </c>
      <c r="P101" s="11">
        <f t="shared" si="5"/>
        <v>0</v>
      </c>
    </row>
    <row r="102" spans="1:16" hidden="1">
      <c r="A102" s="44"/>
      <c r="B102" s="5">
        <f t="shared" si="14"/>
        <v>45474</v>
      </c>
      <c r="C102" s="1" t="s">
        <v>534</v>
      </c>
      <c r="D102" s="195"/>
      <c r="E102" s="118"/>
      <c r="F102" s="2"/>
      <c r="G102" s="3">
        <f t="shared" si="15"/>
        <v>0</v>
      </c>
      <c r="H102" s="202">
        <f t="shared" ref="H102:H114" si="16">+IF(G102=0,0,G102/E102)</f>
        <v>0</v>
      </c>
      <c r="I102" s="200"/>
      <c r="J102" s="7">
        <v>1.6500000000000001E-2</v>
      </c>
      <c r="K102" s="7">
        <v>7.5999999999999998E-2</v>
      </c>
      <c r="L102" s="7">
        <v>0</v>
      </c>
      <c r="M102" s="11">
        <f t="shared" si="2"/>
        <v>0</v>
      </c>
      <c r="N102" s="11">
        <f t="shared" si="3"/>
        <v>0</v>
      </c>
      <c r="O102" s="11">
        <f t="shared" si="4"/>
        <v>0</v>
      </c>
      <c r="P102" s="11">
        <f t="shared" si="5"/>
        <v>0</v>
      </c>
    </row>
    <row r="103" spans="1:16" hidden="1">
      <c r="A103" s="44"/>
      <c r="B103" s="5">
        <f t="shared" si="14"/>
        <v>45474</v>
      </c>
      <c r="C103" s="1" t="s">
        <v>534</v>
      </c>
      <c r="D103" s="195"/>
      <c r="E103" s="118"/>
      <c r="F103" s="2"/>
      <c r="G103" s="3">
        <f t="shared" si="15"/>
        <v>0</v>
      </c>
      <c r="H103" s="202">
        <f t="shared" si="16"/>
        <v>0</v>
      </c>
      <c r="I103" s="200"/>
      <c r="J103" s="7">
        <v>1.6500000000000001E-2</v>
      </c>
      <c r="K103" s="7">
        <v>7.5999999999999998E-2</v>
      </c>
      <c r="L103" s="7">
        <v>0</v>
      </c>
      <c r="M103" s="11">
        <f t="shared" si="2"/>
        <v>0</v>
      </c>
      <c r="N103" s="11">
        <f t="shared" si="3"/>
        <v>0</v>
      </c>
      <c r="O103" s="11">
        <f t="shared" si="4"/>
        <v>0</v>
      </c>
      <c r="P103" s="11">
        <f t="shared" si="5"/>
        <v>0</v>
      </c>
    </row>
    <row r="104" spans="1:16" hidden="1">
      <c r="A104" s="44"/>
      <c r="B104" s="5">
        <f t="shared" si="14"/>
        <v>45474</v>
      </c>
      <c r="C104" s="1" t="s">
        <v>534</v>
      </c>
      <c r="D104" s="195"/>
      <c r="E104" s="118"/>
      <c r="F104" s="2"/>
      <c r="G104" s="3">
        <f t="shared" si="15"/>
        <v>0</v>
      </c>
      <c r="H104" s="202">
        <f t="shared" si="16"/>
        <v>0</v>
      </c>
      <c r="I104" s="200"/>
      <c r="J104" s="7">
        <v>1.6500000000000001E-2</v>
      </c>
      <c r="K104" s="7">
        <v>7.5999999999999998E-2</v>
      </c>
      <c r="L104" s="7">
        <v>0</v>
      </c>
      <c r="M104" s="11">
        <f t="shared" si="2"/>
        <v>0</v>
      </c>
      <c r="N104" s="11">
        <f t="shared" si="3"/>
        <v>0</v>
      </c>
      <c r="O104" s="11">
        <f t="shared" si="4"/>
        <v>0</v>
      </c>
      <c r="P104" s="11">
        <f t="shared" si="5"/>
        <v>0</v>
      </c>
    </row>
    <row r="105" spans="1:16" hidden="1">
      <c r="A105" s="44"/>
      <c r="B105" s="5">
        <f t="shared" si="14"/>
        <v>45474</v>
      </c>
      <c r="C105" s="1" t="s">
        <v>534</v>
      </c>
      <c r="D105" s="195"/>
      <c r="E105" s="118"/>
      <c r="F105" s="2"/>
      <c r="G105" s="3">
        <f t="shared" si="15"/>
        <v>0</v>
      </c>
      <c r="H105" s="202">
        <f t="shared" si="16"/>
        <v>0</v>
      </c>
      <c r="I105" s="200"/>
      <c r="J105" s="7">
        <v>1.6500000000000001E-2</v>
      </c>
      <c r="K105" s="7">
        <v>7.5999999999999998E-2</v>
      </c>
      <c r="L105" s="7">
        <v>0</v>
      </c>
      <c r="M105" s="11">
        <f t="shared" si="2"/>
        <v>0</v>
      </c>
      <c r="N105" s="11">
        <f t="shared" si="3"/>
        <v>0</v>
      </c>
      <c r="O105" s="11">
        <f t="shared" si="4"/>
        <v>0</v>
      </c>
      <c r="P105" s="11">
        <f t="shared" si="5"/>
        <v>0</v>
      </c>
    </row>
    <row r="106" spans="1:16" hidden="1">
      <c r="A106" s="44"/>
      <c r="B106" s="5">
        <f t="shared" si="14"/>
        <v>45474</v>
      </c>
      <c r="C106" s="1" t="s">
        <v>534</v>
      </c>
      <c r="D106" s="195"/>
      <c r="E106" s="118"/>
      <c r="F106" s="2"/>
      <c r="G106" s="3">
        <f t="shared" si="15"/>
        <v>0</v>
      </c>
      <c r="H106" s="202">
        <f t="shared" si="16"/>
        <v>0</v>
      </c>
      <c r="I106" s="200"/>
      <c r="J106" s="7">
        <v>1.6500000000000001E-2</v>
      </c>
      <c r="K106" s="7">
        <v>7.5999999999999998E-2</v>
      </c>
      <c r="L106" s="7">
        <v>0</v>
      </c>
      <c r="M106" s="11">
        <f t="shared" si="2"/>
        <v>0</v>
      </c>
      <c r="N106" s="11">
        <f t="shared" si="3"/>
        <v>0</v>
      </c>
      <c r="O106" s="11">
        <f t="shared" si="4"/>
        <v>0</v>
      </c>
      <c r="P106" s="11">
        <f t="shared" si="5"/>
        <v>0</v>
      </c>
    </row>
    <row r="107" spans="1:16" hidden="1">
      <c r="A107" s="44"/>
      <c r="B107" s="5">
        <f t="shared" si="14"/>
        <v>45474</v>
      </c>
      <c r="C107" s="1" t="s">
        <v>534</v>
      </c>
      <c r="D107" s="195"/>
      <c r="E107" s="118"/>
      <c r="F107" s="2"/>
      <c r="G107" s="3">
        <f t="shared" si="15"/>
        <v>0</v>
      </c>
      <c r="H107" s="202">
        <f t="shared" si="16"/>
        <v>0</v>
      </c>
      <c r="I107" s="200"/>
      <c r="J107" s="7">
        <v>1.6500000000000001E-2</v>
      </c>
      <c r="K107" s="7">
        <v>7.5999999999999998E-2</v>
      </c>
      <c r="L107" s="7">
        <v>0</v>
      </c>
      <c r="M107" s="11">
        <f t="shared" si="2"/>
        <v>0</v>
      </c>
      <c r="N107" s="11">
        <f t="shared" si="3"/>
        <v>0</v>
      </c>
      <c r="O107" s="11">
        <f t="shared" si="4"/>
        <v>0</v>
      </c>
      <c r="P107" s="11">
        <f t="shared" si="5"/>
        <v>0</v>
      </c>
    </row>
    <row r="108" spans="1:16" hidden="1">
      <c r="A108" s="44"/>
      <c r="B108" s="5">
        <f t="shared" si="14"/>
        <v>45474</v>
      </c>
      <c r="C108" s="1" t="s">
        <v>534</v>
      </c>
      <c r="D108" s="195"/>
      <c r="E108" s="118"/>
      <c r="F108" s="2"/>
      <c r="G108" s="3">
        <f t="shared" si="15"/>
        <v>0</v>
      </c>
      <c r="H108" s="202">
        <f t="shared" si="16"/>
        <v>0</v>
      </c>
      <c r="I108" s="200"/>
      <c r="J108" s="7">
        <v>1.6500000000000001E-2</v>
      </c>
      <c r="K108" s="7">
        <v>7.5999999999999998E-2</v>
      </c>
      <c r="L108" s="7">
        <v>0</v>
      </c>
      <c r="M108" s="11">
        <f t="shared" si="2"/>
        <v>0</v>
      </c>
      <c r="N108" s="11">
        <f t="shared" si="3"/>
        <v>0</v>
      </c>
      <c r="O108" s="11">
        <f t="shared" si="4"/>
        <v>0</v>
      </c>
      <c r="P108" s="11">
        <f t="shared" si="5"/>
        <v>0</v>
      </c>
    </row>
    <row r="109" spans="1:16" hidden="1">
      <c r="A109" s="44"/>
      <c r="B109" s="5">
        <f t="shared" si="14"/>
        <v>45474</v>
      </c>
      <c r="C109" s="1" t="s">
        <v>534</v>
      </c>
      <c r="D109" s="195"/>
      <c r="E109" s="118"/>
      <c r="F109" s="2"/>
      <c r="G109" s="3">
        <f t="shared" si="15"/>
        <v>0</v>
      </c>
      <c r="H109" s="202">
        <f t="shared" si="16"/>
        <v>0</v>
      </c>
      <c r="I109" s="200"/>
      <c r="J109" s="7">
        <v>1.6500000000000001E-2</v>
      </c>
      <c r="K109" s="7">
        <v>7.5999999999999998E-2</v>
      </c>
      <c r="L109" s="7">
        <v>0</v>
      </c>
      <c r="M109" s="11">
        <f t="shared" si="2"/>
        <v>0</v>
      </c>
      <c r="N109" s="11">
        <f t="shared" si="3"/>
        <v>0</v>
      </c>
      <c r="O109" s="11">
        <f t="shared" si="4"/>
        <v>0</v>
      </c>
      <c r="P109" s="11">
        <f t="shared" si="5"/>
        <v>0</v>
      </c>
    </row>
    <row r="110" spans="1:16" hidden="1">
      <c r="A110" s="44"/>
      <c r="B110" s="5">
        <f t="shared" si="14"/>
        <v>45474</v>
      </c>
      <c r="C110" s="1" t="s">
        <v>534</v>
      </c>
      <c r="D110" s="195"/>
      <c r="E110" s="118"/>
      <c r="F110" s="2"/>
      <c r="G110" s="3">
        <f t="shared" si="15"/>
        <v>0</v>
      </c>
      <c r="H110" s="202">
        <f t="shared" si="16"/>
        <v>0</v>
      </c>
      <c r="I110" s="200"/>
      <c r="J110" s="7">
        <v>1.6500000000000001E-2</v>
      </c>
      <c r="K110" s="7">
        <v>7.5999999999999998E-2</v>
      </c>
      <c r="L110" s="7">
        <v>0</v>
      </c>
      <c r="M110" s="11">
        <f t="shared" si="2"/>
        <v>0</v>
      </c>
      <c r="N110" s="11">
        <f t="shared" si="3"/>
        <v>0</v>
      </c>
      <c r="O110" s="11">
        <f t="shared" si="4"/>
        <v>0</v>
      </c>
      <c r="P110" s="11">
        <f t="shared" si="5"/>
        <v>0</v>
      </c>
    </row>
    <row r="111" spans="1:16" hidden="1">
      <c r="A111" s="44"/>
      <c r="B111" s="5">
        <f t="shared" si="14"/>
        <v>45474</v>
      </c>
      <c r="C111" s="1"/>
      <c r="D111" s="195"/>
      <c r="E111" s="118"/>
      <c r="F111" s="2"/>
      <c r="G111" s="3">
        <f t="shared" si="15"/>
        <v>0</v>
      </c>
      <c r="H111" s="202">
        <f t="shared" si="16"/>
        <v>0</v>
      </c>
      <c r="I111" s="200">
        <v>0.12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0</v>
      </c>
      <c r="N111" s="11">
        <f t="shared" si="3"/>
        <v>0</v>
      </c>
      <c r="O111" s="11">
        <f t="shared" si="4"/>
        <v>0</v>
      </c>
      <c r="P111" s="11">
        <f t="shared" si="5"/>
        <v>0</v>
      </c>
    </row>
    <row r="112" spans="1:16" hidden="1">
      <c r="A112" s="44"/>
      <c r="B112" s="5">
        <f t="shared" si="14"/>
        <v>45474</v>
      </c>
      <c r="C112" s="1"/>
      <c r="D112" s="195"/>
      <c r="E112" s="118"/>
      <c r="F112" s="2"/>
      <c r="G112" s="3">
        <f t="shared" si="15"/>
        <v>0</v>
      </c>
      <c r="H112" s="202">
        <f t="shared" si="16"/>
        <v>0</v>
      </c>
      <c r="I112" s="200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0</v>
      </c>
      <c r="N112" s="11">
        <f t="shared" si="3"/>
        <v>0</v>
      </c>
      <c r="O112" s="11">
        <f t="shared" si="4"/>
        <v>0</v>
      </c>
      <c r="P112" s="11">
        <f t="shared" si="5"/>
        <v>0</v>
      </c>
    </row>
    <row r="113" spans="1:16" ht="15" customHeight="1">
      <c r="A113" s="44"/>
      <c r="B113" s="5">
        <f>B112</f>
        <v>45474</v>
      </c>
      <c r="C113" s="1" t="s">
        <v>533</v>
      </c>
      <c r="D113" s="195" t="s">
        <v>692</v>
      </c>
      <c r="E113" s="118">
        <v>45401.966899999999</v>
      </c>
      <c r="F113" s="2">
        <v>161696.47</v>
      </c>
      <c r="G113" s="3">
        <f t="shared" si="15"/>
        <v>136467.77826825</v>
      </c>
      <c r="H113" s="202">
        <f t="shared" si="16"/>
        <v>3.0057679784848705</v>
      </c>
      <c r="I113" s="7">
        <v>7.0000000000000007E-2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11318.752900000001</v>
      </c>
      <c r="N113" s="11">
        <f t="shared" si="3"/>
        <v>2481.2323321500003</v>
      </c>
      <c r="O113" s="11">
        <f t="shared" si="4"/>
        <v>11428.706499600001</v>
      </c>
      <c r="P113" s="11">
        <f t="shared" si="5"/>
        <v>0</v>
      </c>
    </row>
    <row r="114" spans="1:16" ht="15" customHeight="1">
      <c r="A114" s="44"/>
      <c r="B114" s="5">
        <f>B113</f>
        <v>45474</v>
      </c>
      <c r="C114" s="1" t="s">
        <v>533</v>
      </c>
      <c r="D114" s="195" t="s">
        <v>693</v>
      </c>
      <c r="E114" s="118">
        <v>3318.8101999999999</v>
      </c>
      <c r="F114" s="2">
        <v>11819.75</v>
      </c>
      <c r="G114" s="3">
        <f t="shared" si="15"/>
        <v>9975.5735062499989</v>
      </c>
      <c r="H114" s="202">
        <f t="shared" si="16"/>
        <v>3.0057680027167564</v>
      </c>
      <c r="I114" s="7">
        <v>7.0000000000000007E-2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827.38250000000005</v>
      </c>
      <c r="N114" s="11">
        <f t="shared" si="3"/>
        <v>181.37406375</v>
      </c>
      <c r="O114" s="11">
        <f t="shared" si="4"/>
        <v>835.41993000000002</v>
      </c>
      <c r="P114" s="11">
        <f t="shared" si="5"/>
        <v>0</v>
      </c>
    </row>
    <row r="115" spans="1:16" ht="15" customHeight="1">
      <c r="A115" s="44"/>
      <c r="B115" s="5">
        <f t="shared" ref="B115:B178" si="17">B114</f>
        <v>45474</v>
      </c>
      <c r="C115" s="1" t="s">
        <v>533</v>
      </c>
      <c r="D115" s="195">
        <v>4388</v>
      </c>
      <c r="E115" s="186"/>
      <c r="F115" s="2">
        <v>2400.38</v>
      </c>
      <c r="G115" s="3">
        <f t="shared" si="15"/>
        <v>1916.9434680000002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288.04559999999998</v>
      </c>
      <c r="N115" s="11">
        <f t="shared" si="3"/>
        <v>34.853517600000004</v>
      </c>
      <c r="O115" s="11">
        <f t="shared" si="4"/>
        <v>160.53741440000002</v>
      </c>
      <c r="P115" s="11">
        <f t="shared" si="5"/>
        <v>0</v>
      </c>
    </row>
    <row r="116" spans="1:16" ht="15" customHeight="1">
      <c r="A116" s="44"/>
      <c r="B116" s="5">
        <f t="shared" si="17"/>
        <v>45474</v>
      </c>
      <c r="C116" s="1" t="s">
        <v>533</v>
      </c>
      <c r="D116" s="195">
        <v>4389</v>
      </c>
      <c r="E116" s="186"/>
      <c r="F116" s="2">
        <v>539.69000000000005</v>
      </c>
      <c r="G116" s="3">
        <f t="shared" si="15"/>
        <v>430.99643400000002</v>
      </c>
      <c r="H116" s="187"/>
      <c r="I116" s="7">
        <v>0.12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64.762799999999999</v>
      </c>
      <c r="N116" s="11">
        <f t="shared" si="3"/>
        <v>7.8362988000000016</v>
      </c>
      <c r="O116" s="11">
        <f t="shared" si="4"/>
        <v>36.094467200000004</v>
      </c>
      <c r="P116" s="11">
        <f t="shared" si="5"/>
        <v>0</v>
      </c>
    </row>
    <row r="117" spans="1:16" ht="15" customHeight="1">
      <c r="A117" s="44"/>
      <c r="B117" s="5">
        <f t="shared" si="17"/>
        <v>45474</v>
      </c>
      <c r="C117" s="1" t="s">
        <v>533</v>
      </c>
      <c r="D117" s="195">
        <v>4390</v>
      </c>
      <c r="E117" s="186"/>
      <c r="F117" s="2">
        <v>143.68</v>
      </c>
      <c r="G117" s="3">
        <f t="shared" si="15"/>
        <v>114.74284800000001</v>
      </c>
      <c r="H117" s="187"/>
      <c r="I117" s="7">
        <v>0.12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17.241600000000002</v>
      </c>
      <c r="N117" s="11">
        <f t="shared" si="3"/>
        <v>2.0862335999999999</v>
      </c>
      <c r="O117" s="11">
        <f t="shared" si="4"/>
        <v>9.6093183999999994</v>
      </c>
      <c r="P117" s="11">
        <f t="shared" si="5"/>
        <v>0</v>
      </c>
    </row>
    <row r="118" spans="1:16" ht="15" customHeight="1">
      <c r="A118" s="44"/>
      <c r="B118" s="5">
        <f t="shared" si="17"/>
        <v>45474</v>
      </c>
      <c r="C118" s="1" t="s">
        <v>533</v>
      </c>
      <c r="D118" s="195">
        <v>4391</v>
      </c>
      <c r="E118" s="186"/>
      <c r="F118" s="2">
        <v>1.24</v>
      </c>
      <c r="G118" s="3">
        <f t="shared" si="15"/>
        <v>0.99026400000000003</v>
      </c>
      <c r="H118" s="187"/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0.14879999999999999</v>
      </c>
      <c r="N118" s="11">
        <f t="shared" si="3"/>
        <v>1.8004800000000001E-2</v>
      </c>
      <c r="O118" s="11">
        <f t="shared" si="4"/>
        <v>8.2931199999999997E-2</v>
      </c>
      <c r="P118" s="11">
        <f t="shared" si="5"/>
        <v>0</v>
      </c>
    </row>
    <row r="119" spans="1:16" ht="15" customHeight="1">
      <c r="A119" s="44"/>
      <c r="B119" s="5">
        <f t="shared" si="17"/>
        <v>45474</v>
      </c>
      <c r="C119" s="1" t="s">
        <v>533</v>
      </c>
      <c r="D119" s="195">
        <v>4392</v>
      </c>
      <c r="E119" s="186"/>
      <c r="F119" s="2">
        <v>2907.58</v>
      </c>
      <c r="G119" s="3">
        <f t="shared" si="15"/>
        <v>2321.9933879999999</v>
      </c>
      <c r="H119" s="187"/>
      <c r="I119" s="7">
        <v>0.12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348.90959999999995</v>
      </c>
      <c r="N119" s="11">
        <f t="shared" si="3"/>
        <v>42.218061599999999</v>
      </c>
      <c r="O119" s="11">
        <f t="shared" si="4"/>
        <v>194.45895039999999</v>
      </c>
      <c r="P119" s="11">
        <f t="shared" si="5"/>
        <v>0</v>
      </c>
    </row>
    <row r="120" spans="1:16" ht="15" customHeight="1">
      <c r="A120" s="44"/>
      <c r="B120" s="5">
        <f t="shared" si="17"/>
        <v>45474</v>
      </c>
      <c r="C120" s="1" t="s">
        <v>533</v>
      </c>
      <c r="D120" s="195">
        <v>4393</v>
      </c>
      <c r="E120" s="186"/>
      <c r="F120" s="2">
        <v>112804.8</v>
      </c>
      <c r="G120" s="3">
        <f t="shared" si="15"/>
        <v>90085.913280000008</v>
      </c>
      <c r="H120" s="187"/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13536.575999999999</v>
      </c>
      <c r="N120" s="11">
        <f t="shared" si="3"/>
        <v>1637.925696</v>
      </c>
      <c r="O120" s="11">
        <f t="shared" si="4"/>
        <v>7544.3850240000002</v>
      </c>
      <c r="P120" s="11">
        <f t="shared" si="5"/>
        <v>0</v>
      </c>
    </row>
    <row r="121" spans="1:16" ht="15" customHeight="1">
      <c r="A121" s="44"/>
      <c r="B121" s="5">
        <f t="shared" si="17"/>
        <v>45474</v>
      </c>
      <c r="C121" s="1" t="s">
        <v>533</v>
      </c>
      <c r="D121" s="195">
        <v>4394</v>
      </c>
      <c r="E121" s="186"/>
      <c r="F121" s="2">
        <v>12439.85</v>
      </c>
      <c r="G121" s="3">
        <f t="shared" si="15"/>
        <v>9934.4642100000001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1492.7819999999999</v>
      </c>
      <c r="N121" s="11">
        <f t="shared" si="3"/>
        <v>180.62662200000003</v>
      </c>
      <c r="O121" s="11">
        <f t="shared" si="4"/>
        <v>831.97716800000012</v>
      </c>
      <c r="P121" s="11">
        <f t="shared" si="5"/>
        <v>0</v>
      </c>
    </row>
    <row r="122" spans="1:16" ht="15" customHeight="1">
      <c r="A122" s="44"/>
      <c r="B122" s="5">
        <f t="shared" si="17"/>
        <v>45474</v>
      </c>
      <c r="C122" s="1" t="s">
        <v>533</v>
      </c>
      <c r="D122" s="195">
        <v>4395</v>
      </c>
      <c r="E122" s="186"/>
      <c r="F122" s="2">
        <v>2852.65</v>
      </c>
      <c r="G122" s="3">
        <f t="shared" si="15"/>
        <v>2278.1262900000002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342.31799999999998</v>
      </c>
      <c r="N122" s="11">
        <f t="shared" si="3"/>
        <v>41.42047800000001</v>
      </c>
      <c r="O122" s="11">
        <f t="shared" si="4"/>
        <v>190.78523200000001</v>
      </c>
      <c r="P122" s="11">
        <f t="shared" si="5"/>
        <v>0</v>
      </c>
    </row>
    <row r="123" spans="1:16" ht="15" customHeight="1">
      <c r="A123" s="44"/>
      <c r="B123" s="5">
        <f t="shared" si="17"/>
        <v>45474</v>
      </c>
      <c r="C123" s="1" t="s">
        <v>533</v>
      </c>
      <c r="D123" s="195">
        <v>4396</v>
      </c>
      <c r="E123" s="186"/>
      <c r="F123" s="2">
        <v>163540.38</v>
      </c>
      <c r="G123" s="3">
        <f t="shared" si="15"/>
        <v>130603.34746800001</v>
      </c>
      <c r="H123" s="187"/>
      <c r="I123" s="7">
        <v>0.12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19624.845600000001</v>
      </c>
      <c r="N123" s="11">
        <f t="shared" si="3"/>
        <v>2374.6063176000002</v>
      </c>
      <c r="O123" s="11">
        <f t="shared" si="4"/>
        <v>10937.5806144</v>
      </c>
      <c r="P123" s="11">
        <f t="shared" si="5"/>
        <v>0</v>
      </c>
    </row>
    <row r="124" spans="1:16" ht="15" customHeight="1">
      <c r="A124" s="44"/>
      <c r="B124" s="5">
        <f t="shared" si="17"/>
        <v>45474</v>
      </c>
      <c r="C124" s="1" t="s">
        <v>533</v>
      </c>
      <c r="D124" s="195">
        <v>4397</v>
      </c>
      <c r="E124" s="186"/>
      <c r="F124" s="2">
        <v>679.85</v>
      </c>
      <c r="G124" s="3">
        <f t="shared" si="15"/>
        <v>542.92821000000004</v>
      </c>
      <c r="H124" s="187"/>
      <c r="I124" s="7">
        <v>0.12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81.581999999999994</v>
      </c>
      <c r="N124" s="11">
        <f t="shared" si="3"/>
        <v>9.8714220000000008</v>
      </c>
      <c r="O124" s="11">
        <f t="shared" si="4"/>
        <v>45.468367999999998</v>
      </c>
      <c r="P124" s="11">
        <f t="shared" si="5"/>
        <v>0</v>
      </c>
    </row>
    <row r="125" spans="1:16" ht="15" customHeight="1">
      <c r="A125" s="44"/>
      <c r="B125" s="5">
        <f t="shared" si="17"/>
        <v>45474</v>
      </c>
      <c r="C125" s="1" t="s">
        <v>533</v>
      </c>
      <c r="D125" s="195">
        <v>4398</v>
      </c>
      <c r="E125" s="186"/>
      <c r="F125" s="2">
        <v>205.07</v>
      </c>
      <c r="G125" s="3">
        <f t="shared" si="15"/>
        <v>163.768902</v>
      </c>
      <c r="H125" s="187"/>
      <c r="I125" s="7">
        <v>0.12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24.6084</v>
      </c>
      <c r="N125" s="11">
        <f t="shared" si="3"/>
        <v>2.9776164000000001</v>
      </c>
      <c r="O125" s="11">
        <f t="shared" si="4"/>
        <v>13.7150816</v>
      </c>
      <c r="P125" s="11">
        <f t="shared" si="5"/>
        <v>0</v>
      </c>
    </row>
    <row r="126" spans="1:16" ht="15" customHeight="1">
      <c r="A126" s="44"/>
      <c r="B126" s="5">
        <f t="shared" si="17"/>
        <v>45474</v>
      </c>
      <c r="C126" s="1" t="s">
        <v>533</v>
      </c>
      <c r="D126" s="195">
        <v>4399</v>
      </c>
      <c r="E126" s="186"/>
      <c r="F126" s="2">
        <v>1.73</v>
      </c>
      <c r="G126" s="3">
        <f t="shared" si="15"/>
        <v>1.381578</v>
      </c>
      <c r="H126" s="187"/>
      <c r="I126" s="7">
        <v>0.12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0.20759999999999998</v>
      </c>
      <c r="N126" s="11">
        <f t="shared" si="3"/>
        <v>2.5119600000000002E-2</v>
      </c>
      <c r="O126" s="11">
        <f t="shared" si="4"/>
        <v>0.1157024</v>
      </c>
      <c r="P126" s="11">
        <f t="shared" si="5"/>
        <v>0</v>
      </c>
    </row>
    <row r="127" spans="1:16" ht="15" customHeight="1">
      <c r="A127" s="44"/>
      <c r="B127" s="5">
        <f t="shared" si="17"/>
        <v>45474</v>
      </c>
      <c r="C127" s="1" t="s">
        <v>533</v>
      </c>
      <c r="D127" s="195">
        <v>4400</v>
      </c>
      <c r="E127" s="186"/>
      <c r="F127" s="2">
        <v>1361.16</v>
      </c>
      <c r="G127" s="3">
        <f t="shared" si="15"/>
        <v>1087.0223760000001</v>
      </c>
      <c r="H127" s="187"/>
      <c r="I127" s="7">
        <v>0.12</v>
      </c>
      <c r="J127" s="7">
        <v>1.6500000000000001E-2</v>
      </c>
      <c r="K127" s="7">
        <v>7.5999999999999998E-2</v>
      </c>
      <c r="L127" s="7">
        <v>0</v>
      </c>
      <c r="M127" s="11">
        <f t="shared" si="2"/>
        <v>163.33920000000001</v>
      </c>
      <c r="N127" s="11">
        <f t="shared" si="3"/>
        <v>19.7640432</v>
      </c>
      <c r="O127" s="11">
        <f t="shared" si="4"/>
        <v>91.034380799999994</v>
      </c>
      <c r="P127" s="11">
        <f t="shared" si="5"/>
        <v>0</v>
      </c>
    </row>
    <row r="128" spans="1:16" ht="15" customHeight="1">
      <c r="A128" s="44"/>
      <c r="B128" s="5">
        <f t="shared" si="17"/>
        <v>45474</v>
      </c>
      <c r="C128" s="1" t="s">
        <v>533</v>
      </c>
      <c r="D128" s="195">
        <v>4401</v>
      </c>
      <c r="E128" s="186"/>
      <c r="F128" s="2">
        <v>315.45999999999998</v>
      </c>
      <c r="G128" s="3">
        <f t="shared" si="15"/>
        <v>251.926356</v>
      </c>
      <c r="H128" s="187"/>
      <c r="I128" s="7">
        <v>0.12</v>
      </c>
      <c r="J128" s="7">
        <v>1.6500000000000001E-2</v>
      </c>
      <c r="K128" s="7">
        <v>7.5999999999999998E-2</v>
      </c>
      <c r="L128" s="7">
        <v>0</v>
      </c>
      <c r="M128" s="11">
        <f t="shared" si="2"/>
        <v>37.855199999999996</v>
      </c>
      <c r="N128" s="11">
        <f t="shared" si="3"/>
        <v>4.5804791999999992</v>
      </c>
      <c r="O128" s="11">
        <f t="shared" si="4"/>
        <v>21.097964799999996</v>
      </c>
      <c r="P128" s="11">
        <f t="shared" si="5"/>
        <v>0</v>
      </c>
    </row>
    <row r="129" spans="1:16" ht="15" customHeight="1">
      <c r="A129" s="44"/>
      <c r="B129" s="5">
        <f t="shared" si="17"/>
        <v>45474</v>
      </c>
      <c r="C129" s="1" t="s">
        <v>533</v>
      </c>
      <c r="D129" s="195">
        <v>4402</v>
      </c>
      <c r="E129" s="186"/>
      <c r="F129" s="2">
        <v>92.51</v>
      </c>
      <c r="G129" s="3">
        <f t="shared" si="15"/>
        <v>73.878486000000009</v>
      </c>
      <c r="H129" s="187"/>
      <c r="I129" s="7">
        <v>0.12</v>
      </c>
      <c r="J129" s="7">
        <v>1.6500000000000001E-2</v>
      </c>
      <c r="K129" s="7">
        <v>7.5999999999999998E-2</v>
      </c>
      <c r="L129" s="7">
        <v>0</v>
      </c>
      <c r="M129" s="11">
        <f t="shared" si="2"/>
        <v>11.1012</v>
      </c>
      <c r="N129" s="11">
        <f t="shared" si="3"/>
        <v>1.3432452000000001</v>
      </c>
      <c r="O129" s="11">
        <f t="shared" si="4"/>
        <v>6.1870687999999996</v>
      </c>
      <c r="P129" s="11">
        <f t="shared" si="5"/>
        <v>0</v>
      </c>
    </row>
    <row r="130" spans="1:16" ht="15" customHeight="1">
      <c r="A130" s="44"/>
      <c r="B130" s="5">
        <f t="shared" si="17"/>
        <v>45474</v>
      </c>
      <c r="C130" s="1" t="s">
        <v>533</v>
      </c>
      <c r="D130" s="195">
        <v>4403</v>
      </c>
      <c r="E130" s="186"/>
      <c r="F130" s="2">
        <v>589.47</v>
      </c>
      <c r="G130" s="3">
        <f t="shared" si="15"/>
        <v>470.75074200000006</v>
      </c>
      <c r="H130" s="187"/>
      <c r="I130" s="7">
        <v>0.12</v>
      </c>
      <c r="J130" s="7">
        <v>1.6500000000000001E-2</v>
      </c>
      <c r="K130" s="7">
        <v>7.5999999999999998E-2</v>
      </c>
      <c r="L130" s="7">
        <v>0</v>
      </c>
      <c r="M130" s="11">
        <f t="shared" si="2"/>
        <v>70.736400000000003</v>
      </c>
      <c r="N130" s="11">
        <f t="shared" si="3"/>
        <v>8.5591044000000007</v>
      </c>
      <c r="O130" s="11">
        <f t="shared" si="4"/>
        <v>39.423753599999998</v>
      </c>
      <c r="P130" s="11">
        <f t="shared" si="5"/>
        <v>0</v>
      </c>
    </row>
    <row r="131" spans="1:16" ht="15" customHeight="1">
      <c r="A131" s="44"/>
      <c r="B131" s="5">
        <f t="shared" si="17"/>
        <v>45474</v>
      </c>
      <c r="C131" s="1" t="s">
        <v>533</v>
      </c>
      <c r="D131" s="195">
        <v>4404</v>
      </c>
      <c r="E131" s="186"/>
      <c r="F131" s="2">
        <v>138.74</v>
      </c>
      <c r="G131" s="3">
        <f t="shared" si="15"/>
        <v>110.797764</v>
      </c>
      <c r="H131" s="187"/>
      <c r="I131" s="7">
        <v>0.12</v>
      </c>
      <c r="J131" s="7">
        <v>1.6500000000000001E-2</v>
      </c>
      <c r="K131" s="7">
        <v>7.5999999999999998E-2</v>
      </c>
      <c r="L131" s="7">
        <v>0</v>
      </c>
      <c r="M131" s="11">
        <f t="shared" si="2"/>
        <v>16.648800000000001</v>
      </c>
      <c r="N131" s="11">
        <f t="shared" si="3"/>
        <v>2.0145048000000005</v>
      </c>
      <c r="O131" s="11">
        <f t="shared" si="4"/>
        <v>9.2789312000000006</v>
      </c>
      <c r="P131" s="11">
        <f t="shared" si="5"/>
        <v>0</v>
      </c>
    </row>
    <row r="132" spans="1:16" ht="15" customHeight="1">
      <c r="A132" s="44"/>
      <c r="B132" s="5">
        <f t="shared" si="17"/>
        <v>45474</v>
      </c>
      <c r="C132" s="1" t="s">
        <v>533</v>
      </c>
      <c r="D132" s="195">
        <v>4405</v>
      </c>
      <c r="E132" s="186"/>
      <c r="F132" s="2">
        <v>36.92</v>
      </c>
      <c r="G132" s="3">
        <f t="shared" si="15"/>
        <v>29.484312000000003</v>
      </c>
      <c r="H132" s="187"/>
      <c r="I132" s="7">
        <v>0.12</v>
      </c>
      <c r="J132" s="7">
        <v>1.6500000000000001E-2</v>
      </c>
      <c r="K132" s="7">
        <v>7.5999999999999998E-2</v>
      </c>
      <c r="L132" s="7">
        <v>0</v>
      </c>
      <c r="M132" s="11">
        <f t="shared" si="2"/>
        <v>4.4303999999999997</v>
      </c>
      <c r="N132" s="11">
        <f t="shared" si="3"/>
        <v>0.53607840000000007</v>
      </c>
      <c r="O132" s="11">
        <f t="shared" si="4"/>
        <v>2.4692096000000001</v>
      </c>
      <c r="P132" s="11">
        <f t="shared" si="5"/>
        <v>0</v>
      </c>
    </row>
    <row r="133" spans="1:16" ht="15" customHeight="1">
      <c r="A133" s="44"/>
      <c r="B133" s="5">
        <f t="shared" si="17"/>
        <v>45474</v>
      </c>
      <c r="C133" s="1" t="s">
        <v>533</v>
      </c>
      <c r="D133" s="195">
        <v>4406</v>
      </c>
      <c r="E133" s="186"/>
      <c r="F133" s="2">
        <v>8.33</v>
      </c>
      <c r="G133" s="3">
        <f t="shared" si="15"/>
        <v>6.6523380000000003</v>
      </c>
      <c r="H133" s="187"/>
      <c r="I133" s="7">
        <v>0.12</v>
      </c>
      <c r="J133" s="7">
        <v>1.6500000000000001E-2</v>
      </c>
      <c r="K133" s="7">
        <v>7.5999999999999998E-2</v>
      </c>
      <c r="L133" s="7">
        <v>0</v>
      </c>
      <c r="M133" s="11">
        <f t="shared" si="2"/>
        <v>0.99959999999999993</v>
      </c>
      <c r="N133" s="11">
        <f t="shared" si="3"/>
        <v>0.12095160000000001</v>
      </c>
      <c r="O133" s="11">
        <f t="shared" si="4"/>
        <v>0.55711040000000001</v>
      </c>
      <c r="P133" s="11">
        <f t="shared" si="5"/>
        <v>0</v>
      </c>
    </row>
    <row r="134" spans="1:16" ht="15" customHeight="1">
      <c r="A134" s="44"/>
      <c r="B134" s="5">
        <f t="shared" si="17"/>
        <v>45474</v>
      </c>
      <c r="C134" s="1" t="s">
        <v>533</v>
      </c>
      <c r="D134" s="195">
        <v>4407</v>
      </c>
      <c r="E134" s="186"/>
      <c r="F134" s="2">
        <v>16766.89</v>
      </c>
      <c r="G134" s="3">
        <f t="shared" si="15"/>
        <v>13390.038354</v>
      </c>
      <c r="H134" s="187"/>
      <c r="I134" s="7">
        <v>0.12</v>
      </c>
      <c r="J134" s="7">
        <v>1.6500000000000001E-2</v>
      </c>
      <c r="K134" s="7">
        <v>7.5999999999999998E-2</v>
      </c>
      <c r="L134" s="7">
        <v>0</v>
      </c>
      <c r="M134" s="11">
        <f t="shared" si="2"/>
        <v>2012.0267999999999</v>
      </c>
      <c r="N134" s="11">
        <f t="shared" si="3"/>
        <v>243.45524280000001</v>
      </c>
      <c r="O134" s="11">
        <f t="shared" si="4"/>
        <v>1121.3696032</v>
      </c>
      <c r="P134" s="11">
        <f t="shared" si="5"/>
        <v>0</v>
      </c>
    </row>
    <row r="135" spans="1:16" ht="15" customHeight="1">
      <c r="A135" s="44"/>
      <c r="B135" s="5">
        <f t="shared" si="17"/>
        <v>45474</v>
      </c>
      <c r="C135" s="1" t="s">
        <v>533</v>
      </c>
      <c r="D135" s="195">
        <v>4408</v>
      </c>
      <c r="E135" s="186"/>
      <c r="F135" s="2">
        <v>3781.49</v>
      </c>
      <c r="G135" s="3">
        <f t="shared" si="15"/>
        <v>3019.8979140000001</v>
      </c>
      <c r="H135" s="187"/>
      <c r="I135" s="7">
        <v>0.12</v>
      </c>
      <c r="J135" s="7">
        <v>1.6500000000000001E-2</v>
      </c>
      <c r="K135" s="7">
        <v>7.5999999999999998E-2</v>
      </c>
      <c r="L135" s="7">
        <v>0</v>
      </c>
      <c r="M135" s="11">
        <f t="shared" si="2"/>
        <v>453.77879999999993</v>
      </c>
      <c r="N135" s="11">
        <f t="shared" si="3"/>
        <v>54.907234799999998</v>
      </c>
      <c r="O135" s="11">
        <f t="shared" si="4"/>
        <v>252.90605119999998</v>
      </c>
      <c r="P135" s="11">
        <f t="shared" si="5"/>
        <v>0</v>
      </c>
    </row>
    <row r="136" spans="1:16" ht="15" customHeight="1">
      <c r="A136" s="44"/>
      <c r="B136" s="5">
        <f t="shared" si="17"/>
        <v>45474</v>
      </c>
      <c r="C136" s="1" t="s">
        <v>533</v>
      </c>
      <c r="D136" s="195">
        <v>4409</v>
      </c>
      <c r="E136" s="186"/>
      <c r="F136" s="2">
        <v>248.4</v>
      </c>
      <c r="G136" s="3">
        <f t="shared" si="15"/>
        <v>198.37224000000001</v>
      </c>
      <c r="H136" s="187"/>
      <c r="I136" s="7">
        <v>0.12</v>
      </c>
      <c r="J136" s="7">
        <v>1.6500000000000001E-2</v>
      </c>
      <c r="K136" s="7">
        <v>7.5999999999999998E-2</v>
      </c>
      <c r="L136" s="7">
        <v>0</v>
      </c>
      <c r="M136" s="11">
        <f t="shared" si="2"/>
        <v>29.808</v>
      </c>
      <c r="N136" s="11">
        <f t="shared" si="3"/>
        <v>3.6067680000000002</v>
      </c>
      <c r="O136" s="11">
        <f t="shared" si="4"/>
        <v>16.612992000000002</v>
      </c>
      <c r="P136" s="11">
        <f t="shared" si="5"/>
        <v>0</v>
      </c>
    </row>
    <row r="137" spans="1:16" ht="15" customHeight="1">
      <c r="A137" s="44"/>
      <c r="B137" s="5">
        <f t="shared" si="17"/>
        <v>45474</v>
      </c>
      <c r="C137" s="1" t="s">
        <v>533</v>
      </c>
      <c r="D137" s="195">
        <v>4410</v>
      </c>
      <c r="E137" s="186"/>
      <c r="F137" s="2">
        <v>27.39</v>
      </c>
      <c r="G137" s="3">
        <f t="shared" si="15"/>
        <v>21.873654000000002</v>
      </c>
      <c r="H137" s="187"/>
      <c r="I137" s="7">
        <v>0.12</v>
      </c>
      <c r="J137" s="7">
        <v>1.6500000000000001E-2</v>
      </c>
      <c r="K137" s="7">
        <v>7.5999999999999998E-2</v>
      </c>
      <c r="L137" s="7">
        <v>0</v>
      </c>
      <c r="M137" s="11">
        <f t="shared" si="2"/>
        <v>3.2867999999999999</v>
      </c>
      <c r="N137" s="11">
        <f t="shared" si="3"/>
        <v>0.39770280000000002</v>
      </c>
      <c r="O137" s="11">
        <f t="shared" si="4"/>
        <v>1.8318432</v>
      </c>
      <c r="P137" s="11">
        <f t="shared" si="5"/>
        <v>0</v>
      </c>
    </row>
    <row r="138" spans="1:16" ht="15" customHeight="1">
      <c r="A138" s="44"/>
      <c r="B138" s="5">
        <f t="shared" si="17"/>
        <v>45474</v>
      </c>
      <c r="C138" s="1" t="s">
        <v>533</v>
      </c>
      <c r="D138" s="195">
        <v>4411</v>
      </c>
      <c r="E138" s="186"/>
      <c r="F138" s="2">
        <v>6.28</v>
      </c>
      <c r="G138" s="3">
        <f t="shared" si="15"/>
        <v>5.0152080000000003</v>
      </c>
      <c r="H138" s="187"/>
      <c r="I138" s="7">
        <v>0.12</v>
      </c>
      <c r="J138" s="7">
        <v>1.6500000000000001E-2</v>
      </c>
      <c r="K138" s="7">
        <v>7.5999999999999998E-2</v>
      </c>
      <c r="L138" s="7">
        <v>0</v>
      </c>
      <c r="M138" s="11">
        <f t="shared" si="2"/>
        <v>0.75360000000000005</v>
      </c>
      <c r="N138" s="11">
        <f t="shared" si="3"/>
        <v>9.1185600000000019E-2</v>
      </c>
      <c r="O138" s="11">
        <f t="shared" si="4"/>
        <v>0.42000640000000006</v>
      </c>
      <c r="P138" s="11">
        <f t="shared" si="5"/>
        <v>0</v>
      </c>
    </row>
    <row r="139" spans="1:16" ht="15" customHeight="1">
      <c r="A139" s="44"/>
      <c r="B139" s="5">
        <f t="shared" si="17"/>
        <v>45474</v>
      </c>
      <c r="C139" s="1" t="s">
        <v>533</v>
      </c>
      <c r="D139" s="195">
        <v>4412</v>
      </c>
      <c r="E139" s="186"/>
      <c r="F139" s="2">
        <v>360.12</v>
      </c>
      <c r="G139" s="3">
        <f t="shared" si="15"/>
        <v>287.59183200000001</v>
      </c>
      <c r="H139" s="187"/>
      <c r="I139" s="7">
        <v>0.12</v>
      </c>
      <c r="J139" s="7">
        <v>1.6500000000000001E-2</v>
      </c>
      <c r="K139" s="7">
        <v>7.5999999999999998E-2</v>
      </c>
      <c r="L139" s="7">
        <v>0</v>
      </c>
      <c r="M139" s="11">
        <f t="shared" si="2"/>
        <v>43.214399999999998</v>
      </c>
      <c r="N139" s="11">
        <f t="shared" si="3"/>
        <v>5.2289424000000002</v>
      </c>
      <c r="O139" s="11">
        <f t="shared" si="4"/>
        <v>24.084825599999999</v>
      </c>
      <c r="P139" s="11">
        <f t="shared" si="5"/>
        <v>0</v>
      </c>
    </row>
    <row r="140" spans="1:16" ht="15" customHeight="1">
      <c r="A140" s="44"/>
      <c r="B140" s="5">
        <f t="shared" si="17"/>
        <v>45474</v>
      </c>
      <c r="C140" s="1" t="s">
        <v>533</v>
      </c>
      <c r="D140" s="195">
        <v>4413</v>
      </c>
      <c r="E140" s="186"/>
      <c r="F140" s="2">
        <v>15855.73</v>
      </c>
      <c r="G140" s="3">
        <f t="shared" si="15"/>
        <v>12662.385977999998</v>
      </c>
      <c r="H140" s="187"/>
      <c r="I140" s="7">
        <v>0.12</v>
      </c>
      <c r="J140" s="7">
        <v>1.6500000000000001E-2</v>
      </c>
      <c r="K140" s="7">
        <v>7.5999999999999998E-2</v>
      </c>
      <c r="L140" s="7">
        <v>0</v>
      </c>
      <c r="M140" s="11">
        <f t="shared" si="2"/>
        <v>1902.6876</v>
      </c>
      <c r="N140" s="11">
        <f t="shared" si="3"/>
        <v>230.22519960000002</v>
      </c>
      <c r="O140" s="11">
        <f t="shared" si="4"/>
        <v>1060.4312224</v>
      </c>
      <c r="P140" s="11">
        <f t="shared" si="5"/>
        <v>0</v>
      </c>
    </row>
    <row r="141" spans="1:16" ht="15" customHeight="1">
      <c r="A141" s="44"/>
      <c r="B141" s="5">
        <f t="shared" si="17"/>
        <v>45474</v>
      </c>
      <c r="C141" s="1" t="s">
        <v>533</v>
      </c>
      <c r="D141" s="195">
        <v>4414</v>
      </c>
      <c r="E141" s="186"/>
      <c r="F141" s="2">
        <v>76007.05</v>
      </c>
      <c r="G141" s="3">
        <f t="shared" si="15"/>
        <v>60699.230130000004</v>
      </c>
      <c r="H141" s="187"/>
      <c r="I141" s="7">
        <v>0.12</v>
      </c>
      <c r="J141" s="7">
        <v>1.6500000000000001E-2</v>
      </c>
      <c r="K141" s="7">
        <v>7.5999999999999998E-2</v>
      </c>
      <c r="L141" s="7">
        <v>0</v>
      </c>
      <c r="M141" s="11">
        <f t="shared" si="2"/>
        <v>9120.8459999999995</v>
      </c>
      <c r="N141" s="11">
        <f t="shared" si="3"/>
        <v>1103.6223660000001</v>
      </c>
      <c r="O141" s="11">
        <f t="shared" si="4"/>
        <v>5083.3515039999993</v>
      </c>
      <c r="P141" s="11">
        <f t="shared" si="5"/>
        <v>0</v>
      </c>
    </row>
    <row r="142" spans="1:16" ht="15" customHeight="1">
      <c r="A142" s="44"/>
      <c r="B142" s="5">
        <f t="shared" si="17"/>
        <v>45474</v>
      </c>
      <c r="C142" s="1" t="s">
        <v>533</v>
      </c>
      <c r="D142" s="195">
        <v>16368</v>
      </c>
      <c r="E142" s="186"/>
      <c r="F142" s="2">
        <v>3036.01</v>
      </c>
      <c r="G142" s="3">
        <f t="shared" si="15"/>
        <v>2562.3165397500002</v>
      </c>
      <c r="H142" s="187"/>
      <c r="I142" s="7">
        <v>7.0000000000000007E-2</v>
      </c>
      <c r="J142" s="7">
        <v>1.6500000000000001E-2</v>
      </c>
      <c r="K142" s="7">
        <v>7.5999999999999998E-2</v>
      </c>
      <c r="L142" s="7">
        <v>0</v>
      </c>
      <c r="M142" s="11">
        <f t="shared" si="2"/>
        <v>212.52070000000003</v>
      </c>
      <c r="N142" s="11">
        <f t="shared" si="3"/>
        <v>46.587573450000008</v>
      </c>
      <c r="O142" s="11">
        <f t="shared" si="4"/>
        <v>214.5851868</v>
      </c>
      <c r="P142" s="11">
        <f t="shared" si="5"/>
        <v>0</v>
      </c>
    </row>
    <row r="143" spans="1:16" ht="15" customHeight="1">
      <c r="A143" s="44"/>
      <c r="B143" s="5">
        <f t="shared" si="17"/>
        <v>45474</v>
      </c>
      <c r="C143" s="1" t="s">
        <v>533</v>
      </c>
      <c r="D143" s="195">
        <v>16367</v>
      </c>
      <c r="E143" s="186"/>
      <c r="F143" s="2">
        <v>4087.2</v>
      </c>
      <c r="G143" s="3">
        <f t="shared" si="15"/>
        <v>3449.4946199999999</v>
      </c>
      <c r="H143" s="187"/>
      <c r="I143" s="7">
        <v>7.0000000000000007E-2</v>
      </c>
      <c r="J143" s="7">
        <v>1.6500000000000001E-2</v>
      </c>
      <c r="K143" s="7">
        <v>7.5999999999999998E-2</v>
      </c>
      <c r="L143" s="7">
        <v>0</v>
      </c>
      <c r="M143" s="11">
        <f t="shared" si="2"/>
        <v>286.10400000000004</v>
      </c>
      <c r="N143" s="11">
        <f t="shared" si="3"/>
        <v>62.718083999999998</v>
      </c>
      <c r="O143" s="11">
        <f t="shared" si="4"/>
        <v>288.88329599999997</v>
      </c>
      <c r="P143" s="11">
        <f t="shared" si="5"/>
        <v>0</v>
      </c>
    </row>
    <row r="144" spans="1:16" ht="15" customHeight="1">
      <c r="A144" s="44"/>
      <c r="B144" s="5">
        <f t="shared" si="17"/>
        <v>45474</v>
      </c>
      <c r="C144" s="1" t="s">
        <v>533</v>
      </c>
      <c r="D144" s="195">
        <v>16366</v>
      </c>
      <c r="E144" s="186"/>
      <c r="F144" s="2">
        <v>15731.84</v>
      </c>
      <c r="G144" s="3">
        <f t="shared" si="15"/>
        <v>13277.279664</v>
      </c>
      <c r="H144" s="187"/>
      <c r="I144" s="7">
        <v>7.0000000000000007E-2</v>
      </c>
      <c r="J144" s="7">
        <v>1.6500000000000001E-2</v>
      </c>
      <c r="K144" s="7">
        <v>7.5999999999999998E-2</v>
      </c>
      <c r="L144" s="7">
        <v>0</v>
      </c>
      <c r="M144" s="11">
        <f t="shared" si="2"/>
        <v>1101.2288000000001</v>
      </c>
      <c r="N144" s="11">
        <f t="shared" si="3"/>
        <v>241.4050848</v>
      </c>
      <c r="O144" s="11">
        <f t="shared" si="4"/>
        <v>1111.9264512</v>
      </c>
      <c r="P144" s="11">
        <f t="shared" si="5"/>
        <v>0</v>
      </c>
    </row>
    <row r="145" spans="1:16" ht="15" customHeight="1">
      <c r="A145" s="44"/>
      <c r="B145" s="5">
        <f t="shared" si="17"/>
        <v>45474</v>
      </c>
      <c r="C145" s="1" t="s">
        <v>533</v>
      </c>
      <c r="D145" s="195">
        <v>16365</v>
      </c>
      <c r="E145" s="186"/>
      <c r="F145" s="2">
        <v>3347.28</v>
      </c>
      <c r="G145" s="3">
        <f t="shared" si="15"/>
        <v>2825.020638</v>
      </c>
      <c r="H145" s="187"/>
      <c r="I145" s="7">
        <v>7.0000000000000007E-2</v>
      </c>
      <c r="J145" s="7">
        <v>1.6500000000000001E-2</v>
      </c>
      <c r="K145" s="7">
        <v>7.5999999999999998E-2</v>
      </c>
      <c r="L145" s="7">
        <v>0</v>
      </c>
      <c r="M145" s="11">
        <f t="shared" si="2"/>
        <v>234.30960000000005</v>
      </c>
      <c r="N145" s="11">
        <f t="shared" si="3"/>
        <v>51.364011600000005</v>
      </c>
      <c r="O145" s="11">
        <f t="shared" si="4"/>
        <v>236.58575039999999</v>
      </c>
      <c r="P145" s="11">
        <f t="shared" si="5"/>
        <v>0</v>
      </c>
    </row>
    <row r="146" spans="1:16" ht="15" customHeight="1">
      <c r="A146" s="44"/>
      <c r="B146" s="5">
        <f t="shared" si="17"/>
        <v>45474</v>
      </c>
      <c r="C146" s="1" t="s">
        <v>533</v>
      </c>
      <c r="D146" s="195">
        <v>4418</v>
      </c>
      <c r="E146" s="186"/>
      <c r="F146" s="2">
        <v>3838.44</v>
      </c>
      <c r="G146" s="3">
        <f t="shared" si="15"/>
        <v>3065.3781840000001</v>
      </c>
      <c r="H146" s="187"/>
      <c r="I146" s="7">
        <v>0.12</v>
      </c>
      <c r="J146" s="7">
        <v>1.6500000000000001E-2</v>
      </c>
      <c r="K146" s="7">
        <v>7.5999999999999998E-2</v>
      </c>
      <c r="L146" s="7">
        <v>0</v>
      </c>
      <c r="M146" s="11">
        <f t="shared" si="2"/>
        <v>460.61279999999999</v>
      </c>
      <c r="N146" s="11">
        <f t="shared" si="3"/>
        <v>55.734148800000007</v>
      </c>
      <c r="O146" s="11">
        <f t="shared" si="4"/>
        <v>256.71486720000001</v>
      </c>
      <c r="P146" s="11">
        <f t="shared" si="5"/>
        <v>0</v>
      </c>
    </row>
    <row r="147" spans="1:16" ht="15" customHeight="1">
      <c r="A147" s="44"/>
      <c r="B147" s="5">
        <f t="shared" si="17"/>
        <v>45474</v>
      </c>
      <c r="C147" s="1" t="s">
        <v>533</v>
      </c>
      <c r="D147" s="195">
        <v>4419</v>
      </c>
      <c r="E147" s="186"/>
      <c r="F147" s="2">
        <v>562.12</v>
      </c>
      <c r="G147" s="3">
        <f t="shared" si="15"/>
        <v>448.90903200000002</v>
      </c>
      <c r="H147" s="187"/>
      <c r="I147" s="7">
        <v>0.12</v>
      </c>
      <c r="J147" s="7">
        <v>1.6500000000000001E-2</v>
      </c>
      <c r="K147" s="7">
        <v>7.5999999999999998E-2</v>
      </c>
      <c r="L147" s="7">
        <v>0</v>
      </c>
      <c r="M147" s="11">
        <f t="shared" si="2"/>
        <v>67.454399999999993</v>
      </c>
      <c r="N147" s="11">
        <f t="shared" si="3"/>
        <v>8.1619824000000012</v>
      </c>
      <c r="O147" s="11">
        <f t="shared" si="4"/>
        <v>37.594585600000002</v>
      </c>
      <c r="P147" s="11">
        <f t="shared" si="5"/>
        <v>0</v>
      </c>
    </row>
    <row r="148" spans="1:16" ht="15" customHeight="1">
      <c r="A148" s="44"/>
      <c r="B148" s="5">
        <f t="shared" si="17"/>
        <v>45474</v>
      </c>
      <c r="C148" s="1" t="s">
        <v>533</v>
      </c>
      <c r="D148" s="195">
        <v>4420</v>
      </c>
      <c r="E148" s="186"/>
      <c r="F148" s="2">
        <v>93871.37</v>
      </c>
      <c r="G148" s="3">
        <f t="shared" si="15"/>
        <v>74965.676081999991</v>
      </c>
      <c r="H148" s="187"/>
      <c r="I148" s="7">
        <v>0.12</v>
      </c>
      <c r="J148" s="7">
        <v>1.6500000000000001E-2</v>
      </c>
      <c r="K148" s="7">
        <v>7.5999999999999998E-2</v>
      </c>
      <c r="L148" s="7">
        <v>0</v>
      </c>
      <c r="M148" s="11">
        <f t="shared" si="2"/>
        <v>11264.564399999999</v>
      </c>
      <c r="N148" s="11">
        <f t="shared" si="3"/>
        <v>1363.0122924</v>
      </c>
      <c r="O148" s="11">
        <f t="shared" si="4"/>
        <v>6278.1172255999991</v>
      </c>
      <c r="P148" s="11">
        <f t="shared" si="5"/>
        <v>0</v>
      </c>
    </row>
    <row r="149" spans="1:16" ht="15" customHeight="1">
      <c r="A149" s="44"/>
      <c r="B149" s="5">
        <f t="shared" si="17"/>
        <v>45474</v>
      </c>
      <c r="C149" s="1" t="s">
        <v>533</v>
      </c>
      <c r="D149" s="195">
        <v>4421</v>
      </c>
      <c r="E149" s="186"/>
      <c r="F149" s="2">
        <v>42.74</v>
      </c>
      <c r="G149" s="3">
        <f t="shared" si="15"/>
        <v>34.132164000000003</v>
      </c>
      <c r="H149" s="187"/>
      <c r="I149" s="7">
        <v>0.12</v>
      </c>
      <c r="J149" s="7">
        <v>1.6500000000000001E-2</v>
      </c>
      <c r="K149" s="7">
        <v>7.5999999999999998E-2</v>
      </c>
      <c r="L149" s="7">
        <v>0</v>
      </c>
      <c r="M149" s="11">
        <f t="shared" si="2"/>
        <v>5.1288</v>
      </c>
      <c r="N149" s="11">
        <f t="shared" si="3"/>
        <v>0.62058480000000005</v>
      </c>
      <c r="O149" s="11">
        <f t="shared" si="4"/>
        <v>2.8584512000000002</v>
      </c>
      <c r="P149" s="11">
        <f t="shared" si="5"/>
        <v>0</v>
      </c>
    </row>
    <row r="150" spans="1:16" ht="15" customHeight="1">
      <c r="A150" s="44"/>
      <c r="B150" s="5">
        <f t="shared" si="17"/>
        <v>45474</v>
      </c>
      <c r="C150" s="1" t="s">
        <v>533</v>
      </c>
      <c r="D150" s="195">
        <v>4422</v>
      </c>
      <c r="E150" s="186"/>
      <c r="F150" s="2">
        <v>839.48</v>
      </c>
      <c r="G150" s="3">
        <f t="shared" si="15"/>
        <v>670.408728</v>
      </c>
      <c r="H150" s="187"/>
      <c r="I150" s="7">
        <v>0.12</v>
      </c>
      <c r="J150" s="7">
        <v>1.6500000000000001E-2</v>
      </c>
      <c r="K150" s="7">
        <v>7.5999999999999998E-2</v>
      </c>
      <c r="L150" s="7">
        <v>0</v>
      </c>
      <c r="M150" s="11">
        <f t="shared" si="2"/>
        <v>100.7376</v>
      </c>
      <c r="N150" s="11">
        <f t="shared" si="3"/>
        <v>12.1892496</v>
      </c>
      <c r="O150" s="11">
        <f t="shared" si="4"/>
        <v>56.144422399999996</v>
      </c>
      <c r="P150" s="11">
        <f t="shared" si="5"/>
        <v>0</v>
      </c>
    </row>
    <row r="151" spans="1:16" ht="15" customHeight="1">
      <c r="A151" s="44"/>
      <c r="B151" s="5">
        <f t="shared" si="17"/>
        <v>45474</v>
      </c>
      <c r="C151" s="1" t="s">
        <v>533</v>
      </c>
      <c r="D151" s="195">
        <v>4423</v>
      </c>
      <c r="E151" s="186"/>
      <c r="F151" s="2">
        <v>194.45</v>
      </c>
      <c r="G151" s="3">
        <f t="shared" si="15"/>
        <v>155.28776999999999</v>
      </c>
      <c r="H151" s="187"/>
      <c r="I151" s="7">
        <v>0.12</v>
      </c>
      <c r="J151" s="7">
        <v>1.6500000000000001E-2</v>
      </c>
      <c r="K151" s="7">
        <v>7.5999999999999998E-2</v>
      </c>
      <c r="L151" s="7">
        <v>0</v>
      </c>
      <c r="M151" s="11">
        <f t="shared" si="2"/>
        <v>23.333999999999996</v>
      </c>
      <c r="N151" s="11">
        <f t="shared" si="3"/>
        <v>2.8234140000000001</v>
      </c>
      <c r="O151" s="11">
        <f t="shared" si="4"/>
        <v>13.004815999999998</v>
      </c>
      <c r="P151" s="11">
        <f t="shared" si="5"/>
        <v>0</v>
      </c>
    </row>
    <row r="152" spans="1:16" ht="15" customHeight="1">
      <c r="A152" s="44"/>
      <c r="B152" s="5">
        <f t="shared" si="17"/>
        <v>45474</v>
      </c>
      <c r="C152" s="1" t="s">
        <v>533</v>
      </c>
      <c r="D152" s="195">
        <v>4424</v>
      </c>
      <c r="E152" s="186"/>
      <c r="F152" s="2">
        <v>56.95</v>
      </c>
      <c r="G152" s="3">
        <f t="shared" si="15"/>
        <v>45.480270000000004</v>
      </c>
      <c r="H152" s="187"/>
      <c r="I152" s="7">
        <v>0.12</v>
      </c>
      <c r="J152" s="7">
        <v>1.6500000000000001E-2</v>
      </c>
      <c r="K152" s="7">
        <v>7.5999999999999998E-2</v>
      </c>
      <c r="L152" s="7">
        <v>0</v>
      </c>
      <c r="M152" s="11">
        <f t="shared" si="2"/>
        <v>6.8340000000000005</v>
      </c>
      <c r="N152" s="11">
        <f t="shared" si="3"/>
        <v>0.82691400000000004</v>
      </c>
      <c r="O152" s="11">
        <f t="shared" si="4"/>
        <v>3.8088159999999998</v>
      </c>
      <c r="P152" s="11">
        <f t="shared" si="5"/>
        <v>0</v>
      </c>
    </row>
    <row r="153" spans="1:16" ht="15" customHeight="1">
      <c r="A153" s="44"/>
      <c r="B153" s="5">
        <f t="shared" si="17"/>
        <v>45474</v>
      </c>
      <c r="C153" s="1" t="s">
        <v>533</v>
      </c>
      <c r="D153" s="195">
        <v>4425</v>
      </c>
      <c r="E153" s="186"/>
      <c r="F153" s="2">
        <v>20208.990000000002</v>
      </c>
      <c r="G153" s="3">
        <f t="shared" si="15"/>
        <v>16138.899414000001</v>
      </c>
      <c r="H153" s="187"/>
      <c r="I153" s="7">
        <v>0.12</v>
      </c>
      <c r="J153" s="7">
        <v>1.6500000000000001E-2</v>
      </c>
      <c r="K153" s="7">
        <v>7.5999999999999998E-2</v>
      </c>
      <c r="L153" s="7">
        <v>0</v>
      </c>
      <c r="M153" s="11">
        <f t="shared" si="2"/>
        <v>2425.0788000000002</v>
      </c>
      <c r="N153" s="11">
        <f t="shared" si="3"/>
        <v>293.43453480000005</v>
      </c>
      <c r="O153" s="11">
        <f t="shared" si="4"/>
        <v>1351.5772512000001</v>
      </c>
      <c r="P153" s="11">
        <f t="shared" si="5"/>
        <v>0</v>
      </c>
    </row>
    <row r="154" spans="1:16" ht="15" customHeight="1">
      <c r="A154" s="44"/>
      <c r="B154" s="5">
        <f t="shared" si="17"/>
        <v>45474</v>
      </c>
      <c r="C154" s="1" t="s">
        <v>533</v>
      </c>
      <c r="D154" s="195">
        <v>4426</v>
      </c>
      <c r="E154" s="186"/>
      <c r="F154" s="2">
        <v>5006.4799999999996</v>
      </c>
      <c r="G154" s="3">
        <f t="shared" si="15"/>
        <v>3998.1749279999995</v>
      </c>
      <c r="H154" s="187"/>
      <c r="I154" s="7">
        <v>0.12</v>
      </c>
      <c r="J154" s="7">
        <v>1.6500000000000001E-2</v>
      </c>
      <c r="K154" s="7">
        <v>7.5999999999999998E-2</v>
      </c>
      <c r="L154" s="7">
        <v>0</v>
      </c>
      <c r="M154" s="11">
        <f t="shared" si="2"/>
        <v>600.77759999999989</v>
      </c>
      <c r="N154" s="11">
        <f t="shared" si="3"/>
        <v>72.694089600000012</v>
      </c>
      <c r="O154" s="11">
        <f t="shared" si="4"/>
        <v>334.8333824</v>
      </c>
      <c r="P154" s="11">
        <f t="shared" si="5"/>
        <v>0</v>
      </c>
    </row>
    <row r="155" spans="1:16" ht="15" customHeight="1">
      <c r="A155" s="44"/>
      <c r="B155" s="5">
        <f t="shared" si="17"/>
        <v>45474</v>
      </c>
      <c r="C155" s="1" t="s">
        <v>533</v>
      </c>
      <c r="D155" s="195">
        <v>4427</v>
      </c>
      <c r="E155" s="186"/>
      <c r="F155" s="2">
        <v>789.95</v>
      </c>
      <c r="G155" s="3">
        <f t="shared" si="15"/>
        <v>630.85407000000009</v>
      </c>
      <c r="H155" s="187"/>
      <c r="I155" s="7">
        <v>0.12</v>
      </c>
      <c r="J155" s="7">
        <v>1.6500000000000001E-2</v>
      </c>
      <c r="K155" s="7">
        <v>7.5999999999999998E-2</v>
      </c>
      <c r="L155" s="7">
        <v>0</v>
      </c>
      <c r="M155" s="11">
        <f t="shared" si="2"/>
        <v>94.793999999999997</v>
      </c>
      <c r="N155" s="11">
        <f t="shared" si="3"/>
        <v>11.470074000000002</v>
      </c>
      <c r="O155" s="11">
        <f t="shared" si="4"/>
        <v>52.831856000000002</v>
      </c>
      <c r="P155" s="11">
        <f t="shared" si="5"/>
        <v>0</v>
      </c>
    </row>
    <row r="156" spans="1:16" ht="15" customHeight="1">
      <c r="A156" s="44"/>
      <c r="B156" s="5">
        <f t="shared" si="17"/>
        <v>45474</v>
      </c>
      <c r="C156" s="1" t="s">
        <v>533</v>
      </c>
      <c r="D156" s="195">
        <v>4428</v>
      </c>
      <c r="E156" s="186"/>
      <c r="F156" s="2">
        <v>40197.370000000003</v>
      </c>
      <c r="G156" s="3">
        <f t="shared" si="15"/>
        <v>32101.619682000004</v>
      </c>
      <c r="H156" s="187"/>
      <c r="I156" s="7">
        <v>0.12</v>
      </c>
      <c r="J156" s="7">
        <v>1.6500000000000001E-2</v>
      </c>
      <c r="K156" s="7">
        <v>7.5999999999999998E-2</v>
      </c>
      <c r="L156" s="7">
        <v>0</v>
      </c>
      <c r="M156" s="11">
        <f t="shared" si="2"/>
        <v>4823.6844000000001</v>
      </c>
      <c r="N156" s="11">
        <f t="shared" si="3"/>
        <v>583.66581240000005</v>
      </c>
      <c r="O156" s="11">
        <f t="shared" si="4"/>
        <v>2688.4001056000002</v>
      </c>
      <c r="P156" s="11">
        <f t="shared" si="5"/>
        <v>0</v>
      </c>
    </row>
    <row r="157" spans="1:16" ht="15" customHeight="1">
      <c r="A157" s="44"/>
      <c r="B157" s="5">
        <f t="shared" si="17"/>
        <v>45474</v>
      </c>
      <c r="C157" s="1" t="s">
        <v>533</v>
      </c>
      <c r="D157" s="195">
        <v>4429</v>
      </c>
      <c r="E157" s="186"/>
      <c r="F157" s="2">
        <v>8624.84</v>
      </c>
      <c r="G157" s="3">
        <f t="shared" si="15"/>
        <v>6887.7972239999999</v>
      </c>
      <c r="H157" s="187"/>
      <c r="I157" s="7">
        <v>0.12</v>
      </c>
      <c r="J157" s="7">
        <v>1.6500000000000001E-2</v>
      </c>
      <c r="K157" s="7">
        <v>7.5999999999999998E-2</v>
      </c>
      <c r="L157" s="7">
        <v>0</v>
      </c>
      <c r="M157" s="11">
        <f t="shared" si="2"/>
        <v>1034.9808</v>
      </c>
      <c r="N157" s="11">
        <f t="shared" si="3"/>
        <v>125.23267680000001</v>
      </c>
      <c r="O157" s="11">
        <f t="shared" si="4"/>
        <v>576.82929919999992</v>
      </c>
      <c r="P157" s="11">
        <f t="shared" si="5"/>
        <v>0</v>
      </c>
    </row>
    <row r="158" spans="1:16" ht="15" customHeight="1">
      <c r="A158" s="44"/>
      <c r="B158" s="5">
        <f t="shared" si="17"/>
        <v>45474</v>
      </c>
      <c r="C158" s="1" t="s">
        <v>533</v>
      </c>
      <c r="D158" s="195">
        <v>4430</v>
      </c>
      <c r="E158" s="186"/>
      <c r="F158" s="2">
        <v>2783.83</v>
      </c>
      <c r="G158" s="3">
        <f t="shared" si="15"/>
        <v>2223.1666379999997</v>
      </c>
      <c r="H158" s="187"/>
      <c r="I158" s="7">
        <v>0.12</v>
      </c>
      <c r="J158" s="7">
        <v>1.6500000000000001E-2</v>
      </c>
      <c r="K158" s="7">
        <v>7.5999999999999998E-2</v>
      </c>
      <c r="L158" s="7">
        <v>0</v>
      </c>
      <c r="M158" s="11">
        <f t="shared" si="2"/>
        <v>334.05959999999999</v>
      </c>
      <c r="N158" s="11">
        <f t="shared" si="3"/>
        <v>40.421211599999999</v>
      </c>
      <c r="O158" s="11">
        <f t="shared" si="4"/>
        <v>186.1825504</v>
      </c>
      <c r="P158" s="11">
        <f t="shared" si="5"/>
        <v>0</v>
      </c>
    </row>
    <row r="159" spans="1:16" ht="15" customHeight="1">
      <c r="A159" s="44"/>
      <c r="B159" s="5">
        <f t="shared" si="17"/>
        <v>45474</v>
      </c>
      <c r="C159" s="1" t="s">
        <v>533</v>
      </c>
      <c r="D159" s="195">
        <v>4431</v>
      </c>
      <c r="E159" s="186"/>
      <c r="F159" s="2">
        <v>629.78</v>
      </c>
      <c r="G159" s="3">
        <f t="shared" si="15"/>
        <v>502.94230799999997</v>
      </c>
      <c r="H159" s="187"/>
      <c r="I159" s="7">
        <v>0.12</v>
      </c>
      <c r="J159" s="7">
        <v>1.6500000000000001E-2</v>
      </c>
      <c r="K159" s="7">
        <v>7.5999999999999998E-2</v>
      </c>
      <c r="L159" s="7">
        <v>0</v>
      </c>
      <c r="M159" s="11">
        <f t="shared" si="2"/>
        <v>75.573599999999999</v>
      </c>
      <c r="N159" s="11">
        <f t="shared" si="3"/>
        <v>9.1444056000000007</v>
      </c>
      <c r="O159" s="11">
        <f t="shared" si="4"/>
        <v>42.119686399999999</v>
      </c>
      <c r="P159" s="11">
        <f t="shared" si="5"/>
        <v>0</v>
      </c>
    </row>
    <row r="160" spans="1:16" ht="15" customHeight="1">
      <c r="A160" s="44"/>
      <c r="B160" s="5">
        <f t="shared" si="17"/>
        <v>45474</v>
      </c>
      <c r="C160" s="1" t="s">
        <v>533</v>
      </c>
      <c r="D160" s="195">
        <v>4432</v>
      </c>
      <c r="E160" s="186"/>
      <c r="F160" s="2">
        <v>173.6</v>
      </c>
      <c r="G160" s="3">
        <f t="shared" si="15"/>
        <v>138.63695999999999</v>
      </c>
      <c r="H160" s="187"/>
      <c r="I160" s="7">
        <v>0.12</v>
      </c>
      <c r="J160" s="7">
        <v>1.6500000000000001E-2</v>
      </c>
      <c r="K160" s="7">
        <v>7.5999999999999998E-2</v>
      </c>
      <c r="L160" s="7">
        <v>0</v>
      </c>
      <c r="M160" s="11">
        <f t="shared" si="2"/>
        <v>20.831999999999997</v>
      </c>
      <c r="N160" s="11">
        <f t="shared" si="3"/>
        <v>2.5206720000000002</v>
      </c>
      <c r="O160" s="11">
        <f t="shared" si="4"/>
        <v>11.610367999999999</v>
      </c>
      <c r="P160" s="11">
        <f t="shared" si="5"/>
        <v>0</v>
      </c>
    </row>
    <row r="161" spans="1:16" ht="15" customHeight="1">
      <c r="A161" s="44"/>
      <c r="B161" s="5">
        <f t="shared" si="17"/>
        <v>45474</v>
      </c>
      <c r="C161" s="1" t="s">
        <v>533</v>
      </c>
      <c r="D161" s="195">
        <v>4433</v>
      </c>
      <c r="E161" s="186"/>
      <c r="F161" s="2">
        <v>1.6</v>
      </c>
      <c r="G161" s="3">
        <f t="shared" si="15"/>
        <v>1.27776</v>
      </c>
      <c r="H161" s="187"/>
      <c r="I161" s="7">
        <v>0.12</v>
      </c>
      <c r="J161" s="7">
        <v>1.6500000000000001E-2</v>
      </c>
      <c r="K161" s="7">
        <v>7.5999999999999998E-2</v>
      </c>
      <c r="L161" s="7">
        <v>0</v>
      </c>
      <c r="M161" s="11">
        <f t="shared" si="2"/>
        <v>0.192</v>
      </c>
      <c r="N161" s="11">
        <f t="shared" si="3"/>
        <v>2.3232000000000003E-2</v>
      </c>
      <c r="O161" s="11">
        <f t="shared" si="4"/>
        <v>0.10700800000000001</v>
      </c>
      <c r="P161" s="11">
        <f t="shared" si="5"/>
        <v>0</v>
      </c>
    </row>
    <row r="162" spans="1:16" ht="15" customHeight="1">
      <c r="A162" s="44"/>
      <c r="B162" s="5">
        <f t="shared" si="17"/>
        <v>45474</v>
      </c>
      <c r="C162" s="1" t="s">
        <v>533</v>
      </c>
      <c r="D162" s="195">
        <v>4434</v>
      </c>
      <c r="E162" s="186"/>
      <c r="F162" s="2">
        <v>2108.59</v>
      </c>
      <c r="G162" s="3">
        <f t="shared" si="15"/>
        <v>1683.9199740000001</v>
      </c>
      <c r="H162" s="187"/>
      <c r="I162" s="7">
        <v>0.12</v>
      </c>
      <c r="J162" s="7">
        <v>1.6500000000000001E-2</v>
      </c>
      <c r="K162" s="7">
        <v>7.5999999999999998E-2</v>
      </c>
      <c r="L162" s="7">
        <v>0</v>
      </c>
      <c r="M162" s="11">
        <f t="shared" si="2"/>
        <v>253.0308</v>
      </c>
      <c r="N162" s="11">
        <f t="shared" si="3"/>
        <v>30.616726800000002</v>
      </c>
      <c r="O162" s="11">
        <f t="shared" si="4"/>
        <v>141.0224992</v>
      </c>
      <c r="P162" s="11">
        <f t="shared" si="5"/>
        <v>0</v>
      </c>
    </row>
    <row r="163" spans="1:16" ht="15" customHeight="1">
      <c r="A163" s="44"/>
      <c r="B163" s="5">
        <f t="shared" si="17"/>
        <v>45474</v>
      </c>
      <c r="C163" s="1" t="s">
        <v>533</v>
      </c>
      <c r="D163" s="195">
        <v>4435</v>
      </c>
      <c r="E163" s="186"/>
      <c r="F163" s="2">
        <v>366.02</v>
      </c>
      <c r="G163" s="3">
        <f t="shared" si="15"/>
        <v>292.30357199999997</v>
      </c>
      <c r="H163" s="187"/>
      <c r="I163" s="7">
        <v>0.12</v>
      </c>
      <c r="J163" s="7">
        <v>1.6500000000000001E-2</v>
      </c>
      <c r="K163" s="7">
        <v>7.5999999999999998E-2</v>
      </c>
      <c r="L163" s="7">
        <v>0</v>
      </c>
      <c r="M163" s="11">
        <f t="shared" si="2"/>
        <v>43.922399999999996</v>
      </c>
      <c r="N163" s="11">
        <f t="shared" si="3"/>
        <v>5.3146104000000003</v>
      </c>
      <c r="O163" s="11">
        <f t="shared" si="4"/>
        <v>24.479417599999998</v>
      </c>
      <c r="P163" s="11">
        <f t="shared" si="5"/>
        <v>0</v>
      </c>
    </row>
    <row r="164" spans="1:16" ht="15" customHeight="1">
      <c r="A164" s="44"/>
      <c r="B164" s="5">
        <f t="shared" si="17"/>
        <v>45474</v>
      </c>
      <c r="C164" s="1" t="s">
        <v>533</v>
      </c>
      <c r="D164" s="195">
        <v>4436</v>
      </c>
      <c r="E164" s="186"/>
      <c r="F164" s="2">
        <v>18849.03</v>
      </c>
      <c r="G164" s="3">
        <f t="shared" si="15"/>
        <v>15052.835358</v>
      </c>
      <c r="H164" s="187"/>
      <c r="I164" s="7">
        <v>0.12</v>
      </c>
      <c r="J164" s="7">
        <v>1.6500000000000001E-2</v>
      </c>
      <c r="K164" s="7">
        <v>7.5999999999999998E-2</v>
      </c>
      <c r="L164" s="7">
        <v>0</v>
      </c>
      <c r="M164" s="11">
        <f t="shared" si="2"/>
        <v>2261.8835999999997</v>
      </c>
      <c r="N164" s="11">
        <f t="shared" si="3"/>
        <v>273.6879156</v>
      </c>
      <c r="O164" s="11">
        <f t="shared" si="4"/>
        <v>1260.6231263999998</v>
      </c>
      <c r="P164" s="11">
        <f t="shared" si="5"/>
        <v>0</v>
      </c>
    </row>
    <row r="165" spans="1:16" ht="15" customHeight="1">
      <c r="A165" s="44"/>
      <c r="B165" s="5">
        <f t="shared" si="17"/>
        <v>45474</v>
      </c>
      <c r="C165" s="1" t="s">
        <v>533</v>
      </c>
      <c r="D165" s="195">
        <v>4437</v>
      </c>
      <c r="E165" s="186"/>
      <c r="F165" s="2">
        <v>4030.35</v>
      </c>
      <c r="G165" s="3">
        <f t="shared" si="15"/>
        <v>3218.63751</v>
      </c>
      <c r="H165" s="187"/>
      <c r="I165" s="7">
        <v>0.12</v>
      </c>
      <c r="J165" s="7">
        <v>1.6500000000000001E-2</v>
      </c>
      <c r="K165" s="7">
        <v>7.5999999999999998E-2</v>
      </c>
      <c r="L165" s="7">
        <v>0</v>
      </c>
      <c r="M165" s="11">
        <f t="shared" si="2"/>
        <v>483.642</v>
      </c>
      <c r="N165" s="11">
        <f t="shared" si="3"/>
        <v>58.520682000000001</v>
      </c>
      <c r="O165" s="11">
        <f t="shared" si="4"/>
        <v>269.54980799999998</v>
      </c>
      <c r="P165" s="11">
        <f t="shared" si="5"/>
        <v>0</v>
      </c>
    </row>
    <row r="166" spans="1:16" ht="15" customHeight="1">
      <c r="A166" s="44"/>
      <c r="B166" s="5">
        <f t="shared" si="17"/>
        <v>45474</v>
      </c>
      <c r="C166" s="1" t="s">
        <v>533</v>
      </c>
      <c r="D166" s="195">
        <v>4438</v>
      </c>
      <c r="E166" s="186"/>
      <c r="F166" s="2">
        <v>992.57</v>
      </c>
      <c r="G166" s="3">
        <f t="shared" si="15"/>
        <v>792.66640200000006</v>
      </c>
      <c r="H166" s="187"/>
      <c r="I166" s="7">
        <v>0.12</v>
      </c>
      <c r="J166" s="7">
        <v>1.6500000000000001E-2</v>
      </c>
      <c r="K166" s="7">
        <v>7.5999999999999998E-2</v>
      </c>
      <c r="L166" s="7">
        <v>0</v>
      </c>
      <c r="M166" s="11">
        <f t="shared" si="2"/>
        <v>119.1084</v>
      </c>
      <c r="N166" s="11">
        <f t="shared" si="3"/>
        <v>14.412116400000002</v>
      </c>
      <c r="O166" s="11">
        <f t="shared" si="4"/>
        <v>66.383081600000011</v>
      </c>
      <c r="P166" s="11">
        <f t="shared" si="5"/>
        <v>0</v>
      </c>
    </row>
    <row r="167" spans="1:16" ht="15" customHeight="1">
      <c r="A167" s="44"/>
      <c r="B167" s="5">
        <f t="shared" si="17"/>
        <v>45474</v>
      </c>
      <c r="C167" s="1" t="s">
        <v>533</v>
      </c>
      <c r="D167" s="195">
        <v>4439</v>
      </c>
      <c r="E167" s="186"/>
      <c r="F167" s="2">
        <v>220.28</v>
      </c>
      <c r="G167" s="3">
        <f t="shared" si="15"/>
        <v>175.91560800000002</v>
      </c>
      <c r="H167" s="187"/>
      <c r="I167" s="7">
        <v>0.12</v>
      </c>
      <c r="J167" s="7">
        <v>1.6500000000000001E-2</v>
      </c>
      <c r="K167" s="7">
        <v>7.5999999999999998E-2</v>
      </c>
      <c r="L167" s="7">
        <v>0</v>
      </c>
      <c r="M167" s="11">
        <f t="shared" si="2"/>
        <v>26.433599999999998</v>
      </c>
      <c r="N167" s="11">
        <f t="shared" si="3"/>
        <v>3.1984656000000005</v>
      </c>
      <c r="O167" s="11">
        <f t="shared" si="4"/>
        <v>14.732326400000002</v>
      </c>
      <c r="P167" s="11">
        <f t="shared" si="5"/>
        <v>0</v>
      </c>
    </row>
    <row r="168" spans="1:16" ht="15" customHeight="1">
      <c r="A168" s="44"/>
      <c r="B168" s="5">
        <f t="shared" si="17"/>
        <v>45474</v>
      </c>
      <c r="C168" s="1" t="s">
        <v>533</v>
      </c>
      <c r="D168" s="195">
        <v>4440</v>
      </c>
      <c r="E168" s="186"/>
      <c r="F168" s="2">
        <v>25250.3</v>
      </c>
      <c r="G168" s="3">
        <f t="shared" si="15"/>
        <v>20164.889579999999</v>
      </c>
      <c r="H168" s="187"/>
      <c r="I168" s="7">
        <v>0.12</v>
      </c>
      <c r="J168" s="7">
        <v>1.6500000000000001E-2</v>
      </c>
      <c r="K168" s="7">
        <v>7.5999999999999998E-2</v>
      </c>
      <c r="L168" s="7">
        <v>0</v>
      </c>
      <c r="M168" s="11">
        <f t="shared" si="2"/>
        <v>3030.0359999999996</v>
      </c>
      <c r="N168" s="11">
        <f t="shared" si="3"/>
        <v>366.63435600000003</v>
      </c>
      <c r="O168" s="11">
        <f t="shared" si="4"/>
        <v>1688.7400639999998</v>
      </c>
      <c r="P168" s="11">
        <f t="shared" si="5"/>
        <v>0</v>
      </c>
    </row>
    <row r="169" spans="1:16" ht="15" customHeight="1">
      <c r="A169" s="44"/>
      <c r="B169" s="5">
        <f t="shared" si="17"/>
        <v>45474</v>
      </c>
      <c r="C169" s="1" t="s">
        <v>533</v>
      </c>
      <c r="D169" s="195">
        <v>4441</v>
      </c>
      <c r="E169" s="186"/>
      <c r="F169" s="2">
        <v>5390.35</v>
      </c>
      <c r="G169" s="3">
        <f t="shared" si="15"/>
        <v>4304.73351</v>
      </c>
      <c r="H169" s="187"/>
      <c r="I169" s="7">
        <v>0.12</v>
      </c>
      <c r="J169" s="7">
        <v>1.6500000000000001E-2</v>
      </c>
      <c r="K169" s="7">
        <v>7.5999999999999998E-2</v>
      </c>
      <c r="L169" s="7">
        <v>0</v>
      </c>
      <c r="M169" s="11">
        <f t="shared" si="2"/>
        <v>646.84199999999998</v>
      </c>
      <c r="N169" s="11">
        <f t="shared" si="3"/>
        <v>78.267882000000014</v>
      </c>
      <c r="O169" s="11">
        <f t="shared" si="4"/>
        <v>360.50660800000003</v>
      </c>
      <c r="P169" s="11">
        <f t="shared" si="5"/>
        <v>0</v>
      </c>
    </row>
    <row r="170" spans="1:16" ht="15" customHeight="1">
      <c r="A170" s="44"/>
      <c r="B170" s="5">
        <f t="shared" si="17"/>
        <v>45474</v>
      </c>
      <c r="C170" s="1" t="s">
        <v>533</v>
      </c>
      <c r="D170" s="195">
        <v>4442</v>
      </c>
      <c r="E170" s="186"/>
      <c r="F170" s="2">
        <v>1304.97</v>
      </c>
      <c r="G170" s="3">
        <f t="shared" si="15"/>
        <v>1042.149042</v>
      </c>
      <c r="H170" s="187"/>
      <c r="I170" s="7">
        <v>0.12</v>
      </c>
      <c r="J170" s="7">
        <v>1.6500000000000001E-2</v>
      </c>
      <c r="K170" s="7">
        <v>7.5999999999999998E-2</v>
      </c>
      <c r="L170" s="7">
        <v>0</v>
      </c>
      <c r="M170" s="11">
        <f t="shared" si="2"/>
        <v>156.59639999999999</v>
      </c>
      <c r="N170" s="11">
        <f t="shared" si="3"/>
        <v>18.948164400000003</v>
      </c>
      <c r="O170" s="11">
        <f t="shared" si="4"/>
        <v>87.276393600000006</v>
      </c>
      <c r="P170" s="11">
        <f t="shared" si="5"/>
        <v>0</v>
      </c>
    </row>
    <row r="171" spans="1:16" ht="15" customHeight="1">
      <c r="A171" s="44"/>
      <c r="B171" s="5">
        <f t="shared" si="17"/>
        <v>45474</v>
      </c>
      <c r="C171" s="1" t="s">
        <v>533</v>
      </c>
      <c r="D171" s="195">
        <v>4443</v>
      </c>
      <c r="E171" s="186"/>
      <c r="F171" s="2">
        <v>257.97000000000003</v>
      </c>
      <c r="G171" s="3">
        <f>F171-SUM(M171:P171)</f>
        <v>206.01484200000002</v>
      </c>
      <c r="H171" s="187"/>
      <c r="I171" s="7">
        <v>0.12</v>
      </c>
      <c r="J171" s="7">
        <v>1.6500000000000001E-2</v>
      </c>
      <c r="K171" s="7">
        <v>7.5999999999999998E-2</v>
      </c>
      <c r="L171" s="7">
        <v>0</v>
      </c>
      <c r="M171" s="11">
        <f>+I171*F171</f>
        <v>30.956400000000002</v>
      </c>
      <c r="N171" s="11">
        <f>J171*(F171-M171)</f>
        <v>3.7457244000000007</v>
      </c>
      <c r="O171" s="11">
        <f>K171*(F171-M171)</f>
        <v>17.253033600000002</v>
      </c>
      <c r="P171" s="11">
        <f>L171*(F171)</f>
        <v>0</v>
      </c>
    </row>
    <row r="172" spans="1:16" ht="15" customHeight="1">
      <c r="A172" s="44"/>
      <c r="B172" s="5">
        <f t="shared" si="17"/>
        <v>45474</v>
      </c>
      <c r="C172" s="1" t="s">
        <v>533</v>
      </c>
      <c r="D172" s="195">
        <v>4444</v>
      </c>
      <c r="E172" s="186"/>
      <c r="F172" s="2">
        <v>94617.19</v>
      </c>
      <c r="G172" s="3">
        <f>F172-SUM(M172:P172)</f>
        <v>75561.287934000007</v>
      </c>
      <c r="H172" s="187"/>
      <c r="I172" s="7">
        <v>0.12</v>
      </c>
      <c r="J172" s="7">
        <v>1.6500000000000001E-2</v>
      </c>
      <c r="K172" s="7">
        <v>7.5999999999999998E-2</v>
      </c>
      <c r="L172" s="7">
        <v>0</v>
      </c>
      <c r="M172" s="11">
        <f>+I172*F172</f>
        <v>11354.0628</v>
      </c>
      <c r="N172" s="11">
        <f>J172*(F172-M172)</f>
        <v>1373.8415988000002</v>
      </c>
      <c r="O172" s="11">
        <f>K172*(F172-M172)</f>
        <v>6327.9976672000003</v>
      </c>
      <c r="P172" s="11">
        <f>L172*(F172)</f>
        <v>0</v>
      </c>
    </row>
    <row r="173" spans="1:16" ht="15" customHeight="1">
      <c r="A173" s="44"/>
      <c r="B173" s="5">
        <f t="shared" si="17"/>
        <v>45474</v>
      </c>
      <c r="C173" s="1" t="s">
        <v>533</v>
      </c>
      <c r="D173" s="195">
        <v>4445</v>
      </c>
      <c r="E173" s="186"/>
      <c r="F173" s="2">
        <v>18534.2</v>
      </c>
      <c r="G173" s="3">
        <f t="shared" si="15"/>
        <v>14801.412120000001</v>
      </c>
      <c r="H173" s="187"/>
      <c r="I173" s="7">
        <v>0.12</v>
      </c>
      <c r="J173" s="7">
        <v>1.6500000000000001E-2</v>
      </c>
      <c r="K173" s="7">
        <v>7.5999999999999998E-2</v>
      </c>
      <c r="L173" s="7">
        <v>0</v>
      </c>
      <c r="M173" s="11">
        <f t="shared" si="2"/>
        <v>2224.1039999999998</v>
      </c>
      <c r="N173" s="11">
        <f t="shared" si="3"/>
        <v>269.11658400000005</v>
      </c>
      <c r="O173" s="11">
        <f t="shared" si="4"/>
        <v>1239.5672960000002</v>
      </c>
      <c r="P173" s="11">
        <f t="shared" si="5"/>
        <v>0</v>
      </c>
    </row>
    <row r="174" spans="1:16" ht="15" customHeight="1">
      <c r="A174" s="44"/>
      <c r="B174" s="5">
        <f t="shared" si="17"/>
        <v>45474</v>
      </c>
      <c r="C174" s="1" t="s">
        <v>533</v>
      </c>
      <c r="D174" s="195">
        <v>4446</v>
      </c>
      <c r="E174" s="186"/>
      <c r="F174" s="2">
        <v>4231.6899999999996</v>
      </c>
      <c r="G174" s="3">
        <f t="shared" si="15"/>
        <v>3379.4276339999997</v>
      </c>
      <c r="H174" s="187"/>
      <c r="I174" s="7">
        <v>0.12</v>
      </c>
      <c r="J174" s="7">
        <v>1.6500000000000001E-2</v>
      </c>
      <c r="K174" s="7">
        <v>7.5999999999999998E-2</v>
      </c>
      <c r="L174" s="7">
        <v>0</v>
      </c>
      <c r="M174" s="11">
        <f t="shared" si="2"/>
        <v>507.80279999999993</v>
      </c>
      <c r="N174" s="11">
        <f t="shared" si="3"/>
        <v>61.444138799999998</v>
      </c>
      <c r="O174" s="11">
        <f t="shared" si="4"/>
        <v>283.01542719999998</v>
      </c>
      <c r="P174" s="11">
        <f t="shared" si="5"/>
        <v>0</v>
      </c>
    </row>
    <row r="175" spans="1:16" ht="15" customHeight="1">
      <c r="A175" s="44"/>
      <c r="B175" s="5">
        <f t="shared" si="17"/>
        <v>45474</v>
      </c>
      <c r="C175" s="1" t="s">
        <v>533</v>
      </c>
      <c r="D175" s="195">
        <v>4447</v>
      </c>
      <c r="E175" s="186"/>
      <c r="F175" s="2">
        <v>726.06</v>
      </c>
      <c r="G175" s="3">
        <f t="shared" si="15"/>
        <v>579.83151599999997</v>
      </c>
      <c r="H175" s="187"/>
      <c r="I175" s="7">
        <v>0.12</v>
      </c>
      <c r="J175" s="7">
        <v>1.6500000000000001E-2</v>
      </c>
      <c r="K175" s="7">
        <v>7.5999999999999998E-2</v>
      </c>
      <c r="L175" s="7">
        <v>0</v>
      </c>
      <c r="M175" s="11">
        <f t="shared" si="2"/>
        <v>87.127199999999988</v>
      </c>
      <c r="N175" s="11">
        <f t="shared" si="3"/>
        <v>10.542391199999999</v>
      </c>
      <c r="O175" s="11">
        <f t="shared" si="4"/>
        <v>48.558892799999995</v>
      </c>
      <c r="P175" s="11">
        <f t="shared" si="5"/>
        <v>0</v>
      </c>
    </row>
    <row r="176" spans="1:16" ht="15" customHeight="1">
      <c r="A176" s="44"/>
      <c r="B176" s="5">
        <f t="shared" si="17"/>
        <v>45474</v>
      </c>
      <c r="C176" s="1" t="s">
        <v>533</v>
      </c>
      <c r="D176" s="195">
        <v>19254</v>
      </c>
      <c r="E176" s="186"/>
      <c r="F176" s="2">
        <v>264.43</v>
      </c>
      <c r="G176" s="3">
        <f t="shared" si="15"/>
        <v>211.17379800000001</v>
      </c>
      <c r="H176" s="187"/>
      <c r="I176" s="7">
        <v>0.12</v>
      </c>
      <c r="J176" s="7">
        <v>1.6500000000000001E-2</v>
      </c>
      <c r="K176" s="7">
        <v>7.5999999999999998E-2</v>
      </c>
      <c r="L176" s="7">
        <v>0</v>
      </c>
      <c r="M176" s="11">
        <f t="shared" si="2"/>
        <v>31.7316</v>
      </c>
      <c r="N176" s="11">
        <f t="shared" si="3"/>
        <v>3.8395236000000001</v>
      </c>
      <c r="O176" s="11">
        <f t="shared" si="4"/>
        <v>17.685078399999998</v>
      </c>
      <c r="P176" s="11">
        <f t="shared" si="5"/>
        <v>0</v>
      </c>
    </row>
    <row r="177" spans="1:16" ht="15" customHeight="1">
      <c r="A177" s="44"/>
      <c r="B177" s="5">
        <f t="shared" si="17"/>
        <v>45474</v>
      </c>
      <c r="C177" s="1" t="s">
        <v>533</v>
      </c>
      <c r="D177" s="195">
        <v>19255</v>
      </c>
      <c r="E177" s="186"/>
      <c r="F177" s="2">
        <v>132.21</v>
      </c>
      <c r="G177" s="3">
        <f t="shared" si="15"/>
        <v>105.58290600000001</v>
      </c>
      <c r="H177" s="187"/>
      <c r="I177" s="7">
        <v>0.12</v>
      </c>
      <c r="J177" s="7">
        <v>1.6500000000000001E-2</v>
      </c>
      <c r="K177" s="7">
        <v>7.5999999999999998E-2</v>
      </c>
      <c r="L177" s="7">
        <v>0</v>
      </c>
      <c r="M177" s="11">
        <f t="shared" si="2"/>
        <v>15.8652</v>
      </c>
      <c r="N177" s="11">
        <f t="shared" si="3"/>
        <v>1.9196892000000001</v>
      </c>
      <c r="O177" s="11">
        <f t="shared" si="4"/>
        <v>8.8422048000000011</v>
      </c>
      <c r="P177" s="11">
        <f t="shared" si="5"/>
        <v>0</v>
      </c>
    </row>
    <row r="178" spans="1:16" ht="15" customHeight="1">
      <c r="A178" s="44"/>
      <c r="B178" s="5">
        <f t="shared" si="17"/>
        <v>45474</v>
      </c>
      <c r="C178" s="1" t="s">
        <v>533</v>
      </c>
      <c r="D178" s="195">
        <v>19256</v>
      </c>
      <c r="E178" s="186"/>
      <c r="F178" s="2">
        <v>105.04</v>
      </c>
      <c r="G178" s="3">
        <f t="shared" si="15"/>
        <v>83.884944000000004</v>
      </c>
      <c r="H178" s="187"/>
      <c r="I178" s="7">
        <v>0.12</v>
      </c>
      <c r="J178" s="7">
        <v>1.6500000000000001E-2</v>
      </c>
      <c r="K178" s="7">
        <v>7.5999999999999998E-2</v>
      </c>
      <c r="L178" s="7">
        <v>0</v>
      </c>
      <c r="M178" s="11">
        <f t="shared" si="2"/>
        <v>12.604800000000001</v>
      </c>
      <c r="N178" s="11">
        <f t="shared" si="3"/>
        <v>1.5251808000000002</v>
      </c>
      <c r="O178" s="11">
        <f t="shared" si="4"/>
        <v>7.0250752000000007</v>
      </c>
      <c r="P178" s="11">
        <f t="shared" si="5"/>
        <v>0</v>
      </c>
    </row>
    <row r="179" spans="1:16" ht="15" customHeight="1">
      <c r="A179" s="44"/>
      <c r="B179" s="5">
        <f t="shared" ref="B179:B249" si="18">B178</f>
        <v>45474</v>
      </c>
      <c r="C179" s="1" t="s">
        <v>533</v>
      </c>
      <c r="D179" s="195">
        <v>19257</v>
      </c>
      <c r="E179" s="186"/>
      <c r="F179" s="2">
        <v>379.45</v>
      </c>
      <c r="G179" s="3">
        <f t="shared" si="15"/>
        <v>303.02877000000001</v>
      </c>
      <c r="H179" s="187"/>
      <c r="I179" s="7">
        <v>0.12</v>
      </c>
      <c r="J179" s="7">
        <v>1.6500000000000001E-2</v>
      </c>
      <c r="K179" s="7">
        <v>7.5999999999999998E-2</v>
      </c>
      <c r="L179" s="7">
        <v>0</v>
      </c>
      <c r="M179" s="11">
        <f t="shared" si="2"/>
        <v>45.533999999999999</v>
      </c>
      <c r="N179" s="11">
        <f t="shared" si="3"/>
        <v>5.509614</v>
      </c>
      <c r="O179" s="11">
        <f t="shared" si="4"/>
        <v>25.377616</v>
      </c>
      <c r="P179" s="11">
        <f t="shared" si="5"/>
        <v>0</v>
      </c>
    </row>
    <row r="180" spans="1:16" ht="15" customHeight="1">
      <c r="A180" s="44"/>
      <c r="B180" s="5">
        <f t="shared" si="18"/>
        <v>45474</v>
      </c>
      <c r="C180" s="1" t="s">
        <v>533</v>
      </c>
      <c r="D180" s="195">
        <v>19258</v>
      </c>
      <c r="E180" s="186"/>
      <c r="F180" s="2">
        <v>189.73</v>
      </c>
      <c r="G180" s="3">
        <f t="shared" si="15"/>
        <v>151.51837799999998</v>
      </c>
      <c r="H180" s="187"/>
      <c r="I180" s="7">
        <v>0.12</v>
      </c>
      <c r="J180" s="7">
        <v>1.6500000000000001E-2</v>
      </c>
      <c r="K180" s="7">
        <v>7.5999999999999998E-2</v>
      </c>
      <c r="L180" s="7">
        <v>0</v>
      </c>
      <c r="M180" s="11">
        <f t="shared" si="2"/>
        <v>22.767599999999998</v>
      </c>
      <c r="N180" s="11">
        <f t="shared" si="3"/>
        <v>2.7548796000000002</v>
      </c>
      <c r="O180" s="11">
        <f t="shared" si="4"/>
        <v>12.6891424</v>
      </c>
      <c r="P180" s="11">
        <f t="shared" si="5"/>
        <v>0</v>
      </c>
    </row>
    <row r="181" spans="1:16" ht="15" customHeight="1">
      <c r="A181" s="44"/>
      <c r="B181" s="5">
        <f t="shared" si="18"/>
        <v>45474</v>
      </c>
      <c r="C181" s="1" t="s">
        <v>533</v>
      </c>
      <c r="D181" s="195">
        <v>19264</v>
      </c>
      <c r="E181" s="186"/>
      <c r="F181" s="2">
        <v>150.75</v>
      </c>
      <c r="G181" s="3">
        <f t="shared" si="15"/>
        <v>120.38894999999999</v>
      </c>
      <c r="H181" s="187"/>
      <c r="I181" s="7">
        <v>0.12</v>
      </c>
      <c r="J181" s="7">
        <v>1.6500000000000001E-2</v>
      </c>
      <c r="K181" s="7">
        <v>7.5999999999999998E-2</v>
      </c>
      <c r="L181" s="7">
        <v>0</v>
      </c>
      <c r="M181" s="11">
        <f t="shared" si="2"/>
        <v>18.09</v>
      </c>
      <c r="N181" s="11">
        <f t="shared" si="3"/>
        <v>2.1888900000000002</v>
      </c>
      <c r="O181" s="11">
        <f t="shared" si="4"/>
        <v>10.08216</v>
      </c>
      <c r="P181" s="11">
        <f t="shared" si="5"/>
        <v>0</v>
      </c>
    </row>
    <row r="182" spans="1:16" ht="15" customHeight="1">
      <c r="A182" s="44"/>
      <c r="B182" s="5">
        <f t="shared" si="18"/>
        <v>45474</v>
      </c>
      <c r="C182" s="1" t="s">
        <v>533</v>
      </c>
      <c r="D182" s="195">
        <v>19265</v>
      </c>
      <c r="E182" s="186"/>
      <c r="F182" s="2">
        <v>171.96</v>
      </c>
      <c r="G182" s="3">
        <f t="shared" si="15"/>
        <v>137.32725600000001</v>
      </c>
      <c r="H182" s="187"/>
      <c r="I182" s="7">
        <v>0.12</v>
      </c>
      <c r="J182" s="7">
        <v>1.6500000000000001E-2</v>
      </c>
      <c r="K182" s="7">
        <v>7.5999999999999998E-2</v>
      </c>
      <c r="L182" s="7">
        <v>0</v>
      </c>
      <c r="M182" s="11">
        <f t="shared" si="2"/>
        <v>20.635200000000001</v>
      </c>
      <c r="N182" s="11">
        <f t="shared" si="3"/>
        <v>2.4968592000000003</v>
      </c>
      <c r="O182" s="11">
        <f t="shared" si="4"/>
        <v>11.5006848</v>
      </c>
      <c r="P182" s="11">
        <f t="shared" si="5"/>
        <v>0</v>
      </c>
    </row>
    <row r="183" spans="1:16" ht="15" customHeight="1">
      <c r="A183" s="44"/>
      <c r="B183" s="5">
        <f t="shared" si="18"/>
        <v>45474</v>
      </c>
      <c r="C183" s="1" t="s">
        <v>533</v>
      </c>
      <c r="D183" s="195">
        <v>19274</v>
      </c>
      <c r="E183" s="186"/>
      <c r="F183" s="2">
        <v>85.98</v>
      </c>
      <c r="G183" s="3">
        <f t="shared" si="15"/>
        <v>68.663628000000003</v>
      </c>
      <c r="H183" s="187"/>
      <c r="I183" s="7">
        <v>0.12</v>
      </c>
      <c r="J183" s="7">
        <v>1.6500000000000001E-2</v>
      </c>
      <c r="K183" s="7">
        <v>7.5999999999999998E-2</v>
      </c>
      <c r="L183" s="7">
        <v>0</v>
      </c>
      <c r="M183" s="11">
        <f t="shared" si="2"/>
        <v>10.317600000000001</v>
      </c>
      <c r="N183" s="11">
        <f t="shared" si="3"/>
        <v>1.2484296000000001</v>
      </c>
      <c r="O183" s="11">
        <f t="shared" si="4"/>
        <v>5.7503424000000001</v>
      </c>
      <c r="P183" s="11">
        <f t="shared" si="5"/>
        <v>0</v>
      </c>
    </row>
    <row r="184" spans="1:16" ht="15" customHeight="1">
      <c r="A184" s="44"/>
      <c r="B184" s="5">
        <f t="shared" si="18"/>
        <v>45474</v>
      </c>
      <c r="C184" s="1" t="s">
        <v>533</v>
      </c>
      <c r="D184" s="195">
        <v>19275</v>
      </c>
      <c r="E184" s="186"/>
      <c r="F184" s="2">
        <v>68.31</v>
      </c>
      <c r="G184" s="3">
        <f t="shared" si="15"/>
        <v>54.552365999999999</v>
      </c>
      <c r="H184" s="187"/>
      <c r="I184" s="7">
        <v>0.12</v>
      </c>
      <c r="J184" s="7">
        <v>1.6500000000000001E-2</v>
      </c>
      <c r="K184" s="7">
        <v>7.5999999999999998E-2</v>
      </c>
      <c r="L184" s="7">
        <v>0</v>
      </c>
      <c r="M184" s="11">
        <f t="shared" si="2"/>
        <v>8.1972000000000005</v>
      </c>
      <c r="N184" s="11">
        <f t="shared" si="3"/>
        <v>0.9918612</v>
      </c>
      <c r="O184" s="11">
        <f t="shared" si="4"/>
        <v>4.5685728000000001</v>
      </c>
      <c r="P184" s="11">
        <f t="shared" si="5"/>
        <v>0</v>
      </c>
    </row>
    <row r="185" spans="1:16" ht="15" customHeight="1">
      <c r="A185" s="44"/>
      <c r="B185" s="5">
        <f t="shared" si="18"/>
        <v>45474</v>
      </c>
      <c r="C185" s="1" t="s">
        <v>533</v>
      </c>
      <c r="D185" s="195">
        <v>19276</v>
      </c>
      <c r="E185" s="186"/>
      <c r="F185" s="2">
        <v>79.36</v>
      </c>
      <c r="G185" s="3">
        <f t="shared" si="15"/>
        <v>63.376896000000002</v>
      </c>
      <c r="H185" s="187"/>
      <c r="I185" s="7">
        <v>0.12</v>
      </c>
      <c r="J185" s="7">
        <v>1.6500000000000001E-2</v>
      </c>
      <c r="K185" s="7">
        <v>7.5999999999999998E-2</v>
      </c>
      <c r="L185" s="7">
        <v>0</v>
      </c>
      <c r="M185" s="11">
        <f t="shared" si="2"/>
        <v>9.5231999999999992</v>
      </c>
      <c r="N185" s="11">
        <f t="shared" si="3"/>
        <v>1.1523072000000001</v>
      </c>
      <c r="O185" s="11">
        <f t="shared" si="4"/>
        <v>5.3075967999999998</v>
      </c>
      <c r="P185" s="11">
        <f t="shared" si="5"/>
        <v>0</v>
      </c>
    </row>
    <row r="186" spans="1:16" ht="15" customHeight="1">
      <c r="A186" s="44"/>
      <c r="B186" s="5">
        <f t="shared" si="18"/>
        <v>45474</v>
      </c>
      <c r="C186" s="1" t="s">
        <v>533</v>
      </c>
      <c r="D186" s="195">
        <v>19277</v>
      </c>
      <c r="E186" s="186"/>
      <c r="F186" s="2">
        <v>39.69</v>
      </c>
      <c r="G186" s="3">
        <f t="shared" si="15"/>
        <v>31.696433999999996</v>
      </c>
      <c r="H186" s="187"/>
      <c r="I186" s="7">
        <v>0.12</v>
      </c>
      <c r="J186" s="7">
        <v>1.6500000000000001E-2</v>
      </c>
      <c r="K186" s="7">
        <v>7.5999999999999998E-2</v>
      </c>
      <c r="L186" s="7">
        <v>0</v>
      </c>
      <c r="M186" s="11">
        <f t="shared" si="2"/>
        <v>4.7627999999999995</v>
      </c>
      <c r="N186" s="11">
        <f t="shared" si="3"/>
        <v>0.5762988</v>
      </c>
      <c r="O186" s="11">
        <f t="shared" si="4"/>
        <v>2.6544672</v>
      </c>
      <c r="P186" s="11">
        <f t="shared" si="5"/>
        <v>0</v>
      </c>
    </row>
    <row r="187" spans="1:16" ht="15" customHeight="1">
      <c r="A187" s="44"/>
      <c r="B187" s="5">
        <f t="shared" si="18"/>
        <v>45474</v>
      </c>
      <c r="C187" s="1" t="s">
        <v>533</v>
      </c>
      <c r="D187" s="195">
        <v>19278</v>
      </c>
      <c r="E187" s="186"/>
      <c r="F187" s="2">
        <v>31.53</v>
      </c>
      <c r="G187" s="3">
        <f t="shared" si="15"/>
        <v>25.179858000000003</v>
      </c>
      <c r="H187" s="187"/>
      <c r="I187" s="7">
        <v>0.12</v>
      </c>
      <c r="J187" s="7">
        <v>1.6500000000000001E-2</v>
      </c>
      <c r="K187" s="7">
        <v>7.5999999999999998E-2</v>
      </c>
      <c r="L187" s="7">
        <v>0</v>
      </c>
      <c r="M187" s="11">
        <f t="shared" si="2"/>
        <v>3.7835999999999999</v>
      </c>
      <c r="N187" s="11">
        <f t="shared" si="3"/>
        <v>0.45781560000000004</v>
      </c>
      <c r="O187" s="11">
        <f t="shared" si="4"/>
        <v>2.1087264000000001</v>
      </c>
      <c r="P187" s="11">
        <f t="shared" si="5"/>
        <v>0</v>
      </c>
    </row>
    <row r="188" spans="1:16" ht="15" customHeight="1">
      <c r="A188" s="44"/>
      <c r="B188" s="5">
        <f t="shared" si="18"/>
        <v>45474</v>
      </c>
      <c r="C188" s="1" t="s">
        <v>533</v>
      </c>
      <c r="D188" s="195">
        <v>19279</v>
      </c>
      <c r="E188" s="186"/>
      <c r="F188" s="2">
        <v>105.82</v>
      </c>
      <c r="G188" s="3">
        <f t="shared" si="15"/>
        <v>84.507851999999986</v>
      </c>
      <c r="H188" s="187"/>
      <c r="I188" s="7">
        <v>0.12</v>
      </c>
      <c r="J188" s="7">
        <v>1.6500000000000001E-2</v>
      </c>
      <c r="K188" s="7">
        <v>7.5999999999999998E-2</v>
      </c>
      <c r="L188" s="7">
        <v>0</v>
      </c>
      <c r="M188" s="11">
        <f t="shared" si="2"/>
        <v>12.698399999999999</v>
      </c>
      <c r="N188" s="11">
        <f t="shared" si="3"/>
        <v>1.5365064000000002</v>
      </c>
      <c r="O188" s="11">
        <f t="shared" si="4"/>
        <v>7.0772415999999998</v>
      </c>
      <c r="P188" s="11">
        <f t="shared" si="5"/>
        <v>0</v>
      </c>
    </row>
    <row r="189" spans="1:16" ht="15" customHeight="1">
      <c r="A189" s="44"/>
      <c r="B189" s="5">
        <f t="shared" si="18"/>
        <v>45474</v>
      </c>
      <c r="C189" s="1" t="s">
        <v>533</v>
      </c>
      <c r="D189" s="195">
        <v>19280</v>
      </c>
      <c r="E189" s="186"/>
      <c r="F189" s="2">
        <v>52.91</v>
      </c>
      <c r="G189" s="3">
        <f t="shared" si="15"/>
        <v>42.253925999999993</v>
      </c>
      <c r="H189" s="187"/>
      <c r="I189" s="7">
        <v>0.12</v>
      </c>
      <c r="J189" s="7">
        <v>1.6500000000000001E-2</v>
      </c>
      <c r="K189" s="7">
        <v>7.5999999999999998E-2</v>
      </c>
      <c r="L189" s="7">
        <v>0</v>
      </c>
      <c r="M189" s="11">
        <f t="shared" si="2"/>
        <v>6.3491999999999997</v>
      </c>
      <c r="N189" s="11">
        <f t="shared" si="3"/>
        <v>0.76825320000000008</v>
      </c>
      <c r="O189" s="11">
        <f t="shared" si="4"/>
        <v>3.5386207999999999</v>
      </c>
      <c r="P189" s="11">
        <f t="shared" si="5"/>
        <v>0</v>
      </c>
    </row>
    <row r="190" spans="1:16" ht="15" customHeight="1">
      <c r="A190" s="44"/>
      <c r="B190" s="5">
        <f t="shared" si="18"/>
        <v>45474</v>
      </c>
      <c r="C190" s="1" t="s">
        <v>533</v>
      </c>
      <c r="D190" s="195">
        <v>19281</v>
      </c>
      <c r="E190" s="186"/>
      <c r="F190" s="2">
        <v>42.03</v>
      </c>
      <c r="G190" s="3">
        <f t="shared" si="15"/>
        <v>33.565158000000004</v>
      </c>
      <c r="H190" s="187"/>
      <c r="I190" s="7">
        <v>0.12</v>
      </c>
      <c r="J190" s="7">
        <v>1.6500000000000001E-2</v>
      </c>
      <c r="K190" s="7">
        <v>7.5999999999999998E-2</v>
      </c>
      <c r="L190" s="7">
        <v>0</v>
      </c>
      <c r="M190" s="11">
        <f t="shared" si="2"/>
        <v>5.0435999999999996</v>
      </c>
      <c r="N190" s="11">
        <f t="shared" si="3"/>
        <v>0.61027560000000003</v>
      </c>
      <c r="O190" s="11">
        <f t="shared" si="4"/>
        <v>2.8109664000000003</v>
      </c>
      <c r="P190" s="11">
        <f t="shared" si="5"/>
        <v>0</v>
      </c>
    </row>
    <row r="191" spans="1:16" ht="15" customHeight="1">
      <c r="A191" s="44"/>
      <c r="B191" s="5">
        <f t="shared" si="18"/>
        <v>45474</v>
      </c>
      <c r="C191" s="1" t="s">
        <v>533</v>
      </c>
      <c r="D191" s="195">
        <v>19290</v>
      </c>
      <c r="E191" s="186"/>
      <c r="F191" s="2">
        <v>321.36</v>
      </c>
      <c r="G191" s="3">
        <f t="shared" si="15"/>
        <v>256.63809600000002</v>
      </c>
      <c r="H191" s="187"/>
      <c r="I191" s="7">
        <v>0.12</v>
      </c>
      <c r="J191" s="7">
        <v>1.6500000000000001E-2</v>
      </c>
      <c r="K191" s="7">
        <v>7.5999999999999998E-2</v>
      </c>
      <c r="L191" s="7">
        <v>0</v>
      </c>
      <c r="M191" s="11">
        <f t="shared" si="2"/>
        <v>38.563200000000002</v>
      </c>
      <c r="N191" s="11">
        <f t="shared" si="3"/>
        <v>4.6661472000000002</v>
      </c>
      <c r="O191" s="11">
        <f t="shared" si="4"/>
        <v>21.492556799999999</v>
      </c>
      <c r="P191" s="11">
        <f t="shared" si="5"/>
        <v>0</v>
      </c>
    </row>
    <row r="192" spans="1:16" ht="15" customHeight="1">
      <c r="A192" s="44"/>
      <c r="B192" s="5">
        <f t="shared" si="18"/>
        <v>45474</v>
      </c>
      <c r="C192" s="1" t="s">
        <v>533</v>
      </c>
      <c r="D192" s="195">
        <v>19291</v>
      </c>
      <c r="E192" s="186"/>
      <c r="F192" s="2">
        <v>160.68</v>
      </c>
      <c r="G192" s="3">
        <f t="shared" si="15"/>
        <v>128.31904800000001</v>
      </c>
      <c r="H192" s="187"/>
      <c r="I192" s="7">
        <v>0.12</v>
      </c>
      <c r="J192" s="7">
        <v>1.6500000000000001E-2</v>
      </c>
      <c r="K192" s="7">
        <v>7.5999999999999998E-2</v>
      </c>
      <c r="L192" s="7">
        <v>0</v>
      </c>
      <c r="M192" s="11">
        <f t="shared" si="2"/>
        <v>19.281600000000001</v>
      </c>
      <c r="N192" s="11">
        <f t="shared" si="3"/>
        <v>2.3330736000000001</v>
      </c>
      <c r="O192" s="11">
        <f t="shared" si="4"/>
        <v>10.7462784</v>
      </c>
      <c r="P192" s="11">
        <f t="shared" si="5"/>
        <v>0</v>
      </c>
    </row>
    <row r="193" spans="1:16" ht="15" customHeight="1">
      <c r="A193" s="44"/>
      <c r="B193" s="5">
        <f t="shared" si="18"/>
        <v>45474</v>
      </c>
      <c r="C193" s="1" t="s">
        <v>533</v>
      </c>
      <c r="D193" s="195">
        <v>19292</v>
      </c>
      <c r="E193" s="186"/>
      <c r="F193" s="2">
        <v>127.66</v>
      </c>
      <c r="G193" s="3">
        <f t="shared" si="15"/>
        <v>101.949276</v>
      </c>
      <c r="H193" s="187"/>
      <c r="I193" s="7">
        <v>0.12</v>
      </c>
      <c r="J193" s="7">
        <v>1.6500000000000001E-2</v>
      </c>
      <c r="K193" s="7">
        <v>7.5999999999999998E-2</v>
      </c>
      <c r="L193" s="7">
        <v>0</v>
      </c>
      <c r="M193" s="11">
        <f t="shared" si="2"/>
        <v>15.319199999999999</v>
      </c>
      <c r="N193" s="11">
        <f t="shared" si="3"/>
        <v>1.8536232000000001</v>
      </c>
      <c r="O193" s="11">
        <f t="shared" si="4"/>
        <v>8.5379007999999992</v>
      </c>
      <c r="P193" s="11">
        <f t="shared" si="5"/>
        <v>0</v>
      </c>
    </row>
    <row r="194" spans="1:16" ht="15" customHeight="1">
      <c r="A194" s="44"/>
      <c r="B194" s="5">
        <f t="shared" si="18"/>
        <v>45474</v>
      </c>
      <c r="C194" s="1" t="s">
        <v>533</v>
      </c>
      <c r="D194" s="195">
        <v>16190</v>
      </c>
      <c r="E194" s="186"/>
      <c r="F194" s="2">
        <v>4291.76</v>
      </c>
      <c r="G194" s="3">
        <f t="shared" si="15"/>
        <v>3622.1381460000002</v>
      </c>
      <c r="H194" s="187"/>
      <c r="I194" s="7">
        <v>7.0000000000000007E-2</v>
      </c>
      <c r="J194" s="7">
        <v>1.6500000000000001E-2</v>
      </c>
      <c r="K194" s="7">
        <v>7.5999999999999998E-2</v>
      </c>
      <c r="L194" s="7">
        <v>0</v>
      </c>
      <c r="M194" s="11">
        <f t="shared" si="2"/>
        <v>300.42320000000007</v>
      </c>
      <c r="N194" s="11">
        <f t="shared" si="3"/>
        <v>65.8570572</v>
      </c>
      <c r="O194" s="11">
        <f t="shared" si="4"/>
        <v>303.34159679999999</v>
      </c>
      <c r="P194" s="11">
        <f t="shared" si="5"/>
        <v>0</v>
      </c>
    </row>
    <row r="195" spans="1:16" ht="15" customHeight="1">
      <c r="A195" s="44"/>
      <c r="B195" s="5">
        <f t="shared" si="18"/>
        <v>45474</v>
      </c>
      <c r="C195" s="1" t="s">
        <v>533</v>
      </c>
      <c r="D195" s="195">
        <v>16191</v>
      </c>
      <c r="E195" s="186"/>
      <c r="F195" s="2">
        <v>2004.79</v>
      </c>
      <c r="G195" s="3">
        <f t="shared" si="15"/>
        <v>1691.99264025</v>
      </c>
      <c r="H195" s="187"/>
      <c r="I195" s="7">
        <v>7.0000000000000007E-2</v>
      </c>
      <c r="J195" s="7">
        <v>1.6500000000000001E-2</v>
      </c>
      <c r="K195" s="7">
        <v>7.5999999999999998E-2</v>
      </c>
      <c r="L195" s="7">
        <v>0</v>
      </c>
      <c r="M195" s="11">
        <f t="shared" si="2"/>
        <v>140.33530000000002</v>
      </c>
      <c r="N195" s="11">
        <f t="shared" si="3"/>
        <v>30.763502550000002</v>
      </c>
      <c r="O195" s="11">
        <f t="shared" si="4"/>
        <v>141.69855720000001</v>
      </c>
      <c r="P195" s="11">
        <f t="shared" si="5"/>
        <v>0</v>
      </c>
    </row>
    <row r="196" spans="1:16" ht="15" customHeight="1">
      <c r="A196" s="44"/>
      <c r="B196" s="5">
        <f t="shared" si="18"/>
        <v>45474</v>
      </c>
      <c r="C196" s="1" t="s">
        <v>533</v>
      </c>
      <c r="D196" s="195">
        <v>16192</v>
      </c>
      <c r="E196" s="186"/>
      <c r="F196" s="2">
        <v>1694.78</v>
      </c>
      <c r="G196" s="3">
        <f t="shared" si="15"/>
        <v>1430.3519504999999</v>
      </c>
      <c r="H196" s="187"/>
      <c r="I196" s="7">
        <v>7.0000000000000007E-2</v>
      </c>
      <c r="J196" s="7">
        <v>1.6500000000000001E-2</v>
      </c>
      <c r="K196" s="7">
        <v>7.5999999999999998E-2</v>
      </c>
      <c r="L196" s="7">
        <v>0</v>
      </c>
      <c r="M196" s="11">
        <f t="shared" si="2"/>
        <v>118.63460000000001</v>
      </c>
      <c r="N196" s="11">
        <f t="shared" si="3"/>
        <v>26.006399099999999</v>
      </c>
      <c r="O196" s="11">
        <f t="shared" si="4"/>
        <v>119.78705039999998</v>
      </c>
      <c r="P196" s="11">
        <f t="shared" si="5"/>
        <v>0</v>
      </c>
    </row>
    <row r="197" spans="1:16" ht="15" customHeight="1">
      <c r="A197" s="44"/>
      <c r="B197" s="5">
        <f t="shared" si="18"/>
        <v>45474</v>
      </c>
      <c r="C197" s="1" t="s">
        <v>533</v>
      </c>
      <c r="D197" s="195">
        <v>16193</v>
      </c>
      <c r="E197" s="186"/>
      <c r="F197" s="2">
        <v>1976.8</v>
      </c>
      <c r="G197" s="3">
        <f t="shared" si="15"/>
        <v>1668.36978</v>
      </c>
      <c r="H197" s="187"/>
      <c r="I197" s="7">
        <v>7.0000000000000007E-2</v>
      </c>
      <c r="J197" s="7">
        <v>1.6500000000000001E-2</v>
      </c>
      <c r="K197" s="7">
        <v>7.5999999999999998E-2</v>
      </c>
      <c r="L197" s="7">
        <v>0</v>
      </c>
      <c r="M197" s="11">
        <f t="shared" si="2"/>
        <v>138.376</v>
      </c>
      <c r="N197" s="11">
        <f t="shared" si="3"/>
        <v>30.333996000000003</v>
      </c>
      <c r="O197" s="11">
        <f t="shared" si="4"/>
        <v>139.720224</v>
      </c>
      <c r="P197" s="11">
        <f t="shared" si="5"/>
        <v>0</v>
      </c>
    </row>
    <row r="198" spans="1:16" ht="15" customHeight="1">
      <c r="A198" s="44"/>
      <c r="B198" s="5">
        <f t="shared" si="18"/>
        <v>45474</v>
      </c>
      <c r="C198" s="1" t="s">
        <v>533</v>
      </c>
      <c r="D198" s="195">
        <v>16214</v>
      </c>
      <c r="E198" s="186"/>
      <c r="F198" s="2">
        <v>911.44</v>
      </c>
      <c r="G198" s="3">
        <f t="shared" si="15"/>
        <v>769.23257400000011</v>
      </c>
      <c r="H198" s="187"/>
      <c r="I198" s="7">
        <v>7.0000000000000007E-2</v>
      </c>
      <c r="J198" s="7">
        <v>1.6500000000000001E-2</v>
      </c>
      <c r="K198" s="7">
        <v>7.5999999999999998E-2</v>
      </c>
      <c r="L198" s="7">
        <v>0</v>
      </c>
      <c r="M198" s="11">
        <f t="shared" si="2"/>
        <v>63.80080000000001</v>
      </c>
      <c r="N198" s="11">
        <f t="shared" si="3"/>
        <v>13.986046800000002</v>
      </c>
      <c r="O198" s="11">
        <f t="shared" si="4"/>
        <v>64.420579200000006</v>
      </c>
      <c r="P198" s="11">
        <f t="shared" si="5"/>
        <v>0</v>
      </c>
    </row>
    <row r="199" spans="1:16" ht="15" customHeight="1">
      <c r="A199" s="44"/>
      <c r="B199" s="5">
        <f t="shared" si="18"/>
        <v>45474</v>
      </c>
      <c r="C199" s="1" t="s">
        <v>533</v>
      </c>
      <c r="D199" s="195">
        <v>16215</v>
      </c>
      <c r="E199" s="186"/>
      <c r="F199" s="2">
        <v>587.76</v>
      </c>
      <c r="G199" s="3">
        <f t="shared" si="15"/>
        <v>496.05474600000002</v>
      </c>
      <c r="H199" s="187"/>
      <c r="I199" s="7">
        <v>7.0000000000000007E-2</v>
      </c>
      <c r="J199" s="7">
        <v>1.6500000000000001E-2</v>
      </c>
      <c r="K199" s="7">
        <v>7.5999999999999998E-2</v>
      </c>
      <c r="L199" s="7">
        <v>0</v>
      </c>
      <c r="M199" s="11">
        <f t="shared" si="2"/>
        <v>41.1432</v>
      </c>
      <c r="N199" s="11">
        <f t="shared" si="3"/>
        <v>9.0191772000000014</v>
      </c>
      <c r="O199" s="11">
        <f t="shared" si="4"/>
        <v>41.542876800000002</v>
      </c>
      <c r="P199" s="11">
        <f t="shared" si="5"/>
        <v>0</v>
      </c>
    </row>
    <row r="200" spans="1:16" ht="15" customHeight="1">
      <c r="A200" s="44"/>
      <c r="B200" s="5">
        <f t="shared" si="18"/>
        <v>45474</v>
      </c>
      <c r="C200" s="1" t="s">
        <v>533</v>
      </c>
      <c r="D200" s="195">
        <v>16216</v>
      </c>
      <c r="E200" s="186"/>
      <c r="F200" s="2">
        <v>2385.67</v>
      </c>
      <c r="G200" s="3">
        <f t="shared" si="15"/>
        <v>2013.4458382500002</v>
      </c>
      <c r="H200" s="187"/>
      <c r="I200" s="7">
        <v>7.0000000000000007E-2</v>
      </c>
      <c r="J200" s="7">
        <v>1.6500000000000001E-2</v>
      </c>
      <c r="K200" s="7">
        <v>7.5999999999999998E-2</v>
      </c>
      <c r="L200" s="7">
        <v>0</v>
      </c>
      <c r="M200" s="11">
        <f t="shared" si="2"/>
        <v>166.99690000000001</v>
      </c>
      <c r="N200" s="11">
        <f t="shared" si="3"/>
        <v>36.608106150000005</v>
      </c>
      <c r="O200" s="11">
        <f t="shared" si="4"/>
        <v>168.6191556</v>
      </c>
      <c r="P200" s="11">
        <f t="shared" si="5"/>
        <v>0</v>
      </c>
    </row>
    <row r="201" spans="1:16" ht="15" customHeight="1">
      <c r="A201" s="44"/>
      <c r="B201" s="5">
        <f t="shared" si="18"/>
        <v>45474</v>
      </c>
      <c r="C201" s="1" t="s">
        <v>533</v>
      </c>
      <c r="D201" s="195">
        <v>16217</v>
      </c>
      <c r="E201" s="186"/>
      <c r="F201" s="2">
        <v>1101.1300000000001</v>
      </c>
      <c r="G201" s="3">
        <f t="shared" si="15"/>
        <v>929.32619175000013</v>
      </c>
      <c r="H201" s="187"/>
      <c r="I201" s="7">
        <v>7.0000000000000007E-2</v>
      </c>
      <c r="J201" s="7">
        <v>1.6500000000000001E-2</v>
      </c>
      <c r="K201" s="7">
        <v>7.5999999999999998E-2</v>
      </c>
      <c r="L201" s="7">
        <v>0</v>
      </c>
      <c r="M201" s="11">
        <f t="shared" si="2"/>
        <v>77.079100000000011</v>
      </c>
      <c r="N201" s="11">
        <f t="shared" si="3"/>
        <v>16.896839850000003</v>
      </c>
      <c r="O201" s="11">
        <f t="shared" si="4"/>
        <v>77.827868400000014</v>
      </c>
      <c r="P201" s="11">
        <f t="shared" si="5"/>
        <v>0</v>
      </c>
    </row>
    <row r="202" spans="1:16" ht="15" customHeight="1">
      <c r="A202" s="44"/>
      <c r="B202" s="5">
        <f t="shared" si="18"/>
        <v>45474</v>
      </c>
      <c r="C202" s="1" t="s">
        <v>533</v>
      </c>
      <c r="D202" s="195">
        <v>16218</v>
      </c>
      <c r="E202" s="186"/>
      <c r="F202" s="2">
        <v>735.12</v>
      </c>
      <c r="G202" s="3">
        <f t="shared" si="15"/>
        <v>620.42290200000002</v>
      </c>
      <c r="H202" s="187"/>
      <c r="I202" s="7">
        <v>7.0000000000000007E-2</v>
      </c>
      <c r="J202" s="7">
        <v>1.6500000000000001E-2</v>
      </c>
      <c r="K202" s="7">
        <v>7.5999999999999998E-2</v>
      </c>
      <c r="L202" s="7">
        <v>0</v>
      </c>
      <c r="M202" s="11">
        <f t="shared" si="2"/>
        <v>51.458400000000005</v>
      </c>
      <c r="N202" s="11">
        <f t="shared" si="3"/>
        <v>11.2804164</v>
      </c>
      <c r="O202" s="11">
        <f t="shared" si="4"/>
        <v>51.958281599999999</v>
      </c>
      <c r="P202" s="11">
        <f t="shared" si="5"/>
        <v>0</v>
      </c>
    </row>
    <row r="203" spans="1:16" ht="15" customHeight="1">
      <c r="A203" s="44"/>
      <c r="B203" s="5">
        <f t="shared" si="18"/>
        <v>45474</v>
      </c>
      <c r="C203" s="1" t="s">
        <v>533</v>
      </c>
      <c r="D203" s="195">
        <v>16219</v>
      </c>
      <c r="E203" s="186"/>
      <c r="F203" s="2">
        <v>9377.6299999999992</v>
      </c>
      <c r="G203" s="3">
        <f t="shared" si="15"/>
        <v>7914.4852792499987</v>
      </c>
      <c r="H203" s="187"/>
      <c r="I203" s="7">
        <v>7.0000000000000007E-2</v>
      </c>
      <c r="J203" s="7">
        <v>1.6500000000000001E-2</v>
      </c>
      <c r="K203" s="7">
        <v>7.5999999999999998E-2</v>
      </c>
      <c r="L203" s="7">
        <v>0</v>
      </c>
      <c r="M203" s="11">
        <f t="shared" si="2"/>
        <v>656.43410000000006</v>
      </c>
      <c r="N203" s="11">
        <f t="shared" si="3"/>
        <v>143.89973234999999</v>
      </c>
      <c r="O203" s="11">
        <f t="shared" si="4"/>
        <v>662.81088839999984</v>
      </c>
      <c r="P203" s="11">
        <f t="shared" si="5"/>
        <v>0</v>
      </c>
    </row>
    <row r="204" spans="1:16" ht="15" customHeight="1">
      <c r="A204" s="44"/>
      <c r="B204" s="5">
        <f t="shared" si="18"/>
        <v>45474</v>
      </c>
      <c r="C204" s="1" t="s">
        <v>533</v>
      </c>
      <c r="D204" s="195">
        <v>16220</v>
      </c>
      <c r="E204" s="186"/>
      <c r="F204" s="2">
        <v>4348.2700000000004</v>
      </c>
      <c r="G204" s="3">
        <f t="shared" si="15"/>
        <v>3669.8311732500006</v>
      </c>
      <c r="H204" s="187"/>
      <c r="I204" s="7">
        <v>7.0000000000000007E-2</v>
      </c>
      <c r="J204" s="7">
        <v>1.6500000000000001E-2</v>
      </c>
      <c r="K204" s="7">
        <v>7.5999999999999998E-2</v>
      </c>
      <c r="L204" s="7">
        <v>0</v>
      </c>
      <c r="M204" s="11">
        <f t="shared" si="2"/>
        <v>304.37890000000004</v>
      </c>
      <c r="N204" s="11">
        <f t="shared" si="3"/>
        <v>66.724203150000008</v>
      </c>
      <c r="O204" s="11">
        <f t="shared" si="4"/>
        <v>307.33572359999999</v>
      </c>
      <c r="P204" s="11">
        <f t="shared" si="5"/>
        <v>0</v>
      </c>
    </row>
    <row r="205" spans="1:16" ht="15" customHeight="1">
      <c r="A205" s="44"/>
      <c r="B205" s="5">
        <f t="shared" si="18"/>
        <v>45474</v>
      </c>
      <c r="C205" s="1" t="s">
        <v>533</v>
      </c>
      <c r="D205" s="195">
        <v>16238</v>
      </c>
      <c r="E205" s="186"/>
      <c r="F205" s="2">
        <v>59273.09</v>
      </c>
      <c r="G205" s="3">
        <f t="shared" si="15"/>
        <v>50025.006132750001</v>
      </c>
      <c r="H205" s="187"/>
      <c r="I205" s="7">
        <v>7.0000000000000007E-2</v>
      </c>
      <c r="J205" s="7">
        <v>1.6500000000000001E-2</v>
      </c>
      <c r="K205" s="7">
        <v>7.5999999999999998E-2</v>
      </c>
      <c r="L205" s="7">
        <v>0</v>
      </c>
      <c r="M205" s="11">
        <f t="shared" si="2"/>
        <v>4149.1163000000006</v>
      </c>
      <c r="N205" s="11">
        <f t="shared" si="3"/>
        <v>909.54556604999993</v>
      </c>
      <c r="O205" s="11">
        <f t="shared" si="4"/>
        <v>4189.4220011999996</v>
      </c>
      <c r="P205" s="11">
        <f t="shared" si="5"/>
        <v>0</v>
      </c>
    </row>
    <row r="206" spans="1:16" ht="15" customHeight="1">
      <c r="A206" s="44"/>
      <c r="B206" s="5">
        <f t="shared" si="18"/>
        <v>45474</v>
      </c>
      <c r="C206" s="1" t="s">
        <v>533</v>
      </c>
      <c r="D206" s="195">
        <v>16239</v>
      </c>
      <c r="E206" s="186"/>
      <c r="F206" s="2">
        <v>17651.099999999999</v>
      </c>
      <c r="G206" s="3">
        <f t="shared" si="15"/>
        <v>14897.087122499999</v>
      </c>
      <c r="H206" s="187"/>
      <c r="I206" s="7">
        <v>7.0000000000000007E-2</v>
      </c>
      <c r="J206" s="7">
        <v>1.6500000000000001E-2</v>
      </c>
      <c r="K206" s="7">
        <v>7.5999999999999998E-2</v>
      </c>
      <c r="L206" s="7">
        <v>0</v>
      </c>
      <c r="M206" s="11">
        <f t="shared" si="2"/>
        <v>1235.577</v>
      </c>
      <c r="N206" s="11">
        <f t="shared" si="3"/>
        <v>270.85612949999995</v>
      </c>
      <c r="O206" s="11">
        <f t="shared" si="4"/>
        <v>1247.5797479999999</v>
      </c>
      <c r="P206" s="11">
        <f t="shared" ref="P206:P249" si="19">L206*(F206)</f>
        <v>0</v>
      </c>
    </row>
    <row r="207" spans="1:16" ht="15" customHeight="1">
      <c r="A207" s="44"/>
      <c r="B207" s="5">
        <f t="shared" si="18"/>
        <v>45474</v>
      </c>
      <c r="C207" s="1" t="s">
        <v>533</v>
      </c>
      <c r="D207" s="195">
        <v>16240</v>
      </c>
      <c r="E207" s="186"/>
      <c r="F207" s="2">
        <v>12773.67</v>
      </c>
      <c r="G207" s="3">
        <f t="shared" si="15"/>
        <v>10780.658138250001</v>
      </c>
      <c r="H207" s="187"/>
      <c r="I207" s="7">
        <v>7.0000000000000007E-2</v>
      </c>
      <c r="J207" s="7">
        <v>1.6500000000000001E-2</v>
      </c>
      <c r="K207" s="7">
        <v>7.5999999999999998E-2</v>
      </c>
      <c r="L207" s="7">
        <v>0</v>
      </c>
      <c r="M207" s="11">
        <f t="shared" si="2"/>
        <v>894.15690000000006</v>
      </c>
      <c r="N207" s="11">
        <f t="shared" si="3"/>
        <v>196.01196615000001</v>
      </c>
      <c r="O207" s="11">
        <f t="shared" si="4"/>
        <v>902.84299559999999</v>
      </c>
      <c r="P207" s="11">
        <f t="shared" si="19"/>
        <v>0</v>
      </c>
    </row>
    <row r="208" spans="1:16" ht="15" customHeight="1">
      <c r="A208" s="44"/>
      <c r="B208" s="5">
        <f t="shared" si="18"/>
        <v>45474</v>
      </c>
      <c r="C208" s="1" t="s">
        <v>533</v>
      </c>
      <c r="D208" s="195">
        <v>16241</v>
      </c>
      <c r="E208" s="186"/>
      <c r="F208" s="2">
        <v>41004.699999999997</v>
      </c>
      <c r="G208" s="3">
        <f t="shared" ref="G208:G246" si="20">F208-SUM(M208:P208)</f>
        <v>34606.941682499993</v>
      </c>
      <c r="H208" s="187"/>
      <c r="I208" s="7">
        <v>7.0000000000000007E-2</v>
      </c>
      <c r="J208" s="7">
        <v>1.6500000000000001E-2</v>
      </c>
      <c r="K208" s="7">
        <v>7.5999999999999998E-2</v>
      </c>
      <c r="L208" s="7">
        <v>0</v>
      </c>
      <c r="M208" s="11">
        <f t="shared" ref="M208:M246" si="21">+I208*F208</f>
        <v>2870.3290000000002</v>
      </c>
      <c r="N208" s="11">
        <f t="shared" ref="N208:N246" si="22">J208*(F208-M208)</f>
        <v>629.21712149999996</v>
      </c>
      <c r="O208" s="11">
        <f t="shared" ref="O208:O246" si="23">K208*(F208-M208)</f>
        <v>2898.2121959999999</v>
      </c>
      <c r="P208" s="11">
        <f t="shared" ref="P208:P246" si="24">L208*(F208)</f>
        <v>0</v>
      </c>
    </row>
    <row r="209" spans="1:16" ht="15" customHeight="1">
      <c r="A209" s="44"/>
      <c r="B209" s="5">
        <f t="shared" si="18"/>
        <v>45474</v>
      </c>
      <c r="C209" s="1" t="s">
        <v>533</v>
      </c>
      <c r="D209" s="195">
        <v>16242</v>
      </c>
      <c r="E209" s="186"/>
      <c r="F209" s="2">
        <v>2939.95</v>
      </c>
      <c r="G209" s="3">
        <f t="shared" si="20"/>
        <v>2481.2443012499998</v>
      </c>
      <c r="H209" s="187"/>
      <c r="I209" s="7">
        <v>7.0000000000000007E-2</v>
      </c>
      <c r="J209" s="7">
        <v>1.6500000000000001E-2</v>
      </c>
      <c r="K209" s="7">
        <v>7.5999999999999998E-2</v>
      </c>
      <c r="L209" s="7">
        <v>0</v>
      </c>
      <c r="M209" s="11">
        <f t="shared" si="21"/>
        <v>205.79650000000001</v>
      </c>
      <c r="N209" s="11">
        <f t="shared" si="22"/>
        <v>45.113532749999997</v>
      </c>
      <c r="O209" s="11">
        <f t="shared" si="23"/>
        <v>207.79566599999998</v>
      </c>
      <c r="P209" s="11">
        <f t="shared" si="24"/>
        <v>0</v>
      </c>
    </row>
    <row r="210" spans="1:16" ht="15" customHeight="1">
      <c r="A210" s="44"/>
      <c r="B210" s="5">
        <f t="shared" si="18"/>
        <v>45474</v>
      </c>
      <c r="C210" s="1" t="s">
        <v>533</v>
      </c>
      <c r="D210" s="195">
        <v>16243</v>
      </c>
      <c r="E210" s="186"/>
      <c r="F210" s="2">
        <v>38534.61</v>
      </c>
      <c r="G210" s="3">
        <f t="shared" si="20"/>
        <v>32522.247474750002</v>
      </c>
      <c r="H210" s="187"/>
      <c r="I210" s="7">
        <v>7.0000000000000007E-2</v>
      </c>
      <c r="J210" s="7">
        <v>1.6500000000000001E-2</v>
      </c>
      <c r="K210" s="7">
        <v>7.5999999999999998E-2</v>
      </c>
      <c r="L210" s="7">
        <v>0</v>
      </c>
      <c r="M210" s="11">
        <f t="shared" si="21"/>
        <v>2697.4227000000001</v>
      </c>
      <c r="N210" s="11">
        <f t="shared" si="22"/>
        <v>591.31359044999999</v>
      </c>
      <c r="O210" s="11">
        <f t="shared" si="23"/>
        <v>2723.6262347999996</v>
      </c>
      <c r="P210" s="11">
        <f t="shared" si="24"/>
        <v>0</v>
      </c>
    </row>
    <row r="211" spans="1:16" ht="15" customHeight="1">
      <c r="A211" s="44"/>
      <c r="B211" s="5">
        <f t="shared" si="18"/>
        <v>45474</v>
      </c>
      <c r="C211" s="1" t="s">
        <v>533</v>
      </c>
      <c r="D211" s="195">
        <v>16244</v>
      </c>
      <c r="E211" s="186"/>
      <c r="F211" s="2">
        <v>10844.43</v>
      </c>
      <c r="G211" s="3">
        <f t="shared" si="20"/>
        <v>9152.4278092500008</v>
      </c>
      <c r="H211" s="187"/>
      <c r="I211" s="7">
        <v>7.0000000000000007E-2</v>
      </c>
      <c r="J211" s="7">
        <v>1.6500000000000001E-2</v>
      </c>
      <c r="K211" s="7">
        <v>7.5999999999999998E-2</v>
      </c>
      <c r="L211" s="7">
        <v>0</v>
      </c>
      <c r="M211" s="11">
        <f t="shared" si="21"/>
        <v>759.1101000000001</v>
      </c>
      <c r="N211" s="11">
        <f t="shared" si="22"/>
        <v>166.40777835</v>
      </c>
      <c r="O211" s="11">
        <f t="shared" si="23"/>
        <v>766.48431240000002</v>
      </c>
      <c r="P211" s="11">
        <f t="shared" si="24"/>
        <v>0</v>
      </c>
    </row>
    <row r="212" spans="1:16" ht="15" customHeight="1">
      <c r="A212" s="44"/>
      <c r="B212" s="5">
        <f t="shared" si="18"/>
        <v>45474</v>
      </c>
      <c r="C212" s="1" t="s">
        <v>533</v>
      </c>
      <c r="D212" s="195">
        <v>16245</v>
      </c>
      <c r="E212" s="186"/>
      <c r="F212" s="2">
        <v>7946.41</v>
      </c>
      <c r="G212" s="3">
        <f t="shared" si="20"/>
        <v>6706.5713797499993</v>
      </c>
      <c r="H212" s="187"/>
      <c r="I212" s="7">
        <v>7.0000000000000007E-2</v>
      </c>
      <c r="J212" s="7">
        <v>1.6500000000000001E-2</v>
      </c>
      <c r="K212" s="7">
        <v>7.5999999999999998E-2</v>
      </c>
      <c r="L212" s="7">
        <v>0</v>
      </c>
      <c r="M212" s="11">
        <f t="shared" si="21"/>
        <v>556.2487000000001</v>
      </c>
      <c r="N212" s="11">
        <f t="shared" si="22"/>
        <v>121.93766145000001</v>
      </c>
      <c r="O212" s="11">
        <f t="shared" si="23"/>
        <v>561.65225879999991</v>
      </c>
      <c r="P212" s="11">
        <f t="shared" si="24"/>
        <v>0</v>
      </c>
    </row>
    <row r="213" spans="1:16" ht="15" customHeight="1">
      <c r="A213" s="44"/>
      <c r="B213" s="5">
        <f t="shared" si="18"/>
        <v>45474</v>
      </c>
      <c r="C213" s="1" t="s">
        <v>533</v>
      </c>
      <c r="D213" s="195">
        <v>16271</v>
      </c>
      <c r="E213" s="186"/>
      <c r="F213" s="2">
        <v>11276.8</v>
      </c>
      <c r="G213" s="3">
        <f t="shared" ref="G213:G219" si="25">F213-SUM(M213:P213)</f>
        <v>9517.3372799999997</v>
      </c>
      <c r="H213" s="187"/>
      <c r="I213" s="7">
        <v>7.0000000000000007E-2</v>
      </c>
      <c r="J213" s="7">
        <v>1.6500000000000001E-2</v>
      </c>
      <c r="K213" s="7">
        <v>7.5999999999999998E-2</v>
      </c>
      <c r="L213" s="7">
        <v>0</v>
      </c>
      <c r="M213" s="11">
        <f t="shared" ref="M213:M219" si="26">+I213*F213</f>
        <v>789.37599999999998</v>
      </c>
      <c r="N213" s="11">
        <f t="shared" ref="N213:N219" si="27">J213*(F213-M213)</f>
        <v>173.042496</v>
      </c>
      <c r="O213" s="11">
        <f t="shared" ref="O213:O219" si="28">K213*(F213-M213)</f>
        <v>797.04422399999987</v>
      </c>
      <c r="P213" s="11">
        <f t="shared" ref="P213:P219" si="29">L213*(F213)</f>
        <v>0</v>
      </c>
    </row>
    <row r="214" spans="1:16" ht="15" customHeight="1">
      <c r="A214" s="44"/>
      <c r="B214" s="5">
        <f t="shared" si="18"/>
        <v>45474</v>
      </c>
      <c r="C214" s="1" t="s">
        <v>533</v>
      </c>
      <c r="D214" s="195">
        <v>16272</v>
      </c>
      <c r="E214" s="186"/>
      <c r="F214" s="2">
        <v>3050.5</v>
      </c>
      <c r="G214" s="3">
        <f t="shared" si="25"/>
        <v>2574.5457375000001</v>
      </c>
      <c r="H214" s="187"/>
      <c r="I214" s="7">
        <v>7.0000000000000007E-2</v>
      </c>
      <c r="J214" s="7">
        <v>1.6500000000000001E-2</v>
      </c>
      <c r="K214" s="7">
        <v>7.5999999999999998E-2</v>
      </c>
      <c r="L214" s="7">
        <v>0</v>
      </c>
      <c r="M214" s="11">
        <f t="shared" si="26"/>
        <v>213.53500000000003</v>
      </c>
      <c r="N214" s="11">
        <f t="shared" si="27"/>
        <v>46.809922500000006</v>
      </c>
      <c r="O214" s="11">
        <f t="shared" si="28"/>
        <v>215.60934</v>
      </c>
      <c r="P214" s="11">
        <f t="shared" si="29"/>
        <v>0</v>
      </c>
    </row>
    <row r="215" spans="1:16" ht="15" customHeight="1">
      <c r="A215" s="44"/>
      <c r="B215" s="5">
        <f t="shared" si="18"/>
        <v>45474</v>
      </c>
      <c r="C215" s="1" t="s">
        <v>533</v>
      </c>
      <c r="D215" s="195">
        <v>16273</v>
      </c>
      <c r="E215" s="186"/>
      <c r="F215" s="2">
        <v>1460.83</v>
      </c>
      <c r="G215" s="3">
        <f t="shared" si="25"/>
        <v>1232.90399925</v>
      </c>
      <c r="H215" s="187"/>
      <c r="I215" s="7">
        <v>7.0000000000000007E-2</v>
      </c>
      <c r="J215" s="7">
        <v>1.6500000000000001E-2</v>
      </c>
      <c r="K215" s="7">
        <v>7.5999999999999998E-2</v>
      </c>
      <c r="L215" s="7">
        <v>0</v>
      </c>
      <c r="M215" s="11">
        <f t="shared" si="26"/>
        <v>102.2581</v>
      </c>
      <c r="N215" s="11">
        <f t="shared" si="27"/>
        <v>22.416436349999998</v>
      </c>
      <c r="O215" s="11">
        <f t="shared" si="28"/>
        <v>103.25146439999999</v>
      </c>
      <c r="P215" s="11">
        <f t="shared" si="29"/>
        <v>0</v>
      </c>
    </row>
    <row r="216" spans="1:16" ht="15" customHeight="1">
      <c r="A216" s="44"/>
      <c r="B216" s="5">
        <f t="shared" si="18"/>
        <v>45474</v>
      </c>
      <c r="C216" s="1" t="s">
        <v>533</v>
      </c>
      <c r="D216" s="195">
        <v>16274</v>
      </c>
      <c r="E216" s="186"/>
      <c r="F216" s="2">
        <v>56952.13</v>
      </c>
      <c r="G216" s="3">
        <f t="shared" si="25"/>
        <v>48066.173916749998</v>
      </c>
      <c r="H216" s="187"/>
      <c r="I216" s="7">
        <v>7.0000000000000007E-2</v>
      </c>
      <c r="J216" s="7">
        <v>1.6500000000000001E-2</v>
      </c>
      <c r="K216" s="7">
        <v>7.5999999999999998E-2</v>
      </c>
      <c r="L216" s="7">
        <v>0</v>
      </c>
      <c r="M216" s="11">
        <f t="shared" si="26"/>
        <v>3986.6491000000001</v>
      </c>
      <c r="N216" s="11">
        <f t="shared" si="27"/>
        <v>873.93043484999998</v>
      </c>
      <c r="O216" s="11">
        <f t="shared" si="28"/>
        <v>4025.3765483999996</v>
      </c>
      <c r="P216" s="11">
        <f t="shared" si="29"/>
        <v>0</v>
      </c>
    </row>
    <row r="217" spans="1:16" ht="15" customHeight="1">
      <c r="A217" s="44"/>
      <c r="B217" s="5">
        <f t="shared" si="18"/>
        <v>45474</v>
      </c>
      <c r="C217" s="1" t="s">
        <v>533</v>
      </c>
      <c r="D217" s="195">
        <v>16275</v>
      </c>
      <c r="E217" s="186"/>
      <c r="F217" s="2">
        <v>15813.96</v>
      </c>
      <c r="G217" s="3">
        <f t="shared" si="25"/>
        <v>13346.586890999999</v>
      </c>
      <c r="H217" s="187"/>
      <c r="I217" s="7">
        <v>7.0000000000000007E-2</v>
      </c>
      <c r="J217" s="7">
        <v>1.6500000000000001E-2</v>
      </c>
      <c r="K217" s="7">
        <v>7.5999999999999998E-2</v>
      </c>
      <c r="L217" s="7">
        <v>0</v>
      </c>
      <c r="M217" s="11">
        <f t="shared" si="26"/>
        <v>1106.9772</v>
      </c>
      <c r="N217" s="11">
        <f t="shared" si="27"/>
        <v>242.6652162</v>
      </c>
      <c r="O217" s="11">
        <f t="shared" si="28"/>
        <v>1117.7306928</v>
      </c>
      <c r="P217" s="11">
        <f t="shared" si="29"/>
        <v>0</v>
      </c>
    </row>
    <row r="218" spans="1:16" ht="15" customHeight="1">
      <c r="A218" s="44"/>
      <c r="B218" s="5">
        <f t="shared" si="18"/>
        <v>45474</v>
      </c>
      <c r="C218" s="1" t="s">
        <v>533</v>
      </c>
      <c r="D218" s="195">
        <v>16276</v>
      </c>
      <c r="E218" s="186"/>
      <c r="F218" s="2">
        <v>4542.5</v>
      </c>
      <c r="G218" s="3">
        <f t="shared" si="25"/>
        <v>3833.7564375000002</v>
      </c>
      <c r="H218" s="187"/>
      <c r="I218" s="7">
        <v>7.0000000000000007E-2</v>
      </c>
      <c r="J218" s="7">
        <v>1.6500000000000001E-2</v>
      </c>
      <c r="K218" s="7">
        <v>7.5999999999999998E-2</v>
      </c>
      <c r="L218" s="7">
        <v>0</v>
      </c>
      <c r="M218" s="11">
        <f t="shared" si="26"/>
        <v>317.97500000000002</v>
      </c>
      <c r="N218" s="11">
        <f t="shared" si="27"/>
        <v>69.704662499999998</v>
      </c>
      <c r="O218" s="11">
        <f t="shared" si="28"/>
        <v>321.06389999999999</v>
      </c>
      <c r="P218" s="11">
        <f t="shared" si="29"/>
        <v>0</v>
      </c>
    </row>
    <row r="219" spans="1:16" ht="15" customHeight="1">
      <c r="A219" s="44"/>
      <c r="B219" s="5">
        <f t="shared" si="18"/>
        <v>45474</v>
      </c>
      <c r="C219" s="1" t="s">
        <v>533</v>
      </c>
      <c r="D219" s="195">
        <v>16296</v>
      </c>
      <c r="E219" s="186"/>
      <c r="F219" s="2">
        <v>6383.17</v>
      </c>
      <c r="G219" s="3">
        <f t="shared" si="25"/>
        <v>5387.2359007499999</v>
      </c>
      <c r="H219" s="187"/>
      <c r="I219" s="7">
        <v>7.0000000000000007E-2</v>
      </c>
      <c r="J219" s="7">
        <v>1.6500000000000001E-2</v>
      </c>
      <c r="K219" s="7">
        <v>7.5999999999999998E-2</v>
      </c>
      <c r="L219" s="7">
        <v>0</v>
      </c>
      <c r="M219" s="11">
        <f t="shared" si="26"/>
        <v>446.82190000000003</v>
      </c>
      <c r="N219" s="11">
        <f t="shared" si="27"/>
        <v>97.949743650000002</v>
      </c>
      <c r="O219" s="11">
        <f t="shared" si="28"/>
        <v>451.16245559999999</v>
      </c>
      <c r="P219" s="11">
        <f t="shared" si="29"/>
        <v>0</v>
      </c>
    </row>
    <row r="220" spans="1:16" ht="15" customHeight="1">
      <c r="A220" s="44"/>
      <c r="B220" s="5">
        <f t="shared" si="18"/>
        <v>45474</v>
      </c>
      <c r="C220" s="1" t="s">
        <v>533</v>
      </c>
      <c r="D220" s="195">
        <v>16297</v>
      </c>
      <c r="E220" s="186"/>
      <c r="F220" s="2">
        <v>2809.66</v>
      </c>
      <c r="G220" s="3">
        <f t="shared" si="20"/>
        <v>2371.2827984999999</v>
      </c>
      <c r="H220" s="187"/>
      <c r="I220" s="7">
        <v>7.0000000000000007E-2</v>
      </c>
      <c r="J220" s="7">
        <v>1.6500000000000001E-2</v>
      </c>
      <c r="K220" s="7">
        <v>7.5999999999999998E-2</v>
      </c>
      <c r="L220" s="7">
        <v>0</v>
      </c>
      <c r="M220" s="11">
        <f t="shared" si="21"/>
        <v>196.67619999999999</v>
      </c>
      <c r="N220" s="11">
        <f t="shared" si="22"/>
        <v>43.114232700000002</v>
      </c>
      <c r="O220" s="11">
        <f t="shared" si="23"/>
        <v>198.58676879999999</v>
      </c>
      <c r="P220" s="11">
        <f t="shared" si="24"/>
        <v>0</v>
      </c>
    </row>
    <row r="221" spans="1:16" ht="15" customHeight="1">
      <c r="A221" s="44"/>
      <c r="B221" s="5">
        <f t="shared" si="18"/>
        <v>45474</v>
      </c>
      <c r="C221" s="1" t="s">
        <v>533</v>
      </c>
      <c r="D221" s="195">
        <v>16298</v>
      </c>
      <c r="E221" s="186"/>
      <c r="F221" s="2">
        <v>944.01</v>
      </c>
      <c r="G221" s="3">
        <f t="shared" si="20"/>
        <v>796.72083974999998</v>
      </c>
      <c r="H221" s="187"/>
      <c r="I221" s="7">
        <v>7.0000000000000007E-2</v>
      </c>
      <c r="J221" s="7">
        <v>1.6500000000000001E-2</v>
      </c>
      <c r="K221" s="7">
        <v>7.5999999999999998E-2</v>
      </c>
      <c r="L221" s="7">
        <v>0</v>
      </c>
      <c r="M221" s="11">
        <f t="shared" si="21"/>
        <v>66.080700000000007</v>
      </c>
      <c r="N221" s="11">
        <f t="shared" si="22"/>
        <v>14.485833450000001</v>
      </c>
      <c r="O221" s="11">
        <f t="shared" si="23"/>
        <v>66.7226268</v>
      </c>
      <c r="P221" s="11">
        <f t="shared" si="24"/>
        <v>0</v>
      </c>
    </row>
    <row r="222" spans="1:16" ht="15" customHeight="1">
      <c r="A222" s="44"/>
      <c r="B222" s="5">
        <f t="shared" si="18"/>
        <v>45474</v>
      </c>
      <c r="C222" s="1" t="s">
        <v>533</v>
      </c>
      <c r="D222" s="195">
        <v>16299</v>
      </c>
      <c r="E222" s="186"/>
      <c r="F222" s="2">
        <v>2146.08</v>
      </c>
      <c r="G222" s="3">
        <f t="shared" ref="G222:G244" si="30">F222-SUM(M222:P222)</f>
        <v>1811.2378679999999</v>
      </c>
      <c r="H222" s="187"/>
      <c r="I222" s="7">
        <v>7.0000000000000007E-2</v>
      </c>
      <c r="J222" s="7">
        <v>1.6500000000000001E-2</v>
      </c>
      <c r="K222" s="7">
        <v>7.5999999999999998E-2</v>
      </c>
      <c r="L222" s="7">
        <v>0</v>
      </c>
      <c r="M222" s="11">
        <f t="shared" ref="M222:M244" si="31">+I222*F222</f>
        <v>150.22560000000001</v>
      </c>
      <c r="N222" s="11">
        <f t="shared" ref="N222:N244" si="32">J222*(F222-M222)</f>
        <v>32.931597600000003</v>
      </c>
      <c r="O222" s="11">
        <f t="shared" ref="O222:O244" si="33">K222*(F222-M222)</f>
        <v>151.6849344</v>
      </c>
      <c r="P222" s="11">
        <f t="shared" ref="P222:P244" si="34">L222*(F222)</f>
        <v>0</v>
      </c>
    </row>
    <row r="223" spans="1:16" ht="15" customHeight="1">
      <c r="A223" s="44"/>
      <c r="B223" s="5">
        <f t="shared" si="18"/>
        <v>45474</v>
      </c>
      <c r="C223" s="1" t="s">
        <v>533</v>
      </c>
      <c r="D223" s="195">
        <v>16300</v>
      </c>
      <c r="E223" s="186"/>
      <c r="F223" s="2">
        <v>24194.7</v>
      </c>
      <c r="G223" s="3">
        <f t="shared" si="30"/>
        <v>20419.721932500001</v>
      </c>
      <c r="H223" s="187"/>
      <c r="I223" s="7">
        <v>7.0000000000000007E-2</v>
      </c>
      <c r="J223" s="7">
        <v>1.6500000000000001E-2</v>
      </c>
      <c r="K223" s="7">
        <v>7.5999999999999998E-2</v>
      </c>
      <c r="L223" s="7">
        <v>0</v>
      </c>
      <c r="M223" s="11">
        <f t="shared" si="31"/>
        <v>1693.6290000000001</v>
      </c>
      <c r="N223" s="11">
        <f t="shared" si="32"/>
        <v>371.26767150000001</v>
      </c>
      <c r="O223" s="11">
        <f t="shared" si="33"/>
        <v>1710.081396</v>
      </c>
      <c r="P223" s="11">
        <f t="shared" si="34"/>
        <v>0</v>
      </c>
    </row>
    <row r="224" spans="1:16" ht="15" customHeight="1">
      <c r="A224" s="44"/>
      <c r="B224" s="5">
        <f t="shared" si="18"/>
        <v>45474</v>
      </c>
      <c r="C224" s="1" t="s">
        <v>533</v>
      </c>
      <c r="D224" s="195">
        <v>16301</v>
      </c>
      <c r="E224" s="186"/>
      <c r="F224" s="2">
        <v>6955.63</v>
      </c>
      <c r="G224" s="3">
        <f t="shared" si="30"/>
        <v>5870.3778292500001</v>
      </c>
      <c r="H224" s="187"/>
      <c r="I224" s="7">
        <v>7.0000000000000007E-2</v>
      </c>
      <c r="J224" s="7">
        <v>1.6500000000000001E-2</v>
      </c>
      <c r="K224" s="7">
        <v>7.5999999999999998E-2</v>
      </c>
      <c r="L224" s="7">
        <v>0</v>
      </c>
      <c r="M224" s="11">
        <f t="shared" si="31"/>
        <v>486.89410000000004</v>
      </c>
      <c r="N224" s="11">
        <f t="shared" si="32"/>
        <v>106.73414235</v>
      </c>
      <c r="O224" s="11">
        <f t="shared" si="33"/>
        <v>491.62392839999995</v>
      </c>
      <c r="P224" s="11">
        <f t="shared" si="34"/>
        <v>0</v>
      </c>
    </row>
    <row r="225" spans="1:16" ht="15" customHeight="1">
      <c r="A225" s="44"/>
      <c r="B225" s="5">
        <f t="shared" si="18"/>
        <v>45474</v>
      </c>
      <c r="C225" s="1" t="s">
        <v>533</v>
      </c>
      <c r="D225" s="195">
        <v>16302</v>
      </c>
      <c r="E225" s="186"/>
      <c r="F225" s="2">
        <v>1988.05</v>
      </c>
      <c r="G225" s="3">
        <f t="shared" si="30"/>
        <v>1677.8644987499999</v>
      </c>
      <c r="H225" s="187"/>
      <c r="I225" s="7">
        <v>7.0000000000000007E-2</v>
      </c>
      <c r="J225" s="7">
        <v>1.6500000000000001E-2</v>
      </c>
      <c r="K225" s="7">
        <v>7.5999999999999998E-2</v>
      </c>
      <c r="L225" s="7">
        <v>0</v>
      </c>
      <c r="M225" s="11">
        <f t="shared" si="31"/>
        <v>139.1635</v>
      </c>
      <c r="N225" s="11">
        <f t="shared" si="32"/>
        <v>30.506627250000001</v>
      </c>
      <c r="O225" s="11">
        <f t="shared" si="33"/>
        <v>140.51537400000001</v>
      </c>
      <c r="P225" s="11">
        <f t="shared" si="34"/>
        <v>0</v>
      </c>
    </row>
    <row r="226" spans="1:16" ht="15" customHeight="1">
      <c r="A226" s="44"/>
      <c r="B226" s="5">
        <f t="shared" si="18"/>
        <v>45474</v>
      </c>
      <c r="C226" s="1" t="s">
        <v>533</v>
      </c>
      <c r="D226" s="195">
        <v>16303</v>
      </c>
      <c r="E226" s="186"/>
      <c r="F226" s="2">
        <v>975.4</v>
      </c>
      <c r="G226" s="3">
        <f t="shared" si="30"/>
        <v>823.21321499999999</v>
      </c>
      <c r="H226" s="187"/>
      <c r="I226" s="7">
        <v>7.0000000000000007E-2</v>
      </c>
      <c r="J226" s="7">
        <v>1.6500000000000001E-2</v>
      </c>
      <c r="K226" s="7">
        <v>7.5999999999999998E-2</v>
      </c>
      <c r="L226" s="7">
        <v>0</v>
      </c>
      <c r="M226" s="11">
        <f t="shared" si="31"/>
        <v>68.278000000000006</v>
      </c>
      <c r="N226" s="11">
        <f t="shared" si="32"/>
        <v>14.967513</v>
      </c>
      <c r="O226" s="11">
        <f t="shared" si="33"/>
        <v>68.941271999999998</v>
      </c>
      <c r="P226" s="11">
        <f t="shared" si="34"/>
        <v>0</v>
      </c>
    </row>
    <row r="227" spans="1:16" ht="15" customHeight="1">
      <c r="A227" s="44"/>
      <c r="B227" s="5">
        <f t="shared" si="18"/>
        <v>45474</v>
      </c>
      <c r="C227" s="1" t="s">
        <v>533</v>
      </c>
      <c r="D227" s="195">
        <v>16304</v>
      </c>
      <c r="E227" s="186"/>
      <c r="F227" s="2">
        <v>12133.7</v>
      </c>
      <c r="G227" s="3">
        <f t="shared" si="30"/>
        <v>10240.539457500001</v>
      </c>
      <c r="H227" s="187"/>
      <c r="I227" s="7">
        <v>7.0000000000000007E-2</v>
      </c>
      <c r="J227" s="7">
        <v>1.6500000000000001E-2</v>
      </c>
      <c r="K227" s="7">
        <v>7.5999999999999998E-2</v>
      </c>
      <c r="L227" s="7">
        <v>0</v>
      </c>
      <c r="M227" s="11">
        <f t="shared" si="31"/>
        <v>849.35900000000015</v>
      </c>
      <c r="N227" s="11">
        <f t="shared" si="32"/>
        <v>186.19162650000001</v>
      </c>
      <c r="O227" s="11">
        <f t="shared" si="33"/>
        <v>857.609916</v>
      </c>
      <c r="P227" s="11">
        <f t="shared" si="34"/>
        <v>0</v>
      </c>
    </row>
    <row r="228" spans="1:16" ht="15" customHeight="1">
      <c r="A228" s="44"/>
      <c r="B228" s="5">
        <f t="shared" si="18"/>
        <v>45474</v>
      </c>
      <c r="C228" s="1" t="s">
        <v>533</v>
      </c>
      <c r="D228" s="195">
        <v>16305</v>
      </c>
      <c r="E228" s="186"/>
      <c r="F228" s="2">
        <v>3338.24</v>
      </c>
      <c r="G228" s="3">
        <f t="shared" si="30"/>
        <v>2817.3911039999998</v>
      </c>
      <c r="H228" s="187"/>
      <c r="I228" s="7">
        <v>7.0000000000000007E-2</v>
      </c>
      <c r="J228" s="7">
        <v>1.6500000000000001E-2</v>
      </c>
      <c r="K228" s="7">
        <v>7.5999999999999998E-2</v>
      </c>
      <c r="L228" s="7">
        <v>0</v>
      </c>
      <c r="M228" s="11">
        <f t="shared" si="31"/>
        <v>233.67680000000001</v>
      </c>
      <c r="N228" s="11">
        <f t="shared" si="32"/>
        <v>51.225292799999998</v>
      </c>
      <c r="O228" s="11">
        <f t="shared" si="33"/>
        <v>235.94680319999998</v>
      </c>
      <c r="P228" s="11">
        <f t="shared" si="34"/>
        <v>0</v>
      </c>
    </row>
    <row r="229" spans="1:16" ht="15" customHeight="1">
      <c r="A229" s="44"/>
      <c r="B229" s="5">
        <f t="shared" si="18"/>
        <v>45474</v>
      </c>
      <c r="C229" s="1" t="s">
        <v>533</v>
      </c>
      <c r="D229" s="195">
        <v>16317</v>
      </c>
      <c r="E229" s="186"/>
      <c r="F229" s="2">
        <v>600.58000000000004</v>
      </c>
      <c r="G229" s="3">
        <f t="shared" si="30"/>
        <v>506.87450550000005</v>
      </c>
      <c r="H229" s="187"/>
      <c r="I229" s="7">
        <v>7.0000000000000007E-2</v>
      </c>
      <c r="J229" s="7">
        <v>1.6500000000000001E-2</v>
      </c>
      <c r="K229" s="7">
        <v>7.5999999999999998E-2</v>
      </c>
      <c r="L229" s="7">
        <v>0</v>
      </c>
      <c r="M229" s="11">
        <f t="shared" si="31"/>
        <v>42.040600000000005</v>
      </c>
      <c r="N229" s="11">
        <f t="shared" si="32"/>
        <v>9.2159001000000007</v>
      </c>
      <c r="O229" s="11">
        <f t="shared" si="33"/>
        <v>42.448994399999997</v>
      </c>
      <c r="P229" s="11">
        <f t="shared" si="34"/>
        <v>0</v>
      </c>
    </row>
    <row r="230" spans="1:16" ht="15" customHeight="1">
      <c r="A230" s="44"/>
      <c r="B230" s="5">
        <f t="shared" si="18"/>
        <v>45474</v>
      </c>
      <c r="C230" s="1" t="s">
        <v>533</v>
      </c>
      <c r="D230" s="195">
        <v>16318</v>
      </c>
      <c r="E230" s="186"/>
      <c r="F230" s="2">
        <v>16081.84</v>
      </c>
      <c r="G230" s="3">
        <f t="shared" si="30"/>
        <v>13572.670914</v>
      </c>
      <c r="H230" s="187"/>
      <c r="I230" s="7">
        <v>7.0000000000000007E-2</v>
      </c>
      <c r="J230" s="7">
        <v>1.6500000000000001E-2</v>
      </c>
      <c r="K230" s="7">
        <v>7.5999999999999998E-2</v>
      </c>
      <c r="L230" s="7">
        <v>0</v>
      </c>
      <c r="M230" s="11">
        <f t="shared" si="31"/>
        <v>1125.7288000000001</v>
      </c>
      <c r="N230" s="11">
        <f t="shared" si="32"/>
        <v>246.77583480000001</v>
      </c>
      <c r="O230" s="11">
        <f t="shared" si="33"/>
        <v>1136.6644512</v>
      </c>
      <c r="P230" s="11">
        <f t="shared" si="34"/>
        <v>0</v>
      </c>
    </row>
    <row r="231" spans="1:16" ht="15" customHeight="1">
      <c r="A231" s="44"/>
      <c r="B231" s="5">
        <f t="shared" si="18"/>
        <v>45474</v>
      </c>
      <c r="C231" s="1" t="s">
        <v>533</v>
      </c>
      <c r="D231" s="195">
        <v>16319</v>
      </c>
      <c r="E231" s="186"/>
      <c r="F231" s="2">
        <v>4535.67</v>
      </c>
      <c r="G231" s="3">
        <f t="shared" ref="G231:G242" si="35">F231-SUM(M231:P231)</f>
        <v>3827.9920882500001</v>
      </c>
      <c r="H231" s="187"/>
      <c r="I231" s="7">
        <v>7.0000000000000007E-2</v>
      </c>
      <c r="J231" s="7">
        <v>1.6500000000000001E-2</v>
      </c>
      <c r="K231" s="7">
        <v>7.5999999999999998E-2</v>
      </c>
      <c r="L231" s="7">
        <v>0</v>
      </c>
      <c r="M231" s="11">
        <f t="shared" ref="M231:M242" si="36">+I231*F231</f>
        <v>317.49690000000004</v>
      </c>
      <c r="N231" s="11">
        <f t="shared" ref="N231:N242" si="37">J231*(F231-M231)</f>
        <v>69.599856150000008</v>
      </c>
      <c r="O231" s="11">
        <f t="shared" ref="O231:O242" si="38">K231*(F231-M231)</f>
        <v>320.58115559999999</v>
      </c>
      <c r="P231" s="11">
        <f t="shared" ref="P231:P242" si="39">L231*(F231)</f>
        <v>0</v>
      </c>
    </row>
    <row r="232" spans="1:16" ht="15" customHeight="1">
      <c r="A232" s="44"/>
      <c r="B232" s="5">
        <f t="shared" si="18"/>
        <v>45474</v>
      </c>
      <c r="C232" s="1" t="s">
        <v>533</v>
      </c>
      <c r="D232" s="195">
        <v>16336</v>
      </c>
      <c r="E232" s="186"/>
      <c r="F232" s="2">
        <v>7730</v>
      </c>
      <c r="G232" s="3">
        <f t="shared" si="35"/>
        <v>6523.9267500000005</v>
      </c>
      <c r="H232" s="187"/>
      <c r="I232" s="7">
        <v>7.0000000000000007E-2</v>
      </c>
      <c r="J232" s="7">
        <v>1.6500000000000001E-2</v>
      </c>
      <c r="K232" s="7">
        <v>7.5999999999999998E-2</v>
      </c>
      <c r="L232" s="7">
        <v>0</v>
      </c>
      <c r="M232" s="11">
        <f t="shared" si="36"/>
        <v>541.1</v>
      </c>
      <c r="N232" s="11">
        <f t="shared" si="37"/>
        <v>118.61685</v>
      </c>
      <c r="O232" s="11">
        <f t="shared" si="38"/>
        <v>546.35640000000001</v>
      </c>
      <c r="P232" s="11">
        <f t="shared" si="39"/>
        <v>0</v>
      </c>
    </row>
    <row r="233" spans="1:16" ht="15" customHeight="1">
      <c r="A233" s="44"/>
      <c r="B233" s="5">
        <f t="shared" si="18"/>
        <v>45474</v>
      </c>
      <c r="C233" s="1" t="s">
        <v>533</v>
      </c>
      <c r="D233" s="195">
        <v>16337</v>
      </c>
      <c r="E233" s="186"/>
      <c r="F233" s="2">
        <v>3582.83</v>
      </c>
      <c r="G233" s="3">
        <f t="shared" si="35"/>
        <v>3023.8189492500001</v>
      </c>
      <c r="H233" s="187"/>
      <c r="I233" s="7">
        <v>7.0000000000000007E-2</v>
      </c>
      <c r="J233" s="7">
        <v>1.6500000000000001E-2</v>
      </c>
      <c r="K233" s="7">
        <v>7.5999999999999998E-2</v>
      </c>
      <c r="L233" s="7">
        <v>0</v>
      </c>
      <c r="M233" s="11">
        <f t="shared" si="36"/>
        <v>250.79810000000001</v>
      </c>
      <c r="N233" s="11">
        <f t="shared" si="37"/>
        <v>54.978526350000003</v>
      </c>
      <c r="O233" s="11">
        <f t="shared" si="38"/>
        <v>253.23442439999999</v>
      </c>
      <c r="P233" s="11">
        <f t="shared" si="39"/>
        <v>0</v>
      </c>
    </row>
    <row r="234" spans="1:16" ht="15" customHeight="1">
      <c r="A234" s="44"/>
      <c r="B234" s="5">
        <f t="shared" si="18"/>
        <v>45474</v>
      </c>
      <c r="C234" s="1" t="s">
        <v>533</v>
      </c>
      <c r="D234" s="195">
        <v>16338</v>
      </c>
      <c r="E234" s="186"/>
      <c r="F234" s="2">
        <v>2675.76</v>
      </c>
      <c r="G234" s="3">
        <f t="shared" si="35"/>
        <v>2258.2745460000001</v>
      </c>
      <c r="H234" s="187"/>
      <c r="I234" s="7">
        <v>7.0000000000000007E-2</v>
      </c>
      <c r="J234" s="7">
        <v>1.6500000000000001E-2</v>
      </c>
      <c r="K234" s="7">
        <v>7.5999999999999998E-2</v>
      </c>
      <c r="L234" s="7">
        <v>0</v>
      </c>
      <c r="M234" s="11">
        <f t="shared" si="36"/>
        <v>187.30320000000003</v>
      </c>
      <c r="N234" s="11">
        <f t="shared" si="37"/>
        <v>41.059537200000008</v>
      </c>
      <c r="O234" s="11">
        <f t="shared" si="38"/>
        <v>189.12271680000003</v>
      </c>
      <c r="P234" s="11">
        <f t="shared" si="39"/>
        <v>0</v>
      </c>
    </row>
    <row r="235" spans="1:16" ht="15" customHeight="1">
      <c r="A235" s="44"/>
      <c r="B235" s="5">
        <f t="shared" si="18"/>
        <v>45474</v>
      </c>
      <c r="C235" s="1" t="s">
        <v>533</v>
      </c>
      <c r="D235" s="195">
        <v>16339</v>
      </c>
      <c r="E235" s="186"/>
      <c r="F235" s="2">
        <v>9774.7999999999993</v>
      </c>
      <c r="G235" s="3">
        <f t="shared" si="35"/>
        <v>8249.6868299999987</v>
      </c>
      <c r="H235" s="187"/>
      <c r="I235" s="7">
        <v>7.0000000000000007E-2</v>
      </c>
      <c r="J235" s="7">
        <v>1.6500000000000001E-2</v>
      </c>
      <c r="K235" s="7">
        <v>7.5999999999999998E-2</v>
      </c>
      <c r="L235" s="7">
        <v>0</v>
      </c>
      <c r="M235" s="11">
        <f t="shared" si="36"/>
        <v>684.23599999999999</v>
      </c>
      <c r="N235" s="11">
        <f t="shared" si="37"/>
        <v>149.99430599999999</v>
      </c>
      <c r="O235" s="11">
        <f t="shared" si="38"/>
        <v>690.88286399999981</v>
      </c>
      <c r="P235" s="11">
        <f t="shared" si="39"/>
        <v>0</v>
      </c>
    </row>
    <row r="236" spans="1:16" ht="15" customHeight="1">
      <c r="A236" s="44"/>
      <c r="B236" s="5">
        <f t="shared" si="18"/>
        <v>45474</v>
      </c>
      <c r="C236" s="1" t="s">
        <v>533</v>
      </c>
      <c r="D236" s="195">
        <v>16340</v>
      </c>
      <c r="E236" s="186"/>
      <c r="F236" s="2">
        <v>36.270000000000003</v>
      </c>
      <c r="G236" s="3">
        <f t="shared" si="35"/>
        <v>30.610973250000001</v>
      </c>
      <c r="H236" s="187"/>
      <c r="I236" s="7">
        <v>7.0000000000000007E-2</v>
      </c>
      <c r="J236" s="7">
        <v>1.6500000000000001E-2</v>
      </c>
      <c r="K236" s="7">
        <v>7.5999999999999998E-2</v>
      </c>
      <c r="L236" s="7">
        <v>0</v>
      </c>
      <c r="M236" s="11">
        <f t="shared" si="36"/>
        <v>2.5389000000000004</v>
      </c>
      <c r="N236" s="11">
        <f t="shared" si="37"/>
        <v>0.55656315000000012</v>
      </c>
      <c r="O236" s="11">
        <f t="shared" si="38"/>
        <v>2.5635636000000002</v>
      </c>
      <c r="P236" s="11">
        <f t="shared" si="39"/>
        <v>0</v>
      </c>
    </row>
    <row r="237" spans="1:16" ht="15" customHeight="1">
      <c r="A237" s="44"/>
      <c r="B237" s="5">
        <f t="shared" si="18"/>
        <v>45474</v>
      </c>
      <c r="C237" s="1" t="s">
        <v>533</v>
      </c>
      <c r="D237" s="195">
        <v>16341</v>
      </c>
      <c r="E237" s="186"/>
      <c r="F237" s="2">
        <v>9825.3700000000008</v>
      </c>
      <c r="G237" s="3">
        <f t="shared" si="35"/>
        <v>8292.3666457500003</v>
      </c>
      <c r="H237" s="187"/>
      <c r="I237" s="7">
        <v>7.0000000000000007E-2</v>
      </c>
      <c r="J237" s="7">
        <v>1.6500000000000001E-2</v>
      </c>
      <c r="K237" s="7">
        <v>7.5999999999999998E-2</v>
      </c>
      <c r="L237" s="7">
        <v>0</v>
      </c>
      <c r="M237" s="11">
        <f t="shared" si="36"/>
        <v>687.77590000000009</v>
      </c>
      <c r="N237" s="11">
        <f t="shared" si="37"/>
        <v>150.77030265000002</v>
      </c>
      <c r="O237" s="11">
        <f t="shared" si="38"/>
        <v>694.45715159999997</v>
      </c>
      <c r="P237" s="11">
        <f t="shared" si="39"/>
        <v>0</v>
      </c>
    </row>
    <row r="238" spans="1:16" ht="15" customHeight="1">
      <c r="A238" s="44"/>
      <c r="B238" s="5">
        <f t="shared" si="18"/>
        <v>45474</v>
      </c>
      <c r="C238" s="1" t="s">
        <v>533</v>
      </c>
      <c r="D238" s="195">
        <v>16342</v>
      </c>
      <c r="E238" s="186"/>
      <c r="F238" s="2">
        <v>4380.13</v>
      </c>
      <c r="G238" s="3">
        <f t="shared" si="35"/>
        <v>3696.72021675</v>
      </c>
      <c r="H238" s="187"/>
      <c r="I238" s="7">
        <v>7.0000000000000007E-2</v>
      </c>
      <c r="J238" s="7">
        <v>1.6500000000000001E-2</v>
      </c>
      <c r="K238" s="7">
        <v>7.5999999999999998E-2</v>
      </c>
      <c r="L238" s="7">
        <v>0</v>
      </c>
      <c r="M238" s="11">
        <f t="shared" si="36"/>
        <v>306.60910000000001</v>
      </c>
      <c r="N238" s="11">
        <f t="shared" si="37"/>
        <v>67.213094850000004</v>
      </c>
      <c r="O238" s="11">
        <f t="shared" si="38"/>
        <v>309.58758840000002</v>
      </c>
      <c r="P238" s="11">
        <f t="shared" si="39"/>
        <v>0</v>
      </c>
    </row>
    <row r="239" spans="1:16" ht="15" customHeight="1">
      <c r="A239" s="44"/>
      <c r="B239" s="5">
        <f t="shared" si="18"/>
        <v>45474</v>
      </c>
      <c r="C239" s="1" t="s">
        <v>533</v>
      </c>
      <c r="D239" s="195">
        <v>16343</v>
      </c>
      <c r="E239" s="186"/>
      <c r="F239" s="2">
        <v>64.39</v>
      </c>
      <c r="G239" s="3">
        <f t="shared" si="35"/>
        <v>54.34355025</v>
      </c>
      <c r="H239" s="187"/>
      <c r="I239" s="7">
        <v>7.0000000000000007E-2</v>
      </c>
      <c r="J239" s="7">
        <v>1.6500000000000001E-2</v>
      </c>
      <c r="K239" s="7">
        <v>7.5999999999999998E-2</v>
      </c>
      <c r="L239" s="7">
        <v>0</v>
      </c>
      <c r="M239" s="11">
        <f t="shared" si="36"/>
        <v>4.5073000000000008</v>
      </c>
      <c r="N239" s="11">
        <f t="shared" si="37"/>
        <v>0.98806455000000004</v>
      </c>
      <c r="O239" s="11">
        <f t="shared" si="38"/>
        <v>4.5510852000000002</v>
      </c>
      <c r="P239" s="11">
        <f t="shared" si="39"/>
        <v>0</v>
      </c>
    </row>
    <row r="240" spans="1:16" ht="15" customHeight="1">
      <c r="A240" s="44"/>
      <c r="B240" s="5">
        <f t="shared" si="18"/>
        <v>45474</v>
      </c>
      <c r="C240" s="1" t="s">
        <v>533</v>
      </c>
      <c r="D240" s="195">
        <v>16344</v>
      </c>
      <c r="E240" s="186"/>
      <c r="F240" s="2">
        <v>1287.6099999999999</v>
      </c>
      <c r="G240" s="3">
        <f t="shared" si="35"/>
        <v>1086.7106497499999</v>
      </c>
      <c r="H240" s="187"/>
      <c r="I240" s="7">
        <v>7.0000000000000007E-2</v>
      </c>
      <c r="J240" s="7">
        <v>1.6500000000000001E-2</v>
      </c>
      <c r="K240" s="7">
        <v>7.5999999999999998E-2</v>
      </c>
      <c r="L240" s="7">
        <v>0</v>
      </c>
      <c r="M240" s="11">
        <f t="shared" si="36"/>
        <v>90.1327</v>
      </c>
      <c r="N240" s="11">
        <f t="shared" si="37"/>
        <v>19.758375450000003</v>
      </c>
      <c r="O240" s="11">
        <f t="shared" si="38"/>
        <v>91.008274799999995</v>
      </c>
      <c r="P240" s="11">
        <f t="shared" si="39"/>
        <v>0</v>
      </c>
    </row>
    <row r="241" spans="1:16" ht="15" customHeight="1">
      <c r="A241" s="44"/>
      <c r="B241" s="5">
        <f t="shared" si="18"/>
        <v>45474</v>
      </c>
      <c r="C241" s="1" t="s">
        <v>533</v>
      </c>
      <c r="D241" s="195">
        <v>16345</v>
      </c>
      <c r="E241" s="186"/>
      <c r="F241" s="2">
        <v>703.92</v>
      </c>
      <c r="G241" s="3">
        <f t="shared" si="35"/>
        <v>594.09088199999997</v>
      </c>
      <c r="H241" s="187"/>
      <c r="I241" s="7">
        <v>7.0000000000000007E-2</v>
      </c>
      <c r="J241" s="7">
        <v>1.6500000000000001E-2</v>
      </c>
      <c r="K241" s="7">
        <v>7.5999999999999998E-2</v>
      </c>
      <c r="L241" s="7">
        <v>0</v>
      </c>
      <c r="M241" s="11">
        <f t="shared" si="36"/>
        <v>49.2744</v>
      </c>
      <c r="N241" s="11">
        <f t="shared" si="37"/>
        <v>10.8016524</v>
      </c>
      <c r="O241" s="11">
        <f t="shared" si="38"/>
        <v>49.753065599999992</v>
      </c>
      <c r="P241" s="11">
        <f t="shared" si="39"/>
        <v>0</v>
      </c>
    </row>
    <row r="242" spans="1:16" ht="15" customHeight="1">
      <c r="A242" s="44"/>
      <c r="B242" s="5">
        <f t="shared" si="18"/>
        <v>45474</v>
      </c>
      <c r="C242" s="1" t="s">
        <v>533</v>
      </c>
      <c r="D242" s="195">
        <v>16346</v>
      </c>
      <c r="E242" s="186"/>
      <c r="F242" s="2">
        <v>58010.51</v>
      </c>
      <c r="G242" s="3">
        <f t="shared" si="35"/>
        <v>48959.420177250002</v>
      </c>
      <c r="H242" s="187"/>
      <c r="I242" s="7">
        <v>7.0000000000000007E-2</v>
      </c>
      <c r="J242" s="7">
        <v>1.6500000000000001E-2</v>
      </c>
      <c r="K242" s="7">
        <v>7.5999999999999998E-2</v>
      </c>
      <c r="L242" s="7">
        <v>0</v>
      </c>
      <c r="M242" s="11">
        <f t="shared" si="36"/>
        <v>4060.7357000000006</v>
      </c>
      <c r="N242" s="11">
        <f t="shared" si="37"/>
        <v>890.17127595000011</v>
      </c>
      <c r="O242" s="11">
        <f t="shared" si="38"/>
        <v>4100.1828468000003</v>
      </c>
      <c r="P242" s="11">
        <f t="shared" si="39"/>
        <v>0</v>
      </c>
    </row>
    <row r="243" spans="1:16" ht="15" customHeight="1">
      <c r="A243" s="44"/>
      <c r="B243" s="5">
        <f t="shared" si="18"/>
        <v>45474</v>
      </c>
      <c r="C243" s="1" t="s">
        <v>533</v>
      </c>
      <c r="D243" s="195">
        <v>16364</v>
      </c>
      <c r="E243" s="186"/>
      <c r="F243" s="2">
        <v>4537.25</v>
      </c>
      <c r="G243" s="3">
        <f t="shared" si="30"/>
        <v>3829.32556875</v>
      </c>
      <c r="H243" s="187"/>
      <c r="I243" s="7">
        <v>7.0000000000000007E-2</v>
      </c>
      <c r="J243" s="7">
        <v>1.6500000000000001E-2</v>
      </c>
      <c r="K243" s="7">
        <v>7.5999999999999998E-2</v>
      </c>
      <c r="L243" s="7">
        <v>0</v>
      </c>
      <c r="M243" s="11">
        <f t="shared" si="31"/>
        <v>317.60750000000002</v>
      </c>
      <c r="N243" s="11">
        <f t="shared" si="32"/>
        <v>69.624101249999995</v>
      </c>
      <c r="O243" s="11">
        <f t="shared" si="33"/>
        <v>320.69282999999996</v>
      </c>
      <c r="P243" s="11">
        <f t="shared" si="34"/>
        <v>0</v>
      </c>
    </row>
    <row r="244" spans="1:16" ht="15" hidden="1" customHeight="1">
      <c r="A244" s="44"/>
      <c r="B244" s="5">
        <f t="shared" si="18"/>
        <v>45474</v>
      </c>
      <c r="C244" s="1" t="s">
        <v>533</v>
      </c>
      <c r="D244" s="195"/>
      <c r="E244" s="186"/>
      <c r="F244" s="2"/>
      <c r="G244" s="3">
        <f t="shared" si="30"/>
        <v>0</v>
      </c>
      <c r="H244" s="187"/>
      <c r="I244" s="7"/>
      <c r="J244" s="7">
        <v>1.6500000000000001E-2</v>
      </c>
      <c r="K244" s="7">
        <v>7.5999999999999998E-2</v>
      </c>
      <c r="L244" s="7">
        <v>0</v>
      </c>
      <c r="M244" s="11">
        <f t="shared" si="31"/>
        <v>0</v>
      </c>
      <c r="N244" s="11">
        <f t="shared" si="32"/>
        <v>0</v>
      </c>
      <c r="O244" s="11">
        <f t="shared" si="33"/>
        <v>0</v>
      </c>
      <c r="P244" s="11">
        <f t="shared" si="34"/>
        <v>0</v>
      </c>
    </row>
    <row r="245" spans="1:16" ht="15" hidden="1" customHeight="1">
      <c r="A245" s="44"/>
      <c r="B245" s="5">
        <f t="shared" si="18"/>
        <v>45474</v>
      </c>
      <c r="C245" s="1" t="s">
        <v>533</v>
      </c>
      <c r="D245" s="195"/>
      <c r="E245" s="186"/>
      <c r="F245" s="2"/>
      <c r="G245" s="3">
        <f t="shared" si="20"/>
        <v>0</v>
      </c>
      <c r="H245" s="187"/>
      <c r="I245" s="7"/>
      <c r="J245" s="7">
        <v>1.6500000000000001E-2</v>
      </c>
      <c r="K245" s="7">
        <v>7.5999999999999998E-2</v>
      </c>
      <c r="L245" s="7">
        <v>0</v>
      </c>
      <c r="M245" s="11">
        <f t="shared" si="21"/>
        <v>0</v>
      </c>
      <c r="N245" s="11">
        <f t="shared" si="22"/>
        <v>0</v>
      </c>
      <c r="O245" s="11">
        <f t="shared" si="23"/>
        <v>0</v>
      </c>
      <c r="P245" s="11">
        <f t="shared" si="24"/>
        <v>0</v>
      </c>
    </row>
    <row r="246" spans="1:16" ht="15" hidden="1" customHeight="1">
      <c r="A246" s="44"/>
      <c r="B246" s="5">
        <f t="shared" si="18"/>
        <v>45474</v>
      </c>
      <c r="C246" s="1" t="s">
        <v>533</v>
      </c>
      <c r="D246" s="195"/>
      <c r="E246" s="186"/>
      <c r="F246" s="2"/>
      <c r="G246" s="3">
        <f t="shared" si="20"/>
        <v>0</v>
      </c>
      <c r="H246" s="187"/>
      <c r="I246" s="7"/>
      <c r="J246" s="7">
        <v>1.6500000000000001E-2</v>
      </c>
      <c r="K246" s="7">
        <v>7.5999999999999998E-2</v>
      </c>
      <c r="L246" s="7">
        <v>0</v>
      </c>
      <c r="M246" s="11">
        <f t="shared" si="21"/>
        <v>0</v>
      </c>
      <c r="N246" s="11">
        <f t="shared" si="22"/>
        <v>0</v>
      </c>
      <c r="O246" s="11">
        <f t="shared" si="23"/>
        <v>0</v>
      </c>
      <c r="P246" s="11">
        <f t="shared" si="24"/>
        <v>0</v>
      </c>
    </row>
    <row r="247" spans="1:16" ht="15" hidden="1" customHeight="1">
      <c r="A247" s="44"/>
      <c r="B247" s="5">
        <f t="shared" si="18"/>
        <v>45474</v>
      </c>
      <c r="C247" s="1" t="s">
        <v>533</v>
      </c>
      <c r="D247" s="195"/>
      <c r="E247" s="186"/>
      <c r="F247" s="2"/>
      <c r="G247" s="3">
        <f t="shared" si="15"/>
        <v>0</v>
      </c>
      <c r="H247" s="187"/>
      <c r="I247" s="7"/>
      <c r="J247" s="7">
        <v>1.6500000000000001E-2</v>
      </c>
      <c r="K247" s="7">
        <v>7.5999999999999998E-2</v>
      </c>
      <c r="L247" s="7">
        <v>0</v>
      </c>
      <c r="M247" s="11">
        <f t="shared" si="2"/>
        <v>0</v>
      </c>
      <c r="N247" s="11">
        <f t="shared" si="3"/>
        <v>0</v>
      </c>
      <c r="O247" s="11">
        <f t="shared" si="4"/>
        <v>0</v>
      </c>
      <c r="P247" s="11">
        <f t="shared" si="19"/>
        <v>0</v>
      </c>
    </row>
    <row r="248" spans="1:16" ht="15" hidden="1" customHeight="1">
      <c r="A248" s="44"/>
      <c r="B248" s="5">
        <f t="shared" si="18"/>
        <v>45474</v>
      </c>
      <c r="C248" s="1" t="s">
        <v>533</v>
      </c>
      <c r="D248" s="195"/>
      <c r="E248" s="186"/>
      <c r="F248" s="2"/>
      <c r="G248" s="3">
        <f t="shared" si="15"/>
        <v>0</v>
      </c>
      <c r="H248" s="187"/>
      <c r="I248" s="7"/>
      <c r="J248" s="7">
        <v>1.6500000000000001E-2</v>
      </c>
      <c r="K248" s="7">
        <v>7.5999999999999998E-2</v>
      </c>
      <c r="L248" s="7">
        <v>0</v>
      </c>
      <c r="M248" s="11">
        <f t="shared" si="2"/>
        <v>0</v>
      </c>
      <c r="N248" s="11">
        <f t="shared" si="3"/>
        <v>0</v>
      </c>
      <c r="O248" s="11">
        <f t="shared" si="4"/>
        <v>0</v>
      </c>
      <c r="P248" s="11">
        <f t="shared" si="19"/>
        <v>0</v>
      </c>
    </row>
    <row r="249" spans="1:16" hidden="1">
      <c r="A249" s="44"/>
      <c r="B249" s="5">
        <f t="shared" si="18"/>
        <v>45474</v>
      </c>
      <c r="C249" s="1" t="s">
        <v>533</v>
      </c>
      <c r="D249" s="195"/>
      <c r="E249" s="186"/>
      <c r="F249" s="2"/>
      <c r="G249" s="3">
        <f t="shared" si="15"/>
        <v>0</v>
      </c>
      <c r="H249" s="187"/>
      <c r="I249" s="7"/>
      <c r="J249" s="7">
        <v>1.6500000000000001E-2</v>
      </c>
      <c r="K249" s="7">
        <v>7.5999999999999998E-2</v>
      </c>
      <c r="L249" s="7">
        <v>0</v>
      </c>
      <c r="M249" s="11">
        <f t="shared" si="2"/>
        <v>0</v>
      </c>
      <c r="N249" s="11">
        <f t="shared" si="3"/>
        <v>0</v>
      </c>
      <c r="O249" s="11">
        <f t="shared" si="4"/>
        <v>0</v>
      </c>
      <c r="P249" s="11">
        <f t="shared" si="19"/>
        <v>0</v>
      </c>
    </row>
    <row r="250" spans="1:16">
      <c r="B250" s="5"/>
      <c r="C250" s="1"/>
      <c r="E250" s="1"/>
      <c r="F250" s="2"/>
      <c r="G250" s="4"/>
      <c r="H250" s="4"/>
      <c r="I250" s="7"/>
      <c r="J250" s="7"/>
      <c r="K250" s="7"/>
      <c r="L250" s="7"/>
    </row>
    <row r="251" spans="1:16">
      <c r="E251" s="28">
        <f>SUM(E19:E250)</f>
        <v>48819772.442499988</v>
      </c>
      <c r="F251" s="133"/>
      <c r="G251" s="29">
        <f>SUM(G19:G250)</f>
        <v>114417350.8976026</v>
      </c>
    </row>
    <row r="252" spans="1:16">
      <c r="E252" s="137"/>
      <c r="F252" s="41"/>
    </row>
    <row r="253" spans="1:16" ht="15.75" thickBot="1"/>
    <row r="254" spans="1:16">
      <c r="B254" s="391" t="s">
        <v>586</v>
      </c>
      <c r="C254" s="383"/>
      <c r="D254" s="383"/>
      <c r="E254" s="383"/>
      <c r="F254" s="383"/>
      <c r="G254" s="383"/>
      <c r="H254" s="383"/>
      <c r="I254" s="383"/>
      <c r="J254" s="383"/>
      <c r="K254" s="383"/>
      <c r="L254" s="383"/>
      <c r="M254" s="383"/>
      <c r="N254" s="383"/>
      <c r="O254" s="384"/>
    </row>
    <row r="255" spans="1:16">
      <c r="B255" s="385"/>
      <c r="C255" s="386"/>
      <c r="D255" s="386"/>
      <c r="E255" s="386"/>
      <c r="F255" s="386"/>
      <c r="G255" s="386"/>
      <c r="H255" s="386"/>
      <c r="I255" s="386"/>
      <c r="J255" s="386"/>
      <c r="K255" s="386"/>
      <c r="L255" s="386"/>
      <c r="M255" s="386"/>
      <c r="N255" s="386"/>
      <c r="O255" s="387"/>
    </row>
    <row r="256" spans="1:16">
      <c r="B256" s="385"/>
      <c r="C256" s="386"/>
      <c r="D256" s="386"/>
      <c r="E256" s="386"/>
      <c r="F256" s="386"/>
      <c r="G256" s="386"/>
      <c r="H256" s="386"/>
      <c r="I256" s="386"/>
      <c r="J256" s="386"/>
      <c r="K256" s="386"/>
      <c r="L256" s="386"/>
      <c r="M256" s="386"/>
      <c r="N256" s="386"/>
      <c r="O256" s="387"/>
    </row>
    <row r="257" spans="2:15">
      <c r="B257" s="385"/>
      <c r="C257" s="386"/>
      <c r="D257" s="386"/>
      <c r="E257" s="386"/>
      <c r="F257" s="386"/>
      <c r="G257" s="386"/>
      <c r="H257" s="386"/>
      <c r="I257" s="386"/>
      <c r="J257" s="386"/>
      <c r="K257" s="386"/>
      <c r="L257" s="386"/>
      <c r="M257" s="386"/>
      <c r="N257" s="386"/>
      <c r="O257" s="387"/>
    </row>
    <row r="258" spans="2:15" ht="27" customHeight="1">
      <c r="B258" s="385"/>
      <c r="C258" s="386"/>
      <c r="D258" s="386"/>
      <c r="E258" s="386"/>
      <c r="F258" s="386"/>
      <c r="G258" s="386"/>
      <c r="H258" s="386"/>
      <c r="I258" s="386"/>
      <c r="J258" s="386"/>
      <c r="K258" s="386"/>
      <c r="L258" s="386"/>
      <c r="M258" s="386"/>
      <c r="N258" s="386"/>
      <c r="O258" s="387"/>
    </row>
    <row r="259" spans="2:15" ht="44.25" customHeight="1" thickBot="1">
      <c r="B259" s="388"/>
      <c r="C259" s="389"/>
      <c r="D259" s="389"/>
      <c r="E259" s="389"/>
      <c r="F259" s="389"/>
      <c r="G259" s="389"/>
      <c r="H259" s="389"/>
      <c r="I259" s="389"/>
      <c r="J259" s="389"/>
      <c r="K259" s="389"/>
      <c r="L259" s="389"/>
      <c r="M259" s="389"/>
      <c r="N259" s="389"/>
      <c r="O259" s="390"/>
    </row>
  </sheetData>
  <mergeCells count="3">
    <mergeCell ref="C2:M2"/>
    <mergeCell ref="M17:P17"/>
    <mergeCell ref="B254:O259"/>
  </mergeCells>
  <conditionalFormatting sqref="D1:D1048576">
    <cfRule type="duplicateValues" dxfId="106" priority="1"/>
    <cfRule type="duplicateValues" dxfId="105" priority="2"/>
  </conditionalFormatting>
  <conditionalFormatting sqref="D7 D10">
    <cfRule type="duplicateValues" dxfId="104" priority="3"/>
  </conditionalFormatting>
  <conditionalFormatting sqref="D19:D112">
    <cfRule type="duplicateValues" dxfId="103" priority="5"/>
  </conditionalFormatting>
  <conditionalFormatting sqref="D253:D1048576 D1:D251">
    <cfRule type="duplicateValues" dxfId="102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FB83-80BC-4D04-BEA7-20750C760816}">
  <sheetPr>
    <pageSetUpPr fitToPage="1"/>
  </sheetPr>
  <dimension ref="A2:P259"/>
  <sheetViews>
    <sheetView showGridLines="0" topLeftCell="A14" zoomScale="90" zoomScaleNormal="9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6.425781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5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5" ht="23.25">
      <c r="C3" s="13">
        <v>45505</v>
      </c>
    </row>
    <row r="5" spans="3:15">
      <c r="C5" t="s">
        <v>17</v>
      </c>
      <c r="D5" s="14">
        <f t="shared" ref="D5:D11" ca="1" si="0">SUMIF($C$19:$G$249,$C$5:$C$11,$G$19:$G$249)/SUMIF($C$19:$G$249,$C$5:$C$11,$E$19:$E$249)</f>
        <v>2.3917198267207689</v>
      </c>
    </row>
    <row r="6" spans="3:15">
      <c r="C6" t="s">
        <v>440</v>
      </c>
      <c r="D6" s="14">
        <f t="shared" ca="1" si="0"/>
        <v>2.1853991938405799</v>
      </c>
    </row>
    <row r="7" spans="3:15">
      <c r="C7" t="s">
        <v>491</v>
      </c>
      <c r="D7" s="14">
        <f t="shared" ca="1" si="0"/>
        <v>2.0554335611551156</v>
      </c>
    </row>
    <row r="8" spans="3:15">
      <c r="C8" t="s">
        <v>37</v>
      </c>
      <c r="D8" s="14" t="e">
        <f t="shared" ca="1" si="0"/>
        <v>#DIV/0!</v>
      </c>
      <c r="I8" s="19"/>
      <c r="N8" s="15" t="s">
        <v>127</v>
      </c>
      <c r="O8" s="15" t="s">
        <v>128</v>
      </c>
    </row>
    <row r="9" spans="3:15">
      <c r="C9" t="s">
        <v>36</v>
      </c>
      <c r="D9" s="14" t="e">
        <f t="shared" ca="1" si="0"/>
        <v>#DIV/0!</v>
      </c>
      <c r="E9" s="14"/>
      <c r="F9" s="32"/>
      <c r="H9" s="137"/>
      <c r="I9" s="19"/>
      <c r="M9" s="16" t="s">
        <v>17</v>
      </c>
      <c r="N9" s="17">
        <f>1415000/1620000</f>
        <v>0.87345679012345678</v>
      </c>
      <c r="O9" s="17">
        <f>+SUM(E19:E32)/E251</f>
        <v>0.87674308578370719</v>
      </c>
    </row>
    <row r="10" spans="3:15">
      <c r="C10" t="s">
        <v>534</v>
      </c>
      <c r="D10" s="14">
        <f t="shared" ca="1" si="0"/>
        <v>6.4503156219798239</v>
      </c>
      <c r="M10" s="16" t="s">
        <v>440</v>
      </c>
      <c r="N10" s="17">
        <f>10000/1620000</f>
        <v>6.1728395061728392E-3</v>
      </c>
      <c r="O10" s="17">
        <f>+SUM(E33)/E251</f>
        <v>1.2695701785194276E-2</v>
      </c>
    </row>
    <row r="11" spans="3:15">
      <c r="C11" t="s">
        <v>533</v>
      </c>
      <c r="D11" s="14" t="e">
        <f t="shared" ca="1" si="0"/>
        <v>#DIV/0!</v>
      </c>
      <c r="M11" s="16" t="s">
        <v>491</v>
      </c>
      <c r="N11" s="17">
        <f>150000/1620000</f>
        <v>9.2592592592592587E-2</v>
      </c>
      <c r="O11" s="17">
        <f>+SUM(E34)/E251</f>
        <v>7.3223369802516106E-2</v>
      </c>
    </row>
    <row r="12" spans="3:15">
      <c r="C12" s="30" t="s">
        <v>129</v>
      </c>
      <c r="D12" s="31">
        <f>+G251/E251</f>
        <v>2.4397617515073362</v>
      </c>
      <c r="M12" s="16" t="s">
        <v>544</v>
      </c>
      <c r="N12" s="17">
        <f>45000/1620000</f>
        <v>2.7777777777777776E-2</v>
      </c>
      <c r="O12" s="18">
        <f>+SUM(E37:E49)/E251</f>
        <v>6.4794551199554417E-3</v>
      </c>
    </row>
    <row r="13" spans="3:15">
      <c r="D13" s="19"/>
      <c r="M13" s="20" t="s">
        <v>38</v>
      </c>
      <c r="N13" s="197">
        <f>SUM(N9:N12)</f>
        <v>1</v>
      </c>
      <c r="O13" s="197">
        <f>SUM(O9:O12)</f>
        <v>0.96914161249137298</v>
      </c>
    </row>
    <row r="14" spans="3:15">
      <c r="D14" s="22"/>
    </row>
    <row r="16" spans="3:15">
      <c r="E16" s="137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 ht="18.75" customHeight="1">
      <c r="A19" s="44"/>
      <c r="B19" s="5">
        <f>C3</f>
        <v>45505</v>
      </c>
      <c r="C19" s="1" t="s">
        <v>17</v>
      </c>
      <c r="D19" s="194" t="s">
        <v>734</v>
      </c>
      <c r="E19" s="1">
        <v>7480858.9890000001</v>
      </c>
      <c r="F19" s="2">
        <v>22942799.699999999</v>
      </c>
      <c r="G19" s="3">
        <f t="shared" ref="G19:G37" si="1">F19-SUM(M19:P19)</f>
        <v>18322119.84042</v>
      </c>
      <c r="H19" s="202">
        <f>+IF(G19=0,0,G19/E19)</f>
        <v>2.4492000006097161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ref="M19:M249" si="2">+I19*F19</f>
        <v>2753135.9639999997</v>
      </c>
      <c r="N19" s="11">
        <f t="shared" ref="N19:N249" si="3">J19*(F19-M19)</f>
        <v>333129.45164400002</v>
      </c>
      <c r="O19" s="11">
        <f t="shared" ref="O19:O249" si="4">K19*(F19-M19)</f>
        <v>1534414.4439360001</v>
      </c>
      <c r="P19" s="11">
        <f t="shared" ref="P19:P205" si="5">L19*(F19)</f>
        <v>0</v>
      </c>
    </row>
    <row r="20" spans="1:16">
      <c r="A20" s="44"/>
      <c r="B20" s="5">
        <f>B19</f>
        <v>45505</v>
      </c>
      <c r="C20" s="1" t="s">
        <v>17</v>
      </c>
      <c r="D20" s="194" t="s">
        <v>735</v>
      </c>
      <c r="E20" s="1">
        <v>2230217</v>
      </c>
      <c r="F20" s="2">
        <v>6472048.9100000001</v>
      </c>
      <c r="G20" s="3">
        <f t="shared" si="1"/>
        <v>5462247.4788172506</v>
      </c>
      <c r="H20" s="202">
        <f t="shared" ref="H20:H36" si="6">+IF(G20=0,0,G20/E20)</f>
        <v>2.4492000010838635</v>
      </c>
      <c r="I20" s="200">
        <v>7.0000000000000007E-2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453043.42370000004</v>
      </c>
      <c r="N20" s="11">
        <f t="shared" si="3"/>
        <v>99313.590523949999</v>
      </c>
      <c r="O20" s="11">
        <f t="shared" si="4"/>
        <v>457444.41695879999</v>
      </c>
      <c r="P20" s="11">
        <f t="shared" si="5"/>
        <v>0</v>
      </c>
    </row>
    <row r="21" spans="1:16">
      <c r="A21" s="44"/>
      <c r="B21" s="5">
        <f t="shared" ref="B21:B84" si="7">B20</f>
        <v>45505</v>
      </c>
      <c r="C21" s="1" t="s">
        <v>17</v>
      </c>
      <c r="D21" s="194" t="s">
        <v>736</v>
      </c>
      <c r="E21" s="1">
        <v>1091273</v>
      </c>
      <c r="F21" s="2">
        <v>2974453.52</v>
      </c>
      <c r="G21" s="3">
        <f t="shared" si="1"/>
        <v>2510364.4095419999</v>
      </c>
      <c r="H21" s="202">
        <f>+IF(G21=0,0,G21/E21)</f>
        <v>2.3004000003133953</v>
      </c>
      <c r="I21" s="200">
        <v>7.0000000000000007E-2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208211.74640000003</v>
      </c>
      <c r="N21" s="11">
        <f t="shared" si="3"/>
        <v>45642.989264399999</v>
      </c>
      <c r="O21" s="11">
        <f t="shared" si="4"/>
        <v>210234.3747936</v>
      </c>
      <c r="P21" s="11">
        <f t="shared" si="5"/>
        <v>0</v>
      </c>
    </row>
    <row r="22" spans="1:16">
      <c r="A22" s="44"/>
      <c r="B22" s="5">
        <f t="shared" si="7"/>
        <v>45505</v>
      </c>
      <c r="C22" s="1" t="s">
        <v>17</v>
      </c>
      <c r="D22" s="194" t="s">
        <v>737</v>
      </c>
      <c r="E22" s="1">
        <v>3117175</v>
      </c>
      <c r="F22" s="2">
        <v>9559961.1899999995</v>
      </c>
      <c r="G22" s="3">
        <f t="shared" si="1"/>
        <v>7634585.0063339993</v>
      </c>
      <c r="H22" s="202">
        <f>+IF(G22=0,0,G22/E22)</f>
        <v>2.4491999988239348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1147195.3428</v>
      </c>
      <c r="N22" s="11">
        <f t="shared" si="3"/>
        <v>138810.63647879998</v>
      </c>
      <c r="O22" s="11">
        <f t="shared" si="4"/>
        <v>639370.20438719995</v>
      </c>
      <c r="P22" s="11">
        <f t="shared" si="5"/>
        <v>0</v>
      </c>
    </row>
    <row r="23" spans="1:16">
      <c r="A23" s="44"/>
      <c r="B23" s="5">
        <f t="shared" si="7"/>
        <v>45505</v>
      </c>
      <c r="C23" s="1" t="s">
        <v>17</v>
      </c>
      <c r="D23" s="194" t="s">
        <v>738</v>
      </c>
      <c r="E23" s="1">
        <v>13444106</v>
      </c>
      <c r="F23" s="2">
        <v>38726297.82</v>
      </c>
      <c r="G23" s="3">
        <f t="shared" si="1"/>
        <v>30926821.439052001</v>
      </c>
      <c r="H23" s="202">
        <f t="shared" si="6"/>
        <v>2.3003999997509692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4647155.7384000001</v>
      </c>
      <c r="N23" s="11">
        <f t="shared" si="3"/>
        <v>562305.84434640012</v>
      </c>
      <c r="O23" s="11">
        <f t="shared" si="4"/>
        <v>2590014.7982016001</v>
      </c>
      <c r="P23" s="11">
        <f t="shared" si="5"/>
        <v>0</v>
      </c>
    </row>
    <row r="24" spans="1:16">
      <c r="A24" s="44"/>
      <c r="B24" s="5">
        <f t="shared" si="7"/>
        <v>45505</v>
      </c>
      <c r="C24" s="1" t="s">
        <v>17</v>
      </c>
      <c r="D24" s="194" t="s">
        <v>739</v>
      </c>
      <c r="E24" s="1">
        <v>13490685.01</v>
      </c>
      <c r="F24" s="2">
        <v>41374136.899999999</v>
      </c>
      <c r="G24" s="3">
        <f t="shared" si="1"/>
        <v>33041385.72834</v>
      </c>
      <c r="H24" s="202">
        <f t="shared" si="6"/>
        <v>2.4492000001369836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4964896.4279999994</v>
      </c>
      <c r="N24" s="11">
        <f t="shared" si="3"/>
        <v>600752.46778800013</v>
      </c>
      <c r="O24" s="11">
        <f t="shared" si="4"/>
        <v>2767102.275872</v>
      </c>
      <c r="P24" s="11">
        <f t="shared" si="5"/>
        <v>0</v>
      </c>
    </row>
    <row r="25" spans="1:16">
      <c r="A25" s="44"/>
      <c r="B25" s="5">
        <f t="shared" si="7"/>
        <v>45505</v>
      </c>
      <c r="C25" s="1" t="s">
        <v>17</v>
      </c>
      <c r="D25" s="194" t="s">
        <v>740</v>
      </c>
      <c r="E25" s="1">
        <v>39</v>
      </c>
      <c r="F25" s="2">
        <v>112.35</v>
      </c>
      <c r="G25" s="3">
        <f t="shared" si="1"/>
        <v>89.722709999999992</v>
      </c>
      <c r="H25" s="202">
        <f t="shared" si="6"/>
        <v>2.3005823076923075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13.481999999999999</v>
      </c>
      <c r="N25" s="11">
        <f t="shared" si="3"/>
        <v>1.6313219999999999</v>
      </c>
      <c r="O25" s="11">
        <f t="shared" si="4"/>
        <v>7.5139679999999993</v>
      </c>
      <c r="P25" s="11">
        <f t="shared" si="5"/>
        <v>0</v>
      </c>
    </row>
    <row r="26" spans="1:16">
      <c r="A26" s="44"/>
      <c r="B26" s="5">
        <f t="shared" si="7"/>
        <v>45505</v>
      </c>
      <c r="C26" s="1" t="s">
        <v>17</v>
      </c>
      <c r="D26" s="194" t="s">
        <v>741</v>
      </c>
      <c r="E26" s="1">
        <v>64</v>
      </c>
      <c r="F26" s="2">
        <v>196.28</v>
      </c>
      <c r="G26" s="3">
        <f t="shared" si="1"/>
        <v>156.74920800000001</v>
      </c>
      <c r="H26" s="202">
        <f t="shared" si="6"/>
        <v>2.4492063750000002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23.553599999999999</v>
      </c>
      <c r="N26" s="11">
        <f t="shared" si="3"/>
        <v>2.8499856000000001</v>
      </c>
      <c r="O26" s="11">
        <f t="shared" si="4"/>
        <v>13.1272064</v>
      </c>
      <c r="P26" s="11">
        <f t="shared" si="5"/>
        <v>0</v>
      </c>
    </row>
    <row r="27" spans="1:16">
      <c r="A27" s="44"/>
      <c r="B27" s="5">
        <f t="shared" si="7"/>
        <v>45505</v>
      </c>
      <c r="C27" s="1" t="s">
        <v>17</v>
      </c>
      <c r="D27" s="194" t="s">
        <v>742</v>
      </c>
      <c r="E27" s="1">
        <v>2030762</v>
      </c>
      <c r="F27" s="2">
        <v>5849693.0899999999</v>
      </c>
      <c r="G27" s="3">
        <f t="shared" si="1"/>
        <v>4671564.9016739996</v>
      </c>
      <c r="H27" s="202">
        <f t="shared" si="6"/>
        <v>2.300399998460676</v>
      </c>
      <c r="I27" s="200">
        <v>0.12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701963.17079999996</v>
      </c>
      <c r="N27" s="11">
        <f t="shared" si="3"/>
        <v>84937.543666799989</v>
      </c>
      <c r="O27" s="11">
        <f t="shared" si="4"/>
        <v>391227.47385919996</v>
      </c>
      <c r="P27" s="11">
        <f t="shared" si="5"/>
        <v>0</v>
      </c>
    </row>
    <row r="28" spans="1:16" hidden="1">
      <c r="A28" s="44"/>
      <c r="B28" s="5">
        <f t="shared" si="7"/>
        <v>45505</v>
      </c>
      <c r="C28" s="1" t="s">
        <v>17</v>
      </c>
      <c r="D28" s="194"/>
      <c r="E28" s="1"/>
      <c r="F28" s="2"/>
      <c r="G28" s="3">
        <f t="shared" si="1"/>
        <v>0</v>
      </c>
      <c r="H28" s="202">
        <f t="shared" si="6"/>
        <v>0</v>
      </c>
      <c r="I28" s="200"/>
      <c r="J28" s="7">
        <v>1.6500000000000001E-2</v>
      </c>
      <c r="K28" s="7">
        <v>7.5999999999999998E-2</v>
      </c>
      <c r="L28" s="7">
        <v>0</v>
      </c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spans="1:16" hidden="1">
      <c r="A29" s="44"/>
      <c r="B29" s="5">
        <f t="shared" si="7"/>
        <v>45505</v>
      </c>
      <c r="C29" s="1" t="s">
        <v>17</v>
      </c>
      <c r="D29" s="194"/>
      <c r="E29" s="1"/>
      <c r="F29" s="2"/>
      <c r="G29" s="3">
        <f t="shared" si="1"/>
        <v>0</v>
      </c>
      <c r="H29" s="202">
        <f>+IF(G29=0,0,G29/E29)</f>
        <v>0</v>
      </c>
      <c r="I29" s="200"/>
      <c r="J29" s="7">
        <v>1.6500000000000001E-2</v>
      </c>
      <c r="K29" s="7">
        <v>7.5999999999999998E-2</v>
      </c>
      <c r="L29" s="7">
        <v>0</v>
      </c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spans="1:16" hidden="1">
      <c r="A30" s="44"/>
      <c r="B30" s="5">
        <f t="shared" si="7"/>
        <v>45505</v>
      </c>
      <c r="C30" s="1" t="s">
        <v>17</v>
      </c>
      <c r="D30" s="194"/>
      <c r="E30" s="1"/>
      <c r="F30" s="2"/>
      <c r="G30" s="3">
        <f t="shared" si="1"/>
        <v>0</v>
      </c>
      <c r="H30" s="202">
        <f>+IF(G30=0,0,G30/E30)</f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45505</v>
      </c>
      <c r="C31" s="1" t="s">
        <v>17</v>
      </c>
      <c r="D31" s="194"/>
      <c r="E31" s="1"/>
      <c r="F31" s="2"/>
      <c r="G31" s="3">
        <f t="shared" si="1"/>
        <v>0</v>
      </c>
      <c r="H31" s="202">
        <f t="shared" si="6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45505</v>
      </c>
      <c r="C32" s="1" t="s">
        <v>17</v>
      </c>
      <c r="D32" s="194"/>
      <c r="E32" s="1"/>
      <c r="F32" s="2"/>
      <c r="G32" s="3">
        <f t="shared" si="1"/>
        <v>0</v>
      </c>
      <c r="H32" s="202">
        <f t="shared" si="6"/>
        <v>0</v>
      </c>
      <c r="I32" s="200">
        <v>0.12</v>
      </c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>
      <c r="A33" s="44"/>
      <c r="B33" s="5">
        <f t="shared" si="7"/>
        <v>45505</v>
      </c>
      <c r="C33" s="1" t="s">
        <v>440</v>
      </c>
      <c r="D33" s="194" t="s">
        <v>744</v>
      </c>
      <c r="E33" s="1">
        <f>586000+35000</f>
        <v>621000</v>
      </c>
      <c r="F33" s="2">
        <v>1608025</v>
      </c>
      <c r="G33" s="3">
        <f t="shared" si="1"/>
        <v>1357132.899375</v>
      </c>
      <c r="H33" s="202">
        <f t="shared" si="6"/>
        <v>2.1853991938405799</v>
      </c>
      <c r="I33" s="200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112561.75000000001</v>
      </c>
      <c r="N33" s="11">
        <f t="shared" si="3"/>
        <v>24675.143625000001</v>
      </c>
      <c r="O33" s="11">
        <f t="shared" si="4"/>
        <v>113655.20699999999</v>
      </c>
      <c r="P33" s="11">
        <f t="shared" si="5"/>
        <v>0</v>
      </c>
    </row>
    <row r="34" spans="1:16">
      <c r="A34" s="44"/>
      <c r="B34" s="5">
        <f t="shared" si="7"/>
        <v>45505</v>
      </c>
      <c r="C34" s="1" t="s">
        <v>491</v>
      </c>
      <c r="D34" s="194" t="s">
        <v>732</v>
      </c>
      <c r="E34" s="1">
        <v>3581662</v>
      </c>
      <c r="F34" s="2">
        <v>9808381.3900000006</v>
      </c>
      <c r="G34" s="3">
        <f t="shared" si="1"/>
        <v>7832973.3780540004</v>
      </c>
      <c r="H34" s="202">
        <f t="shared" si="6"/>
        <v>2.1869661006689074</v>
      </c>
      <c r="I34" s="200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1177005.7668000001</v>
      </c>
      <c r="N34" s="11">
        <f t="shared" si="3"/>
        <v>142417.69778280004</v>
      </c>
      <c r="O34" s="11">
        <f t="shared" si="4"/>
        <v>655984.54736320011</v>
      </c>
      <c r="P34" s="11">
        <f t="shared" si="5"/>
        <v>0</v>
      </c>
    </row>
    <row r="35" spans="1:16">
      <c r="A35" s="44"/>
      <c r="B35" s="5">
        <f t="shared" ref="B35:B36" si="8">B32</f>
        <v>45505</v>
      </c>
      <c r="C35" s="1" t="s">
        <v>491</v>
      </c>
      <c r="D35" s="194" t="s">
        <v>731</v>
      </c>
      <c r="E35" s="1">
        <v>500000</v>
      </c>
      <c r="F35" s="2">
        <v>626100</v>
      </c>
      <c r="G35" s="3">
        <f t="shared" ref="G35:G36" si="9">F35-SUM(M35:P35)</f>
        <v>500003.46</v>
      </c>
      <c r="H35" s="202">
        <f t="shared" si="6"/>
        <v>1.0000069200000001</v>
      </c>
      <c r="I35" s="200">
        <v>0.12</v>
      </c>
      <c r="J35" s="7">
        <v>1.6500000000000001E-2</v>
      </c>
      <c r="K35" s="7">
        <v>7.5999999999999998E-2</v>
      </c>
      <c r="L35" s="7">
        <v>0</v>
      </c>
      <c r="M35" s="11">
        <f t="shared" si="2"/>
        <v>75132</v>
      </c>
      <c r="N35" s="11">
        <f t="shared" si="3"/>
        <v>9090.9719999999998</v>
      </c>
      <c r="O35" s="11">
        <f t="shared" si="4"/>
        <v>41873.567999999999</v>
      </c>
      <c r="P35" s="11">
        <f t="shared" si="5"/>
        <v>0</v>
      </c>
    </row>
    <row r="36" spans="1:16">
      <c r="A36" s="44"/>
      <c r="B36" s="5">
        <f t="shared" si="8"/>
        <v>45505</v>
      </c>
      <c r="C36" s="1" t="s">
        <v>491</v>
      </c>
      <c r="D36" s="195" t="s">
        <v>733</v>
      </c>
      <c r="E36" s="118">
        <v>463338</v>
      </c>
      <c r="F36" s="2">
        <v>1263421.8600000001</v>
      </c>
      <c r="G36" s="3">
        <f t="shared" si="9"/>
        <v>1008968.6973960001</v>
      </c>
      <c r="H36" s="202">
        <f t="shared" si="6"/>
        <v>2.1776083494036755</v>
      </c>
      <c r="I36" s="200">
        <v>0.12</v>
      </c>
      <c r="J36" s="7">
        <v>1.6500000000000001E-2</v>
      </c>
      <c r="K36" s="7">
        <v>7.5999999999999998E-2</v>
      </c>
      <c r="L36" s="7">
        <v>0</v>
      </c>
      <c r="M36" s="11">
        <f t="shared" si="2"/>
        <v>151610.6232</v>
      </c>
      <c r="N36" s="11">
        <f t="shared" si="3"/>
        <v>18344.885407200003</v>
      </c>
      <c r="O36" s="11">
        <f t="shared" si="4"/>
        <v>84497.6539968</v>
      </c>
      <c r="P36" s="11">
        <f t="shared" si="5"/>
        <v>0</v>
      </c>
    </row>
    <row r="37" spans="1:16">
      <c r="A37" s="44"/>
      <c r="B37" s="5">
        <f>B34</f>
        <v>45505</v>
      </c>
      <c r="C37" s="1" t="s">
        <v>534</v>
      </c>
      <c r="D37" s="195" t="s">
        <v>705</v>
      </c>
      <c r="E37" s="118">
        <v>24914.5517</v>
      </c>
      <c r="F37" s="2">
        <v>190284.89</v>
      </c>
      <c r="G37" s="3">
        <f t="shared" si="1"/>
        <v>160595.69003775</v>
      </c>
      <c r="H37" s="202">
        <f>+IF(G37=0,0,G37/E37)</f>
        <v>6.44585910962829</v>
      </c>
      <c r="I37" s="200">
        <v>7.0000000000000007E-2</v>
      </c>
      <c r="J37" s="200">
        <v>1.6500000000000001E-2</v>
      </c>
      <c r="K37" s="200">
        <v>7.5999999999999998E-2</v>
      </c>
      <c r="L37" s="200">
        <v>0</v>
      </c>
      <c r="M37" s="11">
        <f t="shared" si="2"/>
        <v>13319.942300000002</v>
      </c>
      <c r="N37" s="11">
        <f t="shared" si="3"/>
        <v>2919.9216370500003</v>
      </c>
      <c r="O37" s="11">
        <f t="shared" si="4"/>
        <v>13449.3360252</v>
      </c>
      <c r="P37" s="11">
        <f t="shared" si="5"/>
        <v>0</v>
      </c>
    </row>
    <row r="38" spans="1:16">
      <c r="A38" s="44"/>
      <c r="B38" s="5">
        <f t="shared" si="7"/>
        <v>45505</v>
      </c>
      <c r="C38" s="1" t="s">
        <v>534</v>
      </c>
      <c r="D38" s="195" t="s">
        <v>706</v>
      </c>
      <c r="E38" s="118">
        <v>24000</v>
      </c>
      <c r="F38" s="2">
        <v>183300</v>
      </c>
      <c r="G38" s="3">
        <f t="shared" ref="G38:G43" si="10">F38-SUM(M38:P38)</f>
        <v>154700.61749999999</v>
      </c>
      <c r="H38" s="202">
        <f t="shared" ref="H38:H101" si="11">+IF(G38=0,0,G38/E38)</f>
        <v>6.4458590624999994</v>
      </c>
      <c r="I38" s="200">
        <v>7.0000000000000007E-2</v>
      </c>
      <c r="J38" s="200">
        <v>1.6500000000000001E-2</v>
      </c>
      <c r="K38" s="200">
        <v>7.5999999999999998E-2</v>
      </c>
      <c r="L38" s="200">
        <v>0</v>
      </c>
      <c r="M38" s="11">
        <f t="shared" si="2"/>
        <v>12831.000000000002</v>
      </c>
      <c r="N38" s="11">
        <f t="shared" si="3"/>
        <v>2812.7384999999999</v>
      </c>
      <c r="O38" s="11">
        <f t="shared" si="4"/>
        <v>12955.644</v>
      </c>
      <c r="P38" s="11">
        <f t="shared" si="5"/>
        <v>0</v>
      </c>
    </row>
    <row r="39" spans="1:16">
      <c r="A39" s="44"/>
      <c r="B39" s="5">
        <f t="shared" si="7"/>
        <v>45505</v>
      </c>
      <c r="C39" s="1" t="s">
        <v>534</v>
      </c>
      <c r="D39" s="195" t="s">
        <v>707</v>
      </c>
      <c r="E39" s="118">
        <v>24000</v>
      </c>
      <c r="F39" s="2">
        <v>183300</v>
      </c>
      <c r="G39" s="3">
        <f t="shared" si="10"/>
        <v>154700.61749999999</v>
      </c>
      <c r="H39" s="202">
        <f t="shared" si="11"/>
        <v>6.4458590624999994</v>
      </c>
      <c r="I39" s="200">
        <v>7.0000000000000007E-2</v>
      </c>
      <c r="J39" s="200">
        <v>1.6500000000000001E-2</v>
      </c>
      <c r="K39" s="200">
        <v>7.5999999999999998E-2</v>
      </c>
      <c r="L39" s="200">
        <v>0</v>
      </c>
      <c r="M39" s="11">
        <f t="shared" si="2"/>
        <v>12831.000000000002</v>
      </c>
      <c r="N39" s="11">
        <f t="shared" si="3"/>
        <v>2812.7384999999999</v>
      </c>
      <c r="O39" s="11">
        <f t="shared" si="4"/>
        <v>12955.644</v>
      </c>
      <c r="P39" s="11">
        <f t="shared" si="5"/>
        <v>0</v>
      </c>
    </row>
    <row r="40" spans="1:16">
      <c r="A40" s="44"/>
      <c r="B40" s="5">
        <f t="shared" si="7"/>
        <v>45505</v>
      </c>
      <c r="C40" s="1" t="s">
        <v>534</v>
      </c>
      <c r="D40" s="195" t="s">
        <v>708</v>
      </c>
      <c r="E40" s="118">
        <v>24000</v>
      </c>
      <c r="F40" s="2">
        <v>183300</v>
      </c>
      <c r="G40" s="3">
        <f t="shared" si="10"/>
        <v>154700.61749999999</v>
      </c>
      <c r="H40" s="202">
        <f t="shared" si="11"/>
        <v>6.4458590624999994</v>
      </c>
      <c r="I40" s="200">
        <v>7.0000000000000007E-2</v>
      </c>
      <c r="J40" s="7">
        <v>1.6500000000000001E-2</v>
      </c>
      <c r="K40" s="7">
        <v>7.5999999999999998E-2</v>
      </c>
      <c r="L40" s="7">
        <v>0</v>
      </c>
      <c r="M40" s="11">
        <f t="shared" si="2"/>
        <v>12831.000000000002</v>
      </c>
      <c r="N40" s="11">
        <f t="shared" si="3"/>
        <v>2812.7384999999999</v>
      </c>
      <c r="O40" s="11">
        <f t="shared" si="4"/>
        <v>12955.644</v>
      </c>
      <c r="P40" s="11">
        <f t="shared" si="5"/>
        <v>0</v>
      </c>
    </row>
    <row r="41" spans="1:16">
      <c r="A41" s="44"/>
      <c r="B41" s="5">
        <f t="shared" si="7"/>
        <v>45505</v>
      </c>
      <c r="C41" s="1" t="s">
        <v>534</v>
      </c>
      <c r="D41" s="195" t="s">
        <v>709</v>
      </c>
      <c r="E41" s="118">
        <v>24000</v>
      </c>
      <c r="F41" s="2">
        <v>183300</v>
      </c>
      <c r="G41" s="3">
        <f t="shared" si="10"/>
        <v>154700.61749999999</v>
      </c>
      <c r="H41" s="202">
        <f t="shared" si="11"/>
        <v>6.4458590624999994</v>
      </c>
      <c r="I41" s="200">
        <v>7.0000000000000007E-2</v>
      </c>
      <c r="J41" s="7">
        <v>1.6500000000000001E-2</v>
      </c>
      <c r="K41" s="7">
        <v>7.5999999999999998E-2</v>
      </c>
      <c r="L41" s="7">
        <v>0</v>
      </c>
      <c r="M41" s="11">
        <f t="shared" si="2"/>
        <v>12831.000000000002</v>
      </c>
      <c r="N41" s="11">
        <f t="shared" si="3"/>
        <v>2812.7384999999999</v>
      </c>
      <c r="O41" s="11">
        <f t="shared" si="4"/>
        <v>12955.644</v>
      </c>
      <c r="P41" s="11">
        <f t="shared" si="5"/>
        <v>0</v>
      </c>
    </row>
    <row r="42" spans="1:16">
      <c r="A42" s="44"/>
      <c r="B42" s="5">
        <f t="shared" si="7"/>
        <v>45505</v>
      </c>
      <c r="C42" s="1" t="s">
        <v>534</v>
      </c>
      <c r="D42" s="195" t="s">
        <v>710</v>
      </c>
      <c r="E42" s="118">
        <v>25257.3351</v>
      </c>
      <c r="F42" s="2">
        <v>192902.9</v>
      </c>
      <c r="G42" s="3">
        <f t="shared" si="10"/>
        <v>162805.22502749998</v>
      </c>
      <c r="H42" s="202">
        <f t="shared" si="11"/>
        <v>6.4458591685509994</v>
      </c>
      <c r="I42" s="200">
        <v>7.0000000000000007E-2</v>
      </c>
      <c r="J42" s="7">
        <v>1.6500000000000001E-2</v>
      </c>
      <c r="K42" s="7">
        <v>7.5999999999999998E-2</v>
      </c>
      <c r="L42" s="7">
        <v>0</v>
      </c>
      <c r="M42" s="11">
        <f t="shared" si="2"/>
        <v>13503.203000000001</v>
      </c>
      <c r="N42" s="11">
        <f t="shared" si="3"/>
        <v>2960.0950005</v>
      </c>
      <c r="O42" s="11">
        <f t="shared" si="4"/>
        <v>13634.376971999998</v>
      </c>
      <c r="P42" s="11">
        <f t="shared" si="5"/>
        <v>0</v>
      </c>
    </row>
    <row r="43" spans="1:16">
      <c r="A43" s="44"/>
      <c r="B43" s="5">
        <f t="shared" si="7"/>
        <v>45505</v>
      </c>
      <c r="C43" s="1" t="s">
        <v>534</v>
      </c>
      <c r="D43" s="195" t="s">
        <v>711</v>
      </c>
      <c r="E43" s="118">
        <v>25395.051500000001</v>
      </c>
      <c r="F43" s="2">
        <v>193954.71</v>
      </c>
      <c r="G43" s="3">
        <f t="shared" si="10"/>
        <v>163692.92637224999</v>
      </c>
      <c r="H43" s="202">
        <f t="shared" si="11"/>
        <v>6.4458592010435565</v>
      </c>
      <c r="I43" s="200">
        <v>7.0000000000000007E-2</v>
      </c>
      <c r="J43" s="7">
        <v>1.6500000000000001E-2</v>
      </c>
      <c r="K43" s="7">
        <v>7.5999999999999998E-2</v>
      </c>
      <c r="L43" s="7">
        <v>0</v>
      </c>
      <c r="M43" s="11">
        <f t="shared" si="2"/>
        <v>13576.8297</v>
      </c>
      <c r="N43" s="11">
        <f t="shared" si="3"/>
        <v>2976.23502495</v>
      </c>
      <c r="O43" s="11">
        <f t="shared" si="4"/>
        <v>13708.718902799999</v>
      </c>
      <c r="P43" s="11">
        <f t="shared" si="5"/>
        <v>0</v>
      </c>
    </row>
    <row r="44" spans="1:16">
      <c r="A44" s="44"/>
      <c r="B44" s="5">
        <f t="shared" si="7"/>
        <v>45505</v>
      </c>
      <c r="C44" s="1" t="s">
        <v>534</v>
      </c>
      <c r="D44" s="195" t="s">
        <v>712</v>
      </c>
      <c r="E44" s="118">
        <v>24509.248599999999</v>
      </c>
      <c r="F44" s="2">
        <v>187189.39</v>
      </c>
      <c r="G44" s="3">
        <f t="shared" ref="G44:G91" si="12">F44-SUM(M44:P44)</f>
        <v>157983.16542525002</v>
      </c>
      <c r="H44" s="202">
        <f t="shared" si="11"/>
        <v>6.445859193955461</v>
      </c>
      <c r="I44" s="200">
        <v>7.0000000000000007E-2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13103.257300000003</v>
      </c>
      <c r="N44" s="11">
        <f t="shared" si="3"/>
        <v>2872.4211895500002</v>
      </c>
      <c r="O44" s="11">
        <f t="shared" si="4"/>
        <v>13230.546085200001</v>
      </c>
      <c r="P44" s="11">
        <f t="shared" si="5"/>
        <v>0</v>
      </c>
    </row>
    <row r="45" spans="1:16">
      <c r="A45" s="44"/>
      <c r="B45" s="5">
        <f t="shared" si="7"/>
        <v>45505</v>
      </c>
      <c r="C45" s="1" t="s">
        <v>534</v>
      </c>
      <c r="D45" s="195" t="s">
        <v>713</v>
      </c>
      <c r="E45" s="118">
        <v>23708.902600000001</v>
      </c>
      <c r="F45" s="2">
        <v>181076.74</v>
      </c>
      <c r="G45" s="3">
        <f t="shared" si="12"/>
        <v>152824.24164149998</v>
      </c>
      <c r="H45" s="202">
        <f t="shared" si="11"/>
        <v>6.4458589340824224</v>
      </c>
      <c r="I45" s="200">
        <v>7.0000000000000007E-2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12675.371800000001</v>
      </c>
      <c r="N45" s="11">
        <f t="shared" si="3"/>
        <v>2778.6225752999999</v>
      </c>
      <c r="O45" s="11">
        <f t="shared" si="4"/>
        <v>12798.5039832</v>
      </c>
      <c r="P45" s="11">
        <f t="shared" si="5"/>
        <v>0</v>
      </c>
    </row>
    <row r="46" spans="1:16">
      <c r="A46" s="44"/>
      <c r="B46" s="5">
        <f t="shared" si="7"/>
        <v>45505</v>
      </c>
      <c r="C46" s="1" t="s">
        <v>534</v>
      </c>
      <c r="D46" s="195" t="s">
        <v>714</v>
      </c>
      <c r="E46" s="118">
        <v>24828.451700000001</v>
      </c>
      <c r="F46" s="2">
        <v>189627.3</v>
      </c>
      <c r="G46" s="3">
        <f t="shared" si="12"/>
        <v>160040.70051749999</v>
      </c>
      <c r="H46" s="202">
        <f t="shared" si="11"/>
        <v>6.4458590673014049</v>
      </c>
      <c r="I46" s="200">
        <v>7.0000000000000007E-2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13273.911</v>
      </c>
      <c r="N46" s="11">
        <f t="shared" si="3"/>
        <v>2909.8309185000003</v>
      </c>
      <c r="O46" s="11">
        <f t="shared" si="4"/>
        <v>13402.857564</v>
      </c>
      <c r="P46" s="11">
        <f t="shared" si="5"/>
        <v>0</v>
      </c>
    </row>
    <row r="47" spans="1:16">
      <c r="A47" s="44"/>
      <c r="B47" s="5">
        <f t="shared" si="7"/>
        <v>45505</v>
      </c>
      <c r="C47" s="1" t="s">
        <v>534</v>
      </c>
      <c r="D47" s="195" t="s">
        <v>715</v>
      </c>
      <c r="E47" s="118">
        <v>24000</v>
      </c>
      <c r="F47" s="2">
        <v>183300</v>
      </c>
      <c r="G47" s="3">
        <f t="shared" si="12"/>
        <v>154700.61749999999</v>
      </c>
      <c r="H47" s="202">
        <f t="shared" si="11"/>
        <v>6.4458590624999994</v>
      </c>
      <c r="I47" s="200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12831.000000000002</v>
      </c>
      <c r="N47" s="11">
        <f t="shared" si="3"/>
        <v>2812.7384999999999</v>
      </c>
      <c r="O47" s="11">
        <f t="shared" si="4"/>
        <v>12955.644</v>
      </c>
      <c r="P47" s="11">
        <f t="shared" si="5"/>
        <v>0</v>
      </c>
    </row>
    <row r="48" spans="1:16">
      <c r="A48" s="44"/>
      <c r="B48" s="5">
        <f t="shared" si="7"/>
        <v>45505</v>
      </c>
      <c r="C48" s="1" t="s">
        <v>534</v>
      </c>
      <c r="D48" s="195" t="s">
        <v>716</v>
      </c>
      <c r="E48" s="118">
        <v>25139.102699999999</v>
      </c>
      <c r="F48" s="2">
        <v>191999.9</v>
      </c>
      <c r="G48" s="3">
        <f t="shared" si="12"/>
        <v>162043.11560249998</v>
      </c>
      <c r="H48" s="202">
        <f t="shared" si="11"/>
        <v>6.4458591675390222</v>
      </c>
      <c r="I48" s="200">
        <v>7.0000000000000007E-2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13439.993</v>
      </c>
      <c r="N48" s="11">
        <f t="shared" si="3"/>
        <v>2946.2384655000001</v>
      </c>
      <c r="O48" s="11">
        <f t="shared" si="4"/>
        <v>13570.552932000001</v>
      </c>
      <c r="P48" s="11">
        <f t="shared" si="5"/>
        <v>0</v>
      </c>
    </row>
    <row r="49" spans="1:16">
      <c r="A49" s="44"/>
      <c r="B49" s="5">
        <f t="shared" si="7"/>
        <v>45505</v>
      </c>
      <c r="C49" s="1" t="s">
        <v>534</v>
      </c>
      <c r="D49" s="195" t="s">
        <v>717</v>
      </c>
      <c r="E49" s="118">
        <v>23184.670600000001</v>
      </c>
      <c r="F49" s="2">
        <v>179018.12</v>
      </c>
      <c r="G49" s="3">
        <f t="shared" si="12"/>
        <v>151086.81782699999</v>
      </c>
      <c r="H49" s="202">
        <f t="shared" si="11"/>
        <v>6.5166687262315461</v>
      </c>
      <c r="I49" s="200">
        <v>7.0000000000000007E-2</v>
      </c>
      <c r="J49" s="7">
        <v>1.6500000000000001E-2</v>
      </c>
      <c r="K49" s="7">
        <v>7.5999999999999998E-2</v>
      </c>
      <c r="L49" s="7">
        <v>0</v>
      </c>
      <c r="M49" s="11">
        <f t="shared" si="2"/>
        <v>12531.268400000001</v>
      </c>
      <c r="N49" s="11">
        <f t="shared" si="3"/>
        <v>2747.0330514000002</v>
      </c>
      <c r="O49" s="11">
        <f t="shared" si="4"/>
        <v>12653.000721599999</v>
      </c>
      <c r="P49" s="11">
        <f t="shared" si="5"/>
        <v>0</v>
      </c>
    </row>
    <row r="50" spans="1:16">
      <c r="A50" s="44"/>
      <c r="B50" s="5">
        <f t="shared" si="7"/>
        <v>45505</v>
      </c>
      <c r="C50" s="1" t="s">
        <v>534</v>
      </c>
      <c r="D50" s="195" t="s">
        <v>718</v>
      </c>
      <c r="E50" s="118">
        <v>22667.210899999998</v>
      </c>
      <c r="F50" s="2">
        <v>173120.82</v>
      </c>
      <c r="G50" s="3">
        <f t="shared" si="12"/>
        <v>146109.64405950002</v>
      </c>
      <c r="H50" s="202">
        <f t="shared" si="11"/>
        <v>6.4458589415383267</v>
      </c>
      <c r="I50" s="200">
        <v>7.0000000000000007E-2</v>
      </c>
      <c r="J50" s="7">
        <v>1.6500000000000001E-2</v>
      </c>
      <c r="K50" s="7">
        <v>7.5999999999999998E-2</v>
      </c>
      <c r="L50" s="7">
        <v>0</v>
      </c>
      <c r="M50" s="11">
        <f t="shared" si="2"/>
        <v>12118.457400000001</v>
      </c>
      <c r="N50" s="11">
        <f t="shared" si="3"/>
        <v>2656.5389829000001</v>
      </c>
      <c r="O50" s="11">
        <f t="shared" si="4"/>
        <v>12236.179557599999</v>
      </c>
      <c r="P50" s="11">
        <f t="shared" si="5"/>
        <v>0</v>
      </c>
    </row>
    <row r="51" spans="1:16">
      <c r="A51" s="44"/>
      <c r="B51" s="5">
        <f t="shared" si="7"/>
        <v>45505</v>
      </c>
      <c r="C51" s="1" t="s">
        <v>534</v>
      </c>
      <c r="D51" s="195" t="s">
        <v>719</v>
      </c>
      <c r="E51" s="118">
        <v>25406.624500000002</v>
      </c>
      <c r="F51" s="2">
        <v>194043.09</v>
      </c>
      <c r="G51" s="3">
        <f t="shared" si="12"/>
        <v>163767.51688275</v>
      </c>
      <c r="H51" s="202">
        <f t="shared" si="11"/>
        <v>6.445858909071136</v>
      </c>
      <c r="I51" s="200">
        <v>7.0000000000000007E-2</v>
      </c>
      <c r="J51" s="7">
        <v>1.6500000000000001E-2</v>
      </c>
      <c r="K51" s="7">
        <v>7.5999999999999998E-2</v>
      </c>
      <c r="L51" s="7">
        <v>0</v>
      </c>
      <c r="M51" s="11">
        <f t="shared" si="2"/>
        <v>13583.016300000001</v>
      </c>
      <c r="N51" s="11">
        <f t="shared" si="3"/>
        <v>2977.5912160500002</v>
      </c>
      <c r="O51" s="11">
        <f t="shared" si="4"/>
        <v>13714.9656012</v>
      </c>
      <c r="P51" s="11">
        <f t="shared" si="5"/>
        <v>0</v>
      </c>
    </row>
    <row r="52" spans="1:16">
      <c r="A52" s="44"/>
      <c r="B52" s="5">
        <f t="shared" si="7"/>
        <v>45505</v>
      </c>
      <c r="C52" s="1" t="s">
        <v>534</v>
      </c>
      <c r="D52" s="195" t="s">
        <v>720</v>
      </c>
      <c r="E52" s="118">
        <v>25000</v>
      </c>
      <c r="F52" s="2">
        <v>190937.5</v>
      </c>
      <c r="G52" s="3">
        <f t="shared" si="12"/>
        <v>161146.4765625</v>
      </c>
      <c r="H52" s="202">
        <f t="shared" si="11"/>
        <v>6.4458590625000003</v>
      </c>
      <c r="I52" s="200">
        <v>7.0000000000000007E-2</v>
      </c>
      <c r="J52" s="7">
        <v>1.6500000000000001E-2</v>
      </c>
      <c r="K52" s="7">
        <v>7.5999999999999998E-2</v>
      </c>
      <c r="L52" s="7">
        <v>0</v>
      </c>
      <c r="M52" s="11">
        <f t="shared" si="2"/>
        <v>13365.625000000002</v>
      </c>
      <c r="N52" s="11">
        <f t="shared" si="3"/>
        <v>2929.9359375000004</v>
      </c>
      <c r="O52" s="11">
        <f t="shared" si="4"/>
        <v>13495.4625</v>
      </c>
      <c r="P52" s="11">
        <f t="shared" si="5"/>
        <v>0</v>
      </c>
    </row>
    <row r="53" spans="1:16">
      <c r="A53" s="44"/>
      <c r="B53" s="5">
        <f t="shared" si="7"/>
        <v>45505</v>
      </c>
      <c r="C53" s="1" t="s">
        <v>534</v>
      </c>
      <c r="D53" s="195" t="s">
        <v>721</v>
      </c>
      <c r="E53" s="118">
        <v>24000</v>
      </c>
      <c r="F53" s="2">
        <v>183300</v>
      </c>
      <c r="G53" s="3">
        <f t="shared" si="12"/>
        <v>154700.61749999999</v>
      </c>
      <c r="H53" s="202">
        <f t="shared" si="11"/>
        <v>6.4458590624999994</v>
      </c>
      <c r="I53" s="200">
        <v>7.0000000000000007E-2</v>
      </c>
      <c r="J53" s="7">
        <v>1.6500000000000001E-2</v>
      </c>
      <c r="K53" s="7">
        <v>7.5999999999999998E-2</v>
      </c>
      <c r="L53" s="7">
        <v>0</v>
      </c>
      <c r="M53" s="11">
        <f t="shared" si="2"/>
        <v>12831.000000000002</v>
      </c>
      <c r="N53" s="11">
        <f t="shared" si="3"/>
        <v>2812.7384999999999</v>
      </c>
      <c r="O53" s="11">
        <f t="shared" si="4"/>
        <v>12955.644</v>
      </c>
      <c r="P53" s="11">
        <f t="shared" si="5"/>
        <v>0</v>
      </c>
    </row>
    <row r="54" spans="1:16">
      <c r="A54" s="44"/>
      <c r="B54" s="5">
        <f t="shared" si="7"/>
        <v>45505</v>
      </c>
      <c r="C54" s="1" t="s">
        <v>534</v>
      </c>
      <c r="D54" s="195" t="s">
        <v>722</v>
      </c>
      <c r="E54" s="118">
        <v>24837.120800000001</v>
      </c>
      <c r="F54" s="2">
        <v>191777.34</v>
      </c>
      <c r="G54" s="3">
        <f t="shared" si="12"/>
        <v>161855.28052649999</v>
      </c>
      <c r="H54" s="202">
        <f t="shared" si="11"/>
        <v>6.5166684105550585</v>
      </c>
      <c r="I54" s="200">
        <v>7.0000000000000007E-2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13424.4138</v>
      </c>
      <c r="N54" s="11">
        <f t="shared" si="3"/>
        <v>2942.8232822999998</v>
      </c>
      <c r="O54" s="11">
        <f t="shared" si="4"/>
        <v>13554.822391199999</v>
      </c>
      <c r="P54" s="11">
        <f t="shared" si="5"/>
        <v>0</v>
      </c>
    </row>
    <row r="55" spans="1:16">
      <c r="A55" s="44"/>
      <c r="B55" s="5">
        <f t="shared" si="7"/>
        <v>45505</v>
      </c>
      <c r="C55" s="1" t="s">
        <v>534</v>
      </c>
      <c r="D55" s="195" t="s">
        <v>723</v>
      </c>
      <c r="E55" s="118">
        <v>24777.536</v>
      </c>
      <c r="F55" s="2">
        <v>189238.43</v>
      </c>
      <c r="G55" s="3">
        <f t="shared" si="12"/>
        <v>159712.50395925</v>
      </c>
      <c r="H55" s="202">
        <f t="shared" si="11"/>
        <v>6.4458590216254752</v>
      </c>
      <c r="I55" s="200">
        <v>7.0000000000000007E-2</v>
      </c>
      <c r="J55" s="7">
        <v>1.6500000000000001E-2</v>
      </c>
      <c r="K55" s="7">
        <v>7.5999999999999998E-2</v>
      </c>
      <c r="L55" s="7">
        <v>0</v>
      </c>
      <c r="M55" s="11">
        <f t="shared" si="2"/>
        <v>13246.690100000002</v>
      </c>
      <c r="N55" s="11">
        <f t="shared" si="3"/>
        <v>2903.8637083499998</v>
      </c>
      <c r="O55" s="11">
        <f t="shared" si="4"/>
        <v>13375.372232399999</v>
      </c>
      <c r="P55" s="11">
        <f t="shared" si="5"/>
        <v>0</v>
      </c>
    </row>
    <row r="56" spans="1:16">
      <c r="A56" s="44"/>
      <c r="B56" s="5">
        <f t="shared" si="7"/>
        <v>45505</v>
      </c>
      <c r="C56" s="1" t="s">
        <v>534</v>
      </c>
      <c r="D56" s="195" t="s">
        <v>724</v>
      </c>
      <c r="E56" s="118">
        <v>25000</v>
      </c>
      <c r="F56" s="2">
        <v>190937.5</v>
      </c>
      <c r="G56" s="3">
        <f t="shared" si="12"/>
        <v>161146.4765625</v>
      </c>
      <c r="H56" s="202">
        <f t="shared" si="11"/>
        <v>6.4458590625000003</v>
      </c>
      <c r="I56" s="200">
        <v>7.0000000000000007E-2</v>
      </c>
      <c r="J56" s="7">
        <v>1.6500000000000001E-2</v>
      </c>
      <c r="K56" s="7">
        <v>7.5999999999999998E-2</v>
      </c>
      <c r="L56" s="7">
        <v>0</v>
      </c>
      <c r="M56" s="11">
        <f t="shared" si="2"/>
        <v>13365.625000000002</v>
      </c>
      <c r="N56" s="11">
        <f t="shared" si="3"/>
        <v>2929.9359375000004</v>
      </c>
      <c r="O56" s="11">
        <f t="shared" si="4"/>
        <v>13495.4625</v>
      </c>
      <c r="P56" s="11">
        <f t="shared" si="5"/>
        <v>0</v>
      </c>
    </row>
    <row r="57" spans="1:16">
      <c r="A57" s="44"/>
      <c r="B57" s="5">
        <f t="shared" si="7"/>
        <v>45505</v>
      </c>
      <c r="C57" s="1" t="s">
        <v>534</v>
      </c>
      <c r="D57" s="195" t="s">
        <v>725</v>
      </c>
      <c r="E57" s="118">
        <v>25000</v>
      </c>
      <c r="F57" s="2">
        <v>190937.5</v>
      </c>
      <c r="G57" s="3">
        <f t="shared" ref="G57:G87" si="13">F57-SUM(M57:P57)</f>
        <v>161146.4765625</v>
      </c>
      <c r="H57" s="202">
        <f t="shared" si="11"/>
        <v>6.4458590625000003</v>
      </c>
      <c r="I57" s="200">
        <v>7.0000000000000007E-2</v>
      </c>
      <c r="J57" s="7">
        <v>1.6500000000000001E-2</v>
      </c>
      <c r="K57" s="7">
        <v>7.5999999999999998E-2</v>
      </c>
      <c r="L57" s="7">
        <v>0</v>
      </c>
      <c r="M57" s="11">
        <f t="shared" si="2"/>
        <v>13365.625000000002</v>
      </c>
      <c r="N57" s="11">
        <f t="shared" si="3"/>
        <v>2929.9359375000004</v>
      </c>
      <c r="O57" s="11">
        <f t="shared" si="4"/>
        <v>13495.4625</v>
      </c>
      <c r="P57" s="11">
        <f t="shared" si="5"/>
        <v>0</v>
      </c>
    </row>
    <row r="58" spans="1:16">
      <c r="A58" s="44"/>
      <c r="B58" s="5">
        <f t="shared" si="7"/>
        <v>45505</v>
      </c>
      <c r="C58" s="1" t="s">
        <v>534</v>
      </c>
      <c r="D58" s="195" t="s">
        <v>726</v>
      </c>
      <c r="E58" s="118">
        <v>24000</v>
      </c>
      <c r="F58" s="2">
        <v>183300</v>
      </c>
      <c r="G58" s="3">
        <f t="shared" si="13"/>
        <v>154700.61749999999</v>
      </c>
      <c r="H58" s="202">
        <f t="shared" si="11"/>
        <v>6.4458590624999994</v>
      </c>
      <c r="I58" s="200">
        <v>7.0000000000000007E-2</v>
      </c>
      <c r="J58" s="7">
        <v>1.6500000000000001E-2</v>
      </c>
      <c r="K58" s="7">
        <v>7.5999999999999998E-2</v>
      </c>
      <c r="L58" s="7">
        <v>0</v>
      </c>
      <c r="M58" s="11">
        <f t="shared" si="2"/>
        <v>12831.000000000002</v>
      </c>
      <c r="N58" s="11">
        <f t="shared" si="3"/>
        <v>2812.7384999999999</v>
      </c>
      <c r="O58" s="11">
        <f t="shared" si="4"/>
        <v>12955.644</v>
      </c>
      <c r="P58" s="11">
        <f t="shared" si="5"/>
        <v>0</v>
      </c>
    </row>
    <row r="59" spans="1:16">
      <c r="A59" s="44"/>
      <c r="B59" s="5">
        <f t="shared" si="7"/>
        <v>45505</v>
      </c>
      <c r="C59" s="1" t="s">
        <v>534</v>
      </c>
      <c r="D59" s="195" t="s">
        <v>727</v>
      </c>
      <c r="E59" s="118">
        <v>24851.288400000001</v>
      </c>
      <c r="F59" s="2">
        <v>189801.72</v>
      </c>
      <c r="G59" s="3">
        <f t="shared" si="13"/>
        <v>160187.90663700001</v>
      </c>
      <c r="H59" s="202">
        <f t="shared" si="11"/>
        <v>6.4458592270411215</v>
      </c>
      <c r="I59" s="200">
        <v>7.0000000000000007E-2</v>
      </c>
      <c r="J59" s="7">
        <v>1.6500000000000001E-2</v>
      </c>
      <c r="K59" s="7">
        <v>7.5999999999999998E-2</v>
      </c>
      <c r="L59" s="7">
        <v>0</v>
      </c>
      <c r="M59" s="11">
        <f t="shared" si="2"/>
        <v>13286.120400000002</v>
      </c>
      <c r="N59" s="11">
        <f t="shared" si="3"/>
        <v>2912.5073933999997</v>
      </c>
      <c r="O59" s="11">
        <f t="shared" si="4"/>
        <v>13415.185569599998</v>
      </c>
      <c r="P59" s="11">
        <f t="shared" si="5"/>
        <v>0</v>
      </c>
    </row>
    <row r="60" spans="1:16">
      <c r="A60" s="44"/>
      <c r="B60" s="5">
        <f t="shared" si="7"/>
        <v>45505</v>
      </c>
      <c r="C60" s="1" t="s">
        <v>534</v>
      </c>
      <c r="D60" s="195" t="s">
        <v>728</v>
      </c>
      <c r="E60" s="118">
        <v>25000</v>
      </c>
      <c r="F60" s="2">
        <v>190937.5</v>
      </c>
      <c r="G60" s="3">
        <f t="shared" si="13"/>
        <v>161146.4765625</v>
      </c>
      <c r="H60" s="202">
        <f t="shared" si="11"/>
        <v>6.4458590625000003</v>
      </c>
      <c r="I60" s="200">
        <v>7.0000000000000007E-2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13365.625000000002</v>
      </c>
      <c r="N60" s="11">
        <f t="shared" si="3"/>
        <v>2929.9359375000004</v>
      </c>
      <c r="O60" s="11">
        <f t="shared" si="4"/>
        <v>13495.4625</v>
      </c>
      <c r="P60" s="11">
        <f t="shared" si="5"/>
        <v>0</v>
      </c>
    </row>
    <row r="61" spans="1:16">
      <c r="A61" s="44"/>
      <c r="B61" s="5">
        <f t="shared" si="7"/>
        <v>45505</v>
      </c>
      <c r="C61" s="1" t="s">
        <v>534</v>
      </c>
      <c r="D61" s="195" t="s">
        <v>729</v>
      </c>
      <c r="E61" s="118">
        <v>24000</v>
      </c>
      <c r="F61" s="2">
        <v>183300</v>
      </c>
      <c r="G61" s="3">
        <f t="shared" si="13"/>
        <v>154700.61749999999</v>
      </c>
      <c r="H61" s="202">
        <f t="shared" si="11"/>
        <v>6.4458590624999994</v>
      </c>
      <c r="I61" s="200">
        <v>7.0000000000000007E-2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12831.000000000002</v>
      </c>
      <c r="N61" s="11">
        <f t="shared" si="3"/>
        <v>2812.7384999999999</v>
      </c>
      <c r="O61" s="11">
        <f t="shared" si="4"/>
        <v>12955.644</v>
      </c>
      <c r="P61" s="11">
        <f t="shared" si="5"/>
        <v>0</v>
      </c>
    </row>
    <row r="62" spans="1:16">
      <c r="A62" s="44"/>
      <c r="B62" s="5">
        <f t="shared" si="7"/>
        <v>45505</v>
      </c>
      <c r="C62" s="1" t="s">
        <v>534</v>
      </c>
      <c r="D62" s="195" t="s">
        <v>730</v>
      </c>
      <c r="E62" s="118">
        <v>25000</v>
      </c>
      <c r="F62" s="2">
        <v>190937.5</v>
      </c>
      <c r="G62" s="3">
        <f t="shared" si="13"/>
        <v>161146.4765625</v>
      </c>
      <c r="H62" s="202">
        <f t="shared" si="11"/>
        <v>6.4458590625000003</v>
      </c>
      <c r="I62" s="200">
        <v>7.0000000000000007E-2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13365.625000000002</v>
      </c>
      <c r="N62" s="11">
        <f t="shared" si="3"/>
        <v>2929.9359375000004</v>
      </c>
      <c r="O62" s="11">
        <f t="shared" si="4"/>
        <v>13495.4625</v>
      </c>
      <c r="P62" s="11">
        <f t="shared" si="5"/>
        <v>0</v>
      </c>
    </row>
    <row r="63" spans="1:16">
      <c r="A63" s="44"/>
      <c r="B63" s="5">
        <f t="shared" si="7"/>
        <v>45505</v>
      </c>
      <c r="C63" s="1" t="s">
        <v>534</v>
      </c>
      <c r="D63" s="195" t="s">
        <v>751</v>
      </c>
      <c r="E63" s="118">
        <v>24687.643899999999</v>
      </c>
      <c r="F63" s="2">
        <v>188551.88</v>
      </c>
      <c r="G63" s="3">
        <f t="shared" si="13"/>
        <v>159133.072923</v>
      </c>
      <c r="H63" s="202">
        <f t="shared" si="11"/>
        <v>6.4458590527142201</v>
      </c>
      <c r="I63" s="200">
        <v>7.0000000000000007E-2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13198.631600000002</v>
      </c>
      <c r="N63" s="11">
        <f t="shared" si="3"/>
        <v>2893.3285986000005</v>
      </c>
      <c r="O63" s="11">
        <f t="shared" si="4"/>
        <v>13326.8468784</v>
      </c>
      <c r="P63" s="11">
        <f t="shared" si="5"/>
        <v>0</v>
      </c>
    </row>
    <row r="64" spans="1:16">
      <c r="A64" s="44"/>
      <c r="B64" s="5">
        <f>B63</f>
        <v>45505</v>
      </c>
      <c r="C64" s="1" t="s">
        <v>534</v>
      </c>
      <c r="D64" s="210"/>
      <c r="E64" s="207"/>
      <c r="F64" s="208"/>
      <c r="G64" s="3">
        <f t="shared" ref="G64" si="14">F64-SUM(M64:P64)</f>
        <v>0</v>
      </c>
      <c r="H64" s="202">
        <f t="shared" ref="H64" si="15">+IF(G64=0,0,G64/E64)</f>
        <v>0</v>
      </c>
      <c r="I64" s="200"/>
      <c r="J64" s="7">
        <v>1.6500000000000001E-2</v>
      </c>
      <c r="K64" s="7">
        <v>7.5999999999999998E-2</v>
      </c>
      <c r="L64" s="7">
        <v>0</v>
      </c>
      <c r="M64" s="11">
        <f t="shared" si="2"/>
        <v>0</v>
      </c>
      <c r="N64" s="11">
        <f t="shared" si="3"/>
        <v>0</v>
      </c>
      <c r="O64" s="11">
        <f t="shared" si="4"/>
        <v>0</v>
      </c>
      <c r="P64" s="11">
        <f t="shared" si="5"/>
        <v>0</v>
      </c>
    </row>
    <row r="65" spans="1:16">
      <c r="A65" s="44"/>
      <c r="B65" s="5">
        <f t="shared" si="7"/>
        <v>45505</v>
      </c>
      <c r="C65" s="1" t="s">
        <v>534</v>
      </c>
      <c r="D65" s="195" t="s">
        <v>745</v>
      </c>
      <c r="E65" s="118">
        <v>24683.983899999999</v>
      </c>
      <c r="F65" s="2">
        <v>188523.93</v>
      </c>
      <c r="G65" s="3">
        <f t="shared" si="13"/>
        <v>159109.48382174998</v>
      </c>
      <c r="H65" s="202">
        <f t="shared" si="11"/>
        <v>6.4458591638341645</v>
      </c>
      <c r="I65" s="200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13196.6751</v>
      </c>
      <c r="N65" s="11">
        <f t="shared" si="3"/>
        <v>2892.8997058499999</v>
      </c>
      <c r="O65" s="11">
        <f t="shared" si="4"/>
        <v>13324.871372399999</v>
      </c>
      <c r="P65" s="11">
        <f t="shared" si="5"/>
        <v>0</v>
      </c>
    </row>
    <row r="66" spans="1:16">
      <c r="A66" s="44"/>
      <c r="B66" s="5">
        <f t="shared" si="7"/>
        <v>45505</v>
      </c>
      <c r="C66" s="1" t="s">
        <v>534</v>
      </c>
      <c r="D66" s="195" t="s">
        <v>746</v>
      </c>
      <c r="E66" s="118">
        <v>23506.0671</v>
      </c>
      <c r="F66" s="2">
        <v>179527.59</v>
      </c>
      <c r="G66" s="3">
        <f t="shared" si="13"/>
        <v>151516.79777025001</v>
      </c>
      <c r="H66" s="202">
        <f t="shared" si="11"/>
        <v>6.4458591531141343</v>
      </c>
      <c r="I66" s="200">
        <v>7.0000000000000007E-2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12566.9313</v>
      </c>
      <c r="N66" s="11">
        <f t="shared" si="3"/>
        <v>2754.8508685500001</v>
      </c>
      <c r="O66" s="11">
        <f t="shared" si="4"/>
        <v>12689.010061200001</v>
      </c>
      <c r="P66" s="11">
        <f t="shared" si="5"/>
        <v>0</v>
      </c>
    </row>
    <row r="67" spans="1:16">
      <c r="A67" s="44"/>
      <c r="B67" s="5">
        <f t="shared" si="7"/>
        <v>45505</v>
      </c>
      <c r="C67" s="1" t="s">
        <v>534</v>
      </c>
      <c r="D67" s="195" t="s">
        <v>747</v>
      </c>
      <c r="E67" s="118">
        <v>25031.534500000002</v>
      </c>
      <c r="F67" s="2">
        <v>191178.34</v>
      </c>
      <c r="G67" s="3">
        <f t="shared" si="13"/>
        <v>161349.73950150001</v>
      </c>
      <c r="H67" s="202">
        <f t="shared" si="11"/>
        <v>6.4458589025574922</v>
      </c>
      <c r="I67" s="200">
        <v>7.0000000000000007E-2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13382.483800000002</v>
      </c>
      <c r="N67" s="11">
        <f t="shared" si="3"/>
        <v>2933.6316272999998</v>
      </c>
      <c r="O67" s="11">
        <f t="shared" si="4"/>
        <v>13512.485071199999</v>
      </c>
      <c r="P67" s="11">
        <f t="shared" si="5"/>
        <v>0</v>
      </c>
    </row>
    <row r="68" spans="1:16">
      <c r="A68" s="44"/>
      <c r="B68" s="5">
        <f t="shared" si="7"/>
        <v>45505</v>
      </c>
      <c r="C68" s="1" t="s">
        <v>534</v>
      </c>
      <c r="D68" s="195" t="s">
        <v>748</v>
      </c>
      <c r="E68" s="118">
        <v>22840.408599999999</v>
      </c>
      <c r="F68" s="2">
        <v>174443.62</v>
      </c>
      <c r="G68" s="3">
        <f t="shared" si="13"/>
        <v>147226.05418949999</v>
      </c>
      <c r="H68" s="202">
        <f t="shared" si="11"/>
        <v>6.4458590372809708</v>
      </c>
      <c r="I68" s="200">
        <v>7.0000000000000007E-2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12211.053400000001</v>
      </c>
      <c r="N68" s="11">
        <f t="shared" si="3"/>
        <v>2676.8373489000001</v>
      </c>
      <c r="O68" s="11">
        <f t="shared" si="4"/>
        <v>12329.675061599999</v>
      </c>
      <c r="P68" s="11">
        <f t="shared" si="5"/>
        <v>0</v>
      </c>
    </row>
    <row r="69" spans="1:16">
      <c r="A69" s="44"/>
      <c r="B69" s="5">
        <f t="shared" si="7"/>
        <v>45505</v>
      </c>
      <c r="C69" s="1" t="s">
        <v>534</v>
      </c>
      <c r="D69" s="195" t="s">
        <v>749</v>
      </c>
      <c r="E69" s="118">
        <v>715.58600000000001</v>
      </c>
      <c r="F69" s="2">
        <v>5465.29</v>
      </c>
      <c r="G69" s="3">
        <f t="shared" si="13"/>
        <v>4612.5681277499998</v>
      </c>
      <c r="H69" s="202">
        <f t="shared" si="11"/>
        <v>6.4458613328796259</v>
      </c>
      <c r="I69" s="200">
        <v>7.0000000000000007E-2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382.57030000000003</v>
      </c>
      <c r="N69" s="11">
        <f t="shared" si="3"/>
        <v>83.864875049999995</v>
      </c>
      <c r="O69" s="11">
        <f t="shared" si="4"/>
        <v>386.28669719999999</v>
      </c>
      <c r="P69" s="11">
        <f t="shared" si="5"/>
        <v>0</v>
      </c>
    </row>
    <row r="70" spans="1:16">
      <c r="A70" s="44"/>
      <c r="B70" s="5">
        <f t="shared" si="7"/>
        <v>45505</v>
      </c>
      <c r="C70" s="1" t="s">
        <v>534</v>
      </c>
      <c r="D70" s="195" t="s">
        <v>750</v>
      </c>
      <c r="E70" s="118">
        <v>5070.0996999999998</v>
      </c>
      <c r="F70" s="2">
        <v>38722.89</v>
      </c>
      <c r="G70" s="3">
        <f t="shared" si="13"/>
        <v>32681.151087749997</v>
      </c>
      <c r="H70" s="202">
        <f t="shared" si="11"/>
        <v>6.4458596519808076</v>
      </c>
      <c r="I70" s="200">
        <v>7.0000000000000007E-2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2710.6023</v>
      </c>
      <c r="N70" s="11">
        <f t="shared" si="3"/>
        <v>594.20274705000008</v>
      </c>
      <c r="O70" s="11">
        <f t="shared" si="4"/>
        <v>2736.9338652000001</v>
      </c>
      <c r="P70" s="11">
        <f t="shared" si="5"/>
        <v>0</v>
      </c>
    </row>
    <row r="71" spans="1:16">
      <c r="A71" s="44"/>
      <c r="B71" s="5">
        <f t="shared" si="7"/>
        <v>45505</v>
      </c>
      <c r="C71" s="1" t="s">
        <v>534</v>
      </c>
      <c r="D71" s="195"/>
      <c r="E71" s="118"/>
      <c r="F71" s="2"/>
      <c r="G71" s="3">
        <f t="shared" si="13"/>
        <v>0</v>
      </c>
      <c r="H71" s="202">
        <f t="shared" si="11"/>
        <v>0</v>
      </c>
      <c r="I71" s="200">
        <v>7.0000000000000007E-2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0</v>
      </c>
      <c r="N71" s="11">
        <f t="shared" si="3"/>
        <v>0</v>
      </c>
      <c r="O71" s="11">
        <f t="shared" si="4"/>
        <v>0</v>
      </c>
      <c r="P71" s="11">
        <f t="shared" si="5"/>
        <v>0</v>
      </c>
    </row>
    <row r="72" spans="1:16" hidden="1">
      <c r="A72" s="44"/>
      <c r="B72" s="5">
        <f t="shared" si="7"/>
        <v>45505</v>
      </c>
      <c r="C72" s="1" t="s">
        <v>534</v>
      </c>
      <c r="D72" s="195"/>
      <c r="E72" s="118"/>
      <c r="F72" s="2"/>
      <c r="G72" s="3">
        <f t="shared" si="13"/>
        <v>0</v>
      </c>
      <c r="H72" s="202">
        <f t="shared" si="11"/>
        <v>0</v>
      </c>
      <c r="I72" s="200">
        <v>7.0000000000000007E-2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0</v>
      </c>
      <c r="N72" s="11">
        <f t="shared" si="3"/>
        <v>0</v>
      </c>
      <c r="O72" s="11">
        <f t="shared" si="4"/>
        <v>0</v>
      </c>
      <c r="P72" s="11">
        <f t="shared" si="5"/>
        <v>0</v>
      </c>
    </row>
    <row r="73" spans="1:16" hidden="1">
      <c r="A73" s="44"/>
      <c r="B73" s="5">
        <f t="shared" si="7"/>
        <v>45505</v>
      </c>
      <c r="C73" s="1" t="s">
        <v>534</v>
      </c>
      <c r="D73" s="195"/>
      <c r="E73" s="118"/>
      <c r="F73" s="2"/>
      <c r="G73" s="3">
        <f t="shared" si="13"/>
        <v>0</v>
      </c>
      <c r="H73" s="202">
        <f t="shared" si="11"/>
        <v>0</v>
      </c>
      <c r="I73" s="200">
        <v>7.0000000000000007E-2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0</v>
      </c>
      <c r="N73" s="11">
        <f t="shared" si="3"/>
        <v>0</v>
      </c>
      <c r="O73" s="11">
        <f t="shared" si="4"/>
        <v>0</v>
      </c>
      <c r="P73" s="11">
        <f t="shared" si="5"/>
        <v>0</v>
      </c>
    </row>
    <row r="74" spans="1:16" hidden="1">
      <c r="A74" s="44"/>
      <c r="B74" s="5">
        <f t="shared" si="7"/>
        <v>45505</v>
      </c>
      <c r="C74" s="1" t="s">
        <v>534</v>
      </c>
      <c r="D74" s="195"/>
      <c r="E74" s="118"/>
      <c r="F74" s="2"/>
      <c r="G74" s="3">
        <f t="shared" si="13"/>
        <v>0</v>
      </c>
      <c r="H74" s="202">
        <f t="shared" si="11"/>
        <v>0</v>
      </c>
      <c r="I74" s="200">
        <v>7.0000000000000007E-2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0</v>
      </c>
      <c r="N74" s="11">
        <f t="shared" si="3"/>
        <v>0</v>
      </c>
      <c r="O74" s="11">
        <f t="shared" si="4"/>
        <v>0</v>
      </c>
      <c r="P74" s="11">
        <f t="shared" si="5"/>
        <v>0</v>
      </c>
    </row>
    <row r="75" spans="1:16" hidden="1">
      <c r="A75" s="44"/>
      <c r="B75" s="5">
        <f t="shared" si="7"/>
        <v>45505</v>
      </c>
      <c r="C75" s="1" t="s">
        <v>534</v>
      </c>
      <c r="D75" s="195"/>
      <c r="E75" s="118"/>
      <c r="F75" s="2"/>
      <c r="G75" s="3">
        <f t="shared" si="13"/>
        <v>0</v>
      </c>
      <c r="H75" s="202">
        <f t="shared" si="11"/>
        <v>0</v>
      </c>
      <c r="I75" s="200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0</v>
      </c>
      <c r="N75" s="11">
        <f t="shared" si="3"/>
        <v>0</v>
      </c>
      <c r="O75" s="11">
        <f t="shared" si="4"/>
        <v>0</v>
      </c>
      <c r="P75" s="11">
        <f t="shared" si="5"/>
        <v>0</v>
      </c>
    </row>
    <row r="76" spans="1:16" hidden="1">
      <c r="A76" s="44"/>
      <c r="B76" s="5">
        <f t="shared" si="7"/>
        <v>45505</v>
      </c>
      <c r="C76" s="1" t="s">
        <v>534</v>
      </c>
      <c r="D76" s="195"/>
      <c r="E76" s="118"/>
      <c r="F76" s="2"/>
      <c r="G76" s="3">
        <f t="shared" si="13"/>
        <v>0</v>
      </c>
      <c r="H76" s="202">
        <f t="shared" si="11"/>
        <v>0</v>
      </c>
      <c r="I76" s="200"/>
      <c r="J76" s="7">
        <v>1.6500000000000001E-2</v>
      </c>
      <c r="K76" s="7">
        <v>7.5999999999999998E-2</v>
      </c>
      <c r="L76" s="7">
        <v>0</v>
      </c>
      <c r="M76" s="11">
        <f t="shared" si="2"/>
        <v>0</v>
      </c>
      <c r="N76" s="11">
        <f t="shared" si="3"/>
        <v>0</v>
      </c>
      <c r="O76" s="11">
        <f t="shared" si="4"/>
        <v>0</v>
      </c>
      <c r="P76" s="11">
        <f t="shared" si="5"/>
        <v>0</v>
      </c>
    </row>
    <row r="77" spans="1:16" hidden="1">
      <c r="A77" s="44"/>
      <c r="B77" s="5">
        <f t="shared" si="7"/>
        <v>45505</v>
      </c>
      <c r="C77" s="1" t="s">
        <v>534</v>
      </c>
      <c r="D77" s="195"/>
      <c r="E77" s="118"/>
      <c r="F77" s="2"/>
      <c r="G77" s="3">
        <f t="shared" si="13"/>
        <v>0</v>
      </c>
      <c r="H77" s="202">
        <f t="shared" si="11"/>
        <v>0</v>
      </c>
      <c r="I77" s="200"/>
      <c r="J77" s="7">
        <v>1.6500000000000001E-2</v>
      </c>
      <c r="K77" s="7">
        <v>7.5999999999999998E-2</v>
      </c>
      <c r="L77" s="7">
        <v>0</v>
      </c>
      <c r="M77" s="11">
        <f t="shared" si="2"/>
        <v>0</v>
      </c>
      <c r="N77" s="11">
        <f t="shared" si="3"/>
        <v>0</v>
      </c>
      <c r="O77" s="11">
        <f t="shared" si="4"/>
        <v>0</v>
      </c>
      <c r="P77" s="11">
        <f t="shared" si="5"/>
        <v>0</v>
      </c>
    </row>
    <row r="78" spans="1:16" hidden="1">
      <c r="A78" s="44"/>
      <c r="B78" s="5">
        <f t="shared" si="7"/>
        <v>45505</v>
      </c>
      <c r="C78" s="1" t="s">
        <v>534</v>
      </c>
      <c r="D78" s="195"/>
      <c r="E78" s="118"/>
      <c r="F78" s="2"/>
      <c r="G78" s="3">
        <f t="shared" si="13"/>
        <v>0</v>
      </c>
      <c r="H78" s="202">
        <f t="shared" si="11"/>
        <v>0</v>
      </c>
      <c r="I78" s="200"/>
      <c r="J78" s="7">
        <v>1.6500000000000001E-2</v>
      </c>
      <c r="K78" s="7">
        <v>7.5999999999999998E-2</v>
      </c>
      <c r="L78" s="7">
        <v>0</v>
      </c>
      <c r="M78" s="11">
        <f t="shared" si="2"/>
        <v>0</v>
      </c>
      <c r="N78" s="11">
        <f t="shared" si="3"/>
        <v>0</v>
      </c>
      <c r="O78" s="11">
        <f t="shared" si="4"/>
        <v>0</v>
      </c>
      <c r="P78" s="11">
        <f t="shared" si="5"/>
        <v>0</v>
      </c>
    </row>
    <row r="79" spans="1:16" hidden="1">
      <c r="A79" s="44"/>
      <c r="B79" s="5">
        <f t="shared" si="7"/>
        <v>45505</v>
      </c>
      <c r="C79" s="1" t="s">
        <v>534</v>
      </c>
      <c r="D79" s="195"/>
      <c r="E79" s="118"/>
      <c r="F79" s="2"/>
      <c r="G79" s="3">
        <f t="shared" si="13"/>
        <v>0</v>
      </c>
      <c r="H79" s="202">
        <f t="shared" si="11"/>
        <v>0</v>
      </c>
      <c r="I79" s="200"/>
      <c r="J79" s="7">
        <v>1.6500000000000001E-2</v>
      </c>
      <c r="K79" s="7">
        <v>7.5999999999999998E-2</v>
      </c>
      <c r="L79" s="7">
        <v>0</v>
      </c>
      <c r="M79" s="11">
        <f t="shared" si="2"/>
        <v>0</v>
      </c>
      <c r="N79" s="11">
        <f t="shared" si="3"/>
        <v>0</v>
      </c>
      <c r="O79" s="11">
        <f t="shared" si="4"/>
        <v>0</v>
      </c>
      <c r="P79" s="11">
        <f t="shared" si="5"/>
        <v>0</v>
      </c>
    </row>
    <row r="80" spans="1:16" hidden="1">
      <c r="A80" s="44"/>
      <c r="B80" s="5">
        <f t="shared" si="7"/>
        <v>45505</v>
      </c>
      <c r="C80" s="1" t="s">
        <v>534</v>
      </c>
      <c r="D80" s="195"/>
      <c r="E80" s="118"/>
      <c r="F80" s="2"/>
      <c r="G80" s="3">
        <f t="shared" si="13"/>
        <v>0</v>
      </c>
      <c r="H80" s="202">
        <f t="shared" si="11"/>
        <v>0</v>
      </c>
      <c r="I80" s="200"/>
      <c r="J80" s="7">
        <v>1.6500000000000001E-2</v>
      </c>
      <c r="K80" s="7">
        <v>7.5999999999999998E-2</v>
      </c>
      <c r="L80" s="7">
        <v>0</v>
      </c>
      <c r="M80" s="11">
        <f t="shared" si="2"/>
        <v>0</v>
      </c>
      <c r="N80" s="11">
        <f t="shared" si="3"/>
        <v>0</v>
      </c>
      <c r="O80" s="11">
        <f t="shared" si="4"/>
        <v>0</v>
      </c>
      <c r="P80" s="11">
        <f t="shared" si="5"/>
        <v>0</v>
      </c>
    </row>
    <row r="81" spans="1:16" hidden="1">
      <c r="A81" s="44"/>
      <c r="B81" s="5">
        <f t="shared" si="7"/>
        <v>45505</v>
      </c>
      <c r="C81" s="1" t="s">
        <v>534</v>
      </c>
      <c r="D81" s="195"/>
      <c r="E81" s="118"/>
      <c r="F81" s="2"/>
      <c r="G81" s="3">
        <f t="shared" si="13"/>
        <v>0</v>
      </c>
      <c r="H81" s="202">
        <f t="shared" si="11"/>
        <v>0</v>
      </c>
      <c r="I81" s="200"/>
      <c r="J81" s="7">
        <v>1.6500000000000001E-2</v>
      </c>
      <c r="K81" s="7">
        <v>7.5999999999999998E-2</v>
      </c>
      <c r="L81" s="7">
        <v>0</v>
      </c>
      <c r="M81" s="11">
        <f t="shared" si="2"/>
        <v>0</v>
      </c>
      <c r="N81" s="11">
        <f t="shared" si="3"/>
        <v>0</v>
      </c>
      <c r="O81" s="11">
        <f t="shared" si="4"/>
        <v>0</v>
      </c>
      <c r="P81" s="11">
        <f t="shared" si="5"/>
        <v>0</v>
      </c>
    </row>
    <row r="82" spans="1:16" hidden="1">
      <c r="A82" s="44"/>
      <c r="B82" s="5">
        <f t="shared" si="7"/>
        <v>45505</v>
      </c>
      <c r="C82" s="1" t="s">
        <v>534</v>
      </c>
      <c r="D82" s="195"/>
      <c r="E82" s="118"/>
      <c r="F82" s="2"/>
      <c r="G82" s="3">
        <f t="shared" si="13"/>
        <v>0</v>
      </c>
      <c r="H82" s="202">
        <f t="shared" si="11"/>
        <v>0</v>
      </c>
      <c r="I82" s="200"/>
      <c r="J82" s="7">
        <v>1.6500000000000001E-2</v>
      </c>
      <c r="K82" s="7">
        <v>7.5999999999999998E-2</v>
      </c>
      <c r="L82" s="7">
        <v>0</v>
      </c>
      <c r="M82" s="11">
        <f t="shared" si="2"/>
        <v>0</v>
      </c>
      <c r="N82" s="11">
        <f t="shared" si="3"/>
        <v>0</v>
      </c>
      <c r="O82" s="11">
        <f t="shared" si="4"/>
        <v>0</v>
      </c>
      <c r="P82" s="11">
        <f t="shared" si="5"/>
        <v>0</v>
      </c>
    </row>
    <row r="83" spans="1:16" hidden="1">
      <c r="A83" s="44"/>
      <c r="B83" s="5">
        <f t="shared" si="7"/>
        <v>45505</v>
      </c>
      <c r="C83" s="1" t="s">
        <v>534</v>
      </c>
      <c r="D83" s="195"/>
      <c r="E83" s="118"/>
      <c r="F83" s="2"/>
      <c r="G83" s="3">
        <f t="shared" si="13"/>
        <v>0</v>
      </c>
      <c r="H83" s="202">
        <f t="shared" si="11"/>
        <v>0</v>
      </c>
      <c r="I83" s="200"/>
      <c r="J83" s="7">
        <v>1.6500000000000001E-2</v>
      </c>
      <c r="K83" s="7">
        <v>7.5999999999999998E-2</v>
      </c>
      <c r="L83" s="7">
        <v>0</v>
      </c>
      <c r="M83" s="11">
        <f t="shared" si="2"/>
        <v>0</v>
      </c>
      <c r="N83" s="11">
        <f t="shared" si="3"/>
        <v>0</v>
      </c>
      <c r="O83" s="11">
        <f t="shared" si="4"/>
        <v>0</v>
      </c>
      <c r="P83" s="11">
        <f t="shared" si="5"/>
        <v>0</v>
      </c>
    </row>
    <row r="84" spans="1:16" hidden="1">
      <c r="A84" s="44"/>
      <c r="B84" s="5">
        <f t="shared" si="7"/>
        <v>45505</v>
      </c>
      <c r="C84" s="1" t="s">
        <v>534</v>
      </c>
      <c r="D84" s="195"/>
      <c r="E84" s="118"/>
      <c r="F84" s="2"/>
      <c r="G84" s="3">
        <f t="shared" si="13"/>
        <v>0</v>
      </c>
      <c r="H84" s="202">
        <f t="shared" si="11"/>
        <v>0</v>
      </c>
      <c r="I84" s="200"/>
      <c r="J84" s="7">
        <v>1.6500000000000001E-2</v>
      </c>
      <c r="K84" s="7">
        <v>7.5999999999999998E-2</v>
      </c>
      <c r="L84" s="7">
        <v>0</v>
      </c>
      <c r="M84" s="11">
        <f t="shared" si="2"/>
        <v>0</v>
      </c>
      <c r="N84" s="11">
        <f t="shared" si="3"/>
        <v>0</v>
      </c>
      <c r="O84" s="11">
        <f t="shared" si="4"/>
        <v>0</v>
      </c>
      <c r="P84" s="11">
        <f t="shared" si="5"/>
        <v>0</v>
      </c>
    </row>
    <row r="85" spans="1:16" hidden="1">
      <c r="A85" s="44"/>
      <c r="B85" s="5">
        <f t="shared" ref="B85:B112" si="16">B84</f>
        <v>45505</v>
      </c>
      <c r="C85" s="1" t="s">
        <v>534</v>
      </c>
      <c r="D85" s="195"/>
      <c r="E85" s="118"/>
      <c r="F85" s="2"/>
      <c r="G85" s="3">
        <f t="shared" si="13"/>
        <v>0</v>
      </c>
      <c r="H85" s="202">
        <f t="shared" si="11"/>
        <v>0</v>
      </c>
      <c r="I85" s="200"/>
      <c r="J85" s="7">
        <v>1.6500000000000001E-2</v>
      </c>
      <c r="K85" s="7">
        <v>7.5999999999999998E-2</v>
      </c>
      <c r="L85" s="7">
        <v>0</v>
      </c>
      <c r="M85" s="11">
        <f t="shared" si="2"/>
        <v>0</v>
      </c>
      <c r="N85" s="11">
        <f t="shared" si="3"/>
        <v>0</v>
      </c>
      <c r="O85" s="11">
        <f t="shared" si="4"/>
        <v>0</v>
      </c>
      <c r="P85" s="11">
        <f t="shared" si="5"/>
        <v>0</v>
      </c>
    </row>
    <row r="86" spans="1:16" hidden="1">
      <c r="A86" s="44"/>
      <c r="B86" s="5">
        <f t="shared" si="16"/>
        <v>45505</v>
      </c>
      <c r="C86" s="1" t="s">
        <v>534</v>
      </c>
      <c r="D86" s="195"/>
      <c r="E86" s="118"/>
      <c r="F86" s="2"/>
      <c r="G86" s="3">
        <f t="shared" si="13"/>
        <v>0</v>
      </c>
      <c r="H86" s="202">
        <f t="shared" si="11"/>
        <v>0</v>
      </c>
      <c r="I86" s="200"/>
      <c r="J86" s="7">
        <v>1.6500000000000001E-2</v>
      </c>
      <c r="K86" s="7">
        <v>7.5999999999999998E-2</v>
      </c>
      <c r="L86" s="7">
        <v>0</v>
      </c>
      <c r="M86" s="11">
        <f t="shared" si="2"/>
        <v>0</v>
      </c>
      <c r="N86" s="11">
        <f t="shared" si="3"/>
        <v>0</v>
      </c>
      <c r="O86" s="11">
        <f t="shared" si="4"/>
        <v>0</v>
      </c>
      <c r="P86" s="11">
        <f t="shared" si="5"/>
        <v>0</v>
      </c>
    </row>
    <row r="87" spans="1:16" hidden="1">
      <c r="A87" s="44"/>
      <c r="B87" s="5">
        <f t="shared" si="16"/>
        <v>45505</v>
      </c>
      <c r="C87" s="1" t="s">
        <v>534</v>
      </c>
      <c r="D87" s="195"/>
      <c r="E87" s="118"/>
      <c r="F87" s="2"/>
      <c r="G87" s="3">
        <f t="shared" si="13"/>
        <v>0</v>
      </c>
      <c r="H87" s="202">
        <f t="shared" si="11"/>
        <v>0</v>
      </c>
      <c r="I87" s="200"/>
      <c r="J87" s="7">
        <v>1.6500000000000001E-2</v>
      </c>
      <c r="K87" s="7">
        <v>7.5999999999999998E-2</v>
      </c>
      <c r="L87" s="7">
        <v>0</v>
      </c>
      <c r="M87" s="11">
        <f t="shared" si="2"/>
        <v>0</v>
      </c>
      <c r="N87" s="11">
        <f t="shared" si="3"/>
        <v>0</v>
      </c>
      <c r="O87" s="11">
        <f t="shared" si="4"/>
        <v>0</v>
      </c>
      <c r="P87" s="11">
        <f t="shared" si="5"/>
        <v>0</v>
      </c>
    </row>
    <row r="88" spans="1:16" hidden="1">
      <c r="A88" s="44"/>
      <c r="B88" s="5">
        <f>B87</f>
        <v>45505</v>
      </c>
      <c r="C88" s="1" t="s">
        <v>534</v>
      </c>
      <c r="D88" s="195"/>
      <c r="E88" s="118"/>
      <c r="F88" s="2"/>
      <c r="G88" s="3">
        <f t="shared" si="12"/>
        <v>0</v>
      </c>
      <c r="H88" s="202">
        <f t="shared" si="11"/>
        <v>0</v>
      </c>
      <c r="I88" s="200"/>
      <c r="J88" s="7">
        <v>1.6500000000000001E-2</v>
      </c>
      <c r="K88" s="7">
        <v>7.5999999999999998E-2</v>
      </c>
      <c r="L88" s="7">
        <v>0</v>
      </c>
      <c r="M88" s="11">
        <f t="shared" si="2"/>
        <v>0</v>
      </c>
      <c r="N88" s="11">
        <f t="shared" si="3"/>
        <v>0</v>
      </c>
      <c r="O88" s="11">
        <f t="shared" si="4"/>
        <v>0</v>
      </c>
      <c r="P88" s="11">
        <f t="shared" si="5"/>
        <v>0</v>
      </c>
    </row>
    <row r="89" spans="1:16" hidden="1">
      <c r="A89" s="44"/>
      <c r="B89" s="5">
        <f t="shared" si="16"/>
        <v>45505</v>
      </c>
      <c r="C89" s="1" t="s">
        <v>534</v>
      </c>
      <c r="D89" s="195"/>
      <c r="E89" s="118"/>
      <c r="F89" s="2"/>
      <c r="G89" s="3">
        <f t="shared" si="12"/>
        <v>0</v>
      </c>
      <c r="H89" s="202">
        <f t="shared" si="11"/>
        <v>0</v>
      </c>
      <c r="I89" s="200"/>
      <c r="J89" s="7">
        <v>1.6500000000000001E-2</v>
      </c>
      <c r="K89" s="7">
        <v>7.5999999999999998E-2</v>
      </c>
      <c r="L89" s="7">
        <v>0</v>
      </c>
      <c r="M89" s="11">
        <f t="shared" si="2"/>
        <v>0</v>
      </c>
      <c r="N89" s="11">
        <f t="shared" si="3"/>
        <v>0</v>
      </c>
      <c r="O89" s="11">
        <f t="shared" si="4"/>
        <v>0</v>
      </c>
      <c r="P89" s="11">
        <f t="shared" si="5"/>
        <v>0</v>
      </c>
    </row>
    <row r="90" spans="1:16" hidden="1">
      <c r="A90" s="44"/>
      <c r="B90" s="5">
        <f t="shared" si="16"/>
        <v>45505</v>
      </c>
      <c r="C90" s="1" t="s">
        <v>534</v>
      </c>
      <c r="D90" s="195"/>
      <c r="E90" s="118"/>
      <c r="F90" s="2"/>
      <c r="G90" s="3">
        <f t="shared" si="12"/>
        <v>0</v>
      </c>
      <c r="H90" s="202">
        <f t="shared" si="11"/>
        <v>0</v>
      </c>
      <c r="I90" s="200"/>
      <c r="J90" s="7">
        <v>1.6500000000000001E-2</v>
      </c>
      <c r="K90" s="7">
        <v>7.5999999999999998E-2</v>
      </c>
      <c r="L90" s="7">
        <v>0</v>
      </c>
      <c r="M90" s="11">
        <f t="shared" si="2"/>
        <v>0</v>
      </c>
      <c r="N90" s="11">
        <f t="shared" si="3"/>
        <v>0</v>
      </c>
      <c r="O90" s="11">
        <f t="shared" si="4"/>
        <v>0</v>
      </c>
      <c r="P90" s="11">
        <f t="shared" si="5"/>
        <v>0</v>
      </c>
    </row>
    <row r="91" spans="1:16" hidden="1">
      <c r="A91" s="44"/>
      <c r="B91" s="5">
        <f t="shared" si="16"/>
        <v>45505</v>
      </c>
      <c r="C91" s="1" t="s">
        <v>534</v>
      </c>
      <c r="D91" s="195"/>
      <c r="E91" s="118"/>
      <c r="F91" s="2"/>
      <c r="G91" s="3">
        <f t="shared" si="12"/>
        <v>0</v>
      </c>
      <c r="H91" s="202">
        <f t="shared" si="11"/>
        <v>0</v>
      </c>
      <c r="I91" s="200"/>
      <c r="J91" s="7">
        <v>1.6500000000000001E-2</v>
      </c>
      <c r="K91" s="7">
        <v>7.5999999999999998E-2</v>
      </c>
      <c r="L91" s="7">
        <v>0</v>
      </c>
      <c r="M91" s="11">
        <f t="shared" si="2"/>
        <v>0</v>
      </c>
      <c r="N91" s="11">
        <f t="shared" si="3"/>
        <v>0</v>
      </c>
      <c r="O91" s="11">
        <f t="shared" si="4"/>
        <v>0</v>
      </c>
      <c r="P91" s="11">
        <f t="shared" si="5"/>
        <v>0</v>
      </c>
    </row>
    <row r="92" spans="1:16" hidden="1">
      <c r="A92" s="44"/>
      <c r="B92" s="5">
        <f t="shared" si="16"/>
        <v>45505</v>
      </c>
      <c r="C92" s="1" t="s">
        <v>534</v>
      </c>
      <c r="D92" s="195"/>
      <c r="E92" s="118"/>
      <c r="F92" s="2"/>
      <c r="G92" s="3">
        <f t="shared" ref="G92:G249" si="17">F92-SUM(M92:P92)</f>
        <v>0</v>
      </c>
      <c r="H92" s="202">
        <f t="shared" si="11"/>
        <v>0</v>
      </c>
      <c r="I92" s="200"/>
      <c r="J92" s="7">
        <v>1.6500000000000001E-2</v>
      </c>
      <c r="K92" s="7">
        <v>7.5999999999999998E-2</v>
      </c>
      <c r="L92" s="7">
        <v>0</v>
      </c>
      <c r="M92" s="11">
        <f t="shared" si="2"/>
        <v>0</v>
      </c>
      <c r="N92" s="11">
        <f t="shared" si="3"/>
        <v>0</v>
      </c>
      <c r="O92" s="11">
        <f t="shared" si="4"/>
        <v>0</v>
      </c>
      <c r="P92" s="11">
        <f t="shared" si="5"/>
        <v>0</v>
      </c>
    </row>
    <row r="93" spans="1:16" hidden="1">
      <c r="A93" s="44"/>
      <c r="B93" s="5">
        <f t="shared" si="16"/>
        <v>45505</v>
      </c>
      <c r="C93" s="1" t="s">
        <v>534</v>
      </c>
      <c r="D93" s="195"/>
      <c r="E93" s="118"/>
      <c r="F93" s="2"/>
      <c r="G93" s="3">
        <f t="shared" si="17"/>
        <v>0</v>
      </c>
      <c r="H93" s="202">
        <f t="shared" si="11"/>
        <v>0</v>
      </c>
      <c r="I93" s="200"/>
      <c r="J93" s="7">
        <v>1.6500000000000001E-2</v>
      </c>
      <c r="K93" s="7">
        <v>7.5999999999999998E-2</v>
      </c>
      <c r="L93" s="7">
        <v>0</v>
      </c>
      <c r="M93" s="11">
        <f t="shared" si="2"/>
        <v>0</v>
      </c>
      <c r="N93" s="11">
        <f t="shared" si="3"/>
        <v>0</v>
      </c>
      <c r="O93" s="11">
        <f t="shared" si="4"/>
        <v>0</v>
      </c>
      <c r="P93" s="11">
        <f t="shared" si="5"/>
        <v>0</v>
      </c>
    </row>
    <row r="94" spans="1:16" hidden="1">
      <c r="A94" s="44"/>
      <c r="B94" s="5">
        <f t="shared" si="16"/>
        <v>45505</v>
      </c>
      <c r="C94" s="1" t="s">
        <v>534</v>
      </c>
      <c r="D94" s="195"/>
      <c r="E94" s="118"/>
      <c r="F94" s="2"/>
      <c r="G94" s="3">
        <f t="shared" si="17"/>
        <v>0</v>
      </c>
      <c r="H94" s="202">
        <f t="shared" si="11"/>
        <v>0</v>
      </c>
      <c r="I94" s="200"/>
      <c r="J94" s="7">
        <v>1.6500000000000001E-2</v>
      </c>
      <c r="K94" s="7">
        <v>7.5999999999999998E-2</v>
      </c>
      <c r="L94" s="7">
        <v>0</v>
      </c>
      <c r="M94" s="11">
        <f t="shared" si="2"/>
        <v>0</v>
      </c>
      <c r="N94" s="11">
        <f t="shared" si="3"/>
        <v>0</v>
      </c>
      <c r="O94" s="11">
        <f t="shared" si="4"/>
        <v>0</v>
      </c>
      <c r="P94" s="11">
        <f t="shared" si="5"/>
        <v>0</v>
      </c>
    </row>
    <row r="95" spans="1:16" hidden="1">
      <c r="A95" s="44"/>
      <c r="B95" s="5">
        <f t="shared" si="16"/>
        <v>45505</v>
      </c>
      <c r="C95" s="1" t="s">
        <v>534</v>
      </c>
      <c r="D95" s="195"/>
      <c r="E95" s="118"/>
      <c r="F95" s="2"/>
      <c r="G95" s="3">
        <f t="shared" si="17"/>
        <v>0</v>
      </c>
      <c r="H95" s="202">
        <f t="shared" si="11"/>
        <v>0</v>
      </c>
      <c r="I95" s="200"/>
      <c r="J95" s="7">
        <v>1.6500000000000001E-2</v>
      </c>
      <c r="K95" s="7">
        <v>7.5999999999999998E-2</v>
      </c>
      <c r="L95" s="7">
        <v>0</v>
      </c>
      <c r="M95" s="11">
        <f t="shared" si="2"/>
        <v>0</v>
      </c>
      <c r="N95" s="11">
        <f t="shared" si="3"/>
        <v>0</v>
      </c>
      <c r="O95" s="11">
        <f t="shared" si="4"/>
        <v>0</v>
      </c>
      <c r="P95" s="11">
        <f t="shared" si="5"/>
        <v>0</v>
      </c>
    </row>
    <row r="96" spans="1:16" hidden="1">
      <c r="A96" s="44"/>
      <c r="B96" s="5">
        <f t="shared" si="16"/>
        <v>45505</v>
      </c>
      <c r="C96" s="1" t="s">
        <v>534</v>
      </c>
      <c r="D96" s="195"/>
      <c r="E96" s="118"/>
      <c r="F96" s="2"/>
      <c r="G96" s="3">
        <f t="shared" si="17"/>
        <v>0</v>
      </c>
      <c r="H96" s="202">
        <f t="shared" si="11"/>
        <v>0</v>
      </c>
      <c r="I96" s="200"/>
      <c r="J96" s="7">
        <v>1.6500000000000001E-2</v>
      </c>
      <c r="K96" s="7">
        <v>7.5999999999999998E-2</v>
      </c>
      <c r="L96" s="7">
        <v>0</v>
      </c>
      <c r="M96" s="11">
        <f t="shared" si="2"/>
        <v>0</v>
      </c>
      <c r="N96" s="11">
        <f t="shared" si="3"/>
        <v>0</v>
      </c>
      <c r="O96" s="11">
        <f t="shared" si="4"/>
        <v>0</v>
      </c>
      <c r="P96" s="11">
        <f t="shared" si="5"/>
        <v>0</v>
      </c>
    </row>
    <row r="97" spans="1:16" hidden="1">
      <c r="A97" s="44"/>
      <c r="B97" s="5">
        <f t="shared" si="16"/>
        <v>45505</v>
      </c>
      <c r="C97" s="1" t="s">
        <v>534</v>
      </c>
      <c r="D97" s="195"/>
      <c r="E97" s="118"/>
      <c r="F97" s="2"/>
      <c r="G97" s="3">
        <f t="shared" si="17"/>
        <v>0</v>
      </c>
      <c r="H97" s="202">
        <f t="shared" si="11"/>
        <v>0</v>
      </c>
      <c r="I97" s="200"/>
      <c r="J97" s="7">
        <v>1.6500000000000001E-2</v>
      </c>
      <c r="K97" s="7">
        <v>7.5999999999999998E-2</v>
      </c>
      <c r="L97" s="7">
        <v>0</v>
      </c>
      <c r="M97" s="11">
        <f t="shared" si="2"/>
        <v>0</v>
      </c>
      <c r="N97" s="11">
        <f t="shared" si="3"/>
        <v>0</v>
      </c>
      <c r="O97" s="11">
        <f t="shared" si="4"/>
        <v>0</v>
      </c>
      <c r="P97" s="11">
        <f t="shared" si="5"/>
        <v>0</v>
      </c>
    </row>
    <row r="98" spans="1:16" hidden="1">
      <c r="A98" s="44"/>
      <c r="B98" s="5">
        <f t="shared" si="16"/>
        <v>45505</v>
      </c>
      <c r="C98" s="1" t="s">
        <v>534</v>
      </c>
      <c r="D98" s="195"/>
      <c r="E98" s="118"/>
      <c r="F98" s="2"/>
      <c r="G98" s="3">
        <f t="shared" si="17"/>
        <v>0</v>
      </c>
      <c r="H98" s="202">
        <f t="shared" si="11"/>
        <v>0</v>
      </c>
      <c r="I98" s="200"/>
      <c r="J98" s="7">
        <v>1.6500000000000001E-2</v>
      </c>
      <c r="K98" s="7">
        <v>7.5999999999999998E-2</v>
      </c>
      <c r="L98" s="7">
        <v>0</v>
      </c>
      <c r="M98" s="11">
        <f t="shared" si="2"/>
        <v>0</v>
      </c>
      <c r="N98" s="11">
        <f t="shared" si="3"/>
        <v>0</v>
      </c>
      <c r="O98" s="11">
        <f t="shared" si="4"/>
        <v>0</v>
      </c>
      <c r="P98" s="11">
        <f t="shared" si="5"/>
        <v>0</v>
      </c>
    </row>
    <row r="99" spans="1:16" hidden="1">
      <c r="A99" s="44"/>
      <c r="B99" s="5">
        <f t="shared" si="16"/>
        <v>45505</v>
      </c>
      <c r="C99" s="1" t="s">
        <v>534</v>
      </c>
      <c r="D99" s="195"/>
      <c r="E99" s="118"/>
      <c r="F99" s="2"/>
      <c r="G99" s="3">
        <f t="shared" si="17"/>
        <v>0</v>
      </c>
      <c r="H99" s="202">
        <f t="shared" si="11"/>
        <v>0</v>
      </c>
      <c r="I99" s="200"/>
      <c r="J99" s="7">
        <v>1.6500000000000001E-2</v>
      </c>
      <c r="K99" s="7">
        <v>7.5999999999999998E-2</v>
      </c>
      <c r="L99" s="7">
        <v>0</v>
      </c>
      <c r="M99" s="11">
        <f>+I99*F99</f>
        <v>0</v>
      </c>
      <c r="N99" s="11">
        <f t="shared" si="3"/>
        <v>0</v>
      </c>
      <c r="O99" s="11">
        <f t="shared" si="4"/>
        <v>0</v>
      </c>
      <c r="P99" s="11">
        <f t="shared" si="5"/>
        <v>0</v>
      </c>
    </row>
    <row r="100" spans="1:16" hidden="1">
      <c r="A100" s="44"/>
      <c r="B100" s="5">
        <f t="shared" si="16"/>
        <v>45505</v>
      </c>
      <c r="C100" s="1" t="s">
        <v>534</v>
      </c>
      <c r="D100" s="195"/>
      <c r="E100" s="118"/>
      <c r="F100" s="2"/>
      <c r="G100" s="3">
        <f t="shared" si="17"/>
        <v>0</v>
      </c>
      <c r="H100" s="202">
        <f t="shared" si="11"/>
        <v>0</v>
      </c>
      <c r="I100" s="200"/>
      <c r="J100" s="7">
        <v>1.6500000000000001E-2</v>
      </c>
      <c r="K100" s="7">
        <v>7.5999999999999998E-2</v>
      </c>
      <c r="L100" s="7">
        <v>0</v>
      </c>
      <c r="M100" s="11">
        <f t="shared" si="2"/>
        <v>0</v>
      </c>
      <c r="N100" s="11">
        <f t="shared" si="3"/>
        <v>0</v>
      </c>
      <c r="O100" s="11">
        <f t="shared" si="4"/>
        <v>0</v>
      </c>
      <c r="P100" s="11">
        <f t="shared" si="5"/>
        <v>0</v>
      </c>
    </row>
    <row r="101" spans="1:16" hidden="1">
      <c r="A101" s="44"/>
      <c r="B101" s="5">
        <f t="shared" si="16"/>
        <v>45505</v>
      </c>
      <c r="C101" s="1" t="s">
        <v>534</v>
      </c>
      <c r="D101" s="195"/>
      <c r="E101" s="118"/>
      <c r="F101" s="2"/>
      <c r="G101" s="3">
        <f t="shared" si="17"/>
        <v>0</v>
      </c>
      <c r="H101" s="202">
        <f t="shared" si="11"/>
        <v>0</v>
      </c>
      <c r="I101" s="200"/>
      <c r="J101" s="7">
        <v>1.6500000000000001E-2</v>
      </c>
      <c r="K101" s="7">
        <v>7.5999999999999998E-2</v>
      </c>
      <c r="L101" s="7">
        <v>0</v>
      </c>
      <c r="M101" s="11">
        <f t="shared" si="2"/>
        <v>0</v>
      </c>
      <c r="N101" s="11">
        <f t="shared" si="3"/>
        <v>0</v>
      </c>
      <c r="O101" s="11">
        <f t="shared" si="4"/>
        <v>0</v>
      </c>
      <c r="P101" s="11">
        <f t="shared" si="5"/>
        <v>0</v>
      </c>
    </row>
    <row r="102" spans="1:16" hidden="1">
      <c r="A102" s="44"/>
      <c r="B102" s="5">
        <f t="shared" si="16"/>
        <v>45505</v>
      </c>
      <c r="C102" s="1" t="s">
        <v>534</v>
      </c>
      <c r="D102" s="195"/>
      <c r="E102" s="118"/>
      <c r="F102" s="2"/>
      <c r="G102" s="3">
        <f t="shared" si="17"/>
        <v>0</v>
      </c>
      <c r="H102" s="202">
        <f t="shared" ref="H102:H114" si="18">+IF(G102=0,0,G102/E102)</f>
        <v>0</v>
      </c>
      <c r="I102" s="200"/>
      <c r="J102" s="7">
        <v>1.6500000000000001E-2</v>
      </c>
      <c r="K102" s="7">
        <v>7.5999999999999998E-2</v>
      </c>
      <c r="L102" s="7">
        <v>0</v>
      </c>
      <c r="M102" s="11">
        <f t="shared" si="2"/>
        <v>0</v>
      </c>
      <c r="N102" s="11">
        <f t="shared" si="3"/>
        <v>0</v>
      </c>
      <c r="O102" s="11">
        <f t="shared" si="4"/>
        <v>0</v>
      </c>
      <c r="P102" s="11">
        <f t="shared" si="5"/>
        <v>0</v>
      </c>
    </row>
    <row r="103" spans="1:16" hidden="1">
      <c r="A103" s="44"/>
      <c r="B103" s="5">
        <f t="shared" si="16"/>
        <v>45505</v>
      </c>
      <c r="C103" s="1" t="s">
        <v>534</v>
      </c>
      <c r="D103" s="195"/>
      <c r="E103" s="118"/>
      <c r="F103" s="2"/>
      <c r="G103" s="3">
        <f t="shared" si="17"/>
        <v>0</v>
      </c>
      <c r="H103" s="202">
        <f t="shared" si="18"/>
        <v>0</v>
      </c>
      <c r="I103" s="200"/>
      <c r="J103" s="7">
        <v>1.6500000000000001E-2</v>
      </c>
      <c r="K103" s="7">
        <v>7.5999999999999998E-2</v>
      </c>
      <c r="L103" s="7">
        <v>0</v>
      </c>
      <c r="M103" s="11">
        <f t="shared" si="2"/>
        <v>0</v>
      </c>
      <c r="N103" s="11">
        <f t="shared" si="3"/>
        <v>0</v>
      </c>
      <c r="O103" s="11">
        <f t="shared" si="4"/>
        <v>0</v>
      </c>
      <c r="P103" s="11">
        <f t="shared" si="5"/>
        <v>0</v>
      </c>
    </row>
    <row r="104" spans="1:16" hidden="1">
      <c r="A104" s="44"/>
      <c r="B104" s="5">
        <f t="shared" si="16"/>
        <v>45505</v>
      </c>
      <c r="C104" s="1" t="s">
        <v>534</v>
      </c>
      <c r="D104" s="195"/>
      <c r="E104" s="118"/>
      <c r="F104" s="2"/>
      <c r="G104" s="3">
        <f t="shared" si="17"/>
        <v>0</v>
      </c>
      <c r="H104" s="202">
        <f t="shared" si="18"/>
        <v>0</v>
      </c>
      <c r="I104" s="200"/>
      <c r="J104" s="7">
        <v>1.6500000000000001E-2</v>
      </c>
      <c r="K104" s="7">
        <v>7.5999999999999998E-2</v>
      </c>
      <c r="L104" s="7">
        <v>0</v>
      </c>
      <c r="M104" s="11">
        <f t="shared" si="2"/>
        <v>0</v>
      </c>
      <c r="N104" s="11">
        <f t="shared" si="3"/>
        <v>0</v>
      </c>
      <c r="O104" s="11">
        <f t="shared" si="4"/>
        <v>0</v>
      </c>
      <c r="P104" s="11">
        <f t="shared" si="5"/>
        <v>0</v>
      </c>
    </row>
    <row r="105" spans="1:16" hidden="1">
      <c r="A105" s="44"/>
      <c r="B105" s="5">
        <f t="shared" si="16"/>
        <v>45505</v>
      </c>
      <c r="C105" s="1" t="s">
        <v>534</v>
      </c>
      <c r="D105" s="195"/>
      <c r="E105" s="118"/>
      <c r="F105" s="2"/>
      <c r="G105" s="3">
        <f t="shared" si="17"/>
        <v>0</v>
      </c>
      <c r="H105" s="202">
        <f t="shared" si="18"/>
        <v>0</v>
      </c>
      <c r="I105" s="200"/>
      <c r="J105" s="7">
        <v>1.6500000000000001E-2</v>
      </c>
      <c r="K105" s="7">
        <v>7.5999999999999998E-2</v>
      </c>
      <c r="L105" s="7">
        <v>0</v>
      </c>
      <c r="M105" s="11">
        <f t="shared" si="2"/>
        <v>0</v>
      </c>
      <c r="N105" s="11">
        <f t="shared" si="3"/>
        <v>0</v>
      </c>
      <c r="O105" s="11">
        <f t="shared" si="4"/>
        <v>0</v>
      </c>
      <c r="P105" s="11">
        <f t="shared" si="5"/>
        <v>0</v>
      </c>
    </row>
    <row r="106" spans="1:16" hidden="1">
      <c r="A106" s="44"/>
      <c r="B106" s="5">
        <f t="shared" si="16"/>
        <v>45505</v>
      </c>
      <c r="C106" s="1" t="s">
        <v>534</v>
      </c>
      <c r="D106" s="195"/>
      <c r="E106" s="118"/>
      <c r="F106" s="2"/>
      <c r="G106" s="3">
        <f t="shared" si="17"/>
        <v>0</v>
      </c>
      <c r="H106" s="202">
        <f t="shared" si="18"/>
        <v>0</v>
      </c>
      <c r="I106" s="200"/>
      <c r="J106" s="7">
        <v>1.6500000000000001E-2</v>
      </c>
      <c r="K106" s="7">
        <v>7.5999999999999998E-2</v>
      </c>
      <c r="L106" s="7">
        <v>0</v>
      </c>
      <c r="M106" s="11">
        <f t="shared" si="2"/>
        <v>0</v>
      </c>
      <c r="N106" s="11">
        <f t="shared" si="3"/>
        <v>0</v>
      </c>
      <c r="O106" s="11">
        <f t="shared" si="4"/>
        <v>0</v>
      </c>
      <c r="P106" s="11">
        <f t="shared" si="5"/>
        <v>0</v>
      </c>
    </row>
    <row r="107" spans="1:16" hidden="1">
      <c r="A107" s="44"/>
      <c r="B107" s="5">
        <f t="shared" si="16"/>
        <v>45505</v>
      </c>
      <c r="C107" s="1" t="s">
        <v>534</v>
      </c>
      <c r="D107" s="195"/>
      <c r="E107" s="118"/>
      <c r="F107" s="2"/>
      <c r="G107" s="3">
        <f t="shared" si="17"/>
        <v>0</v>
      </c>
      <c r="H107" s="202">
        <f t="shared" si="18"/>
        <v>0</v>
      </c>
      <c r="I107" s="200"/>
      <c r="J107" s="7">
        <v>1.6500000000000001E-2</v>
      </c>
      <c r="K107" s="7">
        <v>7.5999999999999998E-2</v>
      </c>
      <c r="L107" s="7">
        <v>0</v>
      </c>
      <c r="M107" s="11">
        <f t="shared" si="2"/>
        <v>0</v>
      </c>
      <c r="N107" s="11">
        <f t="shared" si="3"/>
        <v>0</v>
      </c>
      <c r="O107" s="11">
        <f t="shared" si="4"/>
        <v>0</v>
      </c>
      <c r="P107" s="11">
        <f t="shared" si="5"/>
        <v>0</v>
      </c>
    </row>
    <row r="108" spans="1:16" hidden="1">
      <c r="A108" s="44"/>
      <c r="B108" s="5">
        <f t="shared" si="16"/>
        <v>45505</v>
      </c>
      <c r="C108" s="1" t="s">
        <v>534</v>
      </c>
      <c r="D108" s="195"/>
      <c r="E108" s="118"/>
      <c r="F108" s="2"/>
      <c r="G108" s="3">
        <f t="shared" si="17"/>
        <v>0</v>
      </c>
      <c r="H108" s="202">
        <f t="shared" si="18"/>
        <v>0</v>
      </c>
      <c r="I108" s="200"/>
      <c r="J108" s="7">
        <v>1.6500000000000001E-2</v>
      </c>
      <c r="K108" s="7">
        <v>7.5999999999999998E-2</v>
      </c>
      <c r="L108" s="7">
        <v>0</v>
      </c>
      <c r="M108" s="11">
        <f t="shared" si="2"/>
        <v>0</v>
      </c>
      <c r="N108" s="11">
        <f t="shared" si="3"/>
        <v>0</v>
      </c>
      <c r="O108" s="11">
        <f t="shared" si="4"/>
        <v>0</v>
      </c>
      <c r="P108" s="11">
        <f t="shared" si="5"/>
        <v>0</v>
      </c>
    </row>
    <row r="109" spans="1:16" hidden="1">
      <c r="A109" s="44"/>
      <c r="B109" s="5">
        <f t="shared" si="16"/>
        <v>45505</v>
      </c>
      <c r="C109" s="1" t="s">
        <v>534</v>
      </c>
      <c r="D109" s="195"/>
      <c r="E109" s="118"/>
      <c r="F109" s="2"/>
      <c r="G109" s="3">
        <f t="shared" si="17"/>
        <v>0</v>
      </c>
      <c r="H109" s="202">
        <f t="shared" si="18"/>
        <v>0</v>
      </c>
      <c r="I109" s="200"/>
      <c r="J109" s="7">
        <v>1.6500000000000001E-2</v>
      </c>
      <c r="K109" s="7">
        <v>7.5999999999999998E-2</v>
      </c>
      <c r="L109" s="7">
        <v>0</v>
      </c>
      <c r="M109" s="11">
        <f t="shared" si="2"/>
        <v>0</v>
      </c>
      <c r="N109" s="11">
        <f t="shared" si="3"/>
        <v>0</v>
      </c>
      <c r="O109" s="11">
        <f t="shared" si="4"/>
        <v>0</v>
      </c>
      <c r="P109" s="11">
        <f t="shared" si="5"/>
        <v>0</v>
      </c>
    </row>
    <row r="110" spans="1:16" hidden="1">
      <c r="A110" s="44"/>
      <c r="B110" s="5">
        <f t="shared" si="16"/>
        <v>45505</v>
      </c>
      <c r="C110" s="1" t="s">
        <v>534</v>
      </c>
      <c r="D110" s="195"/>
      <c r="E110" s="118"/>
      <c r="F110" s="2"/>
      <c r="G110" s="3">
        <f t="shared" si="17"/>
        <v>0</v>
      </c>
      <c r="H110" s="202">
        <f t="shared" si="18"/>
        <v>0</v>
      </c>
      <c r="I110" s="200"/>
      <c r="J110" s="7">
        <v>1.6500000000000001E-2</v>
      </c>
      <c r="K110" s="7">
        <v>7.5999999999999998E-2</v>
      </c>
      <c r="L110" s="7">
        <v>0</v>
      </c>
      <c r="M110" s="11">
        <f t="shared" si="2"/>
        <v>0</v>
      </c>
      <c r="N110" s="11">
        <f t="shared" si="3"/>
        <v>0</v>
      </c>
      <c r="O110" s="11">
        <f t="shared" si="4"/>
        <v>0</v>
      </c>
      <c r="P110" s="11">
        <f t="shared" si="5"/>
        <v>0</v>
      </c>
    </row>
    <row r="111" spans="1:16">
      <c r="A111" s="44"/>
      <c r="B111" s="5">
        <f t="shared" si="16"/>
        <v>45505</v>
      </c>
      <c r="C111" s="1"/>
      <c r="D111" s="195"/>
      <c r="E111" s="118"/>
      <c r="F111" s="2"/>
      <c r="G111" s="3">
        <f t="shared" si="17"/>
        <v>0</v>
      </c>
      <c r="H111" s="202">
        <f t="shared" si="18"/>
        <v>0</v>
      </c>
      <c r="I111" s="200">
        <v>0.12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0</v>
      </c>
      <c r="N111" s="11">
        <f t="shared" si="3"/>
        <v>0</v>
      </c>
      <c r="O111" s="11">
        <f t="shared" si="4"/>
        <v>0</v>
      </c>
      <c r="P111" s="11">
        <f t="shared" si="5"/>
        <v>0</v>
      </c>
    </row>
    <row r="112" spans="1:16">
      <c r="A112" s="44"/>
      <c r="B112" s="5">
        <f t="shared" si="16"/>
        <v>45505</v>
      </c>
      <c r="C112" s="1" t="s">
        <v>689</v>
      </c>
      <c r="D112" s="195" t="s">
        <v>743</v>
      </c>
      <c r="E112" s="118">
        <v>100000</v>
      </c>
      <c r="F112" s="2">
        <v>250440</v>
      </c>
      <c r="G112" s="3">
        <f t="shared" si="17"/>
        <v>200001.38400000002</v>
      </c>
      <c r="H112" s="202">
        <f t="shared" si="18"/>
        <v>2.0000138400000003</v>
      </c>
      <c r="I112" s="200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30052.799999999999</v>
      </c>
      <c r="N112" s="11">
        <f t="shared" si="3"/>
        <v>3636.3888000000002</v>
      </c>
      <c r="O112" s="11">
        <f t="shared" si="4"/>
        <v>16749.427200000002</v>
      </c>
      <c r="P112" s="11">
        <f t="shared" si="5"/>
        <v>0</v>
      </c>
    </row>
    <row r="113" spans="1:16" ht="15" hidden="1" customHeight="1">
      <c r="A113" s="44"/>
      <c r="B113" s="5">
        <f>B112</f>
        <v>45505</v>
      </c>
      <c r="C113" s="1" t="s">
        <v>533</v>
      </c>
      <c r="D113" s="195"/>
      <c r="E113" s="118"/>
      <c r="F113" s="2"/>
      <c r="G113" s="3">
        <f t="shared" si="17"/>
        <v>0</v>
      </c>
      <c r="H113" s="202">
        <f t="shared" si="18"/>
        <v>0</v>
      </c>
      <c r="I113" s="7">
        <v>7.0000000000000007E-2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0</v>
      </c>
      <c r="N113" s="11">
        <f t="shared" si="3"/>
        <v>0</v>
      </c>
      <c r="O113" s="11">
        <f t="shared" si="4"/>
        <v>0</v>
      </c>
      <c r="P113" s="11">
        <f t="shared" si="5"/>
        <v>0</v>
      </c>
    </row>
    <row r="114" spans="1:16" ht="15" hidden="1" customHeight="1">
      <c r="A114" s="44"/>
      <c r="B114" s="5">
        <f>B113</f>
        <v>45505</v>
      </c>
      <c r="C114" s="1" t="s">
        <v>533</v>
      </c>
      <c r="D114" s="195"/>
      <c r="E114" s="118"/>
      <c r="F114" s="2"/>
      <c r="G114" s="3">
        <f t="shared" si="17"/>
        <v>0</v>
      </c>
      <c r="H114" s="202">
        <f t="shared" si="18"/>
        <v>0</v>
      </c>
      <c r="I114" s="7">
        <v>7.0000000000000007E-2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0</v>
      </c>
      <c r="N114" s="11">
        <f t="shared" si="3"/>
        <v>0</v>
      </c>
      <c r="O114" s="11">
        <f t="shared" si="4"/>
        <v>0</v>
      </c>
      <c r="P114" s="11">
        <f t="shared" si="5"/>
        <v>0</v>
      </c>
    </row>
    <row r="115" spans="1:16" ht="15" customHeight="1">
      <c r="A115" s="44"/>
      <c r="B115" s="5">
        <f t="shared" ref="B115:B178" si="19">B114</f>
        <v>45505</v>
      </c>
      <c r="C115" s="1" t="s">
        <v>533</v>
      </c>
      <c r="D115" s="195">
        <v>4561</v>
      </c>
      <c r="E115" s="186"/>
      <c r="F115" s="2">
        <v>180286.97</v>
      </c>
      <c r="G115" s="3">
        <f t="shared" si="17"/>
        <v>143977.17424200001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21634.436399999999</v>
      </c>
      <c r="N115" s="11">
        <f t="shared" si="3"/>
        <v>2617.7668044000002</v>
      </c>
      <c r="O115" s="11">
        <f t="shared" si="4"/>
        <v>12057.5925536</v>
      </c>
      <c r="P115" s="11">
        <f t="shared" si="5"/>
        <v>0</v>
      </c>
    </row>
    <row r="116" spans="1:16" ht="15" customHeight="1">
      <c r="A116" s="44"/>
      <c r="B116" s="5">
        <f t="shared" si="19"/>
        <v>45505</v>
      </c>
      <c r="C116" s="1" t="s">
        <v>533</v>
      </c>
      <c r="D116" s="195">
        <v>16878</v>
      </c>
      <c r="E116" s="186"/>
      <c r="F116" s="2">
        <v>312.95</v>
      </c>
      <c r="G116" s="3">
        <f t="shared" si="17"/>
        <v>264.12197624999999</v>
      </c>
      <c r="H116" s="187"/>
      <c r="I116" s="7">
        <v>7.0000000000000007E-2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21.906500000000001</v>
      </c>
      <c r="N116" s="11">
        <f t="shared" si="3"/>
        <v>4.8022177500000005</v>
      </c>
      <c r="O116" s="11">
        <f t="shared" si="4"/>
        <v>22.119305999999998</v>
      </c>
      <c r="P116" s="11">
        <f t="shared" si="5"/>
        <v>0</v>
      </c>
    </row>
    <row r="117" spans="1:16" ht="15" customHeight="1">
      <c r="A117" s="44"/>
      <c r="B117" s="5">
        <f t="shared" si="19"/>
        <v>45505</v>
      </c>
      <c r="C117" s="1" t="s">
        <v>533</v>
      </c>
      <c r="D117" s="195">
        <v>16879</v>
      </c>
      <c r="E117" s="186"/>
      <c r="F117" s="2">
        <v>2668.93</v>
      </c>
      <c r="G117" s="3">
        <f t="shared" si="17"/>
        <v>2252.51019675</v>
      </c>
      <c r="H117" s="187"/>
      <c r="I117" s="7">
        <v>7.0000000000000007E-2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186.82510000000002</v>
      </c>
      <c r="N117" s="11">
        <f t="shared" si="3"/>
        <v>40.954730849999997</v>
      </c>
      <c r="O117" s="11">
        <f t="shared" si="4"/>
        <v>188.63997239999998</v>
      </c>
      <c r="P117" s="11">
        <f t="shared" si="5"/>
        <v>0</v>
      </c>
    </row>
    <row r="118" spans="1:16" ht="15" customHeight="1">
      <c r="A118" s="44"/>
      <c r="B118" s="5">
        <f t="shared" si="19"/>
        <v>45505</v>
      </c>
      <c r="C118" s="1" t="s">
        <v>533</v>
      </c>
      <c r="D118" s="195">
        <v>16880</v>
      </c>
      <c r="E118" s="186"/>
      <c r="F118" s="2">
        <v>128.37</v>
      </c>
      <c r="G118" s="3">
        <f t="shared" si="17"/>
        <v>108.34107075</v>
      </c>
      <c r="H118" s="187"/>
      <c r="I118" s="7">
        <v>7.0000000000000007E-2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8.9859000000000009</v>
      </c>
      <c r="N118" s="11">
        <f t="shared" si="3"/>
        <v>1.9698376500000001</v>
      </c>
      <c r="O118" s="11">
        <f t="shared" si="4"/>
        <v>9.0731915999999995</v>
      </c>
      <c r="P118" s="11">
        <f t="shared" si="5"/>
        <v>0</v>
      </c>
    </row>
    <row r="119" spans="1:16" ht="15" customHeight="1">
      <c r="A119" s="44"/>
      <c r="B119" s="5">
        <f t="shared" si="19"/>
        <v>45505</v>
      </c>
      <c r="C119" s="1" t="s">
        <v>533</v>
      </c>
      <c r="D119" s="195">
        <v>4562</v>
      </c>
      <c r="E119" s="186"/>
      <c r="F119" s="2">
        <v>4573.2</v>
      </c>
      <c r="G119" s="3">
        <f t="shared" si="17"/>
        <v>3652.1575199999997</v>
      </c>
      <c r="H119" s="187"/>
      <c r="I119" s="7">
        <v>0.12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548.78399999999999</v>
      </c>
      <c r="N119" s="11">
        <f t="shared" si="3"/>
        <v>66.402863999999994</v>
      </c>
      <c r="O119" s="11">
        <f t="shared" si="4"/>
        <v>305.855616</v>
      </c>
      <c r="P119" s="11">
        <f t="shared" si="5"/>
        <v>0</v>
      </c>
    </row>
    <row r="120" spans="1:16" ht="15" customHeight="1">
      <c r="A120" s="44"/>
      <c r="B120" s="5">
        <f t="shared" si="19"/>
        <v>45505</v>
      </c>
      <c r="C120" s="1" t="s">
        <v>533</v>
      </c>
      <c r="D120" s="195">
        <v>4563</v>
      </c>
      <c r="E120" s="186"/>
      <c r="F120" s="2">
        <v>14571.12</v>
      </c>
      <c r="G120" s="3">
        <f t="shared" si="17"/>
        <v>11636.496432</v>
      </c>
      <c r="H120" s="187"/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1748.5344</v>
      </c>
      <c r="N120" s="11">
        <f t="shared" si="3"/>
        <v>211.57266240000001</v>
      </c>
      <c r="O120" s="11">
        <f t="shared" si="4"/>
        <v>974.51650559999996</v>
      </c>
      <c r="P120" s="11">
        <f t="shared" si="5"/>
        <v>0</v>
      </c>
    </row>
    <row r="121" spans="1:16" ht="15" customHeight="1">
      <c r="A121" s="44"/>
      <c r="B121" s="5">
        <f t="shared" si="19"/>
        <v>45505</v>
      </c>
      <c r="C121" s="1" t="s">
        <v>533</v>
      </c>
      <c r="D121" s="195">
        <v>4564</v>
      </c>
      <c r="E121" s="186"/>
      <c r="F121" s="2">
        <v>246149.65</v>
      </c>
      <c r="G121" s="3">
        <f t="shared" si="17"/>
        <v>196575.11048999999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29537.957999999999</v>
      </c>
      <c r="N121" s="11">
        <f t="shared" si="3"/>
        <v>3574.0929179999998</v>
      </c>
      <c r="O121" s="11">
        <f t="shared" si="4"/>
        <v>16462.488591999998</v>
      </c>
      <c r="P121" s="11">
        <f t="shared" si="5"/>
        <v>0</v>
      </c>
    </row>
    <row r="122" spans="1:16" ht="15" customHeight="1">
      <c r="A122" s="44"/>
      <c r="B122" s="5">
        <f t="shared" si="19"/>
        <v>45505</v>
      </c>
      <c r="C122" s="1" t="s">
        <v>533</v>
      </c>
      <c r="D122" s="195">
        <v>4565</v>
      </c>
      <c r="E122" s="186"/>
      <c r="F122" s="2">
        <v>2229.41</v>
      </c>
      <c r="G122" s="3">
        <f t="shared" si="17"/>
        <v>1780.4068259999999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267.52919999999995</v>
      </c>
      <c r="N122" s="11">
        <f t="shared" si="3"/>
        <v>32.371033199999999</v>
      </c>
      <c r="O122" s="11">
        <f t="shared" si="4"/>
        <v>149.1029408</v>
      </c>
      <c r="P122" s="11">
        <f t="shared" si="5"/>
        <v>0</v>
      </c>
    </row>
    <row r="123" spans="1:16" ht="15" customHeight="1">
      <c r="A123" s="44"/>
      <c r="B123" s="5">
        <f t="shared" si="19"/>
        <v>45505</v>
      </c>
      <c r="C123" s="1" t="s">
        <v>533</v>
      </c>
      <c r="D123" s="195">
        <v>4566</v>
      </c>
      <c r="E123" s="186"/>
      <c r="F123" s="2">
        <v>1343.93</v>
      </c>
      <c r="G123" s="3">
        <f t="shared" si="17"/>
        <v>1073.2624980000001</v>
      </c>
      <c r="H123" s="187"/>
      <c r="I123" s="7">
        <v>0.12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161.27160000000001</v>
      </c>
      <c r="N123" s="11">
        <f t="shared" si="3"/>
        <v>19.513863600000001</v>
      </c>
      <c r="O123" s="11">
        <f t="shared" si="4"/>
        <v>89.882038399999999</v>
      </c>
      <c r="P123" s="11">
        <f t="shared" si="5"/>
        <v>0</v>
      </c>
    </row>
    <row r="124" spans="1:16" ht="15" customHeight="1">
      <c r="A124" s="44"/>
      <c r="B124" s="5">
        <f t="shared" si="19"/>
        <v>45505</v>
      </c>
      <c r="C124" s="1" t="s">
        <v>533</v>
      </c>
      <c r="D124" s="195">
        <v>16877</v>
      </c>
      <c r="E124" s="186"/>
      <c r="F124" s="2">
        <v>2002.89</v>
      </c>
      <c r="G124" s="3">
        <f t="shared" si="17"/>
        <v>1690.38908775</v>
      </c>
      <c r="H124" s="187"/>
      <c r="I124" s="7">
        <v>7.0000000000000007E-2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140.20230000000001</v>
      </c>
      <c r="N124" s="11">
        <f t="shared" si="3"/>
        <v>30.734347050000004</v>
      </c>
      <c r="O124" s="11">
        <f t="shared" si="4"/>
        <v>141.56426520000002</v>
      </c>
      <c r="P124" s="11">
        <f t="shared" si="5"/>
        <v>0</v>
      </c>
    </row>
    <row r="125" spans="1:16" ht="15" customHeight="1">
      <c r="A125" s="44"/>
      <c r="B125" s="5">
        <f t="shared" si="19"/>
        <v>45505</v>
      </c>
      <c r="C125" s="1" t="s">
        <v>533</v>
      </c>
      <c r="D125" s="195">
        <v>4524</v>
      </c>
      <c r="E125" s="186"/>
      <c r="F125" s="2">
        <v>4312.82</v>
      </c>
      <c r="G125" s="3">
        <f t="shared" si="17"/>
        <v>3444.2180519999997</v>
      </c>
      <c r="H125" s="187"/>
      <c r="I125" s="7">
        <v>0.12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517.53839999999991</v>
      </c>
      <c r="N125" s="11">
        <f t="shared" si="3"/>
        <v>62.622146399999998</v>
      </c>
      <c r="O125" s="11">
        <f t="shared" si="4"/>
        <v>288.44140159999995</v>
      </c>
      <c r="P125" s="11">
        <f t="shared" si="5"/>
        <v>0</v>
      </c>
    </row>
    <row r="126" spans="1:16" ht="15" customHeight="1">
      <c r="A126" s="44"/>
      <c r="B126" s="5">
        <f t="shared" si="19"/>
        <v>45505</v>
      </c>
      <c r="C126" s="1" t="s">
        <v>533</v>
      </c>
      <c r="D126" s="195">
        <v>16946</v>
      </c>
      <c r="E126" s="186"/>
      <c r="F126" s="2">
        <v>218.85</v>
      </c>
      <c r="G126" s="3">
        <f t="shared" si="17"/>
        <v>184.70392874999999</v>
      </c>
      <c r="H126" s="187"/>
      <c r="I126" s="7">
        <v>7.0000000000000007E-2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15.319500000000001</v>
      </c>
      <c r="N126" s="11">
        <f t="shared" si="3"/>
        <v>3.3582532500000002</v>
      </c>
      <c r="O126" s="11">
        <f t="shared" si="4"/>
        <v>15.468317999999998</v>
      </c>
      <c r="P126" s="11">
        <f t="shared" si="5"/>
        <v>0</v>
      </c>
    </row>
    <row r="127" spans="1:16" ht="15" customHeight="1">
      <c r="A127" s="44"/>
      <c r="B127" s="5">
        <f t="shared" si="19"/>
        <v>45505</v>
      </c>
      <c r="C127" s="1" t="s">
        <v>533</v>
      </c>
      <c r="D127" s="195">
        <v>16945</v>
      </c>
      <c r="E127" s="186"/>
      <c r="F127" s="2">
        <v>226.32</v>
      </c>
      <c r="G127" s="3">
        <f t="shared" si="17"/>
        <v>191.008422</v>
      </c>
      <c r="H127" s="187"/>
      <c r="I127" s="7">
        <v>7.0000000000000007E-2</v>
      </c>
      <c r="J127" s="7">
        <v>1.6500000000000001E-2</v>
      </c>
      <c r="K127" s="7">
        <v>7.5999999999999998E-2</v>
      </c>
      <c r="L127" s="7">
        <v>0</v>
      </c>
      <c r="M127" s="11">
        <f t="shared" si="2"/>
        <v>15.842400000000001</v>
      </c>
      <c r="N127" s="11">
        <f t="shared" si="3"/>
        <v>3.4728804000000002</v>
      </c>
      <c r="O127" s="11">
        <f t="shared" si="4"/>
        <v>15.9962976</v>
      </c>
      <c r="P127" s="11">
        <f t="shared" si="5"/>
        <v>0</v>
      </c>
    </row>
    <row r="128" spans="1:16" ht="15" customHeight="1">
      <c r="A128" s="44"/>
      <c r="B128" s="5">
        <f t="shared" si="19"/>
        <v>45505</v>
      </c>
      <c r="C128" s="1" t="s">
        <v>533</v>
      </c>
      <c r="D128" s="195">
        <v>16947</v>
      </c>
      <c r="E128" s="186"/>
      <c r="F128" s="2">
        <v>5021.6000000000004</v>
      </c>
      <c r="G128" s="3">
        <f t="shared" si="17"/>
        <v>4238.1048600000004</v>
      </c>
      <c r="H128" s="187"/>
      <c r="I128" s="7">
        <v>7.0000000000000007E-2</v>
      </c>
      <c r="J128" s="7">
        <v>1.6500000000000001E-2</v>
      </c>
      <c r="K128" s="7">
        <v>7.5999999999999998E-2</v>
      </c>
      <c r="L128" s="7">
        <v>0</v>
      </c>
      <c r="M128" s="11">
        <f t="shared" si="2"/>
        <v>351.51200000000006</v>
      </c>
      <c r="N128" s="11">
        <f t="shared" si="3"/>
        <v>77.056452000000007</v>
      </c>
      <c r="O128" s="11">
        <f t="shared" si="4"/>
        <v>354.92668800000001</v>
      </c>
      <c r="P128" s="11">
        <f t="shared" si="5"/>
        <v>0</v>
      </c>
    </row>
    <row r="129" spans="1:16" ht="15" customHeight="1">
      <c r="A129" s="44"/>
      <c r="B129" s="5">
        <f t="shared" si="19"/>
        <v>45505</v>
      </c>
      <c r="C129" s="1" t="s">
        <v>533</v>
      </c>
      <c r="D129" s="195">
        <v>16948</v>
      </c>
      <c r="E129" s="186"/>
      <c r="F129" s="2">
        <v>268.32</v>
      </c>
      <c r="G129" s="3">
        <f t="shared" si="17"/>
        <v>226.45537200000001</v>
      </c>
      <c r="H129" s="187"/>
      <c r="I129" s="7">
        <v>7.0000000000000007E-2</v>
      </c>
      <c r="J129" s="7">
        <v>1.6500000000000001E-2</v>
      </c>
      <c r="K129" s="7">
        <v>7.5999999999999998E-2</v>
      </c>
      <c r="L129" s="7">
        <v>0</v>
      </c>
      <c r="M129" s="11">
        <f t="shared" si="2"/>
        <v>18.782400000000003</v>
      </c>
      <c r="N129" s="11">
        <f t="shared" si="3"/>
        <v>4.1173704000000004</v>
      </c>
      <c r="O129" s="11">
        <f t="shared" si="4"/>
        <v>18.964857599999998</v>
      </c>
      <c r="P129" s="11">
        <f t="shared" si="5"/>
        <v>0</v>
      </c>
    </row>
    <row r="130" spans="1:16" ht="15" customHeight="1">
      <c r="A130" s="44"/>
      <c r="B130" s="5">
        <f t="shared" si="19"/>
        <v>45505</v>
      </c>
      <c r="C130" s="1" t="s">
        <v>533</v>
      </c>
      <c r="D130" s="195">
        <v>16949</v>
      </c>
      <c r="E130" s="186"/>
      <c r="F130" s="2">
        <v>20.18</v>
      </c>
      <c r="G130" s="3">
        <f t="shared" si="17"/>
        <v>17.031415500000001</v>
      </c>
      <c r="H130" s="187"/>
      <c r="I130" s="7">
        <v>7.0000000000000007E-2</v>
      </c>
      <c r="J130" s="7">
        <v>1.6500000000000001E-2</v>
      </c>
      <c r="K130" s="7">
        <v>7.5999999999999998E-2</v>
      </c>
      <c r="L130" s="7">
        <v>0</v>
      </c>
      <c r="M130" s="11">
        <f t="shared" si="2"/>
        <v>1.4126000000000001</v>
      </c>
      <c r="N130" s="11">
        <f t="shared" si="3"/>
        <v>0.3096621</v>
      </c>
      <c r="O130" s="11">
        <f t="shared" si="4"/>
        <v>1.4263223999999999</v>
      </c>
      <c r="P130" s="11">
        <f t="shared" si="5"/>
        <v>0</v>
      </c>
    </row>
    <row r="131" spans="1:16" ht="15" customHeight="1">
      <c r="A131" s="44"/>
      <c r="B131" s="5">
        <f t="shared" si="19"/>
        <v>45505</v>
      </c>
      <c r="C131" s="1" t="s">
        <v>533</v>
      </c>
      <c r="D131" s="195">
        <v>4523</v>
      </c>
      <c r="E131" s="186"/>
      <c r="F131" s="2">
        <v>81.19</v>
      </c>
      <c r="G131" s="3">
        <f t="shared" si="17"/>
        <v>64.838334000000003</v>
      </c>
      <c r="H131" s="187"/>
      <c r="I131" s="7">
        <v>0.12</v>
      </c>
      <c r="J131" s="7">
        <v>1.6500000000000001E-2</v>
      </c>
      <c r="K131" s="7">
        <v>7.5999999999999998E-2</v>
      </c>
      <c r="L131" s="7">
        <v>0</v>
      </c>
      <c r="M131" s="11">
        <f t="shared" si="2"/>
        <v>9.742799999999999</v>
      </c>
      <c r="N131" s="11">
        <f t="shared" si="3"/>
        <v>1.1788787999999999</v>
      </c>
      <c r="O131" s="11">
        <f t="shared" si="4"/>
        <v>5.4299871999999993</v>
      </c>
      <c r="P131" s="11">
        <f t="shared" si="5"/>
        <v>0</v>
      </c>
    </row>
    <row r="132" spans="1:16" ht="15" customHeight="1">
      <c r="A132" s="44"/>
      <c r="B132" s="5">
        <f t="shared" si="19"/>
        <v>45505</v>
      </c>
      <c r="C132" s="1" t="s">
        <v>533</v>
      </c>
      <c r="D132" s="195">
        <v>16882</v>
      </c>
      <c r="E132" s="186"/>
      <c r="F132" s="2">
        <v>171.06</v>
      </c>
      <c r="G132" s="3">
        <f t="shared" si="17"/>
        <v>144.3703635</v>
      </c>
      <c r="H132" s="187"/>
      <c r="I132" s="7">
        <v>7.0000000000000007E-2</v>
      </c>
      <c r="J132" s="7">
        <v>1.6500000000000001E-2</v>
      </c>
      <c r="K132" s="7">
        <v>7.5999999999999998E-2</v>
      </c>
      <c r="L132" s="7">
        <v>0</v>
      </c>
      <c r="M132" s="11">
        <f t="shared" si="2"/>
        <v>11.974200000000002</v>
      </c>
      <c r="N132" s="11">
        <f t="shared" si="3"/>
        <v>2.6249157000000003</v>
      </c>
      <c r="O132" s="11">
        <f t="shared" si="4"/>
        <v>12.0905208</v>
      </c>
      <c r="P132" s="11">
        <f t="shared" si="5"/>
        <v>0</v>
      </c>
    </row>
    <row r="133" spans="1:16" ht="15" customHeight="1">
      <c r="A133" s="44"/>
      <c r="B133" s="5">
        <f t="shared" si="19"/>
        <v>45505</v>
      </c>
      <c r="C133" s="1" t="s">
        <v>533</v>
      </c>
      <c r="D133" s="195">
        <v>16881</v>
      </c>
      <c r="E133" s="186"/>
      <c r="F133" s="2">
        <v>20.05</v>
      </c>
      <c r="G133" s="3">
        <f t="shared" si="17"/>
        <v>16.921698750000001</v>
      </c>
      <c r="H133" s="187"/>
      <c r="I133" s="7">
        <v>7.0000000000000007E-2</v>
      </c>
      <c r="J133" s="7">
        <v>1.6500000000000001E-2</v>
      </c>
      <c r="K133" s="7">
        <v>7.5999999999999998E-2</v>
      </c>
      <c r="L133" s="7">
        <v>0</v>
      </c>
      <c r="M133" s="11">
        <f t="shared" si="2"/>
        <v>1.4035000000000002</v>
      </c>
      <c r="N133" s="11">
        <f t="shared" si="3"/>
        <v>0.30766725</v>
      </c>
      <c r="O133" s="11">
        <f t="shared" si="4"/>
        <v>1.4171339999999999</v>
      </c>
      <c r="P133" s="11">
        <f t="shared" si="5"/>
        <v>0</v>
      </c>
    </row>
    <row r="134" spans="1:16" ht="15" customHeight="1">
      <c r="A134" s="44"/>
      <c r="B134" s="5">
        <f t="shared" si="19"/>
        <v>45505</v>
      </c>
      <c r="C134" s="1" t="s">
        <v>533</v>
      </c>
      <c r="D134" s="195">
        <v>16944</v>
      </c>
      <c r="E134" s="186"/>
      <c r="F134" s="2">
        <v>3597.99</v>
      </c>
      <c r="G134" s="3">
        <f t="shared" si="17"/>
        <v>3036.6136102499995</v>
      </c>
      <c r="H134" s="187"/>
      <c r="I134" s="7">
        <v>7.0000000000000007E-2</v>
      </c>
      <c r="J134" s="7">
        <v>1.6500000000000001E-2</v>
      </c>
      <c r="K134" s="7">
        <v>7.5999999999999998E-2</v>
      </c>
      <c r="L134" s="7">
        <v>0</v>
      </c>
      <c r="M134" s="11">
        <f t="shared" si="2"/>
        <v>251.85930000000002</v>
      </c>
      <c r="N134" s="11">
        <f t="shared" si="3"/>
        <v>55.211156549999998</v>
      </c>
      <c r="O134" s="11">
        <f t="shared" si="4"/>
        <v>254.30593319999997</v>
      </c>
      <c r="P134" s="11">
        <f t="shared" si="5"/>
        <v>0</v>
      </c>
    </row>
    <row r="135" spans="1:16" ht="15" customHeight="1">
      <c r="A135" s="44"/>
      <c r="B135" s="5">
        <f t="shared" si="19"/>
        <v>45505</v>
      </c>
      <c r="C135" s="1" t="s">
        <v>533</v>
      </c>
      <c r="D135" s="195">
        <v>4536</v>
      </c>
      <c r="E135" s="186"/>
      <c r="F135" s="2">
        <v>356.29</v>
      </c>
      <c r="G135" s="3">
        <f t="shared" si="17"/>
        <v>284.53319399999998</v>
      </c>
      <c r="H135" s="187"/>
      <c r="I135" s="7">
        <v>0.12</v>
      </c>
      <c r="J135" s="7">
        <v>1.6500000000000001E-2</v>
      </c>
      <c r="K135" s="7">
        <v>7.5999999999999998E-2</v>
      </c>
      <c r="L135" s="7">
        <v>0</v>
      </c>
      <c r="M135" s="11">
        <f t="shared" si="2"/>
        <v>42.754800000000003</v>
      </c>
      <c r="N135" s="11">
        <f t="shared" si="3"/>
        <v>5.1733308000000005</v>
      </c>
      <c r="O135" s="11">
        <f t="shared" si="4"/>
        <v>23.828675200000003</v>
      </c>
      <c r="P135" s="11">
        <f t="shared" si="5"/>
        <v>0</v>
      </c>
    </row>
    <row r="136" spans="1:16" ht="15" customHeight="1">
      <c r="A136" s="44"/>
      <c r="B136" s="5">
        <f t="shared" si="19"/>
        <v>45505</v>
      </c>
      <c r="C136" s="1" t="s">
        <v>533</v>
      </c>
      <c r="D136" s="195">
        <v>4528</v>
      </c>
      <c r="E136" s="186"/>
      <c r="F136" s="2">
        <v>232.95</v>
      </c>
      <c r="G136" s="3">
        <f t="shared" si="17"/>
        <v>186.03386999999998</v>
      </c>
      <c r="H136" s="187"/>
      <c r="I136" s="7">
        <v>0.12</v>
      </c>
      <c r="J136" s="7">
        <v>1.6500000000000001E-2</v>
      </c>
      <c r="K136" s="7">
        <v>7.5999999999999998E-2</v>
      </c>
      <c r="L136" s="7">
        <v>0</v>
      </c>
      <c r="M136" s="11">
        <f t="shared" si="2"/>
        <v>27.953999999999997</v>
      </c>
      <c r="N136" s="11">
        <f t="shared" si="3"/>
        <v>3.3824339999999999</v>
      </c>
      <c r="O136" s="11">
        <f t="shared" si="4"/>
        <v>15.579695999999998</v>
      </c>
      <c r="P136" s="11">
        <f t="shared" si="5"/>
        <v>0</v>
      </c>
    </row>
    <row r="137" spans="1:16" ht="15" customHeight="1">
      <c r="A137" s="44"/>
      <c r="B137" s="5">
        <f t="shared" si="19"/>
        <v>45505</v>
      </c>
      <c r="C137" s="1" t="s">
        <v>533</v>
      </c>
      <c r="D137" s="195">
        <v>4529</v>
      </c>
      <c r="E137" s="186"/>
      <c r="F137" s="2">
        <v>25531.75</v>
      </c>
      <c r="G137" s="3">
        <f t="shared" si="17"/>
        <v>20389.655549999999</v>
      </c>
      <c r="H137" s="187"/>
      <c r="I137" s="7">
        <v>0.12</v>
      </c>
      <c r="J137" s="7">
        <v>1.6500000000000001E-2</v>
      </c>
      <c r="K137" s="7">
        <v>7.5999999999999998E-2</v>
      </c>
      <c r="L137" s="7">
        <v>0</v>
      </c>
      <c r="M137" s="11">
        <f t="shared" si="2"/>
        <v>3063.81</v>
      </c>
      <c r="N137" s="11">
        <f t="shared" si="3"/>
        <v>370.72100999999998</v>
      </c>
      <c r="O137" s="11">
        <f t="shared" si="4"/>
        <v>1707.5634399999999</v>
      </c>
      <c r="P137" s="11">
        <f t="shared" si="5"/>
        <v>0</v>
      </c>
    </row>
    <row r="138" spans="1:16" ht="15" customHeight="1">
      <c r="A138" s="44"/>
      <c r="B138" s="5">
        <f t="shared" si="19"/>
        <v>45505</v>
      </c>
      <c r="C138" s="1" t="s">
        <v>533</v>
      </c>
      <c r="D138" s="195">
        <v>4531</v>
      </c>
      <c r="E138" s="186"/>
      <c r="F138" s="2">
        <v>138.68</v>
      </c>
      <c r="G138" s="3">
        <f t="shared" si="17"/>
        <v>110.749848</v>
      </c>
      <c r="H138" s="187"/>
      <c r="I138" s="7">
        <v>0.12</v>
      </c>
      <c r="J138" s="7">
        <v>1.6500000000000001E-2</v>
      </c>
      <c r="K138" s="7">
        <v>7.5999999999999998E-2</v>
      </c>
      <c r="L138" s="7">
        <v>0</v>
      </c>
      <c r="M138" s="11">
        <f t="shared" si="2"/>
        <v>16.6416</v>
      </c>
      <c r="N138" s="11">
        <f t="shared" si="3"/>
        <v>2.0136336000000004</v>
      </c>
      <c r="O138" s="11">
        <f t="shared" si="4"/>
        <v>9.2749184000000007</v>
      </c>
      <c r="P138" s="11">
        <f t="shared" si="5"/>
        <v>0</v>
      </c>
    </row>
    <row r="139" spans="1:16" ht="15" customHeight="1">
      <c r="A139" s="44"/>
      <c r="B139" s="5">
        <f t="shared" si="19"/>
        <v>45505</v>
      </c>
      <c r="C139" s="1" t="s">
        <v>533</v>
      </c>
      <c r="D139" s="195">
        <v>4530</v>
      </c>
      <c r="E139" s="186"/>
      <c r="F139" s="2">
        <v>3282.71</v>
      </c>
      <c r="G139" s="3">
        <f t="shared" si="17"/>
        <v>2621.5722059999998</v>
      </c>
      <c r="H139" s="187"/>
      <c r="I139" s="7">
        <v>0.12</v>
      </c>
      <c r="J139" s="7">
        <v>1.6500000000000001E-2</v>
      </c>
      <c r="K139" s="7">
        <v>7.5999999999999998E-2</v>
      </c>
      <c r="L139" s="7">
        <v>0</v>
      </c>
      <c r="M139" s="11">
        <f t="shared" si="2"/>
        <v>393.92520000000002</v>
      </c>
      <c r="N139" s="11">
        <f t="shared" si="3"/>
        <v>47.664949200000002</v>
      </c>
      <c r="O139" s="11">
        <f t="shared" si="4"/>
        <v>219.5476448</v>
      </c>
      <c r="P139" s="11">
        <f t="shared" si="5"/>
        <v>0</v>
      </c>
    </row>
    <row r="140" spans="1:16" ht="15" customHeight="1">
      <c r="A140" s="44"/>
      <c r="B140" s="5">
        <f t="shared" si="19"/>
        <v>45505</v>
      </c>
      <c r="C140" s="1" t="s">
        <v>533</v>
      </c>
      <c r="D140" s="195">
        <v>4533</v>
      </c>
      <c r="E140" s="186"/>
      <c r="F140" s="2">
        <v>43764.1</v>
      </c>
      <c r="G140" s="3">
        <f t="shared" si="17"/>
        <v>34950.010259999995</v>
      </c>
      <c r="H140" s="187"/>
      <c r="I140" s="7">
        <v>0.12</v>
      </c>
      <c r="J140" s="7">
        <v>1.6500000000000001E-2</v>
      </c>
      <c r="K140" s="7">
        <v>7.5999999999999998E-2</v>
      </c>
      <c r="L140" s="7">
        <v>0</v>
      </c>
      <c r="M140" s="11">
        <f t="shared" si="2"/>
        <v>5251.692</v>
      </c>
      <c r="N140" s="11">
        <f t="shared" si="3"/>
        <v>635.45473199999992</v>
      </c>
      <c r="O140" s="11">
        <f t="shared" si="4"/>
        <v>2926.9430079999997</v>
      </c>
      <c r="P140" s="11">
        <f t="shared" si="5"/>
        <v>0</v>
      </c>
    </row>
    <row r="141" spans="1:16" ht="15" customHeight="1">
      <c r="A141" s="44"/>
      <c r="B141" s="5">
        <f t="shared" si="19"/>
        <v>45505</v>
      </c>
      <c r="C141" s="1" t="s">
        <v>533</v>
      </c>
      <c r="D141" s="195">
        <v>4532</v>
      </c>
      <c r="E141" s="186"/>
      <c r="F141" s="2">
        <v>83.61</v>
      </c>
      <c r="G141" s="3">
        <f t="shared" si="17"/>
        <v>66.770945999999995</v>
      </c>
      <c r="H141" s="187"/>
      <c r="I141" s="7">
        <v>0.12</v>
      </c>
      <c r="J141" s="7">
        <v>1.6500000000000001E-2</v>
      </c>
      <c r="K141" s="7">
        <v>7.5999999999999998E-2</v>
      </c>
      <c r="L141" s="7">
        <v>0</v>
      </c>
      <c r="M141" s="11">
        <f t="shared" si="2"/>
        <v>10.033199999999999</v>
      </c>
      <c r="N141" s="11">
        <f t="shared" si="3"/>
        <v>1.2140172000000002</v>
      </c>
      <c r="O141" s="11">
        <f t="shared" si="4"/>
        <v>5.5918368000000003</v>
      </c>
      <c r="P141" s="11">
        <f t="shared" si="5"/>
        <v>0</v>
      </c>
    </row>
    <row r="142" spans="1:16" ht="15" customHeight="1">
      <c r="A142" s="44"/>
      <c r="B142" s="5">
        <f t="shared" si="19"/>
        <v>45505</v>
      </c>
      <c r="C142" s="1" t="s">
        <v>533</v>
      </c>
      <c r="D142" s="195">
        <v>4525</v>
      </c>
      <c r="E142" s="186"/>
      <c r="F142" s="2">
        <v>61735.25</v>
      </c>
      <c r="G142" s="3">
        <f t="shared" si="17"/>
        <v>49301.770649999999</v>
      </c>
      <c r="H142" s="187"/>
      <c r="I142" s="7">
        <v>0.12</v>
      </c>
      <c r="J142" s="7">
        <v>1.6500000000000001E-2</v>
      </c>
      <c r="K142" s="7">
        <v>7.5999999999999998E-2</v>
      </c>
      <c r="L142" s="7">
        <v>0</v>
      </c>
      <c r="M142" s="11">
        <f t="shared" si="2"/>
        <v>7408.23</v>
      </c>
      <c r="N142" s="11">
        <f t="shared" si="3"/>
        <v>896.39583000000016</v>
      </c>
      <c r="O142" s="11">
        <f t="shared" si="4"/>
        <v>4128.8535200000006</v>
      </c>
      <c r="P142" s="11">
        <f t="shared" si="5"/>
        <v>0</v>
      </c>
    </row>
    <row r="143" spans="1:16" ht="15" customHeight="1">
      <c r="A143" s="44"/>
      <c r="B143" s="5">
        <f t="shared" si="19"/>
        <v>45505</v>
      </c>
      <c r="C143" s="1" t="s">
        <v>533</v>
      </c>
      <c r="D143" s="195">
        <v>4527</v>
      </c>
      <c r="E143" s="186"/>
      <c r="F143" s="2">
        <v>529.37</v>
      </c>
      <c r="G143" s="3">
        <f t="shared" si="17"/>
        <v>422.75488200000001</v>
      </c>
      <c r="H143" s="187"/>
      <c r="I143" s="7">
        <v>0.12</v>
      </c>
      <c r="J143" s="7">
        <v>1.6500000000000001E-2</v>
      </c>
      <c r="K143" s="7">
        <v>7.5999999999999998E-2</v>
      </c>
      <c r="L143" s="7">
        <v>0</v>
      </c>
      <c r="M143" s="11">
        <f t="shared" si="2"/>
        <v>63.5244</v>
      </c>
      <c r="N143" s="11">
        <f t="shared" si="3"/>
        <v>7.6864524000000003</v>
      </c>
      <c r="O143" s="11">
        <f t="shared" si="4"/>
        <v>35.404265599999995</v>
      </c>
      <c r="P143" s="11">
        <f t="shared" si="5"/>
        <v>0</v>
      </c>
    </row>
    <row r="144" spans="1:16" ht="15" customHeight="1">
      <c r="A144" s="44"/>
      <c r="B144" s="5">
        <f t="shared" si="19"/>
        <v>45505</v>
      </c>
      <c r="C144" s="1" t="s">
        <v>533</v>
      </c>
      <c r="D144" s="195">
        <v>4526</v>
      </c>
      <c r="E144" s="186"/>
      <c r="F144" s="2">
        <v>6300.62</v>
      </c>
      <c r="G144" s="3">
        <f t="shared" si="17"/>
        <v>5031.6751320000003</v>
      </c>
      <c r="H144" s="187"/>
      <c r="I144" s="7">
        <v>0.12</v>
      </c>
      <c r="J144" s="7">
        <v>1.6500000000000001E-2</v>
      </c>
      <c r="K144" s="7">
        <v>7.5999999999999998E-2</v>
      </c>
      <c r="L144" s="7">
        <v>0</v>
      </c>
      <c r="M144" s="11">
        <f t="shared" si="2"/>
        <v>756.07439999999997</v>
      </c>
      <c r="N144" s="11">
        <f t="shared" si="3"/>
        <v>91.485002399999999</v>
      </c>
      <c r="O144" s="11">
        <f t="shared" si="4"/>
        <v>421.38546559999997</v>
      </c>
      <c r="P144" s="11">
        <f t="shared" si="5"/>
        <v>0</v>
      </c>
    </row>
    <row r="145" spans="1:16" ht="15" customHeight="1">
      <c r="A145" s="44"/>
      <c r="B145" s="5">
        <f t="shared" si="19"/>
        <v>45505</v>
      </c>
      <c r="C145" s="1" t="s">
        <v>533</v>
      </c>
      <c r="D145" s="195">
        <v>4537</v>
      </c>
      <c r="E145" s="186"/>
      <c r="F145" s="2">
        <v>223.67</v>
      </c>
      <c r="G145" s="3">
        <f t="shared" si="17"/>
        <v>178.622862</v>
      </c>
      <c r="H145" s="187"/>
      <c r="I145" s="7">
        <v>0.12</v>
      </c>
      <c r="J145" s="7">
        <v>1.6500000000000001E-2</v>
      </c>
      <c r="K145" s="7">
        <v>7.5999999999999998E-2</v>
      </c>
      <c r="L145" s="7">
        <v>0</v>
      </c>
      <c r="M145" s="11">
        <f t="shared" si="2"/>
        <v>26.840399999999999</v>
      </c>
      <c r="N145" s="11">
        <f t="shared" si="3"/>
        <v>3.2476883999999999</v>
      </c>
      <c r="O145" s="11">
        <f t="shared" si="4"/>
        <v>14.9590496</v>
      </c>
      <c r="P145" s="11">
        <f t="shared" si="5"/>
        <v>0</v>
      </c>
    </row>
    <row r="146" spans="1:16" ht="15" customHeight="1">
      <c r="A146" s="44"/>
      <c r="B146" s="5">
        <f t="shared" si="19"/>
        <v>45505</v>
      </c>
      <c r="C146" s="1" t="s">
        <v>533</v>
      </c>
      <c r="D146" s="195">
        <v>4569</v>
      </c>
      <c r="E146" s="186"/>
      <c r="F146" s="2">
        <v>1024.3399999999999</v>
      </c>
      <c r="G146" s="3">
        <f t="shared" si="17"/>
        <v>818.03792399999998</v>
      </c>
      <c r="H146" s="187"/>
      <c r="I146" s="7">
        <v>0.12</v>
      </c>
      <c r="J146" s="7">
        <v>1.6500000000000001E-2</v>
      </c>
      <c r="K146" s="7">
        <v>7.5999999999999998E-2</v>
      </c>
      <c r="L146" s="7">
        <v>0</v>
      </c>
      <c r="M146" s="11">
        <f t="shared" si="2"/>
        <v>122.92079999999999</v>
      </c>
      <c r="N146" s="11">
        <f t="shared" si="3"/>
        <v>14.873416799999999</v>
      </c>
      <c r="O146" s="11">
        <f t="shared" si="4"/>
        <v>68.507859199999999</v>
      </c>
      <c r="P146" s="11">
        <f t="shared" si="5"/>
        <v>0</v>
      </c>
    </row>
    <row r="147" spans="1:16" ht="15" customHeight="1">
      <c r="A147" s="44"/>
      <c r="B147" s="5">
        <f t="shared" si="19"/>
        <v>45505</v>
      </c>
      <c r="C147" s="1" t="s">
        <v>533</v>
      </c>
      <c r="D147" s="195">
        <v>4570</v>
      </c>
      <c r="E147" s="186"/>
      <c r="F147" s="2">
        <v>559.08000000000004</v>
      </c>
      <c r="G147" s="3">
        <f t="shared" si="17"/>
        <v>446.48128800000006</v>
      </c>
      <c r="H147" s="187"/>
      <c r="I147" s="7">
        <v>0.12</v>
      </c>
      <c r="J147" s="7">
        <v>1.6500000000000001E-2</v>
      </c>
      <c r="K147" s="7">
        <v>7.5999999999999998E-2</v>
      </c>
      <c r="L147" s="7">
        <v>0</v>
      </c>
      <c r="M147" s="11">
        <f t="shared" si="2"/>
        <v>67.089600000000004</v>
      </c>
      <c r="N147" s="11">
        <f t="shared" si="3"/>
        <v>8.1178416000000002</v>
      </c>
      <c r="O147" s="11">
        <f t="shared" si="4"/>
        <v>37.391270400000003</v>
      </c>
      <c r="P147" s="11">
        <f t="shared" si="5"/>
        <v>0</v>
      </c>
    </row>
    <row r="148" spans="1:16" ht="15" customHeight="1">
      <c r="A148" s="44"/>
      <c r="B148" s="5">
        <f t="shared" si="19"/>
        <v>45505</v>
      </c>
      <c r="C148" s="1" t="s">
        <v>533</v>
      </c>
      <c r="D148" s="195">
        <v>4539</v>
      </c>
      <c r="E148" s="186"/>
      <c r="F148" s="2">
        <v>13995.68</v>
      </c>
      <c r="G148" s="3">
        <f t="shared" si="17"/>
        <v>11176.950048000001</v>
      </c>
      <c r="H148" s="187"/>
      <c r="I148" s="7">
        <v>0.12</v>
      </c>
      <c r="J148" s="7">
        <v>1.6500000000000001E-2</v>
      </c>
      <c r="K148" s="7">
        <v>7.5999999999999998E-2</v>
      </c>
      <c r="L148" s="7">
        <v>0</v>
      </c>
      <c r="M148" s="11">
        <f t="shared" si="2"/>
        <v>1679.4816000000001</v>
      </c>
      <c r="N148" s="11">
        <f t="shared" si="3"/>
        <v>203.21727360000003</v>
      </c>
      <c r="O148" s="11">
        <f t="shared" si="4"/>
        <v>936.03107840000007</v>
      </c>
      <c r="P148" s="11">
        <f t="shared" si="5"/>
        <v>0</v>
      </c>
    </row>
    <row r="149" spans="1:16" ht="15" customHeight="1">
      <c r="A149" s="44"/>
      <c r="B149" s="5">
        <f t="shared" si="19"/>
        <v>45505</v>
      </c>
      <c r="C149" s="1" t="s">
        <v>533</v>
      </c>
      <c r="D149" s="195">
        <v>4538</v>
      </c>
      <c r="E149" s="186"/>
      <c r="F149" s="2">
        <v>143922.56</v>
      </c>
      <c r="G149" s="3">
        <f t="shared" si="17"/>
        <v>114936.55641600001</v>
      </c>
      <c r="H149" s="187"/>
      <c r="I149" s="7">
        <v>0.12</v>
      </c>
      <c r="J149" s="7">
        <v>1.6500000000000001E-2</v>
      </c>
      <c r="K149" s="7">
        <v>7.5999999999999998E-2</v>
      </c>
      <c r="L149" s="7">
        <v>0</v>
      </c>
      <c r="M149" s="11">
        <f t="shared" si="2"/>
        <v>17270.707200000001</v>
      </c>
      <c r="N149" s="11">
        <f t="shared" si="3"/>
        <v>2089.7555711999998</v>
      </c>
      <c r="O149" s="11">
        <f t="shared" si="4"/>
        <v>9625.5408127999999</v>
      </c>
      <c r="P149" s="11">
        <f t="shared" si="5"/>
        <v>0</v>
      </c>
    </row>
    <row r="150" spans="1:16" ht="15" customHeight="1">
      <c r="A150" s="44"/>
      <c r="B150" s="5">
        <f t="shared" si="19"/>
        <v>45505</v>
      </c>
      <c r="C150" s="1" t="s">
        <v>533</v>
      </c>
      <c r="D150" s="195">
        <v>4571</v>
      </c>
      <c r="E150" s="186"/>
      <c r="F150" s="2">
        <v>150302.76999999999</v>
      </c>
      <c r="G150" s="3">
        <f t="shared" si="17"/>
        <v>120031.79212199998</v>
      </c>
      <c r="H150" s="187"/>
      <c r="I150" s="7">
        <v>0.12</v>
      </c>
      <c r="J150" s="7">
        <v>1.6500000000000001E-2</v>
      </c>
      <c r="K150" s="7">
        <v>7.5999999999999998E-2</v>
      </c>
      <c r="L150" s="7">
        <v>0</v>
      </c>
      <c r="M150" s="11">
        <f t="shared" si="2"/>
        <v>18036.332399999999</v>
      </c>
      <c r="N150" s="11">
        <f t="shared" si="3"/>
        <v>2182.3962204000004</v>
      </c>
      <c r="O150" s="11">
        <f t="shared" si="4"/>
        <v>10052.2492576</v>
      </c>
      <c r="P150" s="11">
        <f t="shared" si="5"/>
        <v>0</v>
      </c>
    </row>
    <row r="151" spans="1:16" ht="15" customHeight="1">
      <c r="A151" s="44"/>
      <c r="B151" s="5">
        <f t="shared" si="19"/>
        <v>45505</v>
      </c>
      <c r="C151" s="1" t="s">
        <v>533</v>
      </c>
      <c r="D151" s="195">
        <v>4567</v>
      </c>
      <c r="E151" s="186"/>
      <c r="F151" s="2">
        <v>119237.82</v>
      </c>
      <c r="G151" s="3">
        <f t="shared" si="17"/>
        <v>95223.323052000007</v>
      </c>
      <c r="H151" s="187"/>
      <c r="I151" s="7">
        <v>0.12</v>
      </c>
      <c r="J151" s="7">
        <v>1.6500000000000001E-2</v>
      </c>
      <c r="K151" s="7">
        <v>7.5999999999999998E-2</v>
      </c>
      <c r="L151" s="7">
        <v>0</v>
      </c>
      <c r="M151" s="11">
        <f t="shared" si="2"/>
        <v>14308.538399999999</v>
      </c>
      <c r="N151" s="11">
        <f t="shared" si="3"/>
        <v>1731.3331464</v>
      </c>
      <c r="O151" s="11">
        <f t="shared" si="4"/>
        <v>7974.6254016000003</v>
      </c>
      <c r="P151" s="11">
        <f t="shared" si="5"/>
        <v>0</v>
      </c>
    </row>
    <row r="152" spans="1:16" ht="15" customHeight="1">
      <c r="A152" s="44"/>
      <c r="B152" s="5">
        <f t="shared" si="19"/>
        <v>45505</v>
      </c>
      <c r="C152" s="1" t="s">
        <v>533</v>
      </c>
      <c r="D152" s="195">
        <v>4568</v>
      </c>
      <c r="E152" s="186"/>
      <c r="F152" s="2">
        <v>12137.18</v>
      </c>
      <c r="G152" s="3">
        <f t="shared" si="17"/>
        <v>9692.751948000001</v>
      </c>
      <c r="H152" s="187"/>
      <c r="I152" s="7">
        <v>0.12</v>
      </c>
      <c r="J152" s="7">
        <v>1.6500000000000001E-2</v>
      </c>
      <c r="K152" s="7">
        <v>7.5999999999999998E-2</v>
      </c>
      <c r="L152" s="7">
        <v>0</v>
      </c>
      <c r="M152" s="11">
        <f t="shared" si="2"/>
        <v>1456.4616000000001</v>
      </c>
      <c r="N152" s="11">
        <f t="shared" si="3"/>
        <v>176.23185359999999</v>
      </c>
      <c r="O152" s="11">
        <f t="shared" si="4"/>
        <v>811.73459839999998</v>
      </c>
      <c r="P152" s="11">
        <f t="shared" si="5"/>
        <v>0</v>
      </c>
    </row>
    <row r="153" spans="1:16" ht="15" customHeight="1">
      <c r="A153" s="44"/>
      <c r="B153" s="5">
        <f t="shared" si="19"/>
        <v>45505</v>
      </c>
      <c r="C153" s="1" t="s">
        <v>533</v>
      </c>
      <c r="D153" s="195">
        <v>4540</v>
      </c>
      <c r="E153" s="186"/>
      <c r="F153" s="2">
        <v>1129.8599999999999</v>
      </c>
      <c r="G153" s="3">
        <f t="shared" si="17"/>
        <v>902.306196</v>
      </c>
      <c r="H153" s="187"/>
      <c r="I153" s="7">
        <v>0.12</v>
      </c>
      <c r="J153" s="7">
        <v>1.6500000000000001E-2</v>
      </c>
      <c r="K153" s="7">
        <v>7.5999999999999998E-2</v>
      </c>
      <c r="L153" s="7">
        <v>0</v>
      </c>
      <c r="M153" s="11">
        <f t="shared" si="2"/>
        <v>135.58319999999998</v>
      </c>
      <c r="N153" s="11">
        <f t="shared" si="3"/>
        <v>16.4055672</v>
      </c>
      <c r="O153" s="11">
        <f t="shared" si="4"/>
        <v>75.565036799999987</v>
      </c>
      <c r="P153" s="11">
        <f t="shared" si="5"/>
        <v>0</v>
      </c>
    </row>
    <row r="154" spans="1:16" ht="15" customHeight="1">
      <c r="A154" s="44"/>
      <c r="B154" s="5">
        <f t="shared" si="19"/>
        <v>45505</v>
      </c>
      <c r="C154" s="1" t="s">
        <v>533</v>
      </c>
      <c r="D154" s="195">
        <v>4541</v>
      </c>
      <c r="E154" s="186"/>
      <c r="F154" s="2">
        <v>441.9</v>
      </c>
      <c r="G154" s="3">
        <f t="shared" si="17"/>
        <v>352.90134</v>
      </c>
      <c r="H154" s="187"/>
      <c r="I154" s="7">
        <v>0.12</v>
      </c>
      <c r="J154" s="7">
        <v>1.6500000000000001E-2</v>
      </c>
      <c r="K154" s="7">
        <v>7.5999999999999998E-2</v>
      </c>
      <c r="L154" s="7">
        <v>0</v>
      </c>
      <c r="M154" s="11">
        <f t="shared" si="2"/>
        <v>53.027999999999999</v>
      </c>
      <c r="N154" s="11">
        <f t="shared" si="3"/>
        <v>6.4163879999999995</v>
      </c>
      <c r="O154" s="11">
        <f t="shared" si="4"/>
        <v>29.554271999999997</v>
      </c>
      <c r="P154" s="11">
        <f t="shared" si="5"/>
        <v>0</v>
      </c>
    </row>
    <row r="155" spans="1:16" ht="15" customHeight="1">
      <c r="A155" s="44"/>
      <c r="B155" s="5">
        <f t="shared" si="19"/>
        <v>45505</v>
      </c>
      <c r="C155" s="1" t="s">
        <v>533</v>
      </c>
      <c r="D155" s="195">
        <v>4572</v>
      </c>
      <c r="E155" s="186"/>
      <c r="F155" s="2">
        <v>15807.65</v>
      </c>
      <c r="G155" s="3">
        <f t="shared" si="17"/>
        <v>12623.98929</v>
      </c>
      <c r="H155" s="187"/>
      <c r="I155" s="7">
        <v>0.12</v>
      </c>
      <c r="J155" s="7">
        <v>1.6500000000000001E-2</v>
      </c>
      <c r="K155" s="7">
        <v>7.5999999999999998E-2</v>
      </c>
      <c r="L155" s="7">
        <v>0</v>
      </c>
      <c r="M155" s="11">
        <f t="shared" si="2"/>
        <v>1896.9179999999999</v>
      </c>
      <c r="N155" s="11">
        <f t="shared" si="3"/>
        <v>229.52707800000002</v>
      </c>
      <c r="O155" s="11">
        <f t="shared" si="4"/>
        <v>1057.2156319999999</v>
      </c>
      <c r="P155" s="11">
        <f t="shared" si="5"/>
        <v>0</v>
      </c>
    </row>
    <row r="156" spans="1:16" ht="15" customHeight="1">
      <c r="A156" s="44"/>
      <c r="B156" s="5">
        <f t="shared" si="19"/>
        <v>45505</v>
      </c>
      <c r="C156" s="1" t="s">
        <v>533</v>
      </c>
      <c r="D156" s="195">
        <v>16934</v>
      </c>
      <c r="E156" s="186"/>
      <c r="F156" s="2">
        <v>1155.58</v>
      </c>
      <c r="G156" s="3">
        <f t="shared" si="17"/>
        <v>975.28063049999992</v>
      </c>
      <c r="H156" s="187"/>
      <c r="I156" s="7">
        <v>7.0000000000000007E-2</v>
      </c>
      <c r="J156" s="7">
        <v>1.6500000000000001E-2</v>
      </c>
      <c r="K156" s="7">
        <v>7.5999999999999998E-2</v>
      </c>
      <c r="L156" s="7">
        <v>0</v>
      </c>
      <c r="M156" s="11">
        <f t="shared" si="2"/>
        <v>80.890600000000006</v>
      </c>
      <c r="N156" s="11">
        <f t="shared" si="3"/>
        <v>17.732375099999999</v>
      </c>
      <c r="O156" s="11">
        <f t="shared" si="4"/>
        <v>81.676394399999992</v>
      </c>
      <c r="P156" s="11">
        <f t="shared" si="5"/>
        <v>0</v>
      </c>
    </row>
    <row r="157" spans="1:16" ht="15" customHeight="1">
      <c r="A157" s="44"/>
      <c r="B157" s="5">
        <f t="shared" si="19"/>
        <v>45505</v>
      </c>
      <c r="C157" s="1" t="s">
        <v>533</v>
      </c>
      <c r="D157" s="195">
        <v>16937</v>
      </c>
      <c r="E157" s="186"/>
      <c r="F157" s="2">
        <v>116.8</v>
      </c>
      <c r="G157" s="3">
        <f t="shared" si="17"/>
        <v>98.576279999999997</v>
      </c>
      <c r="H157" s="187"/>
      <c r="I157" s="7">
        <v>7.0000000000000007E-2</v>
      </c>
      <c r="J157" s="7">
        <v>1.6500000000000001E-2</v>
      </c>
      <c r="K157" s="7">
        <v>7.5999999999999998E-2</v>
      </c>
      <c r="L157" s="7">
        <v>0</v>
      </c>
      <c r="M157" s="11">
        <f t="shared" si="2"/>
        <v>8.1760000000000002</v>
      </c>
      <c r="N157" s="11">
        <f t="shared" si="3"/>
        <v>1.7922960000000001</v>
      </c>
      <c r="O157" s="11">
        <f t="shared" si="4"/>
        <v>8.2554239999999997</v>
      </c>
      <c r="P157" s="11">
        <f t="shared" si="5"/>
        <v>0</v>
      </c>
    </row>
    <row r="158" spans="1:16" ht="15" customHeight="1">
      <c r="A158" s="44"/>
      <c r="B158" s="5">
        <f t="shared" si="19"/>
        <v>45505</v>
      </c>
      <c r="C158" s="1" t="s">
        <v>533</v>
      </c>
      <c r="D158" s="195">
        <v>16885</v>
      </c>
      <c r="E158" s="186"/>
      <c r="F158" s="2">
        <v>91.54</v>
      </c>
      <c r="G158" s="3">
        <f t="shared" si="17"/>
        <v>77.257471500000008</v>
      </c>
      <c r="H158" s="187"/>
      <c r="I158" s="7">
        <v>7.0000000000000007E-2</v>
      </c>
      <c r="J158" s="7">
        <v>1.6500000000000001E-2</v>
      </c>
      <c r="K158" s="7">
        <v>7.5999999999999998E-2</v>
      </c>
      <c r="L158" s="7">
        <v>0</v>
      </c>
      <c r="M158" s="11">
        <f t="shared" si="2"/>
        <v>6.4078000000000008</v>
      </c>
      <c r="N158" s="11">
        <f t="shared" si="3"/>
        <v>1.4046813000000002</v>
      </c>
      <c r="O158" s="11">
        <f t="shared" si="4"/>
        <v>6.4700472000000007</v>
      </c>
      <c r="P158" s="11">
        <f t="shared" si="5"/>
        <v>0</v>
      </c>
    </row>
    <row r="159" spans="1:16" ht="15" customHeight="1">
      <c r="A159" s="44"/>
      <c r="B159" s="5">
        <f t="shared" si="19"/>
        <v>45505</v>
      </c>
      <c r="C159" s="1" t="s">
        <v>533</v>
      </c>
      <c r="D159" s="195">
        <v>16884</v>
      </c>
      <c r="E159" s="186"/>
      <c r="F159" s="2">
        <v>905.63</v>
      </c>
      <c r="G159" s="3">
        <f t="shared" si="17"/>
        <v>764.32907924999995</v>
      </c>
      <c r="H159" s="187"/>
      <c r="I159" s="7">
        <v>7.0000000000000007E-2</v>
      </c>
      <c r="J159" s="7">
        <v>1.6500000000000001E-2</v>
      </c>
      <c r="K159" s="7">
        <v>7.5999999999999998E-2</v>
      </c>
      <c r="L159" s="7">
        <v>0</v>
      </c>
      <c r="M159" s="11">
        <f t="shared" si="2"/>
        <v>63.394100000000009</v>
      </c>
      <c r="N159" s="11">
        <f t="shared" si="3"/>
        <v>13.896892350000002</v>
      </c>
      <c r="O159" s="11">
        <f t="shared" si="4"/>
        <v>64.009928399999993</v>
      </c>
      <c r="P159" s="11">
        <f t="shared" si="5"/>
        <v>0</v>
      </c>
    </row>
    <row r="160" spans="1:16" ht="15" customHeight="1">
      <c r="A160" s="44"/>
      <c r="B160" s="5">
        <f t="shared" si="19"/>
        <v>45505</v>
      </c>
      <c r="C160" s="1" t="s">
        <v>533</v>
      </c>
      <c r="D160" s="195">
        <v>16935</v>
      </c>
      <c r="E160" s="186"/>
      <c r="F160" s="2">
        <v>145.07</v>
      </c>
      <c r="G160" s="3">
        <f t="shared" si="17"/>
        <v>122.43545324999999</v>
      </c>
      <c r="H160" s="187"/>
      <c r="I160" s="7">
        <v>7.0000000000000007E-2</v>
      </c>
      <c r="J160" s="7">
        <v>1.6500000000000001E-2</v>
      </c>
      <c r="K160" s="7">
        <v>7.5999999999999998E-2</v>
      </c>
      <c r="L160" s="7">
        <v>0</v>
      </c>
      <c r="M160" s="11">
        <f t="shared" si="2"/>
        <v>10.154900000000001</v>
      </c>
      <c r="N160" s="11">
        <f t="shared" si="3"/>
        <v>2.22609915</v>
      </c>
      <c r="O160" s="11">
        <f t="shared" si="4"/>
        <v>10.253547599999999</v>
      </c>
      <c r="P160" s="11">
        <f t="shared" si="5"/>
        <v>0</v>
      </c>
    </row>
    <row r="161" spans="1:16" ht="15" customHeight="1">
      <c r="A161" s="44"/>
      <c r="B161" s="5">
        <f t="shared" si="19"/>
        <v>45505</v>
      </c>
      <c r="C161" s="1" t="s">
        <v>533</v>
      </c>
      <c r="D161" s="195">
        <v>16936</v>
      </c>
      <c r="E161" s="186"/>
      <c r="F161" s="2">
        <v>72.69</v>
      </c>
      <c r="G161" s="3">
        <f t="shared" si="17"/>
        <v>61.34854275</v>
      </c>
      <c r="H161" s="187"/>
      <c r="I161" s="7">
        <v>7.0000000000000007E-2</v>
      </c>
      <c r="J161" s="7">
        <v>1.6500000000000001E-2</v>
      </c>
      <c r="K161" s="7">
        <v>7.5999999999999998E-2</v>
      </c>
      <c r="L161" s="7">
        <v>0</v>
      </c>
      <c r="M161" s="11">
        <f t="shared" si="2"/>
        <v>5.0883000000000003</v>
      </c>
      <c r="N161" s="11">
        <f t="shared" si="3"/>
        <v>1.11542805</v>
      </c>
      <c r="O161" s="11">
        <f t="shared" si="4"/>
        <v>5.137729199999999</v>
      </c>
      <c r="P161" s="11">
        <f t="shared" si="5"/>
        <v>0</v>
      </c>
    </row>
    <row r="162" spans="1:16" ht="15" customHeight="1">
      <c r="A162" s="44"/>
      <c r="B162" s="5">
        <f t="shared" si="19"/>
        <v>45505</v>
      </c>
      <c r="C162" s="1" t="s">
        <v>533</v>
      </c>
      <c r="D162" s="195">
        <v>16938</v>
      </c>
      <c r="E162" s="186"/>
      <c r="F162" s="2">
        <v>551.28</v>
      </c>
      <c r="G162" s="3">
        <f t="shared" si="17"/>
        <v>465.26653799999997</v>
      </c>
      <c r="H162" s="187"/>
      <c r="I162" s="7">
        <v>7.0000000000000007E-2</v>
      </c>
      <c r="J162" s="7">
        <v>1.6500000000000001E-2</v>
      </c>
      <c r="K162" s="7">
        <v>7.5999999999999998E-2</v>
      </c>
      <c r="L162" s="7">
        <v>0</v>
      </c>
      <c r="M162" s="11">
        <f t="shared" si="2"/>
        <v>38.589600000000004</v>
      </c>
      <c r="N162" s="11">
        <f t="shared" si="3"/>
        <v>8.4593916</v>
      </c>
      <c r="O162" s="11">
        <f t="shared" si="4"/>
        <v>38.964470399999996</v>
      </c>
      <c r="P162" s="11">
        <f t="shared" si="5"/>
        <v>0</v>
      </c>
    </row>
    <row r="163" spans="1:16" ht="15" customHeight="1">
      <c r="A163" s="44"/>
      <c r="B163" s="5">
        <f t="shared" si="19"/>
        <v>45505</v>
      </c>
      <c r="C163" s="1" t="s">
        <v>533</v>
      </c>
      <c r="D163" s="195">
        <v>4573</v>
      </c>
      <c r="E163" s="186"/>
      <c r="F163" s="2">
        <v>1275.1300000000001</v>
      </c>
      <c r="G163" s="3">
        <f t="shared" si="17"/>
        <v>1018.3188180000001</v>
      </c>
      <c r="H163" s="187"/>
      <c r="I163" s="7">
        <v>0.12</v>
      </c>
      <c r="J163" s="7">
        <v>1.6500000000000001E-2</v>
      </c>
      <c r="K163" s="7">
        <v>7.5999999999999998E-2</v>
      </c>
      <c r="L163" s="7">
        <v>0</v>
      </c>
      <c r="M163" s="11">
        <f t="shared" si="2"/>
        <v>153.01560000000001</v>
      </c>
      <c r="N163" s="11">
        <f t="shared" si="3"/>
        <v>18.514887600000005</v>
      </c>
      <c r="O163" s="11">
        <f t="shared" si="4"/>
        <v>85.280694400000016</v>
      </c>
      <c r="P163" s="11">
        <f t="shared" si="5"/>
        <v>0</v>
      </c>
    </row>
    <row r="164" spans="1:16" ht="15" customHeight="1">
      <c r="A164" s="44"/>
      <c r="B164" s="5">
        <f t="shared" si="19"/>
        <v>45505</v>
      </c>
      <c r="C164" s="1" t="s">
        <v>533</v>
      </c>
      <c r="D164" s="195">
        <v>16883</v>
      </c>
      <c r="E164" s="186"/>
      <c r="F164" s="2">
        <v>580.47</v>
      </c>
      <c r="G164" s="3">
        <f t="shared" si="17"/>
        <v>489.90216825000005</v>
      </c>
      <c r="H164" s="187"/>
      <c r="I164" s="7">
        <v>7.0000000000000007E-2</v>
      </c>
      <c r="J164" s="7">
        <v>1.6500000000000001E-2</v>
      </c>
      <c r="K164" s="7">
        <v>7.5999999999999998E-2</v>
      </c>
      <c r="L164" s="7">
        <v>0</v>
      </c>
      <c r="M164" s="11">
        <f t="shared" si="2"/>
        <v>40.632900000000006</v>
      </c>
      <c r="N164" s="11">
        <f t="shared" si="3"/>
        <v>8.9073121499999992</v>
      </c>
      <c r="O164" s="11">
        <f t="shared" si="4"/>
        <v>41.027619599999994</v>
      </c>
      <c r="P164" s="11">
        <f t="shared" si="5"/>
        <v>0</v>
      </c>
    </row>
    <row r="165" spans="1:16" ht="15" customHeight="1">
      <c r="A165" s="44"/>
      <c r="B165" s="5">
        <f t="shared" si="19"/>
        <v>45505</v>
      </c>
      <c r="C165" s="1" t="s">
        <v>533</v>
      </c>
      <c r="D165" s="195">
        <v>16939</v>
      </c>
      <c r="E165" s="186"/>
      <c r="F165" s="2">
        <v>55.73</v>
      </c>
      <c r="G165" s="3">
        <f t="shared" si="17"/>
        <v>47.034726749999997</v>
      </c>
      <c r="H165" s="187"/>
      <c r="I165" s="7">
        <v>7.0000000000000007E-2</v>
      </c>
      <c r="J165" s="7">
        <v>1.6500000000000001E-2</v>
      </c>
      <c r="K165" s="7">
        <v>7.5999999999999998E-2</v>
      </c>
      <c r="L165" s="7">
        <v>0</v>
      </c>
      <c r="M165" s="11">
        <f t="shared" si="2"/>
        <v>3.9011</v>
      </c>
      <c r="N165" s="11">
        <f t="shared" si="3"/>
        <v>0.85517684999999999</v>
      </c>
      <c r="O165" s="11">
        <f t="shared" si="4"/>
        <v>3.9389963999999997</v>
      </c>
      <c r="P165" s="11">
        <f t="shared" si="5"/>
        <v>0</v>
      </c>
    </row>
    <row r="166" spans="1:16" ht="15" customHeight="1">
      <c r="A166" s="44"/>
      <c r="B166" s="5">
        <f t="shared" si="19"/>
        <v>45505</v>
      </c>
      <c r="C166" s="1" t="s">
        <v>533</v>
      </c>
      <c r="D166" s="195">
        <v>16982</v>
      </c>
      <c r="E166" s="186"/>
      <c r="F166" s="2">
        <v>16926.509999999998</v>
      </c>
      <c r="G166" s="3">
        <f t="shared" si="17"/>
        <v>14285.551277249999</v>
      </c>
      <c r="H166" s="187"/>
      <c r="I166" s="7">
        <v>7.0000000000000007E-2</v>
      </c>
      <c r="J166" s="7">
        <v>1.6500000000000001E-2</v>
      </c>
      <c r="K166" s="7">
        <v>7.5999999999999998E-2</v>
      </c>
      <c r="L166" s="7">
        <v>0</v>
      </c>
      <c r="M166" s="11">
        <f t="shared" si="2"/>
        <v>1184.8557000000001</v>
      </c>
      <c r="N166" s="11">
        <f t="shared" si="3"/>
        <v>259.73729594999998</v>
      </c>
      <c r="O166" s="11">
        <f t="shared" si="4"/>
        <v>1196.3657267999999</v>
      </c>
      <c r="P166" s="11">
        <f t="shared" si="5"/>
        <v>0</v>
      </c>
    </row>
    <row r="167" spans="1:16" ht="15" customHeight="1">
      <c r="A167" s="44"/>
      <c r="B167" s="5">
        <f t="shared" si="19"/>
        <v>45505</v>
      </c>
      <c r="C167" s="1" t="s">
        <v>533</v>
      </c>
      <c r="D167" s="195">
        <v>16983</v>
      </c>
      <c r="E167" s="186"/>
      <c r="F167" s="2">
        <v>3029.34</v>
      </c>
      <c r="G167" s="3">
        <f t="shared" si="17"/>
        <v>2556.6872265000002</v>
      </c>
      <c r="H167" s="187"/>
      <c r="I167" s="7">
        <v>7.0000000000000007E-2</v>
      </c>
      <c r="J167" s="7">
        <v>1.6500000000000001E-2</v>
      </c>
      <c r="K167" s="7">
        <v>7.5999999999999998E-2</v>
      </c>
      <c r="L167" s="7">
        <v>0</v>
      </c>
      <c r="M167" s="11">
        <f t="shared" si="2"/>
        <v>212.05380000000002</v>
      </c>
      <c r="N167" s="11">
        <f t="shared" si="3"/>
        <v>46.485222300000004</v>
      </c>
      <c r="O167" s="11">
        <f t="shared" si="4"/>
        <v>214.1137512</v>
      </c>
      <c r="P167" s="11">
        <f t="shared" si="5"/>
        <v>0</v>
      </c>
    </row>
    <row r="168" spans="1:16" ht="15" customHeight="1">
      <c r="A168" s="44"/>
      <c r="B168" s="5">
        <f t="shared" si="19"/>
        <v>45505</v>
      </c>
      <c r="C168" s="1" t="s">
        <v>533</v>
      </c>
      <c r="D168" s="195">
        <v>16984</v>
      </c>
      <c r="E168" s="186"/>
      <c r="F168" s="2">
        <v>163.66999999999999</v>
      </c>
      <c r="G168" s="3">
        <f t="shared" si="17"/>
        <v>138.13338825</v>
      </c>
      <c r="H168" s="187"/>
      <c r="I168" s="7">
        <v>7.0000000000000007E-2</v>
      </c>
      <c r="J168" s="7">
        <v>1.6500000000000001E-2</v>
      </c>
      <c r="K168" s="7">
        <v>7.5999999999999998E-2</v>
      </c>
      <c r="L168" s="7">
        <v>0</v>
      </c>
      <c r="M168" s="11">
        <f t="shared" si="2"/>
        <v>11.456900000000001</v>
      </c>
      <c r="N168" s="11">
        <f t="shared" si="3"/>
        <v>2.5115161500000003</v>
      </c>
      <c r="O168" s="11">
        <f t="shared" si="4"/>
        <v>11.568195599999999</v>
      </c>
      <c r="P168" s="11">
        <f t="shared" si="5"/>
        <v>0</v>
      </c>
    </row>
    <row r="169" spans="1:16" ht="15" customHeight="1">
      <c r="A169" s="44"/>
      <c r="B169" s="5">
        <f t="shared" si="19"/>
        <v>45505</v>
      </c>
      <c r="C169" s="1" t="s">
        <v>533</v>
      </c>
      <c r="D169" s="195">
        <v>16985</v>
      </c>
      <c r="E169" s="186"/>
      <c r="F169" s="2">
        <v>42.59</v>
      </c>
      <c r="G169" s="3">
        <f t="shared" si="17"/>
        <v>35.944895250000002</v>
      </c>
      <c r="H169" s="187"/>
      <c r="I169" s="7">
        <v>7.0000000000000007E-2</v>
      </c>
      <c r="J169" s="7">
        <v>1.6500000000000001E-2</v>
      </c>
      <c r="K169" s="7">
        <v>7.5999999999999998E-2</v>
      </c>
      <c r="L169" s="7">
        <v>0</v>
      </c>
      <c r="M169" s="11">
        <f t="shared" si="2"/>
        <v>2.9813000000000005</v>
      </c>
      <c r="N169" s="11">
        <f t="shared" si="3"/>
        <v>0.65354355000000008</v>
      </c>
      <c r="O169" s="11">
        <f t="shared" si="4"/>
        <v>3.0102612000000004</v>
      </c>
      <c r="P169" s="11">
        <f t="shared" si="5"/>
        <v>0</v>
      </c>
    </row>
    <row r="170" spans="1:16" ht="15" customHeight="1">
      <c r="A170" s="44"/>
      <c r="B170" s="5">
        <f t="shared" si="19"/>
        <v>45505</v>
      </c>
      <c r="C170" s="1" t="s">
        <v>533</v>
      </c>
      <c r="D170" s="195">
        <v>16941</v>
      </c>
      <c r="E170" s="186"/>
      <c r="F170" s="2">
        <v>114.62</v>
      </c>
      <c r="G170" s="3">
        <f t="shared" si="17"/>
        <v>96.736414499999995</v>
      </c>
      <c r="H170" s="187"/>
      <c r="I170" s="7">
        <v>7.0000000000000007E-2</v>
      </c>
      <c r="J170" s="7">
        <v>1.6500000000000001E-2</v>
      </c>
      <c r="K170" s="7">
        <v>7.5999999999999998E-2</v>
      </c>
      <c r="L170" s="7">
        <v>0</v>
      </c>
      <c r="M170" s="11">
        <f t="shared" si="2"/>
        <v>8.0234000000000005</v>
      </c>
      <c r="N170" s="11">
        <f t="shared" si="3"/>
        <v>1.7588439000000002</v>
      </c>
      <c r="O170" s="11">
        <f t="shared" si="4"/>
        <v>8.1013416000000014</v>
      </c>
      <c r="P170" s="11">
        <f t="shared" si="5"/>
        <v>0</v>
      </c>
    </row>
    <row r="171" spans="1:16" ht="15" customHeight="1">
      <c r="A171" s="44"/>
      <c r="B171" s="5">
        <f t="shared" si="19"/>
        <v>45505</v>
      </c>
      <c r="C171" s="1" t="s">
        <v>533</v>
      </c>
      <c r="D171" s="195">
        <v>16943</v>
      </c>
      <c r="E171" s="186"/>
      <c r="F171" s="2">
        <v>95.96</v>
      </c>
      <c r="G171" s="3">
        <f>F171-SUM(M171:P171)</f>
        <v>80.987841000000003</v>
      </c>
      <c r="H171" s="187"/>
      <c r="I171" s="7">
        <v>7.0000000000000007E-2</v>
      </c>
      <c r="J171" s="7">
        <v>1.6500000000000001E-2</v>
      </c>
      <c r="K171" s="7">
        <v>7.5999999999999998E-2</v>
      </c>
      <c r="L171" s="7">
        <v>0</v>
      </c>
      <c r="M171" s="11">
        <f>+I171*F171</f>
        <v>6.7172000000000001</v>
      </c>
      <c r="N171" s="11">
        <f>J171*(F171-M171)</f>
        <v>1.4725062</v>
      </c>
      <c r="O171" s="11">
        <f>K171*(F171-M171)</f>
        <v>6.7824527999999988</v>
      </c>
      <c r="P171" s="11">
        <f>L171*(F171)</f>
        <v>0</v>
      </c>
    </row>
    <row r="172" spans="1:16" ht="15" customHeight="1">
      <c r="A172" s="44"/>
      <c r="B172" s="5">
        <f t="shared" si="19"/>
        <v>45505</v>
      </c>
      <c r="C172" s="1" t="s">
        <v>533</v>
      </c>
      <c r="D172" s="195">
        <v>16940</v>
      </c>
      <c r="E172" s="186"/>
      <c r="F172" s="2">
        <v>1133.93</v>
      </c>
      <c r="G172" s="3">
        <f>F172-SUM(M172:P172)</f>
        <v>957.0085717500001</v>
      </c>
      <c r="H172" s="187"/>
      <c r="I172" s="7">
        <v>7.0000000000000007E-2</v>
      </c>
      <c r="J172" s="7">
        <v>1.6500000000000001E-2</v>
      </c>
      <c r="K172" s="7">
        <v>7.5999999999999998E-2</v>
      </c>
      <c r="L172" s="7">
        <v>0</v>
      </c>
      <c r="M172" s="11">
        <f>+I172*F172</f>
        <v>79.375100000000018</v>
      </c>
      <c r="N172" s="11">
        <f>J172*(F172-M172)</f>
        <v>17.400155850000001</v>
      </c>
      <c r="O172" s="11">
        <f>K172*(F172-M172)</f>
        <v>80.146172400000012</v>
      </c>
      <c r="P172" s="11">
        <f>L172*(F172)</f>
        <v>0</v>
      </c>
    </row>
    <row r="173" spans="1:16" ht="15" customHeight="1">
      <c r="A173" s="44"/>
      <c r="B173" s="5">
        <f t="shared" si="19"/>
        <v>45505</v>
      </c>
      <c r="C173" s="1" t="s">
        <v>533</v>
      </c>
      <c r="D173" s="195">
        <v>16986</v>
      </c>
      <c r="E173" s="186"/>
      <c r="F173" s="2">
        <v>28818.98</v>
      </c>
      <c r="G173" s="3">
        <f t="shared" si="17"/>
        <v>24322.4986455</v>
      </c>
      <c r="H173" s="187"/>
      <c r="I173" s="7">
        <v>7.0000000000000007E-2</v>
      </c>
      <c r="J173" s="7">
        <v>1.6500000000000001E-2</v>
      </c>
      <c r="K173" s="7">
        <v>7.5999999999999998E-2</v>
      </c>
      <c r="L173" s="7">
        <v>0</v>
      </c>
      <c r="M173" s="11">
        <f t="shared" si="2"/>
        <v>2017.3286000000001</v>
      </c>
      <c r="N173" s="11">
        <f t="shared" si="3"/>
        <v>442.2272481</v>
      </c>
      <c r="O173" s="11">
        <f t="shared" si="4"/>
        <v>2036.9255063999999</v>
      </c>
      <c r="P173" s="11">
        <f t="shared" si="5"/>
        <v>0</v>
      </c>
    </row>
    <row r="174" spans="1:16" ht="15" customHeight="1">
      <c r="A174" s="44"/>
      <c r="B174" s="5">
        <f t="shared" si="19"/>
        <v>45505</v>
      </c>
      <c r="C174" s="1" t="s">
        <v>533</v>
      </c>
      <c r="D174" s="195">
        <v>16942</v>
      </c>
      <c r="E174" s="186"/>
      <c r="F174" s="2">
        <v>949.33</v>
      </c>
      <c r="G174" s="3">
        <f t="shared" si="17"/>
        <v>801.21078675000001</v>
      </c>
      <c r="H174" s="187"/>
      <c r="I174" s="7">
        <v>7.0000000000000007E-2</v>
      </c>
      <c r="J174" s="7">
        <v>1.6500000000000001E-2</v>
      </c>
      <c r="K174" s="7">
        <v>7.5999999999999998E-2</v>
      </c>
      <c r="L174" s="7">
        <v>0</v>
      </c>
      <c r="M174" s="11">
        <f t="shared" si="2"/>
        <v>66.453100000000006</v>
      </c>
      <c r="N174" s="11">
        <f t="shared" si="3"/>
        <v>14.567468850000001</v>
      </c>
      <c r="O174" s="11">
        <f t="shared" si="4"/>
        <v>67.098644399999998</v>
      </c>
      <c r="P174" s="11">
        <f t="shared" si="5"/>
        <v>0</v>
      </c>
    </row>
    <row r="175" spans="1:16" ht="15" customHeight="1">
      <c r="A175" s="44"/>
      <c r="B175" s="5">
        <f t="shared" si="19"/>
        <v>45505</v>
      </c>
      <c r="C175" s="1" t="s">
        <v>533</v>
      </c>
      <c r="D175" s="195">
        <v>17040</v>
      </c>
      <c r="E175" s="186"/>
      <c r="F175" s="2">
        <v>6.37</v>
      </c>
      <c r="G175" s="3">
        <f t="shared" si="17"/>
        <v>5.3761207500000001</v>
      </c>
      <c r="H175" s="187"/>
      <c r="I175" s="7">
        <v>7.0000000000000007E-2</v>
      </c>
      <c r="J175" s="7">
        <v>1.6500000000000001E-2</v>
      </c>
      <c r="K175" s="7">
        <v>7.5999999999999998E-2</v>
      </c>
      <c r="L175" s="7">
        <v>0</v>
      </c>
      <c r="M175" s="11">
        <f t="shared" si="2"/>
        <v>0.44590000000000007</v>
      </c>
      <c r="N175" s="11">
        <f t="shared" si="3"/>
        <v>9.7747650000000005E-2</v>
      </c>
      <c r="O175" s="11">
        <f t="shared" si="4"/>
        <v>0.45023160000000001</v>
      </c>
      <c r="P175" s="11">
        <f t="shared" si="5"/>
        <v>0</v>
      </c>
    </row>
    <row r="176" spans="1:16" ht="15" customHeight="1">
      <c r="A176" s="44"/>
      <c r="B176" s="5">
        <f t="shared" si="19"/>
        <v>45505</v>
      </c>
      <c r="C176" s="1" t="s">
        <v>533</v>
      </c>
      <c r="D176" s="195">
        <v>16992</v>
      </c>
      <c r="E176" s="186"/>
      <c r="F176" s="2">
        <v>82.16</v>
      </c>
      <c r="G176" s="3">
        <f t="shared" si="17"/>
        <v>69.340986000000001</v>
      </c>
      <c r="H176" s="187"/>
      <c r="I176" s="7">
        <v>7.0000000000000007E-2</v>
      </c>
      <c r="J176" s="7">
        <v>1.6500000000000001E-2</v>
      </c>
      <c r="K176" s="7">
        <v>7.5999999999999998E-2</v>
      </c>
      <c r="L176" s="7">
        <v>0</v>
      </c>
      <c r="M176" s="11">
        <f t="shared" si="2"/>
        <v>5.7511999999999999</v>
      </c>
      <c r="N176" s="11">
        <f t="shared" si="3"/>
        <v>1.2607452000000001</v>
      </c>
      <c r="O176" s="11">
        <f t="shared" si="4"/>
        <v>5.8070687999999997</v>
      </c>
      <c r="P176" s="11">
        <f t="shared" si="5"/>
        <v>0</v>
      </c>
    </row>
    <row r="177" spans="1:16" ht="15" customHeight="1">
      <c r="A177" s="44"/>
      <c r="B177" s="5">
        <f t="shared" si="19"/>
        <v>45505</v>
      </c>
      <c r="C177" s="1" t="s">
        <v>533</v>
      </c>
      <c r="D177" s="195">
        <v>16993</v>
      </c>
      <c r="E177" s="186"/>
      <c r="F177" s="2">
        <v>17.75</v>
      </c>
      <c r="G177" s="3">
        <f t="shared" si="17"/>
        <v>14.980556249999999</v>
      </c>
      <c r="H177" s="187"/>
      <c r="I177" s="7">
        <v>7.0000000000000007E-2</v>
      </c>
      <c r="J177" s="7">
        <v>1.6500000000000001E-2</v>
      </c>
      <c r="K177" s="7">
        <v>7.5999999999999998E-2</v>
      </c>
      <c r="L177" s="7">
        <v>0</v>
      </c>
      <c r="M177" s="11">
        <f t="shared" si="2"/>
        <v>1.2425000000000002</v>
      </c>
      <c r="N177" s="11">
        <f t="shared" si="3"/>
        <v>0.27237375000000003</v>
      </c>
      <c r="O177" s="11">
        <f t="shared" si="4"/>
        <v>1.25457</v>
      </c>
      <c r="P177" s="11">
        <f t="shared" si="5"/>
        <v>0</v>
      </c>
    </row>
    <row r="178" spans="1:16" ht="15" customHeight="1">
      <c r="A178" s="44"/>
      <c r="B178" s="5">
        <f t="shared" si="19"/>
        <v>45505</v>
      </c>
      <c r="C178" s="1" t="s">
        <v>533</v>
      </c>
      <c r="D178" s="195">
        <v>16995</v>
      </c>
      <c r="E178" s="186"/>
      <c r="F178" s="2">
        <v>605.16</v>
      </c>
      <c r="G178" s="3">
        <f t="shared" si="17"/>
        <v>510.73991100000001</v>
      </c>
      <c r="H178" s="187"/>
      <c r="I178" s="7">
        <v>7.0000000000000007E-2</v>
      </c>
      <c r="J178" s="7">
        <v>1.6500000000000001E-2</v>
      </c>
      <c r="K178" s="7">
        <v>7.5999999999999998E-2</v>
      </c>
      <c r="L178" s="7">
        <v>0</v>
      </c>
      <c r="M178" s="11">
        <f t="shared" si="2"/>
        <v>42.361200000000004</v>
      </c>
      <c r="N178" s="11">
        <f t="shared" si="3"/>
        <v>9.2861801999999987</v>
      </c>
      <c r="O178" s="11">
        <f t="shared" si="4"/>
        <v>42.77270879999999</v>
      </c>
      <c r="P178" s="11">
        <f t="shared" si="5"/>
        <v>0</v>
      </c>
    </row>
    <row r="179" spans="1:16" ht="15" customHeight="1">
      <c r="A179" s="44"/>
      <c r="B179" s="5">
        <f t="shared" ref="B179:B242" si="20">B178</f>
        <v>45505</v>
      </c>
      <c r="C179" s="1" t="s">
        <v>533</v>
      </c>
      <c r="D179" s="195">
        <v>16994</v>
      </c>
      <c r="E179" s="186"/>
      <c r="F179" s="2">
        <v>3349.74</v>
      </c>
      <c r="G179" s="3">
        <f t="shared" si="17"/>
        <v>2827.0968164999999</v>
      </c>
      <c r="H179" s="187"/>
      <c r="I179" s="7">
        <v>7.0000000000000007E-2</v>
      </c>
      <c r="J179" s="7">
        <v>1.6500000000000001E-2</v>
      </c>
      <c r="K179" s="7">
        <v>7.5999999999999998E-2</v>
      </c>
      <c r="L179" s="7">
        <v>0</v>
      </c>
      <c r="M179" s="11">
        <f t="shared" si="2"/>
        <v>234.48180000000002</v>
      </c>
      <c r="N179" s="11">
        <f t="shared" si="3"/>
        <v>51.401760299999999</v>
      </c>
      <c r="O179" s="11">
        <f t="shared" si="4"/>
        <v>236.75962319999996</v>
      </c>
      <c r="P179" s="11">
        <f t="shared" si="5"/>
        <v>0</v>
      </c>
    </row>
    <row r="180" spans="1:16" ht="15" customHeight="1">
      <c r="A180" s="44"/>
      <c r="B180" s="5">
        <f t="shared" si="20"/>
        <v>45505</v>
      </c>
      <c r="C180" s="1" t="s">
        <v>533</v>
      </c>
      <c r="D180" s="195">
        <v>16989</v>
      </c>
      <c r="E180" s="186"/>
      <c r="F180" s="2">
        <v>6.19</v>
      </c>
      <c r="G180" s="3">
        <f t="shared" si="17"/>
        <v>5.2242052500000007</v>
      </c>
      <c r="H180" s="187"/>
      <c r="I180" s="7">
        <v>7.0000000000000007E-2</v>
      </c>
      <c r="J180" s="7">
        <v>1.6500000000000001E-2</v>
      </c>
      <c r="K180" s="7">
        <v>7.5999999999999998E-2</v>
      </c>
      <c r="L180" s="7">
        <v>0</v>
      </c>
      <c r="M180" s="11">
        <f t="shared" si="2"/>
        <v>0.43330000000000007</v>
      </c>
      <c r="N180" s="11">
        <f t="shared" si="3"/>
        <v>9.4985550000000016E-2</v>
      </c>
      <c r="O180" s="11">
        <f t="shared" si="4"/>
        <v>0.43750920000000004</v>
      </c>
      <c r="P180" s="11">
        <f t="shared" si="5"/>
        <v>0</v>
      </c>
    </row>
    <row r="181" spans="1:16" ht="15" customHeight="1">
      <c r="A181" s="44"/>
      <c r="B181" s="5">
        <f t="shared" si="20"/>
        <v>45505</v>
      </c>
      <c r="C181" s="1" t="s">
        <v>533</v>
      </c>
      <c r="D181" s="195">
        <v>16988</v>
      </c>
      <c r="E181" s="186"/>
      <c r="F181" s="2">
        <v>2926.09</v>
      </c>
      <c r="G181" s="3">
        <f t="shared" si="17"/>
        <v>2469.54680775</v>
      </c>
      <c r="H181" s="187"/>
      <c r="I181" s="7">
        <v>7.0000000000000007E-2</v>
      </c>
      <c r="J181" s="7">
        <v>1.6500000000000001E-2</v>
      </c>
      <c r="K181" s="7">
        <v>7.5999999999999998E-2</v>
      </c>
      <c r="L181" s="7">
        <v>0</v>
      </c>
      <c r="M181" s="11">
        <f t="shared" si="2"/>
        <v>204.82630000000003</v>
      </c>
      <c r="N181" s="11">
        <f t="shared" si="3"/>
        <v>44.90085105</v>
      </c>
      <c r="O181" s="11">
        <f t="shared" si="4"/>
        <v>206.8160412</v>
      </c>
      <c r="P181" s="11">
        <f t="shared" si="5"/>
        <v>0</v>
      </c>
    </row>
    <row r="182" spans="1:16" ht="15" customHeight="1">
      <c r="A182" s="44"/>
      <c r="B182" s="5">
        <f t="shared" si="20"/>
        <v>45505</v>
      </c>
      <c r="C182" s="1" t="s">
        <v>533</v>
      </c>
      <c r="D182" s="195">
        <v>16987</v>
      </c>
      <c r="E182" s="186"/>
      <c r="F182" s="2">
        <v>7710.86</v>
      </c>
      <c r="G182" s="3">
        <f t="shared" si="17"/>
        <v>6507.7730684999997</v>
      </c>
      <c r="H182" s="187"/>
      <c r="I182" s="7">
        <v>7.0000000000000007E-2</v>
      </c>
      <c r="J182" s="7">
        <v>1.6500000000000001E-2</v>
      </c>
      <c r="K182" s="7">
        <v>7.5999999999999998E-2</v>
      </c>
      <c r="L182" s="7">
        <v>0</v>
      </c>
      <c r="M182" s="11">
        <f t="shared" si="2"/>
        <v>539.76020000000005</v>
      </c>
      <c r="N182" s="11">
        <f t="shared" si="3"/>
        <v>118.32314670000001</v>
      </c>
      <c r="O182" s="11">
        <f t="shared" si="4"/>
        <v>545.0035848</v>
      </c>
      <c r="P182" s="11">
        <f t="shared" si="5"/>
        <v>0</v>
      </c>
    </row>
    <row r="183" spans="1:16" ht="15" customHeight="1">
      <c r="A183" s="44"/>
      <c r="B183" s="5">
        <f t="shared" si="20"/>
        <v>45505</v>
      </c>
      <c r="C183" s="1" t="s">
        <v>533</v>
      </c>
      <c r="D183" s="195">
        <v>16991</v>
      </c>
      <c r="E183" s="186"/>
      <c r="F183" s="2">
        <v>1485.31</v>
      </c>
      <c r="G183" s="3">
        <f t="shared" si="17"/>
        <v>1253.5645072499999</v>
      </c>
      <c r="H183" s="187"/>
      <c r="I183" s="7">
        <v>7.0000000000000007E-2</v>
      </c>
      <c r="J183" s="7">
        <v>1.6500000000000001E-2</v>
      </c>
      <c r="K183" s="7">
        <v>7.5999999999999998E-2</v>
      </c>
      <c r="L183" s="7">
        <v>0</v>
      </c>
      <c r="M183" s="11">
        <f t="shared" si="2"/>
        <v>103.97170000000001</v>
      </c>
      <c r="N183" s="11">
        <f t="shared" si="3"/>
        <v>22.79208195</v>
      </c>
      <c r="O183" s="11">
        <f t="shared" si="4"/>
        <v>104.98171079999999</v>
      </c>
      <c r="P183" s="11">
        <f t="shared" si="5"/>
        <v>0</v>
      </c>
    </row>
    <row r="184" spans="1:16" ht="15" customHeight="1">
      <c r="A184" s="44"/>
      <c r="B184" s="5">
        <f t="shared" si="20"/>
        <v>45505</v>
      </c>
      <c r="C184" s="1" t="s">
        <v>533</v>
      </c>
      <c r="D184" s="195">
        <v>16990</v>
      </c>
      <c r="E184" s="186"/>
      <c r="F184" s="2">
        <v>8517.58</v>
      </c>
      <c r="G184" s="3">
        <f t="shared" si="17"/>
        <v>7188.6245804999999</v>
      </c>
      <c r="H184" s="187"/>
      <c r="I184" s="7">
        <v>7.0000000000000007E-2</v>
      </c>
      <c r="J184" s="7">
        <v>1.6500000000000001E-2</v>
      </c>
      <c r="K184" s="7">
        <v>7.5999999999999998E-2</v>
      </c>
      <c r="L184" s="7">
        <v>0</v>
      </c>
      <c r="M184" s="11">
        <f t="shared" si="2"/>
        <v>596.23060000000009</v>
      </c>
      <c r="N184" s="11">
        <f t="shared" si="3"/>
        <v>130.70226510000001</v>
      </c>
      <c r="O184" s="11">
        <f t="shared" si="4"/>
        <v>602.02255439999999</v>
      </c>
      <c r="P184" s="11">
        <f t="shared" si="5"/>
        <v>0</v>
      </c>
    </row>
    <row r="185" spans="1:16" ht="15" customHeight="1">
      <c r="A185" s="44"/>
      <c r="B185" s="5">
        <f t="shared" si="20"/>
        <v>45505</v>
      </c>
      <c r="C185" s="1" t="s">
        <v>533</v>
      </c>
      <c r="D185" s="195">
        <v>17041</v>
      </c>
      <c r="E185" s="186"/>
      <c r="F185" s="2">
        <v>24.61</v>
      </c>
      <c r="G185" s="3">
        <f t="shared" si="17"/>
        <v>20.770224750000001</v>
      </c>
      <c r="H185" s="187"/>
      <c r="I185" s="7">
        <v>7.0000000000000007E-2</v>
      </c>
      <c r="J185" s="7">
        <v>1.6500000000000001E-2</v>
      </c>
      <c r="K185" s="7">
        <v>7.5999999999999998E-2</v>
      </c>
      <c r="L185" s="7">
        <v>0</v>
      </c>
      <c r="M185" s="11">
        <f t="shared" si="2"/>
        <v>1.7227000000000001</v>
      </c>
      <c r="N185" s="11">
        <f t="shared" si="3"/>
        <v>0.37764045000000002</v>
      </c>
      <c r="O185" s="11">
        <f t="shared" si="4"/>
        <v>1.7394347999999999</v>
      </c>
      <c r="P185" s="11">
        <f t="shared" si="5"/>
        <v>0</v>
      </c>
    </row>
    <row r="186" spans="1:16" ht="15" customHeight="1">
      <c r="A186" s="44"/>
      <c r="B186" s="5">
        <f t="shared" si="20"/>
        <v>45505</v>
      </c>
      <c r="C186" s="1" t="s">
        <v>533</v>
      </c>
      <c r="D186" s="195">
        <v>17152</v>
      </c>
      <c r="E186" s="186"/>
      <c r="F186" s="2">
        <v>183.17</v>
      </c>
      <c r="G186" s="3">
        <f t="shared" si="17"/>
        <v>154.59090075</v>
      </c>
      <c r="H186" s="187"/>
      <c r="I186" s="7">
        <v>7.0000000000000007E-2</v>
      </c>
      <c r="J186" s="7">
        <v>1.6500000000000001E-2</v>
      </c>
      <c r="K186" s="7">
        <v>7.5999999999999998E-2</v>
      </c>
      <c r="L186" s="7">
        <v>0</v>
      </c>
      <c r="M186" s="11">
        <f t="shared" si="2"/>
        <v>12.821900000000001</v>
      </c>
      <c r="N186" s="11">
        <f t="shared" si="3"/>
        <v>2.81074365</v>
      </c>
      <c r="O186" s="11">
        <f t="shared" si="4"/>
        <v>12.946455599999998</v>
      </c>
      <c r="P186" s="11">
        <f t="shared" si="5"/>
        <v>0</v>
      </c>
    </row>
    <row r="187" spans="1:16" ht="15" customHeight="1">
      <c r="A187" s="44"/>
      <c r="B187" s="5">
        <f t="shared" si="20"/>
        <v>45505</v>
      </c>
      <c r="C187" s="1" t="s">
        <v>533</v>
      </c>
      <c r="D187" s="195">
        <v>17153</v>
      </c>
      <c r="E187" s="186"/>
      <c r="F187" s="2">
        <v>20134.330000000002</v>
      </c>
      <c r="G187" s="3">
        <f t="shared" si="17"/>
        <v>16992.871161750001</v>
      </c>
      <c r="H187" s="187"/>
      <c r="I187" s="7">
        <v>7.0000000000000007E-2</v>
      </c>
      <c r="J187" s="7">
        <v>1.6500000000000001E-2</v>
      </c>
      <c r="K187" s="7">
        <v>7.5999999999999998E-2</v>
      </c>
      <c r="L187" s="7">
        <v>0</v>
      </c>
      <c r="M187" s="11">
        <f t="shared" si="2"/>
        <v>1409.4031000000002</v>
      </c>
      <c r="N187" s="11">
        <f t="shared" si="3"/>
        <v>308.96129385000006</v>
      </c>
      <c r="O187" s="11">
        <f t="shared" si="4"/>
        <v>1423.0944444000002</v>
      </c>
      <c r="P187" s="11">
        <f t="shared" si="5"/>
        <v>0</v>
      </c>
    </row>
    <row r="188" spans="1:16" ht="15" customHeight="1">
      <c r="A188" s="44"/>
      <c r="B188" s="5">
        <f t="shared" si="20"/>
        <v>45505</v>
      </c>
      <c r="C188" s="1" t="s">
        <v>533</v>
      </c>
      <c r="D188" s="195">
        <v>17154</v>
      </c>
      <c r="E188" s="186"/>
      <c r="F188" s="2">
        <v>3452.46</v>
      </c>
      <c r="G188" s="3">
        <f t="shared" si="17"/>
        <v>2913.7899284999999</v>
      </c>
      <c r="H188" s="187"/>
      <c r="I188" s="7">
        <v>7.0000000000000007E-2</v>
      </c>
      <c r="J188" s="7">
        <v>1.6500000000000001E-2</v>
      </c>
      <c r="K188" s="7">
        <v>7.5999999999999998E-2</v>
      </c>
      <c r="L188" s="7">
        <v>0</v>
      </c>
      <c r="M188" s="11">
        <f t="shared" si="2"/>
        <v>241.67220000000003</v>
      </c>
      <c r="N188" s="11">
        <f t="shared" si="3"/>
        <v>52.977998700000001</v>
      </c>
      <c r="O188" s="11">
        <f t="shared" si="4"/>
        <v>244.0198728</v>
      </c>
      <c r="P188" s="11">
        <f t="shared" si="5"/>
        <v>0</v>
      </c>
    </row>
    <row r="189" spans="1:16" ht="15" customHeight="1">
      <c r="A189" s="44"/>
      <c r="B189" s="5">
        <f t="shared" si="20"/>
        <v>45505</v>
      </c>
      <c r="C189" s="1" t="s">
        <v>533</v>
      </c>
      <c r="D189" s="195">
        <v>17189</v>
      </c>
      <c r="E189" s="186"/>
      <c r="F189" s="2">
        <v>33.659999999999997</v>
      </c>
      <c r="G189" s="3">
        <f t="shared" si="17"/>
        <v>28.408198499999997</v>
      </c>
      <c r="H189" s="187"/>
      <c r="I189" s="7">
        <v>7.0000000000000007E-2</v>
      </c>
      <c r="J189" s="7">
        <v>1.6500000000000001E-2</v>
      </c>
      <c r="K189" s="7">
        <v>7.5999999999999998E-2</v>
      </c>
      <c r="L189" s="7">
        <v>0</v>
      </c>
      <c r="M189" s="11">
        <f t="shared" si="2"/>
        <v>2.3561999999999999</v>
      </c>
      <c r="N189" s="11">
        <f t="shared" si="3"/>
        <v>0.51651269999999994</v>
      </c>
      <c r="O189" s="11">
        <f t="shared" si="4"/>
        <v>2.3790887999999994</v>
      </c>
      <c r="P189" s="11">
        <f t="shared" si="5"/>
        <v>0</v>
      </c>
    </row>
    <row r="190" spans="1:16" ht="15" customHeight="1">
      <c r="A190" s="44"/>
      <c r="B190" s="5">
        <f t="shared" si="20"/>
        <v>45505</v>
      </c>
      <c r="C190" s="1" t="s">
        <v>533</v>
      </c>
      <c r="D190" s="195">
        <v>17043</v>
      </c>
      <c r="E190" s="186"/>
      <c r="F190" s="2">
        <v>1080.54</v>
      </c>
      <c r="G190" s="3">
        <f t="shared" si="17"/>
        <v>911.94874649999997</v>
      </c>
      <c r="H190" s="187"/>
      <c r="I190" s="7">
        <v>7.0000000000000007E-2</v>
      </c>
      <c r="J190" s="7">
        <v>1.6500000000000001E-2</v>
      </c>
      <c r="K190" s="7">
        <v>7.5999999999999998E-2</v>
      </c>
      <c r="L190" s="7">
        <v>0</v>
      </c>
      <c r="M190" s="11">
        <f t="shared" si="2"/>
        <v>75.637799999999999</v>
      </c>
      <c r="N190" s="11">
        <f t="shared" si="3"/>
        <v>16.5808863</v>
      </c>
      <c r="O190" s="11">
        <f t="shared" si="4"/>
        <v>76.372567199999992</v>
      </c>
      <c r="P190" s="11">
        <f t="shared" si="5"/>
        <v>0</v>
      </c>
    </row>
    <row r="191" spans="1:16" ht="15" customHeight="1">
      <c r="A191" s="44"/>
      <c r="B191" s="5">
        <f t="shared" si="20"/>
        <v>45505</v>
      </c>
      <c r="C191" s="1" t="s">
        <v>533</v>
      </c>
      <c r="D191" s="195">
        <v>17042</v>
      </c>
      <c r="E191" s="186"/>
      <c r="F191" s="2">
        <v>6202.4</v>
      </c>
      <c r="G191" s="3">
        <f t="shared" si="17"/>
        <v>5234.6705399999992</v>
      </c>
      <c r="H191" s="187"/>
      <c r="I191" s="7">
        <v>7.0000000000000007E-2</v>
      </c>
      <c r="J191" s="7">
        <v>1.6500000000000001E-2</v>
      </c>
      <c r="K191" s="7">
        <v>7.5999999999999998E-2</v>
      </c>
      <c r="L191" s="7">
        <v>0</v>
      </c>
      <c r="M191" s="11">
        <f t="shared" si="2"/>
        <v>434.16800000000001</v>
      </c>
      <c r="N191" s="11">
        <f t="shared" si="3"/>
        <v>95.17582800000001</v>
      </c>
      <c r="O191" s="11">
        <f t="shared" si="4"/>
        <v>438.38563199999999</v>
      </c>
      <c r="P191" s="11">
        <f t="shared" si="5"/>
        <v>0</v>
      </c>
    </row>
    <row r="192" spans="1:16" ht="15" customHeight="1">
      <c r="A192" s="44"/>
      <c r="B192" s="5">
        <f t="shared" si="20"/>
        <v>45505</v>
      </c>
      <c r="C192" s="1" t="s">
        <v>533</v>
      </c>
      <c r="D192" s="195">
        <v>17082</v>
      </c>
      <c r="E192" s="186"/>
      <c r="F192" s="2">
        <v>56.95</v>
      </c>
      <c r="G192" s="3">
        <f t="shared" si="17"/>
        <v>48.064376250000002</v>
      </c>
      <c r="H192" s="187"/>
      <c r="I192" s="7">
        <v>7.0000000000000007E-2</v>
      </c>
      <c r="J192" s="7">
        <v>1.6500000000000001E-2</v>
      </c>
      <c r="K192" s="7">
        <v>7.5999999999999998E-2</v>
      </c>
      <c r="L192" s="7">
        <v>0</v>
      </c>
      <c r="M192" s="11">
        <f t="shared" si="2"/>
        <v>3.9865000000000004</v>
      </c>
      <c r="N192" s="11">
        <f t="shared" si="3"/>
        <v>0.87389775000000014</v>
      </c>
      <c r="O192" s="11">
        <f t="shared" si="4"/>
        <v>4.025226</v>
      </c>
      <c r="P192" s="11">
        <f t="shared" si="5"/>
        <v>0</v>
      </c>
    </row>
    <row r="193" spans="1:16" ht="15" customHeight="1">
      <c r="A193" s="44"/>
      <c r="B193" s="5">
        <f t="shared" si="20"/>
        <v>45505</v>
      </c>
      <c r="C193" s="1" t="s">
        <v>533</v>
      </c>
      <c r="D193" s="195">
        <v>17083</v>
      </c>
      <c r="E193" s="186"/>
      <c r="F193" s="2">
        <v>17.04</v>
      </c>
      <c r="G193" s="3">
        <f t="shared" si="17"/>
        <v>14.381333999999999</v>
      </c>
      <c r="H193" s="187"/>
      <c r="I193" s="7">
        <v>7.0000000000000007E-2</v>
      </c>
      <c r="J193" s="7">
        <v>1.6500000000000001E-2</v>
      </c>
      <c r="K193" s="7">
        <v>7.5999999999999998E-2</v>
      </c>
      <c r="L193" s="7">
        <v>0</v>
      </c>
      <c r="M193" s="11">
        <f t="shared" si="2"/>
        <v>1.1928000000000001</v>
      </c>
      <c r="N193" s="11">
        <f t="shared" si="3"/>
        <v>0.26147880000000001</v>
      </c>
      <c r="O193" s="11">
        <f t="shared" si="4"/>
        <v>1.2043872</v>
      </c>
      <c r="P193" s="11">
        <f t="shared" si="5"/>
        <v>0</v>
      </c>
    </row>
    <row r="194" spans="1:16" ht="15" hidden="1" customHeight="1">
      <c r="A194" s="44"/>
      <c r="B194" s="5">
        <f t="shared" si="20"/>
        <v>45505</v>
      </c>
      <c r="C194" s="1" t="s">
        <v>533</v>
      </c>
      <c r="D194" s="195"/>
      <c r="E194" s="186"/>
      <c r="F194" s="2"/>
      <c r="G194" s="3">
        <f t="shared" si="17"/>
        <v>0</v>
      </c>
      <c r="H194" s="187"/>
      <c r="I194" s="7"/>
      <c r="J194" s="7">
        <v>1.6500000000000001E-2</v>
      </c>
      <c r="K194" s="7">
        <v>7.5999999999999998E-2</v>
      </c>
      <c r="L194" s="7">
        <v>0</v>
      </c>
      <c r="M194" s="11">
        <f t="shared" si="2"/>
        <v>0</v>
      </c>
      <c r="N194" s="11">
        <f t="shared" si="3"/>
        <v>0</v>
      </c>
      <c r="O194" s="11">
        <f t="shared" si="4"/>
        <v>0</v>
      </c>
      <c r="P194" s="11">
        <f t="shared" si="5"/>
        <v>0</v>
      </c>
    </row>
    <row r="195" spans="1:16" ht="15" hidden="1" customHeight="1">
      <c r="A195" s="44"/>
      <c r="B195" s="5">
        <f t="shared" si="20"/>
        <v>45505</v>
      </c>
      <c r="C195" s="1" t="s">
        <v>533</v>
      </c>
      <c r="D195" s="195"/>
      <c r="E195" s="186"/>
      <c r="F195" s="2"/>
      <c r="G195" s="3">
        <f t="shared" si="17"/>
        <v>0</v>
      </c>
      <c r="H195" s="187"/>
      <c r="I195" s="7"/>
      <c r="J195" s="7">
        <v>1.6500000000000001E-2</v>
      </c>
      <c r="K195" s="7">
        <v>7.5999999999999998E-2</v>
      </c>
      <c r="L195" s="7">
        <v>0</v>
      </c>
      <c r="M195" s="11">
        <f t="shared" si="2"/>
        <v>0</v>
      </c>
      <c r="N195" s="11">
        <f t="shared" si="3"/>
        <v>0</v>
      </c>
      <c r="O195" s="11">
        <f t="shared" si="4"/>
        <v>0</v>
      </c>
      <c r="P195" s="11">
        <f t="shared" si="5"/>
        <v>0</v>
      </c>
    </row>
    <row r="196" spans="1:16" ht="15" hidden="1" customHeight="1">
      <c r="A196" s="44"/>
      <c r="B196" s="5">
        <f t="shared" si="20"/>
        <v>45505</v>
      </c>
      <c r="C196" s="1" t="s">
        <v>533</v>
      </c>
      <c r="D196" s="195"/>
      <c r="E196" s="186"/>
      <c r="F196" s="2"/>
      <c r="G196" s="3">
        <f t="shared" si="17"/>
        <v>0</v>
      </c>
      <c r="H196" s="187"/>
      <c r="I196" s="7"/>
      <c r="J196" s="7">
        <v>1.6500000000000001E-2</v>
      </c>
      <c r="K196" s="7">
        <v>7.5999999999999998E-2</v>
      </c>
      <c r="L196" s="7">
        <v>0</v>
      </c>
      <c r="M196" s="11">
        <f t="shared" si="2"/>
        <v>0</v>
      </c>
      <c r="N196" s="11">
        <f t="shared" si="3"/>
        <v>0</v>
      </c>
      <c r="O196" s="11">
        <f t="shared" si="4"/>
        <v>0</v>
      </c>
      <c r="P196" s="11">
        <f t="shared" si="5"/>
        <v>0</v>
      </c>
    </row>
    <row r="197" spans="1:16" ht="15" hidden="1" customHeight="1">
      <c r="A197" s="44"/>
      <c r="B197" s="5">
        <f t="shared" si="20"/>
        <v>45505</v>
      </c>
      <c r="C197" s="1" t="s">
        <v>533</v>
      </c>
      <c r="D197" s="195"/>
      <c r="E197" s="186"/>
      <c r="F197" s="2"/>
      <c r="G197" s="3">
        <f t="shared" si="17"/>
        <v>0</v>
      </c>
      <c r="H197" s="187"/>
      <c r="I197" s="7"/>
      <c r="J197" s="7">
        <v>1.6500000000000001E-2</v>
      </c>
      <c r="K197" s="7">
        <v>7.5999999999999998E-2</v>
      </c>
      <c r="L197" s="7">
        <v>0</v>
      </c>
      <c r="M197" s="11">
        <f t="shared" si="2"/>
        <v>0</v>
      </c>
      <c r="N197" s="11">
        <f t="shared" si="3"/>
        <v>0</v>
      </c>
      <c r="O197" s="11">
        <f t="shared" si="4"/>
        <v>0</v>
      </c>
      <c r="P197" s="11">
        <f t="shared" si="5"/>
        <v>0</v>
      </c>
    </row>
    <row r="198" spans="1:16" ht="15" hidden="1" customHeight="1">
      <c r="A198" s="44"/>
      <c r="B198" s="5">
        <f t="shared" si="20"/>
        <v>45505</v>
      </c>
      <c r="C198" s="1" t="s">
        <v>533</v>
      </c>
      <c r="D198" s="195"/>
      <c r="E198" s="186"/>
      <c r="F198" s="2"/>
      <c r="G198" s="3">
        <f t="shared" si="17"/>
        <v>0</v>
      </c>
      <c r="H198" s="187"/>
      <c r="I198" s="7"/>
      <c r="J198" s="7">
        <v>1.6500000000000001E-2</v>
      </c>
      <c r="K198" s="7">
        <v>7.5999999999999998E-2</v>
      </c>
      <c r="L198" s="7">
        <v>0</v>
      </c>
      <c r="M198" s="11">
        <f t="shared" si="2"/>
        <v>0</v>
      </c>
      <c r="N198" s="11">
        <f t="shared" si="3"/>
        <v>0</v>
      </c>
      <c r="O198" s="11">
        <f t="shared" si="4"/>
        <v>0</v>
      </c>
      <c r="P198" s="11">
        <f t="shared" si="5"/>
        <v>0</v>
      </c>
    </row>
    <row r="199" spans="1:16" ht="15" hidden="1" customHeight="1">
      <c r="A199" s="44"/>
      <c r="B199" s="5">
        <f t="shared" si="20"/>
        <v>45505</v>
      </c>
      <c r="C199" s="1" t="s">
        <v>533</v>
      </c>
      <c r="D199" s="195"/>
      <c r="E199" s="186"/>
      <c r="F199" s="2"/>
      <c r="G199" s="3">
        <f t="shared" si="17"/>
        <v>0</v>
      </c>
      <c r="H199" s="187"/>
      <c r="I199" s="7"/>
      <c r="J199" s="7">
        <v>1.6500000000000001E-2</v>
      </c>
      <c r="K199" s="7">
        <v>7.5999999999999998E-2</v>
      </c>
      <c r="L199" s="7">
        <v>0</v>
      </c>
      <c r="M199" s="11">
        <f t="shared" si="2"/>
        <v>0</v>
      </c>
      <c r="N199" s="11">
        <f t="shared" si="3"/>
        <v>0</v>
      </c>
      <c r="O199" s="11">
        <f t="shared" si="4"/>
        <v>0</v>
      </c>
      <c r="P199" s="11">
        <f t="shared" si="5"/>
        <v>0</v>
      </c>
    </row>
    <row r="200" spans="1:16" ht="15" hidden="1" customHeight="1">
      <c r="A200" s="44"/>
      <c r="B200" s="5">
        <f t="shared" si="20"/>
        <v>45505</v>
      </c>
      <c r="C200" s="1" t="s">
        <v>533</v>
      </c>
      <c r="D200" s="195"/>
      <c r="E200" s="186"/>
      <c r="F200" s="2"/>
      <c r="G200" s="3">
        <f t="shared" si="17"/>
        <v>0</v>
      </c>
      <c r="H200" s="187"/>
      <c r="I200" s="7"/>
      <c r="J200" s="7">
        <v>1.6500000000000001E-2</v>
      </c>
      <c r="K200" s="7">
        <v>7.5999999999999998E-2</v>
      </c>
      <c r="L200" s="7">
        <v>0</v>
      </c>
      <c r="M200" s="11">
        <f t="shared" si="2"/>
        <v>0</v>
      </c>
      <c r="N200" s="11">
        <f t="shared" si="3"/>
        <v>0</v>
      </c>
      <c r="O200" s="11">
        <f t="shared" si="4"/>
        <v>0</v>
      </c>
      <c r="P200" s="11">
        <f t="shared" si="5"/>
        <v>0</v>
      </c>
    </row>
    <row r="201" spans="1:16" ht="15" hidden="1" customHeight="1">
      <c r="A201" s="44"/>
      <c r="B201" s="5">
        <f t="shared" si="20"/>
        <v>45505</v>
      </c>
      <c r="C201" s="1" t="s">
        <v>533</v>
      </c>
      <c r="D201" s="195"/>
      <c r="E201" s="186"/>
      <c r="F201" s="2"/>
      <c r="G201" s="3">
        <f t="shared" si="17"/>
        <v>0</v>
      </c>
      <c r="H201" s="187"/>
      <c r="I201" s="7"/>
      <c r="J201" s="7">
        <v>1.6500000000000001E-2</v>
      </c>
      <c r="K201" s="7">
        <v>7.5999999999999998E-2</v>
      </c>
      <c r="L201" s="7">
        <v>0</v>
      </c>
      <c r="M201" s="11">
        <f t="shared" si="2"/>
        <v>0</v>
      </c>
      <c r="N201" s="11">
        <f t="shared" si="3"/>
        <v>0</v>
      </c>
      <c r="O201" s="11">
        <f t="shared" si="4"/>
        <v>0</v>
      </c>
      <c r="P201" s="11">
        <f t="shared" si="5"/>
        <v>0</v>
      </c>
    </row>
    <row r="202" spans="1:16" ht="15" hidden="1" customHeight="1">
      <c r="A202" s="44"/>
      <c r="B202" s="5">
        <f t="shared" si="20"/>
        <v>45505</v>
      </c>
      <c r="C202" s="1" t="s">
        <v>533</v>
      </c>
      <c r="D202" s="195"/>
      <c r="E202" s="186"/>
      <c r="F202" s="2"/>
      <c r="G202" s="3">
        <f t="shared" si="17"/>
        <v>0</v>
      </c>
      <c r="H202" s="187"/>
      <c r="I202" s="7"/>
      <c r="J202" s="7">
        <v>1.6500000000000001E-2</v>
      </c>
      <c r="K202" s="7">
        <v>7.5999999999999998E-2</v>
      </c>
      <c r="L202" s="7">
        <v>0</v>
      </c>
      <c r="M202" s="11">
        <f t="shared" si="2"/>
        <v>0</v>
      </c>
      <c r="N202" s="11">
        <f t="shared" si="3"/>
        <v>0</v>
      </c>
      <c r="O202" s="11">
        <f t="shared" si="4"/>
        <v>0</v>
      </c>
      <c r="P202" s="11">
        <f t="shared" si="5"/>
        <v>0</v>
      </c>
    </row>
    <row r="203" spans="1:16" ht="15" hidden="1" customHeight="1">
      <c r="A203" s="44"/>
      <c r="B203" s="5">
        <f t="shared" si="20"/>
        <v>45505</v>
      </c>
      <c r="C203" s="1" t="s">
        <v>533</v>
      </c>
      <c r="D203" s="195"/>
      <c r="E203" s="186"/>
      <c r="F203" s="2"/>
      <c r="G203" s="3">
        <f t="shared" si="17"/>
        <v>0</v>
      </c>
      <c r="H203" s="187"/>
      <c r="I203" s="7"/>
      <c r="J203" s="7">
        <v>1.6500000000000001E-2</v>
      </c>
      <c r="K203" s="7">
        <v>7.5999999999999998E-2</v>
      </c>
      <c r="L203" s="7">
        <v>0</v>
      </c>
      <c r="M203" s="11">
        <f t="shared" si="2"/>
        <v>0</v>
      </c>
      <c r="N203" s="11">
        <f t="shared" si="3"/>
        <v>0</v>
      </c>
      <c r="O203" s="11">
        <f t="shared" si="4"/>
        <v>0</v>
      </c>
      <c r="P203" s="11">
        <f t="shared" si="5"/>
        <v>0</v>
      </c>
    </row>
    <row r="204" spans="1:16" ht="15" hidden="1" customHeight="1">
      <c r="A204" s="44"/>
      <c r="B204" s="5">
        <f t="shared" si="20"/>
        <v>45505</v>
      </c>
      <c r="C204" s="1" t="s">
        <v>533</v>
      </c>
      <c r="D204" s="195"/>
      <c r="E204" s="186"/>
      <c r="F204" s="2"/>
      <c r="G204" s="3">
        <f t="shared" si="17"/>
        <v>0</v>
      </c>
      <c r="H204" s="187"/>
      <c r="I204" s="7"/>
      <c r="J204" s="7">
        <v>1.6500000000000001E-2</v>
      </c>
      <c r="K204" s="7">
        <v>7.5999999999999998E-2</v>
      </c>
      <c r="L204" s="7">
        <v>0</v>
      </c>
      <c r="M204" s="11">
        <f t="shared" si="2"/>
        <v>0</v>
      </c>
      <c r="N204" s="11">
        <f t="shared" si="3"/>
        <v>0</v>
      </c>
      <c r="O204" s="11">
        <f t="shared" si="4"/>
        <v>0</v>
      </c>
      <c r="P204" s="11">
        <f t="shared" si="5"/>
        <v>0</v>
      </c>
    </row>
    <row r="205" spans="1:16" ht="15" hidden="1" customHeight="1">
      <c r="A205" s="44"/>
      <c r="B205" s="5">
        <f t="shared" si="20"/>
        <v>45505</v>
      </c>
      <c r="C205" s="1" t="s">
        <v>533</v>
      </c>
      <c r="D205" s="195"/>
      <c r="E205" s="186"/>
      <c r="F205" s="2"/>
      <c r="G205" s="3">
        <f t="shared" si="17"/>
        <v>0</v>
      </c>
      <c r="H205" s="187"/>
      <c r="I205" s="7"/>
      <c r="J205" s="7">
        <v>1.6500000000000001E-2</v>
      </c>
      <c r="K205" s="7">
        <v>7.5999999999999998E-2</v>
      </c>
      <c r="L205" s="7">
        <v>0</v>
      </c>
      <c r="M205" s="11">
        <f t="shared" si="2"/>
        <v>0</v>
      </c>
      <c r="N205" s="11">
        <f t="shared" si="3"/>
        <v>0</v>
      </c>
      <c r="O205" s="11">
        <f t="shared" si="4"/>
        <v>0</v>
      </c>
      <c r="P205" s="11">
        <f t="shared" si="5"/>
        <v>0</v>
      </c>
    </row>
    <row r="206" spans="1:16" ht="15" hidden="1" customHeight="1">
      <c r="A206" s="44"/>
      <c r="B206" s="5">
        <f t="shared" si="20"/>
        <v>45505</v>
      </c>
      <c r="C206" s="1" t="s">
        <v>533</v>
      </c>
      <c r="D206" s="195"/>
      <c r="E206" s="186"/>
      <c r="F206" s="2"/>
      <c r="G206" s="3">
        <f t="shared" si="17"/>
        <v>0</v>
      </c>
      <c r="H206" s="187"/>
      <c r="I206" s="7"/>
      <c r="J206" s="7">
        <v>1.6500000000000001E-2</v>
      </c>
      <c r="K206" s="7">
        <v>7.5999999999999998E-2</v>
      </c>
      <c r="L206" s="7">
        <v>0</v>
      </c>
      <c r="M206" s="11">
        <f t="shared" si="2"/>
        <v>0</v>
      </c>
      <c r="N206" s="11">
        <f t="shared" si="3"/>
        <v>0</v>
      </c>
      <c r="O206" s="11">
        <f t="shared" si="4"/>
        <v>0</v>
      </c>
      <c r="P206" s="11">
        <f t="shared" ref="P206:P249" si="21">L206*(F206)</f>
        <v>0</v>
      </c>
    </row>
    <row r="207" spans="1:16" ht="15" hidden="1" customHeight="1">
      <c r="A207" s="44"/>
      <c r="B207" s="5">
        <f t="shared" si="20"/>
        <v>45505</v>
      </c>
      <c r="C207" s="1" t="s">
        <v>533</v>
      </c>
      <c r="D207" s="195"/>
      <c r="E207" s="186"/>
      <c r="F207" s="2"/>
      <c r="G207" s="3">
        <f t="shared" si="17"/>
        <v>0</v>
      </c>
      <c r="H207" s="187"/>
      <c r="I207" s="7"/>
      <c r="J207" s="7">
        <v>1.6500000000000001E-2</v>
      </c>
      <c r="K207" s="7">
        <v>7.5999999999999998E-2</v>
      </c>
      <c r="L207" s="7">
        <v>0</v>
      </c>
      <c r="M207" s="11">
        <f t="shared" si="2"/>
        <v>0</v>
      </c>
      <c r="N207" s="11">
        <f t="shared" si="3"/>
        <v>0</v>
      </c>
      <c r="O207" s="11">
        <f t="shared" si="4"/>
        <v>0</v>
      </c>
      <c r="P207" s="11">
        <f t="shared" si="21"/>
        <v>0</v>
      </c>
    </row>
    <row r="208" spans="1:16" ht="15" hidden="1" customHeight="1">
      <c r="A208" s="44"/>
      <c r="B208" s="5">
        <f t="shared" si="20"/>
        <v>45505</v>
      </c>
      <c r="C208" s="1" t="s">
        <v>533</v>
      </c>
      <c r="D208" s="195"/>
      <c r="E208" s="186"/>
      <c r="F208" s="2"/>
      <c r="G208" s="3">
        <f t="shared" ref="G208:G246" si="22">F208-SUM(M208:P208)</f>
        <v>0</v>
      </c>
      <c r="H208" s="187"/>
      <c r="I208" s="7"/>
      <c r="J208" s="7">
        <v>1.6500000000000001E-2</v>
      </c>
      <c r="K208" s="7">
        <v>7.5999999999999998E-2</v>
      </c>
      <c r="L208" s="7">
        <v>0</v>
      </c>
      <c r="M208" s="11">
        <f t="shared" si="2"/>
        <v>0</v>
      </c>
      <c r="N208" s="11">
        <f t="shared" si="3"/>
        <v>0</v>
      </c>
      <c r="O208" s="11">
        <f t="shared" si="4"/>
        <v>0</v>
      </c>
      <c r="P208" s="11">
        <f t="shared" si="21"/>
        <v>0</v>
      </c>
    </row>
    <row r="209" spans="1:16" ht="15" hidden="1" customHeight="1">
      <c r="A209" s="44"/>
      <c r="B209" s="5">
        <f t="shared" si="20"/>
        <v>45505</v>
      </c>
      <c r="C209" s="1" t="s">
        <v>533</v>
      </c>
      <c r="D209" s="195"/>
      <c r="E209" s="186"/>
      <c r="F209" s="2"/>
      <c r="G209" s="3">
        <f t="shared" si="22"/>
        <v>0</v>
      </c>
      <c r="H209" s="187"/>
      <c r="I209" s="7"/>
      <c r="J209" s="7">
        <v>1.6500000000000001E-2</v>
      </c>
      <c r="K209" s="7">
        <v>7.5999999999999998E-2</v>
      </c>
      <c r="L209" s="7">
        <v>0</v>
      </c>
      <c r="M209" s="11">
        <f t="shared" si="2"/>
        <v>0</v>
      </c>
      <c r="N209" s="11">
        <f t="shared" si="3"/>
        <v>0</v>
      </c>
      <c r="O209" s="11">
        <f t="shared" si="4"/>
        <v>0</v>
      </c>
      <c r="P209" s="11">
        <f t="shared" si="21"/>
        <v>0</v>
      </c>
    </row>
    <row r="210" spans="1:16" ht="15" hidden="1" customHeight="1">
      <c r="A210" s="44"/>
      <c r="B210" s="5">
        <f t="shared" si="20"/>
        <v>45505</v>
      </c>
      <c r="C210" s="1" t="s">
        <v>533</v>
      </c>
      <c r="D210" s="195"/>
      <c r="E210" s="186"/>
      <c r="F210" s="2"/>
      <c r="G210" s="3">
        <f t="shared" si="22"/>
        <v>0</v>
      </c>
      <c r="H210" s="187"/>
      <c r="I210" s="7"/>
      <c r="J210" s="7">
        <v>1.6500000000000001E-2</v>
      </c>
      <c r="K210" s="7">
        <v>7.5999999999999998E-2</v>
      </c>
      <c r="L210" s="7">
        <v>0</v>
      </c>
      <c r="M210" s="11">
        <f t="shared" si="2"/>
        <v>0</v>
      </c>
      <c r="N210" s="11">
        <f t="shared" si="3"/>
        <v>0</v>
      </c>
      <c r="O210" s="11">
        <f t="shared" si="4"/>
        <v>0</v>
      </c>
      <c r="P210" s="11">
        <f t="shared" si="21"/>
        <v>0</v>
      </c>
    </row>
    <row r="211" spans="1:16" ht="15" hidden="1" customHeight="1">
      <c r="A211" s="44"/>
      <c r="B211" s="5">
        <f t="shared" si="20"/>
        <v>45505</v>
      </c>
      <c r="C211" s="1" t="s">
        <v>533</v>
      </c>
      <c r="D211" s="195"/>
      <c r="E211" s="186"/>
      <c r="F211" s="2"/>
      <c r="G211" s="3">
        <f t="shared" si="22"/>
        <v>0</v>
      </c>
      <c r="H211" s="187"/>
      <c r="I211" s="7"/>
      <c r="J211" s="7">
        <v>1.6500000000000001E-2</v>
      </c>
      <c r="K211" s="7">
        <v>7.5999999999999998E-2</v>
      </c>
      <c r="L211" s="7">
        <v>0</v>
      </c>
      <c r="M211" s="11">
        <f t="shared" si="2"/>
        <v>0</v>
      </c>
      <c r="N211" s="11">
        <f t="shared" si="3"/>
        <v>0</v>
      </c>
      <c r="O211" s="11">
        <f t="shared" si="4"/>
        <v>0</v>
      </c>
      <c r="P211" s="11">
        <f t="shared" si="21"/>
        <v>0</v>
      </c>
    </row>
    <row r="212" spans="1:16" ht="15" hidden="1" customHeight="1">
      <c r="A212" s="44"/>
      <c r="B212" s="5">
        <f t="shared" si="20"/>
        <v>45505</v>
      </c>
      <c r="C212" s="1" t="s">
        <v>533</v>
      </c>
      <c r="D212" s="195"/>
      <c r="E212" s="186"/>
      <c r="F212" s="2"/>
      <c r="G212" s="3">
        <f t="shared" si="22"/>
        <v>0</v>
      </c>
      <c r="H212" s="187"/>
      <c r="I212" s="7"/>
      <c r="J212" s="7">
        <v>1.6500000000000001E-2</v>
      </c>
      <c r="K212" s="7">
        <v>7.5999999999999998E-2</v>
      </c>
      <c r="L212" s="7">
        <v>0</v>
      </c>
      <c r="M212" s="11">
        <f t="shared" si="2"/>
        <v>0</v>
      </c>
      <c r="N212" s="11">
        <f t="shared" si="3"/>
        <v>0</v>
      </c>
      <c r="O212" s="11">
        <f t="shared" si="4"/>
        <v>0</v>
      </c>
      <c r="P212" s="11">
        <f t="shared" si="21"/>
        <v>0</v>
      </c>
    </row>
    <row r="213" spans="1:16" ht="15" hidden="1" customHeight="1">
      <c r="A213" s="44"/>
      <c r="B213" s="5">
        <f t="shared" si="20"/>
        <v>45505</v>
      </c>
      <c r="C213" s="1" t="s">
        <v>533</v>
      </c>
      <c r="D213" s="195"/>
      <c r="E213" s="186"/>
      <c r="F213" s="2"/>
      <c r="G213" s="3">
        <f t="shared" si="22"/>
        <v>0</v>
      </c>
      <c r="H213" s="187"/>
      <c r="I213" s="7"/>
      <c r="J213" s="7">
        <v>1.6500000000000001E-2</v>
      </c>
      <c r="K213" s="7">
        <v>7.5999999999999998E-2</v>
      </c>
      <c r="L213" s="7">
        <v>0</v>
      </c>
      <c r="M213" s="11">
        <f t="shared" si="2"/>
        <v>0</v>
      </c>
      <c r="N213" s="11">
        <f t="shared" si="3"/>
        <v>0</v>
      </c>
      <c r="O213" s="11">
        <f t="shared" si="4"/>
        <v>0</v>
      </c>
      <c r="P213" s="11">
        <f t="shared" si="21"/>
        <v>0</v>
      </c>
    </row>
    <row r="214" spans="1:16" ht="15" hidden="1" customHeight="1">
      <c r="A214" s="44"/>
      <c r="B214" s="5">
        <f t="shared" si="20"/>
        <v>45505</v>
      </c>
      <c r="C214" s="1" t="s">
        <v>533</v>
      </c>
      <c r="D214" s="195"/>
      <c r="E214" s="186"/>
      <c r="F214" s="2"/>
      <c r="G214" s="3">
        <f t="shared" si="22"/>
        <v>0</v>
      </c>
      <c r="H214" s="187"/>
      <c r="I214" s="7"/>
      <c r="J214" s="7">
        <v>1.6500000000000001E-2</v>
      </c>
      <c r="K214" s="7">
        <v>7.5999999999999998E-2</v>
      </c>
      <c r="L214" s="7">
        <v>0</v>
      </c>
      <c r="M214" s="11">
        <f t="shared" si="2"/>
        <v>0</v>
      </c>
      <c r="N214" s="11">
        <f t="shared" si="3"/>
        <v>0</v>
      </c>
      <c r="O214" s="11">
        <f t="shared" si="4"/>
        <v>0</v>
      </c>
      <c r="P214" s="11">
        <f t="shared" si="21"/>
        <v>0</v>
      </c>
    </row>
    <row r="215" spans="1:16" ht="15" hidden="1" customHeight="1">
      <c r="A215" s="44"/>
      <c r="B215" s="5">
        <f t="shared" si="20"/>
        <v>45505</v>
      </c>
      <c r="C215" s="1" t="s">
        <v>533</v>
      </c>
      <c r="D215" s="195"/>
      <c r="E215" s="186"/>
      <c r="F215" s="2"/>
      <c r="G215" s="3">
        <f t="shared" si="22"/>
        <v>0</v>
      </c>
      <c r="H215" s="187"/>
      <c r="I215" s="7"/>
      <c r="J215" s="7">
        <v>1.6500000000000001E-2</v>
      </c>
      <c r="K215" s="7">
        <v>7.5999999999999998E-2</v>
      </c>
      <c r="L215" s="7">
        <v>0</v>
      </c>
      <c r="M215" s="11">
        <f t="shared" si="2"/>
        <v>0</v>
      </c>
      <c r="N215" s="11">
        <f t="shared" si="3"/>
        <v>0</v>
      </c>
      <c r="O215" s="11">
        <f t="shared" si="4"/>
        <v>0</v>
      </c>
      <c r="P215" s="11">
        <f t="shared" si="21"/>
        <v>0</v>
      </c>
    </row>
    <row r="216" spans="1:16" ht="15" hidden="1" customHeight="1">
      <c r="A216" s="44"/>
      <c r="B216" s="5">
        <f t="shared" si="20"/>
        <v>45505</v>
      </c>
      <c r="C216" s="1" t="s">
        <v>533</v>
      </c>
      <c r="D216" s="195"/>
      <c r="E216" s="186"/>
      <c r="F216" s="2"/>
      <c r="G216" s="3">
        <f t="shared" si="22"/>
        <v>0</v>
      </c>
      <c r="H216" s="187"/>
      <c r="I216" s="7"/>
      <c r="J216" s="7">
        <v>1.6500000000000001E-2</v>
      </c>
      <c r="K216" s="7">
        <v>7.5999999999999998E-2</v>
      </c>
      <c r="L216" s="7">
        <v>0</v>
      </c>
      <c r="M216" s="11">
        <f t="shared" si="2"/>
        <v>0</v>
      </c>
      <c r="N216" s="11">
        <f t="shared" si="3"/>
        <v>0</v>
      </c>
      <c r="O216" s="11">
        <f t="shared" si="4"/>
        <v>0</v>
      </c>
      <c r="P216" s="11">
        <f t="shared" si="21"/>
        <v>0</v>
      </c>
    </row>
    <row r="217" spans="1:16" ht="15" hidden="1" customHeight="1">
      <c r="A217" s="44"/>
      <c r="B217" s="5">
        <f t="shared" si="20"/>
        <v>45505</v>
      </c>
      <c r="C217" s="1" t="s">
        <v>533</v>
      </c>
      <c r="D217" s="195"/>
      <c r="E217" s="186"/>
      <c r="F217" s="2"/>
      <c r="G217" s="3">
        <f t="shared" si="22"/>
        <v>0</v>
      </c>
      <c r="H217" s="187"/>
      <c r="I217" s="7"/>
      <c r="J217" s="7">
        <v>1.6500000000000001E-2</v>
      </c>
      <c r="K217" s="7">
        <v>7.5999999999999998E-2</v>
      </c>
      <c r="L217" s="7">
        <v>0</v>
      </c>
      <c r="M217" s="11">
        <f t="shared" si="2"/>
        <v>0</v>
      </c>
      <c r="N217" s="11">
        <f t="shared" si="3"/>
        <v>0</v>
      </c>
      <c r="O217" s="11">
        <f t="shared" si="4"/>
        <v>0</v>
      </c>
      <c r="P217" s="11">
        <f t="shared" si="21"/>
        <v>0</v>
      </c>
    </row>
    <row r="218" spans="1:16" ht="15" hidden="1" customHeight="1">
      <c r="A218" s="44"/>
      <c r="B218" s="5">
        <f t="shared" si="20"/>
        <v>45505</v>
      </c>
      <c r="C218" s="1" t="s">
        <v>533</v>
      </c>
      <c r="D218" s="195"/>
      <c r="E218" s="186"/>
      <c r="F218" s="2"/>
      <c r="G218" s="3">
        <f t="shared" si="22"/>
        <v>0</v>
      </c>
      <c r="H218" s="187"/>
      <c r="I218" s="7"/>
      <c r="J218" s="7">
        <v>1.6500000000000001E-2</v>
      </c>
      <c r="K218" s="7">
        <v>7.5999999999999998E-2</v>
      </c>
      <c r="L218" s="7">
        <v>0</v>
      </c>
      <c r="M218" s="11">
        <f t="shared" si="2"/>
        <v>0</v>
      </c>
      <c r="N218" s="11">
        <f t="shared" si="3"/>
        <v>0</v>
      </c>
      <c r="O218" s="11">
        <f t="shared" si="4"/>
        <v>0</v>
      </c>
      <c r="P218" s="11">
        <f t="shared" si="21"/>
        <v>0</v>
      </c>
    </row>
    <row r="219" spans="1:16" ht="15" hidden="1" customHeight="1">
      <c r="A219" s="44"/>
      <c r="B219" s="5">
        <f t="shared" si="20"/>
        <v>45505</v>
      </c>
      <c r="C219" s="1" t="s">
        <v>533</v>
      </c>
      <c r="D219" s="195"/>
      <c r="E219" s="186"/>
      <c r="F219" s="2"/>
      <c r="G219" s="3">
        <f t="shared" si="22"/>
        <v>0</v>
      </c>
      <c r="H219" s="187"/>
      <c r="I219" s="7"/>
      <c r="J219" s="7">
        <v>1.6500000000000001E-2</v>
      </c>
      <c r="K219" s="7">
        <v>7.5999999999999998E-2</v>
      </c>
      <c r="L219" s="7">
        <v>0</v>
      </c>
      <c r="M219" s="11">
        <f t="shared" si="2"/>
        <v>0</v>
      </c>
      <c r="N219" s="11">
        <f t="shared" si="3"/>
        <v>0</v>
      </c>
      <c r="O219" s="11">
        <f t="shared" si="4"/>
        <v>0</v>
      </c>
      <c r="P219" s="11">
        <f t="shared" si="21"/>
        <v>0</v>
      </c>
    </row>
    <row r="220" spans="1:16" ht="15" hidden="1" customHeight="1">
      <c r="A220" s="44"/>
      <c r="B220" s="5">
        <f t="shared" si="20"/>
        <v>45505</v>
      </c>
      <c r="C220" s="1" t="s">
        <v>533</v>
      </c>
      <c r="D220" s="195"/>
      <c r="E220" s="186"/>
      <c r="F220" s="2"/>
      <c r="G220" s="3">
        <f t="shared" si="22"/>
        <v>0</v>
      </c>
      <c r="H220" s="187"/>
      <c r="I220" s="7"/>
      <c r="J220" s="7">
        <v>1.6500000000000001E-2</v>
      </c>
      <c r="K220" s="7">
        <v>7.5999999999999998E-2</v>
      </c>
      <c r="L220" s="7">
        <v>0</v>
      </c>
      <c r="M220" s="11">
        <f t="shared" si="2"/>
        <v>0</v>
      </c>
      <c r="N220" s="11">
        <f t="shared" si="3"/>
        <v>0</v>
      </c>
      <c r="O220" s="11">
        <f t="shared" si="4"/>
        <v>0</v>
      </c>
      <c r="P220" s="11">
        <f t="shared" si="21"/>
        <v>0</v>
      </c>
    </row>
    <row r="221" spans="1:16" ht="15" hidden="1" customHeight="1">
      <c r="A221" s="44"/>
      <c r="B221" s="5">
        <f t="shared" si="20"/>
        <v>45505</v>
      </c>
      <c r="C221" s="1" t="s">
        <v>533</v>
      </c>
      <c r="D221" s="195"/>
      <c r="E221" s="186"/>
      <c r="F221" s="2"/>
      <c r="G221" s="3">
        <f t="shared" si="22"/>
        <v>0</v>
      </c>
      <c r="H221" s="187"/>
      <c r="I221" s="7"/>
      <c r="J221" s="7">
        <v>1.6500000000000001E-2</v>
      </c>
      <c r="K221" s="7">
        <v>7.5999999999999998E-2</v>
      </c>
      <c r="L221" s="7">
        <v>0</v>
      </c>
      <c r="M221" s="11">
        <f t="shared" si="2"/>
        <v>0</v>
      </c>
      <c r="N221" s="11">
        <f t="shared" si="3"/>
        <v>0</v>
      </c>
      <c r="O221" s="11">
        <f t="shared" si="4"/>
        <v>0</v>
      </c>
      <c r="P221" s="11">
        <f t="shared" si="21"/>
        <v>0</v>
      </c>
    </row>
    <row r="222" spans="1:16" ht="15" hidden="1" customHeight="1">
      <c r="A222" s="44"/>
      <c r="B222" s="5">
        <f t="shared" si="20"/>
        <v>45505</v>
      </c>
      <c r="C222" s="1" t="s">
        <v>533</v>
      </c>
      <c r="D222" s="195"/>
      <c r="E222" s="186"/>
      <c r="F222" s="2"/>
      <c r="G222" s="3">
        <f t="shared" si="22"/>
        <v>0</v>
      </c>
      <c r="H222" s="187"/>
      <c r="I222" s="7"/>
      <c r="J222" s="7">
        <v>1.6500000000000001E-2</v>
      </c>
      <c r="K222" s="7">
        <v>7.5999999999999998E-2</v>
      </c>
      <c r="L222" s="7">
        <v>0</v>
      </c>
      <c r="M222" s="11">
        <f t="shared" si="2"/>
        <v>0</v>
      </c>
      <c r="N222" s="11">
        <f t="shared" si="3"/>
        <v>0</v>
      </c>
      <c r="O222" s="11">
        <f t="shared" si="4"/>
        <v>0</v>
      </c>
      <c r="P222" s="11">
        <f t="shared" si="21"/>
        <v>0</v>
      </c>
    </row>
    <row r="223" spans="1:16" ht="15" hidden="1" customHeight="1">
      <c r="A223" s="44"/>
      <c r="B223" s="5">
        <f t="shared" si="20"/>
        <v>45505</v>
      </c>
      <c r="C223" s="1" t="s">
        <v>533</v>
      </c>
      <c r="D223" s="195"/>
      <c r="E223" s="186"/>
      <c r="F223" s="2"/>
      <c r="G223" s="3">
        <f t="shared" si="22"/>
        <v>0</v>
      </c>
      <c r="H223" s="187"/>
      <c r="I223" s="7"/>
      <c r="J223" s="7">
        <v>1.6500000000000001E-2</v>
      </c>
      <c r="K223" s="7">
        <v>7.5999999999999998E-2</v>
      </c>
      <c r="L223" s="7">
        <v>0</v>
      </c>
      <c r="M223" s="11">
        <f t="shared" si="2"/>
        <v>0</v>
      </c>
      <c r="N223" s="11">
        <f t="shared" si="3"/>
        <v>0</v>
      </c>
      <c r="O223" s="11">
        <f t="shared" si="4"/>
        <v>0</v>
      </c>
      <c r="P223" s="11">
        <f t="shared" si="21"/>
        <v>0</v>
      </c>
    </row>
    <row r="224" spans="1:16" ht="15" hidden="1" customHeight="1">
      <c r="A224" s="44"/>
      <c r="B224" s="5">
        <f t="shared" si="20"/>
        <v>45505</v>
      </c>
      <c r="C224" s="1" t="s">
        <v>533</v>
      </c>
      <c r="D224" s="195"/>
      <c r="E224" s="186"/>
      <c r="F224" s="2"/>
      <c r="G224" s="3">
        <f t="shared" si="22"/>
        <v>0</v>
      </c>
      <c r="H224" s="187"/>
      <c r="I224" s="7"/>
      <c r="J224" s="7">
        <v>1.6500000000000001E-2</v>
      </c>
      <c r="K224" s="7">
        <v>7.5999999999999998E-2</v>
      </c>
      <c r="L224" s="7">
        <v>0</v>
      </c>
      <c r="M224" s="11">
        <f t="shared" si="2"/>
        <v>0</v>
      </c>
      <c r="N224" s="11">
        <f t="shared" si="3"/>
        <v>0</v>
      </c>
      <c r="O224" s="11">
        <f t="shared" si="4"/>
        <v>0</v>
      </c>
      <c r="P224" s="11">
        <f t="shared" si="21"/>
        <v>0</v>
      </c>
    </row>
    <row r="225" spans="1:16" ht="15" hidden="1" customHeight="1">
      <c r="A225" s="44"/>
      <c r="B225" s="5">
        <f t="shared" si="20"/>
        <v>45505</v>
      </c>
      <c r="C225" s="1" t="s">
        <v>533</v>
      </c>
      <c r="D225" s="195"/>
      <c r="E225" s="186"/>
      <c r="F225" s="2"/>
      <c r="G225" s="3">
        <f t="shared" si="22"/>
        <v>0</v>
      </c>
      <c r="H225" s="187"/>
      <c r="I225" s="7"/>
      <c r="J225" s="7">
        <v>1.6500000000000001E-2</v>
      </c>
      <c r="K225" s="7">
        <v>7.5999999999999998E-2</v>
      </c>
      <c r="L225" s="7">
        <v>0</v>
      </c>
      <c r="M225" s="11">
        <f t="shared" si="2"/>
        <v>0</v>
      </c>
      <c r="N225" s="11">
        <f t="shared" si="3"/>
        <v>0</v>
      </c>
      <c r="O225" s="11">
        <f t="shared" si="4"/>
        <v>0</v>
      </c>
      <c r="P225" s="11">
        <f t="shared" si="21"/>
        <v>0</v>
      </c>
    </row>
    <row r="226" spans="1:16" ht="15" hidden="1" customHeight="1">
      <c r="A226" s="44"/>
      <c r="B226" s="5">
        <f t="shared" si="20"/>
        <v>45505</v>
      </c>
      <c r="C226" s="1" t="s">
        <v>533</v>
      </c>
      <c r="D226" s="195"/>
      <c r="E226" s="186"/>
      <c r="F226" s="2"/>
      <c r="G226" s="3">
        <f t="shared" si="22"/>
        <v>0</v>
      </c>
      <c r="H226" s="187"/>
      <c r="I226" s="7"/>
      <c r="J226" s="7">
        <v>1.6500000000000001E-2</v>
      </c>
      <c r="K226" s="7">
        <v>7.5999999999999998E-2</v>
      </c>
      <c r="L226" s="7">
        <v>0</v>
      </c>
      <c r="M226" s="11">
        <f t="shared" si="2"/>
        <v>0</v>
      </c>
      <c r="N226" s="11">
        <f t="shared" si="3"/>
        <v>0</v>
      </c>
      <c r="O226" s="11">
        <f t="shared" si="4"/>
        <v>0</v>
      </c>
      <c r="P226" s="11">
        <f t="shared" si="21"/>
        <v>0</v>
      </c>
    </row>
    <row r="227" spans="1:16" ht="15" hidden="1" customHeight="1">
      <c r="A227" s="44"/>
      <c r="B227" s="5">
        <f t="shared" si="20"/>
        <v>45505</v>
      </c>
      <c r="C227" s="1" t="s">
        <v>533</v>
      </c>
      <c r="D227" s="195"/>
      <c r="E227" s="186"/>
      <c r="F227" s="2"/>
      <c r="G227" s="3">
        <f t="shared" si="22"/>
        <v>0</v>
      </c>
      <c r="H227" s="187"/>
      <c r="I227" s="7"/>
      <c r="J227" s="7">
        <v>1.6500000000000001E-2</v>
      </c>
      <c r="K227" s="7">
        <v>7.5999999999999998E-2</v>
      </c>
      <c r="L227" s="7">
        <v>0</v>
      </c>
      <c r="M227" s="11">
        <f t="shared" si="2"/>
        <v>0</v>
      </c>
      <c r="N227" s="11">
        <f t="shared" si="3"/>
        <v>0</v>
      </c>
      <c r="O227" s="11">
        <f t="shared" si="4"/>
        <v>0</v>
      </c>
      <c r="P227" s="11">
        <f t="shared" si="21"/>
        <v>0</v>
      </c>
    </row>
    <row r="228" spans="1:16" ht="15" hidden="1" customHeight="1">
      <c r="A228" s="44"/>
      <c r="B228" s="5">
        <f t="shared" si="20"/>
        <v>45505</v>
      </c>
      <c r="C228" s="1" t="s">
        <v>533</v>
      </c>
      <c r="D228" s="195"/>
      <c r="E228" s="186"/>
      <c r="F228" s="2"/>
      <c r="G228" s="3">
        <f t="shared" si="22"/>
        <v>0</v>
      </c>
      <c r="H228" s="187"/>
      <c r="I228" s="7"/>
      <c r="J228" s="7">
        <v>1.6500000000000001E-2</v>
      </c>
      <c r="K228" s="7">
        <v>7.5999999999999998E-2</v>
      </c>
      <c r="L228" s="7">
        <v>0</v>
      </c>
      <c r="M228" s="11">
        <f t="shared" si="2"/>
        <v>0</v>
      </c>
      <c r="N228" s="11">
        <f t="shared" si="3"/>
        <v>0</v>
      </c>
      <c r="O228" s="11">
        <f t="shared" si="4"/>
        <v>0</v>
      </c>
      <c r="P228" s="11">
        <f t="shared" si="21"/>
        <v>0</v>
      </c>
    </row>
    <row r="229" spans="1:16" ht="15" hidden="1" customHeight="1">
      <c r="A229" s="44"/>
      <c r="B229" s="5">
        <f t="shared" si="20"/>
        <v>45505</v>
      </c>
      <c r="C229" s="1" t="s">
        <v>533</v>
      </c>
      <c r="D229" s="195"/>
      <c r="E229" s="186"/>
      <c r="F229" s="2"/>
      <c r="G229" s="3">
        <f t="shared" si="22"/>
        <v>0</v>
      </c>
      <c r="H229" s="187"/>
      <c r="I229" s="7"/>
      <c r="J229" s="7">
        <v>1.6500000000000001E-2</v>
      </c>
      <c r="K229" s="7">
        <v>7.5999999999999998E-2</v>
      </c>
      <c r="L229" s="7">
        <v>0</v>
      </c>
      <c r="M229" s="11">
        <f t="shared" si="2"/>
        <v>0</v>
      </c>
      <c r="N229" s="11">
        <f t="shared" si="3"/>
        <v>0</v>
      </c>
      <c r="O229" s="11">
        <f t="shared" si="4"/>
        <v>0</v>
      </c>
      <c r="P229" s="11">
        <f t="shared" si="21"/>
        <v>0</v>
      </c>
    </row>
    <row r="230" spans="1:16" ht="15" hidden="1" customHeight="1">
      <c r="A230" s="44"/>
      <c r="B230" s="5">
        <f t="shared" si="20"/>
        <v>45505</v>
      </c>
      <c r="C230" s="1" t="s">
        <v>533</v>
      </c>
      <c r="D230" s="195"/>
      <c r="E230" s="186"/>
      <c r="F230" s="2"/>
      <c r="G230" s="3">
        <f t="shared" si="22"/>
        <v>0</v>
      </c>
      <c r="H230" s="187"/>
      <c r="I230" s="7"/>
      <c r="J230" s="7">
        <v>1.6500000000000001E-2</v>
      </c>
      <c r="K230" s="7">
        <v>7.5999999999999998E-2</v>
      </c>
      <c r="L230" s="7">
        <v>0</v>
      </c>
      <c r="M230" s="11">
        <f t="shared" si="2"/>
        <v>0</v>
      </c>
      <c r="N230" s="11">
        <f t="shared" si="3"/>
        <v>0</v>
      </c>
      <c r="O230" s="11">
        <f t="shared" si="4"/>
        <v>0</v>
      </c>
      <c r="P230" s="11">
        <f t="shared" si="21"/>
        <v>0</v>
      </c>
    </row>
    <row r="231" spans="1:16" ht="15" hidden="1" customHeight="1">
      <c r="A231" s="44"/>
      <c r="B231" s="5">
        <f t="shared" si="20"/>
        <v>45505</v>
      </c>
      <c r="C231" s="1" t="s">
        <v>533</v>
      </c>
      <c r="D231" s="195"/>
      <c r="E231" s="186"/>
      <c r="F231" s="2"/>
      <c r="G231" s="3">
        <f t="shared" si="22"/>
        <v>0</v>
      </c>
      <c r="H231" s="187"/>
      <c r="I231" s="7"/>
      <c r="J231" s="7">
        <v>1.6500000000000001E-2</v>
      </c>
      <c r="K231" s="7">
        <v>7.5999999999999998E-2</v>
      </c>
      <c r="L231" s="7">
        <v>0</v>
      </c>
      <c r="M231" s="11">
        <f t="shared" si="2"/>
        <v>0</v>
      </c>
      <c r="N231" s="11">
        <f t="shared" si="3"/>
        <v>0</v>
      </c>
      <c r="O231" s="11">
        <f t="shared" si="4"/>
        <v>0</v>
      </c>
      <c r="P231" s="11">
        <f t="shared" si="21"/>
        <v>0</v>
      </c>
    </row>
    <row r="232" spans="1:16" ht="15" hidden="1" customHeight="1">
      <c r="A232" s="44"/>
      <c r="B232" s="5">
        <f t="shared" si="20"/>
        <v>45505</v>
      </c>
      <c r="C232" s="1" t="s">
        <v>533</v>
      </c>
      <c r="D232" s="195"/>
      <c r="E232" s="186"/>
      <c r="F232" s="2"/>
      <c r="G232" s="3">
        <f t="shared" si="22"/>
        <v>0</v>
      </c>
      <c r="H232" s="187"/>
      <c r="I232" s="7"/>
      <c r="J232" s="7">
        <v>1.6500000000000001E-2</v>
      </c>
      <c r="K232" s="7">
        <v>7.5999999999999998E-2</v>
      </c>
      <c r="L232" s="7">
        <v>0</v>
      </c>
      <c r="M232" s="11">
        <f t="shared" si="2"/>
        <v>0</v>
      </c>
      <c r="N232" s="11">
        <f t="shared" si="3"/>
        <v>0</v>
      </c>
      <c r="O232" s="11">
        <f t="shared" si="4"/>
        <v>0</v>
      </c>
      <c r="P232" s="11">
        <f t="shared" si="21"/>
        <v>0</v>
      </c>
    </row>
    <row r="233" spans="1:16" ht="15" hidden="1" customHeight="1">
      <c r="A233" s="44"/>
      <c r="B233" s="5">
        <f t="shared" si="20"/>
        <v>45505</v>
      </c>
      <c r="C233" s="1" t="s">
        <v>533</v>
      </c>
      <c r="D233" s="195"/>
      <c r="E233" s="186"/>
      <c r="F233" s="2"/>
      <c r="G233" s="3">
        <f t="shared" si="22"/>
        <v>0</v>
      </c>
      <c r="H233" s="187"/>
      <c r="I233" s="7"/>
      <c r="J233" s="7">
        <v>1.6500000000000001E-2</v>
      </c>
      <c r="K233" s="7">
        <v>7.5999999999999998E-2</v>
      </c>
      <c r="L233" s="7">
        <v>0</v>
      </c>
      <c r="M233" s="11">
        <f t="shared" si="2"/>
        <v>0</v>
      </c>
      <c r="N233" s="11">
        <f t="shared" si="3"/>
        <v>0</v>
      </c>
      <c r="O233" s="11">
        <f t="shared" si="4"/>
        <v>0</v>
      </c>
      <c r="P233" s="11">
        <f t="shared" si="21"/>
        <v>0</v>
      </c>
    </row>
    <row r="234" spans="1:16" ht="15" hidden="1" customHeight="1">
      <c r="A234" s="44"/>
      <c r="B234" s="5">
        <f t="shared" si="20"/>
        <v>45505</v>
      </c>
      <c r="C234" s="1" t="s">
        <v>533</v>
      </c>
      <c r="D234" s="195"/>
      <c r="E234" s="186"/>
      <c r="F234" s="2"/>
      <c r="G234" s="3">
        <f t="shared" si="22"/>
        <v>0</v>
      </c>
      <c r="H234" s="187"/>
      <c r="I234" s="7"/>
      <c r="J234" s="7">
        <v>1.6500000000000001E-2</v>
      </c>
      <c r="K234" s="7">
        <v>7.5999999999999998E-2</v>
      </c>
      <c r="L234" s="7">
        <v>0</v>
      </c>
      <c r="M234" s="11">
        <f t="shared" si="2"/>
        <v>0</v>
      </c>
      <c r="N234" s="11">
        <f t="shared" si="3"/>
        <v>0</v>
      </c>
      <c r="O234" s="11">
        <f t="shared" si="4"/>
        <v>0</v>
      </c>
      <c r="P234" s="11">
        <f t="shared" si="21"/>
        <v>0</v>
      </c>
    </row>
    <row r="235" spans="1:16" ht="15" hidden="1" customHeight="1">
      <c r="A235" s="44"/>
      <c r="B235" s="5">
        <f t="shared" si="20"/>
        <v>45505</v>
      </c>
      <c r="C235" s="1" t="s">
        <v>533</v>
      </c>
      <c r="D235" s="195"/>
      <c r="E235" s="186"/>
      <c r="F235" s="2"/>
      <c r="G235" s="3">
        <f t="shared" si="22"/>
        <v>0</v>
      </c>
      <c r="H235" s="187"/>
      <c r="I235" s="7"/>
      <c r="J235" s="7">
        <v>1.6500000000000001E-2</v>
      </c>
      <c r="K235" s="7">
        <v>7.5999999999999998E-2</v>
      </c>
      <c r="L235" s="7">
        <v>0</v>
      </c>
      <c r="M235" s="11">
        <f t="shared" si="2"/>
        <v>0</v>
      </c>
      <c r="N235" s="11">
        <f t="shared" si="3"/>
        <v>0</v>
      </c>
      <c r="O235" s="11">
        <f t="shared" si="4"/>
        <v>0</v>
      </c>
      <c r="P235" s="11">
        <f t="shared" si="21"/>
        <v>0</v>
      </c>
    </row>
    <row r="236" spans="1:16" ht="15" hidden="1" customHeight="1">
      <c r="A236" s="44"/>
      <c r="B236" s="5">
        <f t="shared" si="20"/>
        <v>45505</v>
      </c>
      <c r="C236" s="1" t="s">
        <v>533</v>
      </c>
      <c r="D236" s="195"/>
      <c r="E236" s="186"/>
      <c r="F236" s="2"/>
      <c r="G236" s="3">
        <f t="shared" si="22"/>
        <v>0</v>
      </c>
      <c r="H236" s="187"/>
      <c r="I236" s="7"/>
      <c r="J236" s="7">
        <v>1.6500000000000001E-2</v>
      </c>
      <c r="K236" s="7">
        <v>7.5999999999999998E-2</v>
      </c>
      <c r="L236" s="7">
        <v>0</v>
      </c>
      <c r="M236" s="11">
        <f t="shared" si="2"/>
        <v>0</v>
      </c>
      <c r="N236" s="11">
        <f t="shared" si="3"/>
        <v>0</v>
      </c>
      <c r="O236" s="11">
        <f t="shared" si="4"/>
        <v>0</v>
      </c>
      <c r="P236" s="11">
        <f t="shared" si="21"/>
        <v>0</v>
      </c>
    </row>
    <row r="237" spans="1:16" ht="15" hidden="1" customHeight="1">
      <c r="A237" s="44"/>
      <c r="B237" s="5">
        <f t="shared" si="20"/>
        <v>45505</v>
      </c>
      <c r="C237" s="1" t="s">
        <v>533</v>
      </c>
      <c r="D237" s="195"/>
      <c r="E237" s="186"/>
      <c r="F237" s="2"/>
      <c r="G237" s="3">
        <f t="shared" si="22"/>
        <v>0</v>
      </c>
      <c r="H237" s="187"/>
      <c r="I237" s="7"/>
      <c r="J237" s="7">
        <v>1.6500000000000001E-2</v>
      </c>
      <c r="K237" s="7">
        <v>7.5999999999999998E-2</v>
      </c>
      <c r="L237" s="7">
        <v>0</v>
      </c>
      <c r="M237" s="11">
        <f t="shared" si="2"/>
        <v>0</v>
      </c>
      <c r="N237" s="11">
        <f t="shared" si="3"/>
        <v>0</v>
      </c>
      <c r="O237" s="11">
        <f t="shared" si="4"/>
        <v>0</v>
      </c>
      <c r="P237" s="11">
        <f t="shared" si="21"/>
        <v>0</v>
      </c>
    </row>
    <row r="238" spans="1:16" ht="15" hidden="1" customHeight="1">
      <c r="A238" s="44"/>
      <c r="B238" s="5">
        <f t="shared" si="20"/>
        <v>45505</v>
      </c>
      <c r="C238" s="1" t="s">
        <v>533</v>
      </c>
      <c r="D238" s="195"/>
      <c r="E238" s="186"/>
      <c r="F238" s="2"/>
      <c r="G238" s="3">
        <f t="shared" si="22"/>
        <v>0</v>
      </c>
      <c r="H238" s="187"/>
      <c r="I238" s="7"/>
      <c r="J238" s="7">
        <v>1.6500000000000001E-2</v>
      </c>
      <c r="K238" s="7">
        <v>7.5999999999999998E-2</v>
      </c>
      <c r="L238" s="7">
        <v>0</v>
      </c>
      <c r="M238" s="11">
        <f t="shared" si="2"/>
        <v>0</v>
      </c>
      <c r="N238" s="11">
        <f t="shared" si="3"/>
        <v>0</v>
      </c>
      <c r="O238" s="11">
        <f t="shared" si="4"/>
        <v>0</v>
      </c>
      <c r="P238" s="11">
        <f t="shared" si="21"/>
        <v>0</v>
      </c>
    </row>
    <row r="239" spans="1:16" ht="15" hidden="1" customHeight="1">
      <c r="A239" s="44"/>
      <c r="B239" s="5">
        <f t="shared" si="20"/>
        <v>45505</v>
      </c>
      <c r="C239" s="1" t="s">
        <v>533</v>
      </c>
      <c r="D239" s="195"/>
      <c r="E239" s="186"/>
      <c r="F239" s="2"/>
      <c r="G239" s="3">
        <f t="shared" si="22"/>
        <v>0</v>
      </c>
      <c r="H239" s="187"/>
      <c r="I239" s="7"/>
      <c r="J239" s="7">
        <v>1.6500000000000001E-2</v>
      </c>
      <c r="K239" s="7">
        <v>7.5999999999999998E-2</v>
      </c>
      <c r="L239" s="7">
        <v>0</v>
      </c>
      <c r="M239" s="11">
        <f t="shared" si="2"/>
        <v>0</v>
      </c>
      <c r="N239" s="11">
        <f t="shared" si="3"/>
        <v>0</v>
      </c>
      <c r="O239" s="11">
        <f t="shared" si="4"/>
        <v>0</v>
      </c>
      <c r="P239" s="11">
        <f t="shared" si="21"/>
        <v>0</v>
      </c>
    </row>
    <row r="240" spans="1:16" ht="15" hidden="1" customHeight="1">
      <c r="A240" s="44"/>
      <c r="B240" s="5">
        <f t="shared" si="20"/>
        <v>45505</v>
      </c>
      <c r="C240" s="1" t="s">
        <v>533</v>
      </c>
      <c r="D240" s="195"/>
      <c r="E240" s="186"/>
      <c r="F240" s="2"/>
      <c r="G240" s="3">
        <f t="shared" si="22"/>
        <v>0</v>
      </c>
      <c r="H240" s="187"/>
      <c r="I240" s="7"/>
      <c r="J240" s="7">
        <v>1.6500000000000001E-2</v>
      </c>
      <c r="K240" s="7">
        <v>7.5999999999999998E-2</v>
      </c>
      <c r="L240" s="7">
        <v>0</v>
      </c>
      <c r="M240" s="11">
        <f t="shared" si="2"/>
        <v>0</v>
      </c>
      <c r="N240" s="11">
        <f t="shared" si="3"/>
        <v>0</v>
      </c>
      <c r="O240" s="11">
        <f t="shared" si="4"/>
        <v>0</v>
      </c>
      <c r="P240" s="11">
        <f t="shared" si="21"/>
        <v>0</v>
      </c>
    </row>
    <row r="241" spans="1:16" ht="15" hidden="1" customHeight="1">
      <c r="A241" s="44"/>
      <c r="B241" s="5">
        <f t="shared" si="20"/>
        <v>45505</v>
      </c>
      <c r="C241" s="1" t="s">
        <v>533</v>
      </c>
      <c r="D241" s="195"/>
      <c r="E241" s="186"/>
      <c r="F241" s="2"/>
      <c r="G241" s="3">
        <f t="shared" si="22"/>
        <v>0</v>
      </c>
      <c r="H241" s="187"/>
      <c r="I241" s="7"/>
      <c r="J241" s="7">
        <v>1.6500000000000001E-2</v>
      </c>
      <c r="K241" s="7">
        <v>7.5999999999999998E-2</v>
      </c>
      <c r="L241" s="7">
        <v>0</v>
      </c>
      <c r="M241" s="11">
        <f t="shared" si="2"/>
        <v>0</v>
      </c>
      <c r="N241" s="11">
        <f t="shared" si="3"/>
        <v>0</v>
      </c>
      <c r="O241" s="11">
        <f t="shared" si="4"/>
        <v>0</v>
      </c>
      <c r="P241" s="11">
        <f t="shared" si="21"/>
        <v>0</v>
      </c>
    </row>
    <row r="242" spans="1:16" ht="15" hidden="1" customHeight="1">
      <c r="A242" s="44"/>
      <c r="B242" s="5">
        <f t="shared" si="20"/>
        <v>45505</v>
      </c>
      <c r="C242" s="1" t="s">
        <v>533</v>
      </c>
      <c r="D242" s="195"/>
      <c r="E242" s="186"/>
      <c r="F242" s="2"/>
      <c r="G242" s="3">
        <f t="shared" si="22"/>
        <v>0</v>
      </c>
      <c r="H242" s="187"/>
      <c r="I242" s="7"/>
      <c r="J242" s="7">
        <v>1.6500000000000001E-2</v>
      </c>
      <c r="K242" s="7">
        <v>7.5999999999999998E-2</v>
      </c>
      <c r="L242" s="7">
        <v>0</v>
      </c>
      <c r="M242" s="11">
        <f t="shared" si="2"/>
        <v>0</v>
      </c>
      <c r="N242" s="11">
        <f t="shared" si="3"/>
        <v>0</v>
      </c>
      <c r="O242" s="11">
        <f t="shared" si="4"/>
        <v>0</v>
      </c>
      <c r="P242" s="11">
        <f t="shared" si="21"/>
        <v>0</v>
      </c>
    </row>
    <row r="243" spans="1:16" ht="15" hidden="1" customHeight="1">
      <c r="A243" s="44"/>
      <c r="B243" s="5">
        <f t="shared" ref="B243:B249" si="23">B242</f>
        <v>45505</v>
      </c>
      <c r="C243" s="1" t="s">
        <v>533</v>
      </c>
      <c r="D243" s="195"/>
      <c r="E243" s="186"/>
      <c r="F243" s="2"/>
      <c r="G243" s="3">
        <f t="shared" si="22"/>
        <v>0</v>
      </c>
      <c r="H243" s="187"/>
      <c r="I243" s="7"/>
      <c r="J243" s="7">
        <v>1.6500000000000001E-2</v>
      </c>
      <c r="K243" s="7">
        <v>7.5999999999999998E-2</v>
      </c>
      <c r="L243" s="7">
        <v>0</v>
      </c>
      <c r="M243" s="11">
        <f t="shared" si="2"/>
        <v>0</v>
      </c>
      <c r="N243" s="11">
        <f t="shared" si="3"/>
        <v>0</v>
      </c>
      <c r="O243" s="11">
        <f t="shared" si="4"/>
        <v>0</v>
      </c>
      <c r="P243" s="11">
        <f t="shared" si="21"/>
        <v>0</v>
      </c>
    </row>
    <row r="244" spans="1:16" ht="15" hidden="1" customHeight="1">
      <c r="A244" s="44"/>
      <c r="B244" s="5">
        <f t="shared" si="23"/>
        <v>45505</v>
      </c>
      <c r="C244" s="1" t="s">
        <v>533</v>
      </c>
      <c r="D244" s="195"/>
      <c r="E244" s="186"/>
      <c r="F244" s="2"/>
      <c r="G244" s="3">
        <f t="shared" si="22"/>
        <v>0</v>
      </c>
      <c r="H244" s="187"/>
      <c r="I244" s="7"/>
      <c r="J244" s="7">
        <v>1.6500000000000001E-2</v>
      </c>
      <c r="K244" s="7">
        <v>7.5999999999999998E-2</v>
      </c>
      <c r="L244" s="7">
        <v>0</v>
      </c>
      <c r="M244" s="11">
        <f t="shared" si="2"/>
        <v>0</v>
      </c>
      <c r="N244" s="11">
        <f t="shared" si="3"/>
        <v>0</v>
      </c>
      <c r="O244" s="11">
        <f t="shared" si="4"/>
        <v>0</v>
      </c>
      <c r="P244" s="11">
        <f t="shared" si="21"/>
        <v>0</v>
      </c>
    </row>
    <row r="245" spans="1:16" ht="15" hidden="1" customHeight="1">
      <c r="A245" s="44"/>
      <c r="B245" s="5">
        <f t="shared" si="23"/>
        <v>45505</v>
      </c>
      <c r="C245" s="1" t="s">
        <v>533</v>
      </c>
      <c r="D245" s="195"/>
      <c r="E245" s="186"/>
      <c r="F245" s="2"/>
      <c r="G245" s="3">
        <f t="shared" si="22"/>
        <v>0</v>
      </c>
      <c r="H245" s="187"/>
      <c r="I245" s="7"/>
      <c r="J245" s="7">
        <v>1.6500000000000001E-2</v>
      </c>
      <c r="K245" s="7">
        <v>7.5999999999999998E-2</v>
      </c>
      <c r="L245" s="7">
        <v>0</v>
      </c>
      <c r="M245" s="11">
        <f t="shared" si="2"/>
        <v>0</v>
      </c>
      <c r="N245" s="11">
        <f t="shared" si="3"/>
        <v>0</v>
      </c>
      <c r="O245" s="11">
        <f t="shared" si="4"/>
        <v>0</v>
      </c>
      <c r="P245" s="11">
        <f t="shared" si="21"/>
        <v>0</v>
      </c>
    </row>
    <row r="246" spans="1:16" ht="15" hidden="1" customHeight="1">
      <c r="A246" s="44"/>
      <c r="B246" s="5">
        <f t="shared" si="23"/>
        <v>45505</v>
      </c>
      <c r="C246" s="1" t="s">
        <v>533</v>
      </c>
      <c r="D246" s="195"/>
      <c r="E246" s="186"/>
      <c r="F246" s="2"/>
      <c r="G246" s="3">
        <f t="shared" si="22"/>
        <v>0</v>
      </c>
      <c r="H246" s="187"/>
      <c r="I246" s="7"/>
      <c r="J246" s="7">
        <v>1.6500000000000001E-2</v>
      </c>
      <c r="K246" s="7">
        <v>7.5999999999999998E-2</v>
      </c>
      <c r="L246" s="7">
        <v>0</v>
      </c>
      <c r="M246" s="11">
        <f t="shared" si="2"/>
        <v>0</v>
      </c>
      <c r="N246" s="11">
        <f t="shared" si="3"/>
        <v>0</v>
      </c>
      <c r="O246" s="11">
        <f t="shared" si="4"/>
        <v>0</v>
      </c>
      <c r="P246" s="11">
        <f t="shared" si="21"/>
        <v>0</v>
      </c>
    </row>
    <row r="247" spans="1:16" ht="15" hidden="1" customHeight="1">
      <c r="A247" s="44"/>
      <c r="B247" s="5">
        <f t="shared" si="23"/>
        <v>45505</v>
      </c>
      <c r="C247" s="1" t="s">
        <v>533</v>
      </c>
      <c r="D247" s="195"/>
      <c r="E247" s="186"/>
      <c r="F247" s="2"/>
      <c r="G247" s="3">
        <f t="shared" si="17"/>
        <v>0</v>
      </c>
      <c r="H247" s="187"/>
      <c r="I247" s="7"/>
      <c r="J247" s="7">
        <v>1.6500000000000001E-2</v>
      </c>
      <c r="K247" s="7">
        <v>7.5999999999999998E-2</v>
      </c>
      <c r="L247" s="7">
        <v>0</v>
      </c>
      <c r="M247" s="11">
        <f t="shared" si="2"/>
        <v>0</v>
      </c>
      <c r="N247" s="11">
        <f t="shared" si="3"/>
        <v>0</v>
      </c>
      <c r="O247" s="11">
        <f t="shared" si="4"/>
        <v>0</v>
      </c>
      <c r="P247" s="11">
        <f t="shared" si="21"/>
        <v>0</v>
      </c>
    </row>
    <row r="248" spans="1:16" ht="15" hidden="1" customHeight="1">
      <c r="A248" s="44"/>
      <c r="B248" s="5">
        <f t="shared" si="23"/>
        <v>45505</v>
      </c>
      <c r="C248" s="1" t="s">
        <v>533</v>
      </c>
      <c r="D248" s="195"/>
      <c r="E248" s="186"/>
      <c r="F248" s="2"/>
      <c r="G248" s="3">
        <f t="shared" si="17"/>
        <v>0</v>
      </c>
      <c r="H248" s="187"/>
      <c r="I248" s="7"/>
      <c r="J248" s="7">
        <v>1.6500000000000001E-2</v>
      </c>
      <c r="K248" s="7">
        <v>7.5999999999999998E-2</v>
      </c>
      <c r="L248" s="7">
        <v>0</v>
      </c>
      <c r="M248" s="11">
        <f t="shared" si="2"/>
        <v>0</v>
      </c>
      <c r="N248" s="11">
        <f t="shared" si="3"/>
        <v>0</v>
      </c>
      <c r="O248" s="11">
        <f t="shared" si="4"/>
        <v>0</v>
      </c>
      <c r="P248" s="11">
        <f t="shared" si="21"/>
        <v>0</v>
      </c>
    </row>
    <row r="249" spans="1:16" hidden="1">
      <c r="A249" s="44"/>
      <c r="B249" s="5">
        <f t="shared" si="23"/>
        <v>45505</v>
      </c>
      <c r="C249" s="1" t="s">
        <v>533</v>
      </c>
      <c r="D249" s="195"/>
      <c r="E249" s="186"/>
      <c r="F249" s="2"/>
      <c r="G249" s="3">
        <f t="shared" si="17"/>
        <v>0</v>
      </c>
      <c r="H249" s="187"/>
      <c r="I249" s="7"/>
      <c r="J249" s="7">
        <v>1.6500000000000001E-2</v>
      </c>
      <c r="K249" s="7">
        <v>7.5999999999999998E-2</v>
      </c>
      <c r="L249" s="7">
        <v>0</v>
      </c>
      <c r="M249" s="11">
        <f t="shared" si="2"/>
        <v>0</v>
      </c>
      <c r="N249" s="11">
        <f t="shared" si="3"/>
        <v>0</v>
      </c>
      <c r="O249" s="11">
        <f t="shared" si="4"/>
        <v>0</v>
      </c>
      <c r="P249" s="11">
        <f t="shared" si="21"/>
        <v>0</v>
      </c>
    </row>
    <row r="250" spans="1:16">
      <c r="B250" s="5"/>
      <c r="C250" s="1"/>
      <c r="E250" s="1"/>
      <c r="F250" s="2"/>
      <c r="G250" s="4"/>
      <c r="H250" s="4"/>
      <c r="I250" s="7"/>
      <c r="J250" s="7"/>
      <c r="K250" s="7"/>
      <c r="L250" s="7"/>
    </row>
    <row r="251" spans="1:16">
      <c r="E251" s="28">
        <f>SUM(E19:E250)</f>
        <v>48914192.417800017</v>
      </c>
      <c r="F251" s="133"/>
      <c r="G251" s="29">
        <f>SUM(G19:G250)</f>
        <v>119338975.76681863</v>
      </c>
    </row>
    <row r="252" spans="1:16">
      <c r="E252" s="137"/>
      <c r="F252" s="41"/>
    </row>
    <row r="253" spans="1:16" ht="15.75" thickBot="1"/>
    <row r="254" spans="1:16">
      <c r="B254" s="391" t="s">
        <v>586</v>
      </c>
      <c r="C254" s="383"/>
      <c r="D254" s="383"/>
      <c r="E254" s="383"/>
      <c r="F254" s="383"/>
      <c r="G254" s="383"/>
      <c r="H254" s="383"/>
      <c r="I254" s="383"/>
      <c r="J254" s="383"/>
      <c r="K254" s="383"/>
      <c r="L254" s="383"/>
      <c r="M254" s="383"/>
      <c r="N254" s="383"/>
      <c r="O254" s="384"/>
    </row>
    <row r="255" spans="1:16">
      <c r="B255" s="385"/>
      <c r="C255" s="386"/>
      <c r="D255" s="386"/>
      <c r="E255" s="386"/>
      <c r="F255" s="386"/>
      <c r="G255" s="386"/>
      <c r="H255" s="386"/>
      <c r="I255" s="386"/>
      <c r="J255" s="386"/>
      <c r="K255" s="386"/>
      <c r="L255" s="386"/>
      <c r="M255" s="386"/>
      <c r="N255" s="386"/>
      <c r="O255" s="387"/>
    </row>
    <row r="256" spans="1:16">
      <c r="B256" s="385"/>
      <c r="C256" s="386"/>
      <c r="D256" s="386"/>
      <c r="E256" s="386"/>
      <c r="F256" s="386"/>
      <c r="G256" s="386"/>
      <c r="H256" s="386"/>
      <c r="I256" s="386"/>
      <c r="J256" s="386"/>
      <c r="K256" s="386"/>
      <c r="L256" s="386"/>
      <c r="M256" s="386"/>
      <c r="N256" s="386"/>
      <c r="O256" s="387"/>
    </row>
    <row r="257" spans="2:15">
      <c r="B257" s="385"/>
      <c r="C257" s="386"/>
      <c r="D257" s="386"/>
      <c r="E257" s="386"/>
      <c r="F257" s="386"/>
      <c r="G257" s="386"/>
      <c r="H257" s="386"/>
      <c r="I257" s="386"/>
      <c r="J257" s="386"/>
      <c r="K257" s="386"/>
      <c r="L257" s="386"/>
      <c r="M257" s="386"/>
      <c r="N257" s="386"/>
      <c r="O257" s="387"/>
    </row>
    <row r="258" spans="2:15" ht="27" customHeight="1">
      <c r="B258" s="385"/>
      <c r="C258" s="386"/>
      <c r="D258" s="386"/>
      <c r="E258" s="386"/>
      <c r="F258" s="386"/>
      <c r="G258" s="386"/>
      <c r="H258" s="386"/>
      <c r="I258" s="386"/>
      <c r="J258" s="386"/>
      <c r="K258" s="386"/>
      <c r="L258" s="386"/>
      <c r="M258" s="386"/>
      <c r="N258" s="386"/>
      <c r="O258" s="387"/>
    </row>
    <row r="259" spans="2:15" ht="44.25" customHeight="1" thickBot="1">
      <c r="B259" s="388"/>
      <c r="C259" s="389"/>
      <c r="D259" s="389"/>
      <c r="E259" s="389"/>
      <c r="F259" s="389"/>
      <c r="G259" s="389"/>
      <c r="H259" s="389"/>
      <c r="I259" s="389"/>
      <c r="J259" s="389"/>
      <c r="K259" s="389"/>
      <c r="L259" s="389"/>
      <c r="M259" s="389"/>
      <c r="N259" s="389"/>
      <c r="O259" s="390"/>
    </row>
  </sheetData>
  <mergeCells count="3">
    <mergeCell ref="C2:M2"/>
    <mergeCell ref="M17:P17"/>
    <mergeCell ref="B254:O259"/>
  </mergeCells>
  <conditionalFormatting sqref="D1:D1048576">
    <cfRule type="duplicateValues" dxfId="101" priority="1"/>
    <cfRule type="duplicateValues" dxfId="100" priority="2"/>
  </conditionalFormatting>
  <conditionalFormatting sqref="D7 D10">
    <cfRule type="duplicateValues" dxfId="99" priority="3"/>
  </conditionalFormatting>
  <conditionalFormatting sqref="D19:D112">
    <cfRule type="duplicateValues" dxfId="98" priority="5"/>
  </conditionalFormatting>
  <conditionalFormatting sqref="D253:D1048576 D1:D251">
    <cfRule type="duplicateValues" dxfId="97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C23A-E820-43E7-B863-821CA738700E}">
  <sheetPr>
    <pageSetUpPr fitToPage="1"/>
  </sheetPr>
  <dimension ref="A2:P259"/>
  <sheetViews>
    <sheetView showGridLines="0" topLeftCell="C8" zoomScale="90" zoomScaleNormal="9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6.425781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3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3" ht="23.25">
      <c r="C3" s="13">
        <v>45536</v>
      </c>
    </row>
    <row r="5" spans="3:13">
      <c r="C5" t="s">
        <v>17</v>
      </c>
      <c r="D5" s="14">
        <f t="shared" ref="D5:D11" ca="1" si="0">SUMIF($C$19:$G$249,$C$5:$C$11,$G$19:$G$249)/SUMIF($C$19:$G$249,$C$5:$C$11,$E$19:$E$249)</f>
        <v>2.399705180554434</v>
      </c>
    </row>
    <row r="6" spans="3:13">
      <c r="C6" t="s">
        <v>440</v>
      </c>
      <c r="D6" s="14">
        <f t="shared" ca="1" si="0"/>
        <v>2.1827484289285715</v>
      </c>
    </row>
    <row r="7" spans="3:13">
      <c r="C7" t="s">
        <v>491</v>
      </c>
      <c r="D7" s="14">
        <f t="shared" ca="1" si="0"/>
        <v>2.1782613599999996</v>
      </c>
    </row>
    <row r="8" spans="3:13">
      <c r="C8" t="s">
        <v>756</v>
      </c>
      <c r="D8" s="14">
        <f t="shared" ca="1" si="0"/>
        <v>3.4937999919880611</v>
      </c>
      <c r="I8" s="19"/>
    </row>
    <row r="9" spans="3:13">
      <c r="C9" t="s">
        <v>757</v>
      </c>
      <c r="D9" s="14">
        <f t="shared" ca="1" si="0"/>
        <v>3.8868000926664581</v>
      </c>
      <c r="E9" s="14"/>
      <c r="F9" s="32"/>
      <c r="H9" s="137"/>
      <c r="I9" s="19"/>
    </row>
    <row r="10" spans="3:13">
      <c r="C10" t="s">
        <v>534</v>
      </c>
      <c r="D10" s="14">
        <f t="shared" ca="1" si="0"/>
        <v>6.4458596016959353</v>
      </c>
    </row>
    <row r="11" spans="3:13">
      <c r="C11" t="s">
        <v>533</v>
      </c>
      <c r="D11" s="14" t="e">
        <f t="shared" ca="1" si="0"/>
        <v>#DIV/0!</v>
      </c>
    </row>
    <row r="12" spans="3:13">
      <c r="C12" s="30" t="s">
        <v>129</v>
      </c>
      <c r="D12" s="31">
        <f>+G251/E251</f>
        <v>2.4234657558260899</v>
      </c>
    </row>
    <row r="13" spans="3:13">
      <c r="D13" s="19"/>
    </row>
    <row r="14" spans="3:13">
      <c r="D14" s="22"/>
    </row>
    <row r="16" spans="3:13">
      <c r="E16" s="137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 ht="18.75" customHeight="1">
      <c r="A19" s="44"/>
      <c r="B19" s="5">
        <f>C3</f>
        <v>45536</v>
      </c>
      <c r="C19" s="1" t="s">
        <v>17</v>
      </c>
      <c r="D19" s="194" t="s">
        <v>761</v>
      </c>
      <c r="E19" s="1">
        <v>25177341</v>
      </c>
      <c r="F19" s="2">
        <v>77335358.719999999</v>
      </c>
      <c r="G19" s="3">
        <f t="shared" ref="G19:G37" si="1">F19-SUM(M19:P19)</f>
        <v>61760017.473792002</v>
      </c>
      <c r="H19" s="202">
        <f>+IF(G19=0,0,G19/E19)</f>
        <v>2.4530000000314569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ref="M19:M249" si="2">+I19*F19</f>
        <v>9280243.0463999994</v>
      </c>
      <c r="N19" s="11">
        <f t="shared" ref="N19:N249" si="3">J19*(F19-M19)</f>
        <v>1122909.4086144001</v>
      </c>
      <c r="O19" s="11">
        <f t="shared" ref="O19:O249" si="4">K19*(F19-M19)</f>
        <v>5172188.7911935998</v>
      </c>
      <c r="P19" s="11">
        <f t="shared" ref="P19:P205" si="5">L19*(F19)</f>
        <v>0</v>
      </c>
    </row>
    <row r="20" spans="1:16">
      <c r="A20" s="44"/>
      <c r="B20" s="5">
        <f>B19</f>
        <v>45536</v>
      </c>
      <c r="C20" s="1" t="s">
        <v>17</v>
      </c>
      <c r="D20" s="194" t="s">
        <v>762</v>
      </c>
      <c r="E20" s="1">
        <v>36917</v>
      </c>
      <c r="F20" s="2">
        <v>113395.19</v>
      </c>
      <c r="G20" s="3">
        <f t="shared" si="1"/>
        <v>90557.398734000002</v>
      </c>
      <c r="H20" s="202">
        <f t="shared" ref="H20:H37" si="6">+IF(G20=0,0,G20/E20)</f>
        <v>2.4529999386190644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13607.4228</v>
      </c>
      <c r="N20" s="11">
        <f t="shared" si="3"/>
        <v>1646.4981588000001</v>
      </c>
      <c r="O20" s="11">
        <f t="shared" si="4"/>
        <v>7583.8703071999998</v>
      </c>
      <c r="P20" s="11">
        <f t="shared" si="5"/>
        <v>0</v>
      </c>
    </row>
    <row r="21" spans="1:16">
      <c r="A21" s="44"/>
      <c r="B21" s="5">
        <f t="shared" ref="B21:B84" si="7">B20</f>
        <v>45536</v>
      </c>
      <c r="C21" s="1" t="s">
        <v>17</v>
      </c>
      <c r="D21" s="194" t="s">
        <v>763</v>
      </c>
      <c r="E21" s="1">
        <v>14016325</v>
      </c>
      <c r="F21" s="2">
        <v>40441292.350000001</v>
      </c>
      <c r="G21" s="3">
        <f t="shared" si="1"/>
        <v>32296416.070710003</v>
      </c>
      <c r="H21" s="202">
        <f>+IF(G21=0,0,G21/E21)</f>
        <v>2.3042000004073824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4852955.0820000004</v>
      </c>
      <c r="N21" s="11">
        <f t="shared" si="3"/>
        <v>587207.56492200005</v>
      </c>
      <c r="O21" s="11">
        <f t="shared" si="4"/>
        <v>2704713.6323679998</v>
      </c>
      <c r="P21" s="11">
        <f t="shared" si="5"/>
        <v>0</v>
      </c>
    </row>
    <row r="22" spans="1:16">
      <c r="A22" s="44"/>
      <c r="B22" s="5">
        <f t="shared" si="7"/>
        <v>45536</v>
      </c>
      <c r="C22" s="1" t="s">
        <v>17</v>
      </c>
      <c r="D22" s="214" t="s">
        <v>764</v>
      </c>
      <c r="E22" s="1">
        <v>171503</v>
      </c>
      <c r="F22" s="2">
        <v>494837.48</v>
      </c>
      <c r="G22" s="3">
        <f t="shared" si="1"/>
        <v>395177.21152799996</v>
      </c>
      <c r="H22" s="202">
        <f>+IF(G22=0,0,G22/E22)</f>
        <v>2.3041999937493802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59380.497599999995</v>
      </c>
      <c r="N22" s="11">
        <f t="shared" si="3"/>
        <v>7185.0402095999998</v>
      </c>
      <c r="O22" s="11">
        <f t="shared" si="4"/>
        <v>33094.730662399998</v>
      </c>
      <c r="P22" s="11">
        <f t="shared" si="5"/>
        <v>0</v>
      </c>
    </row>
    <row r="23" spans="1:16">
      <c r="A23" s="44"/>
      <c r="B23" s="5">
        <f t="shared" si="7"/>
        <v>45536</v>
      </c>
      <c r="C23" s="1" t="s">
        <v>17</v>
      </c>
      <c r="D23" s="195" t="s">
        <v>765</v>
      </c>
      <c r="E23" s="1">
        <v>255742</v>
      </c>
      <c r="F23" s="2">
        <v>785543.61</v>
      </c>
      <c r="G23" s="3">
        <f t="shared" si="1"/>
        <v>627335.12694600003</v>
      </c>
      <c r="H23" s="202">
        <f t="shared" si="6"/>
        <v>2.4530000036990405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94265.233199999988</v>
      </c>
      <c r="N23" s="11">
        <f t="shared" si="3"/>
        <v>11406.093217199999</v>
      </c>
      <c r="O23" s="11">
        <f t="shared" si="4"/>
        <v>52537.156636799999</v>
      </c>
      <c r="P23" s="11">
        <f t="shared" si="5"/>
        <v>0</v>
      </c>
    </row>
    <row r="24" spans="1:16">
      <c r="A24" s="44"/>
      <c r="B24" s="5">
        <f t="shared" si="7"/>
        <v>45536</v>
      </c>
      <c r="C24" s="1" t="s">
        <v>17</v>
      </c>
      <c r="D24" s="194" t="s">
        <v>766</v>
      </c>
      <c r="E24" s="1">
        <v>25213</v>
      </c>
      <c r="F24" s="2">
        <v>72747.039999999994</v>
      </c>
      <c r="G24" s="3">
        <f t="shared" si="1"/>
        <v>58095.786143999998</v>
      </c>
      <c r="H24" s="202">
        <f t="shared" si="6"/>
        <v>2.304199664617459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8729.6447999999982</v>
      </c>
      <c r="N24" s="11">
        <f t="shared" si="3"/>
        <v>1056.2870207999999</v>
      </c>
      <c r="O24" s="11">
        <f t="shared" si="4"/>
        <v>4865.3220351999998</v>
      </c>
      <c r="P24" s="11">
        <f t="shared" si="5"/>
        <v>0</v>
      </c>
    </row>
    <row r="25" spans="1:16" hidden="1">
      <c r="A25" s="44"/>
      <c r="B25" s="5">
        <f t="shared" si="7"/>
        <v>45536</v>
      </c>
      <c r="C25" s="1" t="s">
        <v>17</v>
      </c>
      <c r="D25" s="194"/>
      <c r="E25" s="1"/>
      <c r="F25" s="2"/>
      <c r="G25" s="3">
        <f t="shared" si="1"/>
        <v>0</v>
      </c>
      <c r="H25" s="202">
        <f t="shared" si="6"/>
        <v>0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0</v>
      </c>
      <c r="N25" s="11">
        <f t="shared" si="3"/>
        <v>0</v>
      </c>
      <c r="O25" s="11">
        <f t="shared" si="4"/>
        <v>0</v>
      </c>
      <c r="P25" s="11">
        <f t="shared" si="5"/>
        <v>0</v>
      </c>
    </row>
    <row r="26" spans="1:16" hidden="1">
      <c r="A26" s="44"/>
      <c r="B26" s="5">
        <f t="shared" si="7"/>
        <v>45536</v>
      </c>
      <c r="C26" s="1" t="s">
        <v>17</v>
      </c>
      <c r="D26" s="194"/>
      <c r="E26" s="1"/>
      <c r="F26" s="2"/>
      <c r="G26" s="3">
        <f t="shared" si="1"/>
        <v>0</v>
      </c>
      <c r="H26" s="202">
        <f t="shared" si="6"/>
        <v>0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0</v>
      </c>
      <c r="N26" s="11">
        <f t="shared" si="3"/>
        <v>0</v>
      </c>
      <c r="O26" s="11">
        <f t="shared" si="4"/>
        <v>0</v>
      </c>
      <c r="P26" s="11">
        <f t="shared" si="5"/>
        <v>0</v>
      </c>
    </row>
    <row r="27" spans="1:16" hidden="1">
      <c r="A27" s="44"/>
      <c r="B27" s="5">
        <f t="shared" si="7"/>
        <v>45536</v>
      </c>
      <c r="C27" s="1" t="s">
        <v>17</v>
      </c>
      <c r="D27" s="194"/>
      <c r="E27" s="1"/>
      <c r="F27" s="2"/>
      <c r="G27" s="3">
        <f t="shared" si="1"/>
        <v>0</v>
      </c>
      <c r="H27" s="202">
        <f t="shared" si="6"/>
        <v>0</v>
      </c>
      <c r="I27" s="200">
        <v>0.12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0</v>
      </c>
      <c r="N27" s="11">
        <f t="shared" si="3"/>
        <v>0</v>
      </c>
      <c r="O27" s="11">
        <f t="shared" si="4"/>
        <v>0</v>
      </c>
      <c r="P27" s="11">
        <f t="shared" si="5"/>
        <v>0</v>
      </c>
    </row>
    <row r="28" spans="1:16" hidden="1">
      <c r="A28" s="44"/>
      <c r="B28" s="5">
        <f t="shared" si="7"/>
        <v>45536</v>
      </c>
      <c r="C28" s="1" t="s">
        <v>17</v>
      </c>
      <c r="D28" s="194"/>
      <c r="E28" s="1"/>
      <c r="F28" s="2"/>
      <c r="G28" s="3">
        <f t="shared" si="1"/>
        <v>0</v>
      </c>
      <c r="H28" s="202">
        <f t="shared" si="6"/>
        <v>0</v>
      </c>
      <c r="I28" s="200"/>
      <c r="J28" s="7">
        <v>1.6500000000000001E-2</v>
      </c>
      <c r="K28" s="7">
        <v>7.5999999999999998E-2</v>
      </c>
      <c r="L28" s="7">
        <v>0</v>
      </c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spans="1:16" hidden="1">
      <c r="A29" s="44"/>
      <c r="B29" s="5">
        <f t="shared" si="7"/>
        <v>45536</v>
      </c>
      <c r="C29" s="1" t="s">
        <v>17</v>
      </c>
      <c r="D29" s="194"/>
      <c r="E29" s="1"/>
      <c r="F29" s="2"/>
      <c r="G29" s="3">
        <f t="shared" si="1"/>
        <v>0</v>
      </c>
      <c r="H29" s="202">
        <f>+IF(G29=0,0,G29/E29)</f>
        <v>0</v>
      </c>
      <c r="I29" s="200"/>
      <c r="J29" s="7">
        <v>1.6500000000000001E-2</v>
      </c>
      <c r="K29" s="7">
        <v>7.5999999999999998E-2</v>
      </c>
      <c r="L29" s="7">
        <v>0</v>
      </c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spans="1:16" hidden="1">
      <c r="A30" s="44"/>
      <c r="B30" s="5">
        <f t="shared" si="7"/>
        <v>45536</v>
      </c>
      <c r="C30" s="1" t="s">
        <v>17</v>
      </c>
      <c r="D30" s="194"/>
      <c r="E30" s="1"/>
      <c r="F30" s="2"/>
      <c r="G30" s="3">
        <f t="shared" si="1"/>
        <v>0</v>
      </c>
      <c r="H30" s="202">
        <f>+IF(G30=0,0,G30/E30)</f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45536</v>
      </c>
      <c r="C31" s="1" t="s">
        <v>17</v>
      </c>
      <c r="D31" s="194"/>
      <c r="E31" s="1"/>
      <c r="F31" s="2"/>
      <c r="G31" s="3">
        <f t="shared" si="1"/>
        <v>0</v>
      </c>
      <c r="H31" s="202">
        <f t="shared" si="6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45536</v>
      </c>
      <c r="C32" s="1" t="s">
        <v>17</v>
      </c>
      <c r="D32" s="194"/>
      <c r="E32" s="1"/>
      <c r="F32" s="2"/>
      <c r="G32" s="3">
        <f t="shared" si="1"/>
        <v>0</v>
      </c>
      <c r="H32" s="202">
        <f t="shared" si="6"/>
        <v>0</v>
      </c>
      <c r="I32" s="200">
        <v>0.12</v>
      </c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>
      <c r="A33" s="44"/>
      <c r="B33" s="5">
        <f t="shared" si="7"/>
        <v>45536</v>
      </c>
      <c r="C33" s="1" t="s">
        <v>440</v>
      </c>
      <c r="D33" s="194" t="s">
        <v>759</v>
      </c>
      <c r="E33" s="1">
        <v>350000</v>
      </c>
      <c r="F33" s="2">
        <v>905195</v>
      </c>
      <c r="G33" s="3">
        <f t="shared" si="1"/>
        <v>763961.95012499997</v>
      </c>
      <c r="H33" s="202">
        <f t="shared" si="6"/>
        <v>2.1827484289285715</v>
      </c>
      <c r="I33" s="200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63363.650000000009</v>
      </c>
      <c r="N33" s="11">
        <f t="shared" si="3"/>
        <v>13890.217275000001</v>
      </c>
      <c r="O33" s="11">
        <f t="shared" si="4"/>
        <v>63979.1826</v>
      </c>
      <c r="P33" s="11">
        <f t="shared" si="5"/>
        <v>0</v>
      </c>
    </row>
    <row r="34" spans="1:16">
      <c r="A34" s="44"/>
      <c r="B34" s="5">
        <f t="shared" si="7"/>
        <v>45536</v>
      </c>
      <c r="C34" s="1" t="s">
        <v>491</v>
      </c>
      <c r="D34" s="194" t="s">
        <v>760</v>
      </c>
      <c r="E34" s="185">
        <v>3670000</v>
      </c>
      <c r="F34" s="213">
        <v>10010292</v>
      </c>
      <c r="G34" s="3">
        <f t="shared" si="1"/>
        <v>7994219.1911999993</v>
      </c>
      <c r="H34" s="202">
        <f t="shared" si="6"/>
        <v>2.1782613599999996</v>
      </c>
      <c r="I34" s="200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1201235.04</v>
      </c>
      <c r="N34" s="11">
        <f t="shared" si="3"/>
        <v>145349.43984000004</v>
      </c>
      <c r="O34" s="11">
        <f t="shared" si="4"/>
        <v>669488.32896000007</v>
      </c>
      <c r="P34" s="11">
        <f t="shared" si="5"/>
        <v>0</v>
      </c>
    </row>
    <row r="35" spans="1:16" hidden="1">
      <c r="A35" s="44"/>
      <c r="B35" s="5">
        <f t="shared" ref="B35:B36" si="8">B32</f>
        <v>45536</v>
      </c>
      <c r="C35" s="1" t="s">
        <v>491</v>
      </c>
      <c r="D35" s="194"/>
      <c r="E35" s="1"/>
      <c r="F35" s="2"/>
      <c r="G35" s="3">
        <f t="shared" ref="G35:G36" si="9">F35-SUM(M35:P35)</f>
        <v>0</v>
      </c>
      <c r="H35" s="202">
        <f t="shared" si="6"/>
        <v>0</v>
      </c>
      <c r="I35" s="200">
        <v>0.12</v>
      </c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 hidden="1">
      <c r="A36" s="44"/>
      <c r="B36" s="5">
        <f t="shared" si="8"/>
        <v>45536</v>
      </c>
      <c r="C36" s="1" t="s">
        <v>491</v>
      </c>
      <c r="D36" s="195"/>
      <c r="E36" s="118"/>
      <c r="F36" s="2"/>
      <c r="G36" s="3">
        <f t="shared" si="9"/>
        <v>0</v>
      </c>
      <c r="H36" s="202">
        <f t="shared" si="6"/>
        <v>0</v>
      </c>
      <c r="I36" s="200">
        <v>0.12</v>
      </c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>
      <c r="A37" s="44"/>
      <c r="B37" s="5">
        <f>B34</f>
        <v>45536</v>
      </c>
      <c r="C37" s="1" t="s">
        <v>756</v>
      </c>
      <c r="D37" s="212" t="s">
        <v>758</v>
      </c>
      <c r="E37" s="118">
        <v>684946.55</v>
      </c>
      <c r="F37" s="2">
        <v>3316965.54</v>
      </c>
      <c r="G37" s="3">
        <f t="shared" si="1"/>
        <v>2393066.2509022504</v>
      </c>
      <c r="H37" s="202">
        <f t="shared" si="6"/>
        <v>3.4937999919880611</v>
      </c>
      <c r="I37" s="200">
        <v>0.20499999999999999</v>
      </c>
      <c r="J37" s="200">
        <v>1.6500000000000001E-2</v>
      </c>
      <c r="K37" s="200">
        <v>7.5999999999999998E-2</v>
      </c>
      <c r="L37" s="200">
        <v>0</v>
      </c>
      <c r="M37" s="11">
        <f t="shared" si="2"/>
        <v>679977.93569999991</v>
      </c>
      <c r="N37" s="11">
        <f t="shared" si="3"/>
        <v>43510.295470950005</v>
      </c>
      <c r="O37" s="11">
        <f t="shared" si="4"/>
        <v>200411.05792680001</v>
      </c>
      <c r="P37" s="11">
        <f t="shared" si="5"/>
        <v>0</v>
      </c>
    </row>
    <row r="38" spans="1:16">
      <c r="A38" s="44"/>
      <c r="B38" s="5">
        <f t="shared" si="7"/>
        <v>45536</v>
      </c>
      <c r="C38" s="1" t="s">
        <v>757</v>
      </c>
      <c r="D38" s="195" t="s">
        <v>758</v>
      </c>
      <c r="E38" s="118">
        <v>87972.77</v>
      </c>
      <c r="F38" s="2">
        <v>473943.65</v>
      </c>
      <c r="G38" s="3">
        <f t="shared" ref="G38:G43" si="10">F38-SUM(M38:P38)</f>
        <v>341932.57058812503</v>
      </c>
      <c r="H38" s="202">
        <f t="shared" ref="H38:H101" si="11">+IF(G38=0,0,G38/E38)</f>
        <v>3.8868000926664581</v>
      </c>
      <c r="I38" s="200">
        <v>0.20499999999999999</v>
      </c>
      <c r="J38" s="200">
        <v>1.6500000000000001E-2</v>
      </c>
      <c r="K38" s="200">
        <v>7.5999999999999998E-2</v>
      </c>
      <c r="L38" s="200">
        <v>0</v>
      </c>
      <c r="M38" s="11">
        <f t="shared" si="2"/>
        <v>97158.448250000001</v>
      </c>
      <c r="N38" s="11">
        <f t="shared" si="3"/>
        <v>6216.9558288750004</v>
      </c>
      <c r="O38" s="11">
        <f t="shared" si="4"/>
        <v>28635.675332999999</v>
      </c>
      <c r="P38" s="11">
        <f t="shared" si="5"/>
        <v>0</v>
      </c>
    </row>
    <row r="39" spans="1:16">
      <c r="A39" s="44"/>
      <c r="B39" s="5">
        <f t="shared" si="7"/>
        <v>45536</v>
      </c>
      <c r="C39" s="1" t="s">
        <v>534</v>
      </c>
      <c r="D39" s="195" t="s">
        <v>768</v>
      </c>
      <c r="E39" s="118">
        <v>6084.8990000000003</v>
      </c>
      <c r="F39" s="2">
        <v>46473.42</v>
      </c>
      <c r="G39" s="3">
        <f t="shared" si="10"/>
        <v>39222.404644499999</v>
      </c>
      <c r="H39" s="202">
        <f t="shared" si="11"/>
        <v>6.4458596016959353</v>
      </c>
      <c r="I39" s="200">
        <v>7.0000000000000007E-2</v>
      </c>
      <c r="J39" s="200">
        <v>1.6500000000000001E-2</v>
      </c>
      <c r="K39" s="200">
        <v>7.5999999999999998E-2</v>
      </c>
      <c r="L39" s="200">
        <v>0</v>
      </c>
      <c r="M39" s="11">
        <f t="shared" si="2"/>
        <v>3253.1394</v>
      </c>
      <c r="N39" s="11">
        <f t="shared" si="3"/>
        <v>713.13462990000005</v>
      </c>
      <c r="O39" s="11">
        <f t="shared" si="4"/>
        <v>3284.7413256</v>
      </c>
      <c r="P39" s="11">
        <f t="shared" si="5"/>
        <v>0</v>
      </c>
    </row>
    <row r="40" spans="1:16" hidden="1">
      <c r="A40" s="44"/>
      <c r="B40" s="5">
        <f t="shared" si="7"/>
        <v>45536</v>
      </c>
      <c r="C40" s="1" t="s">
        <v>534</v>
      </c>
      <c r="D40" s="195"/>
      <c r="E40" s="118"/>
      <c r="F40" s="2"/>
      <c r="G40" s="3">
        <f t="shared" si="10"/>
        <v>0</v>
      </c>
      <c r="H40" s="202">
        <f t="shared" si="11"/>
        <v>0</v>
      </c>
      <c r="I40" s="200">
        <v>7.0000000000000007E-2</v>
      </c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 hidden="1">
      <c r="A41" s="44"/>
      <c r="B41" s="5">
        <f t="shared" si="7"/>
        <v>45536</v>
      </c>
      <c r="C41" s="1" t="s">
        <v>534</v>
      </c>
      <c r="D41" s="195"/>
      <c r="E41" s="118"/>
      <c r="F41" s="2"/>
      <c r="G41" s="3">
        <f t="shared" si="10"/>
        <v>0</v>
      </c>
      <c r="H41" s="202">
        <f t="shared" si="11"/>
        <v>0</v>
      </c>
      <c r="I41" s="200">
        <v>7.0000000000000007E-2</v>
      </c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idden="1">
      <c r="A42" s="44"/>
      <c r="B42" s="5">
        <f t="shared" si="7"/>
        <v>45536</v>
      </c>
      <c r="C42" s="1" t="s">
        <v>534</v>
      </c>
      <c r="D42" s="195"/>
      <c r="E42" s="118"/>
      <c r="F42" s="2"/>
      <c r="G42" s="3">
        <f t="shared" si="10"/>
        <v>0</v>
      </c>
      <c r="H42" s="202">
        <f t="shared" si="11"/>
        <v>0</v>
      </c>
      <c r="I42" s="200">
        <v>7.0000000000000007E-2</v>
      </c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 hidden="1">
      <c r="A43" s="44"/>
      <c r="B43" s="5">
        <f t="shared" si="7"/>
        <v>45536</v>
      </c>
      <c r="C43" s="1" t="s">
        <v>534</v>
      </c>
      <c r="D43" s="195"/>
      <c r="E43" s="118"/>
      <c r="F43" s="2"/>
      <c r="G43" s="3">
        <f t="shared" si="10"/>
        <v>0</v>
      </c>
      <c r="H43" s="202">
        <f t="shared" si="11"/>
        <v>0</v>
      </c>
      <c r="I43" s="200">
        <v>7.0000000000000007E-2</v>
      </c>
      <c r="J43" s="7">
        <v>1.6500000000000001E-2</v>
      </c>
      <c r="K43" s="7">
        <v>7.5999999999999998E-2</v>
      </c>
      <c r="L43" s="7">
        <v>0</v>
      </c>
      <c r="M43" s="11">
        <f t="shared" si="2"/>
        <v>0</v>
      </c>
      <c r="N43" s="11">
        <f t="shared" si="3"/>
        <v>0</v>
      </c>
      <c r="O43" s="11">
        <f t="shared" si="4"/>
        <v>0</v>
      </c>
      <c r="P43" s="11">
        <f t="shared" si="5"/>
        <v>0</v>
      </c>
    </row>
    <row r="44" spans="1:16" hidden="1">
      <c r="A44" s="44"/>
      <c r="B44" s="5">
        <f t="shared" si="7"/>
        <v>45536</v>
      </c>
      <c r="C44" s="1" t="s">
        <v>534</v>
      </c>
      <c r="D44" s="195"/>
      <c r="E44" s="118"/>
      <c r="F44" s="2"/>
      <c r="G44" s="3">
        <f t="shared" ref="G44:G91" si="12">F44-SUM(M44:P44)</f>
        <v>0</v>
      </c>
      <c r="H44" s="202">
        <f t="shared" si="11"/>
        <v>0</v>
      </c>
      <c r="I44" s="200">
        <v>7.0000000000000007E-2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0</v>
      </c>
      <c r="N44" s="11">
        <f t="shared" si="3"/>
        <v>0</v>
      </c>
      <c r="O44" s="11">
        <f t="shared" si="4"/>
        <v>0</v>
      </c>
      <c r="P44" s="11">
        <f t="shared" si="5"/>
        <v>0</v>
      </c>
    </row>
    <row r="45" spans="1:16" hidden="1">
      <c r="A45" s="44"/>
      <c r="B45" s="5">
        <f t="shared" si="7"/>
        <v>45536</v>
      </c>
      <c r="C45" s="1" t="s">
        <v>534</v>
      </c>
      <c r="D45" s="195"/>
      <c r="E45" s="118"/>
      <c r="F45" s="2"/>
      <c r="G45" s="3">
        <f t="shared" si="12"/>
        <v>0</v>
      </c>
      <c r="H45" s="202">
        <f t="shared" si="11"/>
        <v>0</v>
      </c>
      <c r="I45" s="200">
        <v>7.0000000000000007E-2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0</v>
      </c>
      <c r="N45" s="11">
        <f t="shared" si="3"/>
        <v>0</v>
      </c>
      <c r="O45" s="11">
        <f t="shared" si="4"/>
        <v>0</v>
      </c>
      <c r="P45" s="11">
        <f t="shared" si="5"/>
        <v>0</v>
      </c>
    </row>
    <row r="46" spans="1:16" hidden="1">
      <c r="A46" s="44"/>
      <c r="B46" s="5">
        <f t="shared" si="7"/>
        <v>45536</v>
      </c>
      <c r="C46" s="1" t="s">
        <v>534</v>
      </c>
      <c r="D46" s="195"/>
      <c r="E46" s="118"/>
      <c r="F46" s="2"/>
      <c r="G46" s="3">
        <f t="shared" si="12"/>
        <v>0</v>
      </c>
      <c r="H46" s="202">
        <f t="shared" si="11"/>
        <v>0</v>
      </c>
      <c r="I46" s="200">
        <v>7.0000000000000007E-2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0</v>
      </c>
      <c r="N46" s="11">
        <f t="shared" si="3"/>
        <v>0</v>
      </c>
      <c r="O46" s="11">
        <f t="shared" si="4"/>
        <v>0</v>
      </c>
      <c r="P46" s="11">
        <f t="shared" si="5"/>
        <v>0</v>
      </c>
    </row>
    <row r="47" spans="1:16" hidden="1">
      <c r="A47" s="44"/>
      <c r="B47" s="5">
        <f t="shared" si="7"/>
        <v>45536</v>
      </c>
      <c r="C47" s="1" t="s">
        <v>534</v>
      </c>
      <c r="D47" s="195"/>
      <c r="E47" s="118"/>
      <c r="F47" s="2"/>
      <c r="G47" s="3">
        <f t="shared" si="12"/>
        <v>0</v>
      </c>
      <c r="H47" s="202">
        <f t="shared" si="11"/>
        <v>0</v>
      </c>
      <c r="I47" s="200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0</v>
      </c>
      <c r="N47" s="11">
        <f t="shared" si="3"/>
        <v>0</v>
      </c>
      <c r="O47" s="11">
        <f t="shared" si="4"/>
        <v>0</v>
      </c>
      <c r="P47" s="11">
        <f t="shared" si="5"/>
        <v>0</v>
      </c>
    </row>
    <row r="48" spans="1:16" hidden="1">
      <c r="A48" s="44"/>
      <c r="B48" s="5">
        <f t="shared" si="7"/>
        <v>45536</v>
      </c>
      <c r="C48" s="1" t="s">
        <v>534</v>
      </c>
      <c r="D48" s="195"/>
      <c r="E48" s="118"/>
      <c r="F48" s="2"/>
      <c r="G48" s="3">
        <f t="shared" si="12"/>
        <v>0</v>
      </c>
      <c r="H48" s="202">
        <f t="shared" si="11"/>
        <v>0</v>
      </c>
      <c r="I48" s="200">
        <v>7.0000000000000007E-2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0</v>
      </c>
      <c r="N48" s="11">
        <f t="shared" si="3"/>
        <v>0</v>
      </c>
      <c r="O48" s="11">
        <f t="shared" si="4"/>
        <v>0</v>
      </c>
      <c r="P48" s="11">
        <f t="shared" si="5"/>
        <v>0</v>
      </c>
    </row>
    <row r="49" spans="1:16" hidden="1">
      <c r="A49" s="44"/>
      <c r="B49" s="5">
        <f t="shared" si="7"/>
        <v>45536</v>
      </c>
      <c r="C49" s="1" t="s">
        <v>534</v>
      </c>
      <c r="D49" s="195"/>
      <c r="E49" s="118"/>
      <c r="F49" s="2"/>
      <c r="G49" s="3">
        <f t="shared" si="12"/>
        <v>0</v>
      </c>
      <c r="H49" s="202">
        <f t="shared" si="11"/>
        <v>0</v>
      </c>
      <c r="I49" s="200">
        <v>7.0000000000000007E-2</v>
      </c>
      <c r="J49" s="7">
        <v>1.6500000000000001E-2</v>
      </c>
      <c r="K49" s="7">
        <v>7.5999999999999998E-2</v>
      </c>
      <c r="L49" s="7">
        <v>0</v>
      </c>
      <c r="M49" s="11">
        <f t="shared" si="2"/>
        <v>0</v>
      </c>
      <c r="N49" s="11">
        <f t="shared" si="3"/>
        <v>0</v>
      </c>
      <c r="O49" s="11">
        <f t="shared" si="4"/>
        <v>0</v>
      </c>
      <c r="P49" s="11">
        <f t="shared" si="5"/>
        <v>0</v>
      </c>
    </row>
    <row r="50" spans="1:16" hidden="1">
      <c r="A50" s="44"/>
      <c r="B50" s="5">
        <f t="shared" si="7"/>
        <v>45536</v>
      </c>
      <c r="C50" s="1" t="s">
        <v>534</v>
      </c>
      <c r="D50" s="195"/>
      <c r="E50" s="118"/>
      <c r="F50" s="2"/>
      <c r="G50" s="3">
        <f t="shared" si="12"/>
        <v>0</v>
      </c>
      <c r="H50" s="202">
        <f t="shared" si="11"/>
        <v>0</v>
      </c>
      <c r="I50" s="200">
        <v>7.0000000000000007E-2</v>
      </c>
      <c r="J50" s="7">
        <v>1.6500000000000001E-2</v>
      </c>
      <c r="K50" s="7">
        <v>7.5999999999999998E-2</v>
      </c>
      <c r="L50" s="7">
        <v>0</v>
      </c>
      <c r="M50" s="11">
        <f t="shared" si="2"/>
        <v>0</v>
      </c>
      <c r="N50" s="11">
        <f t="shared" si="3"/>
        <v>0</v>
      </c>
      <c r="O50" s="11">
        <f t="shared" si="4"/>
        <v>0</v>
      </c>
      <c r="P50" s="11">
        <f t="shared" si="5"/>
        <v>0</v>
      </c>
    </row>
    <row r="51" spans="1:16" hidden="1">
      <c r="A51" s="44"/>
      <c r="B51" s="5">
        <f t="shared" si="7"/>
        <v>45536</v>
      </c>
      <c r="C51" s="1" t="s">
        <v>534</v>
      </c>
      <c r="D51" s="195"/>
      <c r="E51" s="118"/>
      <c r="F51" s="2"/>
      <c r="G51" s="3">
        <f t="shared" si="12"/>
        <v>0</v>
      </c>
      <c r="H51" s="202">
        <f t="shared" si="11"/>
        <v>0</v>
      </c>
      <c r="I51" s="200">
        <v>7.0000000000000007E-2</v>
      </c>
      <c r="J51" s="7">
        <v>1.6500000000000001E-2</v>
      </c>
      <c r="K51" s="7">
        <v>7.5999999999999998E-2</v>
      </c>
      <c r="L51" s="7">
        <v>0</v>
      </c>
      <c r="M51" s="11">
        <f t="shared" si="2"/>
        <v>0</v>
      </c>
      <c r="N51" s="11">
        <f t="shared" si="3"/>
        <v>0</v>
      </c>
      <c r="O51" s="11">
        <f t="shared" si="4"/>
        <v>0</v>
      </c>
      <c r="P51" s="11">
        <f t="shared" si="5"/>
        <v>0</v>
      </c>
    </row>
    <row r="52" spans="1:16" hidden="1">
      <c r="A52" s="44"/>
      <c r="B52" s="5">
        <f t="shared" si="7"/>
        <v>45536</v>
      </c>
      <c r="C52" s="1" t="s">
        <v>534</v>
      </c>
      <c r="D52" s="195"/>
      <c r="E52" s="118"/>
      <c r="F52" s="2"/>
      <c r="G52" s="3">
        <f t="shared" si="12"/>
        <v>0</v>
      </c>
      <c r="H52" s="202">
        <f t="shared" si="11"/>
        <v>0</v>
      </c>
      <c r="I52" s="200">
        <v>7.0000000000000007E-2</v>
      </c>
      <c r="J52" s="7">
        <v>1.6500000000000001E-2</v>
      </c>
      <c r="K52" s="7">
        <v>7.5999999999999998E-2</v>
      </c>
      <c r="L52" s="7">
        <v>0</v>
      </c>
      <c r="M52" s="11">
        <f t="shared" si="2"/>
        <v>0</v>
      </c>
      <c r="N52" s="11">
        <f t="shared" si="3"/>
        <v>0</v>
      </c>
      <c r="O52" s="11">
        <f t="shared" si="4"/>
        <v>0</v>
      </c>
      <c r="P52" s="11">
        <f t="shared" si="5"/>
        <v>0</v>
      </c>
    </row>
    <row r="53" spans="1:16" hidden="1">
      <c r="A53" s="44"/>
      <c r="B53" s="5">
        <f t="shared" si="7"/>
        <v>45536</v>
      </c>
      <c r="C53" s="1" t="s">
        <v>534</v>
      </c>
      <c r="D53" s="195"/>
      <c r="E53" s="118"/>
      <c r="F53" s="2"/>
      <c r="G53" s="3">
        <f t="shared" si="12"/>
        <v>0</v>
      </c>
      <c r="H53" s="202">
        <f t="shared" si="11"/>
        <v>0</v>
      </c>
      <c r="I53" s="200">
        <v>7.0000000000000007E-2</v>
      </c>
      <c r="J53" s="7">
        <v>1.6500000000000001E-2</v>
      </c>
      <c r="K53" s="7">
        <v>7.5999999999999998E-2</v>
      </c>
      <c r="L53" s="7">
        <v>0</v>
      </c>
      <c r="M53" s="11">
        <f t="shared" si="2"/>
        <v>0</v>
      </c>
      <c r="N53" s="11">
        <f t="shared" si="3"/>
        <v>0</v>
      </c>
      <c r="O53" s="11">
        <f t="shared" si="4"/>
        <v>0</v>
      </c>
      <c r="P53" s="11">
        <f t="shared" si="5"/>
        <v>0</v>
      </c>
    </row>
    <row r="54" spans="1:16" hidden="1">
      <c r="A54" s="44"/>
      <c r="B54" s="5">
        <f t="shared" si="7"/>
        <v>45536</v>
      </c>
      <c r="C54" s="1" t="s">
        <v>534</v>
      </c>
      <c r="D54" s="195"/>
      <c r="E54" s="118"/>
      <c r="F54" s="2"/>
      <c r="G54" s="3">
        <f t="shared" si="12"/>
        <v>0</v>
      </c>
      <c r="H54" s="202">
        <f t="shared" si="11"/>
        <v>0</v>
      </c>
      <c r="I54" s="200">
        <v>7.0000000000000007E-2</v>
      </c>
      <c r="J54" s="7">
        <v>1.6500000000000001E-2</v>
      </c>
      <c r="K54" s="7">
        <v>7.5999999999999998E-2</v>
      </c>
      <c r="L54" s="7">
        <v>0</v>
      </c>
      <c r="M54" s="11">
        <f t="shared" si="2"/>
        <v>0</v>
      </c>
      <c r="N54" s="11">
        <f t="shared" si="3"/>
        <v>0</v>
      </c>
      <c r="O54" s="11">
        <f t="shared" si="4"/>
        <v>0</v>
      </c>
      <c r="P54" s="11">
        <f t="shared" si="5"/>
        <v>0</v>
      </c>
    </row>
    <row r="55" spans="1:16" hidden="1">
      <c r="A55" s="44"/>
      <c r="B55" s="5">
        <f t="shared" si="7"/>
        <v>45536</v>
      </c>
      <c r="C55" s="1" t="s">
        <v>534</v>
      </c>
      <c r="D55" s="195"/>
      <c r="E55" s="118"/>
      <c r="F55" s="2"/>
      <c r="G55" s="3">
        <f t="shared" si="12"/>
        <v>0</v>
      </c>
      <c r="H55" s="202">
        <f t="shared" si="11"/>
        <v>0</v>
      </c>
      <c r="I55" s="200">
        <v>7.0000000000000007E-2</v>
      </c>
      <c r="J55" s="7">
        <v>1.6500000000000001E-2</v>
      </c>
      <c r="K55" s="7">
        <v>7.5999999999999998E-2</v>
      </c>
      <c r="L55" s="7">
        <v>0</v>
      </c>
      <c r="M55" s="11">
        <f t="shared" si="2"/>
        <v>0</v>
      </c>
      <c r="N55" s="11">
        <f t="shared" si="3"/>
        <v>0</v>
      </c>
      <c r="O55" s="11">
        <f t="shared" si="4"/>
        <v>0</v>
      </c>
      <c r="P55" s="11">
        <f t="shared" si="5"/>
        <v>0</v>
      </c>
    </row>
    <row r="56" spans="1:16" hidden="1">
      <c r="A56" s="44"/>
      <c r="B56" s="5">
        <f t="shared" si="7"/>
        <v>45536</v>
      </c>
      <c r="C56" s="1" t="s">
        <v>534</v>
      </c>
      <c r="D56" s="195"/>
      <c r="E56" s="118"/>
      <c r="F56" s="2"/>
      <c r="G56" s="3">
        <f t="shared" si="12"/>
        <v>0</v>
      </c>
      <c r="H56" s="202">
        <f t="shared" si="11"/>
        <v>0</v>
      </c>
      <c r="I56" s="200">
        <v>7.0000000000000007E-2</v>
      </c>
      <c r="J56" s="7">
        <v>1.6500000000000001E-2</v>
      </c>
      <c r="K56" s="7">
        <v>7.5999999999999998E-2</v>
      </c>
      <c r="L56" s="7">
        <v>0</v>
      </c>
      <c r="M56" s="11">
        <f t="shared" si="2"/>
        <v>0</v>
      </c>
      <c r="N56" s="11">
        <f t="shared" si="3"/>
        <v>0</v>
      </c>
      <c r="O56" s="11">
        <f t="shared" si="4"/>
        <v>0</v>
      </c>
      <c r="P56" s="11">
        <f t="shared" si="5"/>
        <v>0</v>
      </c>
    </row>
    <row r="57" spans="1:16" hidden="1">
      <c r="A57" s="44"/>
      <c r="B57" s="5">
        <f t="shared" si="7"/>
        <v>45536</v>
      </c>
      <c r="C57" s="1" t="s">
        <v>534</v>
      </c>
      <c r="D57" s="195"/>
      <c r="E57" s="118"/>
      <c r="F57" s="2"/>
      <c r="G57" s="3">
        <f t="shared" ref="G57:G87" si="13">F57-SUM(M57:P57)</f>
        <v>0</v>
      </c>
      <c r="H57" s="202">
        <f t="shared" si="11"/>
        <v>0</v>
      </c>
      <c r="I57" s="200">
        <v>7.0000000000000007E-2</v>
      </c>
      <c r="J57" s="7">
        <v>1.6500000000000001E-2</v>
      </c>
      <c r="K57" s="7">
        <v>7.5999999999999998E-2</v>
      </c>
      <c r="L57" s="7">
        <v>0</v>
      </c>
      <c r="M57" s="11">
        <f t="shared" si="2"/>
        <v>0</v>
      </c>
      <c r="N57" s="11">
        <f t="shared" si="3"/>
        <v>0</v>
      </c>
      <c r="O57" s="11">
        <f t="shared" si="4"/>
        <v>0</v>
      </c>
      <c r="P57" s="11">
        <f t="shared" si="5"/>
        <v>0</v>
      </c>
    </row>
    <row r="58" spans="1:16" hidden="1">
      <c r="A58" s="44"/>
      <c r="B58" s="5">
        <f t="shared" si="7"/>
        <v>45536</v>
      </c>
      <c r="C58" s="1" t="s">
        <v>534</v>
      </c>
      <c r="D58" s="195"/>
      <c r="E58" s="118"/>
      <c r="F58" s="2"/>
      <c r="G58" s="3">
        <f t="shared" si="13"/>
        <v>0</v>
      </c>
      <c r="H58" s="202">
        <f t="shared" si="11"/>
        <v>0</v>
      </c>
      <c r="I58" s="200">
        <v>7.0000000000000007E-2</v>
      </c>
      <c r="J58" s="7">
        <v>1.6500000000000001E-2</v>
      </c>
      <c r="K58" s="7">
        <v>7.5999999999999998E-2</v>
      </c>
      <c r="L58" s="7">
        <v>0</v>
      </c>
      <c r="M58" s="11">
        <f t="shared" si="2"/>
        <v>0</v>
      </c>
      <c r="N58" s="11">
        <f t="shared" si="3"/>
        <v>0</v>
      </c>
      <c r="O58" s="11">
        <f t="shared" si="4"/>
        <v>0</v>
      </c>
      <c r="P58" s="11">
        <f t="shared" si="5"/>
        <v>0</v>
      </c>
    </row>
    <row r="59" spans="1:16" hidden="1">
      <c r="A59" s="44"/>
      <c r="B59" s="5">
        <f t="shared" si="7"/>
        <v>45536</v>
      </c>
      <c r="C59" s="1" t="s">
        <v>534</v>
      </c>
      <c r="D59" s="195"/>
      <c r="E59" s="118"/>
      <c r="F59" s="2"/>
      <c r="G59" s="3">
        <f t="shared" si="13"/>
        <v>0</v>
      </c>
      <c r="H59" s="202">
        <f t="shared" si="11"/>
        <v>0</v>
      </c>
      <c r="I59" s="200">
        <v>7.0000000000000007E-2</v>
      </c>
      <c r="J59" s="7">
        <v>1.6500000000000001E-2</v>
      </c>
      <c r="K59" s="7">
        <v>7.5999999999999998E-2</v>
      </c>
      <c r="L59" s="7">
        <v>0</v>
      </c>
      <c r="M59" s="11">
        <f t="shared" si="2"/>
        <v>0</v>
      </c>
      <c r="N59" s="11">
        <f t="shared" si="3"/>
        <v>0</v>
      </c>
      <c r="O59" s="11">
        <f t="shared" si="4"/>
        <v>0</v>
      </c>
      <c r="P59" s="11">
        <f t="shared" si="5"/>
        <v>0</v>
      </c>
    </row>
    <row r="60" spans="1:16" hidden="1">
      <c r="A60" s="44"/>
      <c r="B60" s="5">
        <f t="shared" si="7"/>
        <v>45536</v>
      </c>
      <c r="C60" s="1" t="s">
        <v>534</v>
      </c>
      <c r="D60" s="195"/>
      <c r="E60" s="118"/>
      <c r="F60" s="2"/>
      <c r="G60" s="3">
        <f t="shared" si="13"/>
        <v>0</v>
      </c>
      <c r="H60" s="202">
        <f t="shared" si="11"/>
        <v>0</v>
      </c>
      <c r="I60" s="200">
        <v>7.0000000000000007E-2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0</v>
      </c>
      <c r="N60" s="11">
        <f t="shared" si="3"/>
        <v>0</v>
      </c>
      <c r="O60" s="11">
        <f t="shared" si="4"/>
        <v>0</v>
      </c>
      <c r="P60" s="11">
        <f t="shared" si="5"/>
        <v>0</v>
      </c>
    </row>
    <row r="61" spans="1:16" hidden="1">
      <c r="A61" s="44"/>
      <c r="B61" s="5">
        <f t="shared" si="7"/>
        <v>45536</v>
      </c>
      <c r="C61" s="1" t="s">
        <v>534</v>
      </c>
      <c r="D61" s="195"/>
      <c r="E61" s="118"/>
      <c r="F61" s="2"/>
      <c r="G61" s="3">
        <f t="shared" si="13"/>
        <v>0</v>
      </c>
      <c r="H61" s="202">
        <f t="shared" si="11"/>
        <v>0</v>
      </c>
      <c r="I61" s="200">
        <v>7.0000000000000007E-2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0</v>
      </c>
      <c r="N61" s="11">
        <f t="shared" si="3"/>
        <v>0</v>
      </c>
      <c r="O61" s="11">
        <f t="shared" si="4"/>
        <v>0</v>
      </c>
      <c r="P61" s="11">
        <f t="shared" si="5"/>
        <v>0</v>
      </c>
    </row>
    <row r="62" spans="1:16" hidden="1">
      <c r="A62" s="44"/>
      <c r="B62" s="5">
        <f t="shared" si="7"/>
        <v>45536</v>
      </c>
      <c r="C62" s="1" t="s">
        <v>534</v>
      </c>
      <c r="D62" s="195"/>
      <c r="E62" s="118"/>
      <c r="F62" s="2"/>
      <c r="G62" s="3">
        <f t="shared" si="13"/>
        <v>0</v>
      </c>
      <c r="H62" s="202">
        <f t="shared" si="11"/>
        <v>0</v>
      </c>
      <c r="I62" s="200">
        <v>7.0000000000000007E-2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0</v>
      </c>
      <c r="N62" s="11">
        <f t="shared" si="3"/>
        <v>0</v>
      </c>
      <c r="O62" s="11">
        <f t="shared" si="4"/>
        <v>0</v>
      </c>
      <c r="P62" s="11">
        <f t="shared" si="5"/>
        <v>0</v>
      </c>
    </row>
    <row r="63" spans="1:16" hidden="1">
      <c r="A63" s="44"/>
      <c r="B63" s="5">
        <f t="shared" si="7"/>
        <v>45536</v>
      </c>
      <c r="C63" s="1" t="s">
        <v>534</v>
      </c>
      <c r="D63" s="195"/>
      <c r="E63" s="118"/>
      <c r="F63" s="2"/>
      <c r="G63" s="3">
        <f t="shared" si="13"/>
        <v>0</v>
      </c>
      <c r="H63" s="202">
        <f t="shared" si="11"/>
        <v>0</v>
      </c>
      <c r="I63" s="200">
        <v>7.0000000000000007E-2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0</v>
      </c>
      <c r="N63" s="11">
        <f t="shared" si="3"/>
        <v>0</v>
      </c>
      <c r="O63" s="11">
        <f t="shared" si="4"/>
        <v>0</v>
      </c>
      <c r="P63" s="11">
        <f t="shared" si="5"/>
        <v>0</v>
      </c>
    </row>
    <row r="64" spans="1:16" hidden="1">
      <c r="A64" s="44"/>
      <c r="B64" s="5">
        <f>B63</f>
        <v>45536</v>
      </c>
      <c r="C64" s="1" t="s">
        <v>534</v>
      </c>
      <c r="D64" s="210"/>
      <c r="E64" s="207"/>
      <c r="F64" s="208"/>
      <c r="G64" s="209">
        <f t="shared" si="13"/>
        <v>0</v>
      </c>
      <c r="H64" s="211">
        <f t="shared" si="11"/>
        <v>0</v>
      </c>
      <c r="I64" s="200"/>
      <c r="J64" s="7">
        <v>1.6500000000000001E-2</v>
      </c>
      <c r="K64" s="7">
        <v>7.5999999999999998E-2</v>
      </c>
      <c r="L64" s="7">
        <v>0</v>
      </c>
      <c r="M64" s="11">
        <f t="shared" si="2"/>
        <v>0</v>
      </c>
      <c r="N64" s="11">
        <f t="shared" si="3"/>
        <v>0</v>
      </c>
      <c r="O64" s="11">
        <f t="shared" si="4"/>
        <v>0</v>
      </c>
      <c r="P64" s="11">
        <f t="shared" si="5"/>
        <v>0</v>
      </c>
    </row>
    <row r="65" spans="1:16" hidden="1">
      <c r="A65" s="44"/>
      <c r="B65" s="5">
        <f t="shared" si="7"/>
        <v>45536</v>
      </c>
      <c r="C65" s="1" t="s">
        <v>534</v>
      </c>
      <c r="D65" s="195"/>
      <c r="E65" s="118"/>
      <c r="F65" s="2"/>
      <c r="G65" s="3">
        <f t="shared" si="13"/>
        <v>0</v>
      </c>
      <c r="H65" s="202">
        <f t="shared" si="11"/>
        <v>0</v>
      </c>
      <c r="I65" s="200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0</v>
      </c>
      <c r="N65" s="11">
        <f t="shared" si="3"/>
        <v>0</v>
      </c>
      <c r="O65" s="11">
        <f t="shared" si="4"/>
        <v>0</v>
      </c>
      <c r="P65" s="11">
        <f t="shared" si="5"/>
        <v>0</v>
      </c>
    </row>
    <row r="66" spans="1:16" hidden="1">
      <c r="A66" s="44"/>
      <c r="B66" s="5">
        <f t="shared" si="7"/>
        <v>45536</v>
      </c>
      <c r="C66" s="1" t="s">
        <v>534</v>
      </c>
      <c r="D66" s="195"/>
      <c r="E66" s="118"/>
      <c r="F66" s="2"/>
      <c r="G66" s="3">
        <f t="shared" si="13"/>
        <v>0</v>
      </c>
      <c r="H66" s="202">
        <f t="shared" si="11"/>
        <v>0</v>
      </c>
      <c r="I66" s="200">
        <v>7.0000000000000007E-2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0</v>
      </c>
      <c r="N66" s="11">
        <f t="shared" si="3"/>
        <v>0</v>
      </c>
      <c r="O66" s="11">
        <f t="shared" si="4"/>
        <v>0</v>
      </c>
      <c r="P66" s="11">
        <f t="shared" si="5"/>
        <v>0</v>
      </c>
    </row>
    <row r="67" spans="1:16" hidden="1">
      <c r="A67" s="44"/>
      <c r="B67" s="5">
        <f t="shared" si="7"/>
        <v>45536</v>
      </c>
      <c r="C67" s="1" t="s">
        <v>534</v>
      </c>
      <c r="D67" s="195"/>
      <c r="E67" s="118"/>
      <c r="F67" s="2"/>
      <c r="G67" s="3">
        <f t="shared" si="13"/>
        <v>0</v>
      </c>
      <c r="H67" s="202">
        <f t="shared" si="11"/>
        <v>0</v>
      </c>
      <c r="I67" s="200">
        <v>7.0000000000000007E-2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0</v>
      </c>
      <c r="N67" s="11">
        <f t="shared" si="3"/>
        <v>0</v>
      </c>
      <c r="O67" s="11">
        <f t="shared" si="4"/>
        <v>0</v>
      </c>
      <c r="P67" s="11">
        <f t="shared" si="5"/>
        <v>0</v>
      </c>
    </row>
    <row r="68" spans="1:16" hidden="1">
      <c r="A68" s="44"/>
      <c r="B68" s="5">
        <f t="shared" si="7"/>
        <v>45536</v>
      </c>
      <c r="C68" s="1" t="s">
        <v>534</v>
      </c>
      <c r="D68" s="195"/>
      <c r="E68" s="118"/>
      <c r="F68" s="2"/>
      <c r="G68" s="3">
        <f t="shared" si="13"/>
        <v>0</v>
      </c>
      <c r="H68" s="202">
        <f t="shared" si="11"/>
        <v>0</v>
      </c>
      <c r="I68" s="200">
        <v>7.0000000000000007E-2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0</v>
      </c>
      <c r="N68" s="11">
        <f t="shared" si="3"/>
        <v>0</v>
      </c>
      <c r="O68" s="11">
        <f t="shared" si="4"/>
        <v>0</v>
      </c>
      <c r="P68" s="11">
        <f t="shared" si="5"/>
        <v>0</v>
      </c>
    </row>
    <row r="69" spans="1:16" hidden="1">
      <c r="A69" s="44"/>
      <c r="B69" s="5">
        <f t="shared" si="7"/>
        <v>45536</v>
      </c>
      <c r="C69" s="1" t="s">
        <v>534</v>
      </c>
      <c r="D69" s="195"/>
      <c r="E69" s="118"/>
      <c r="F69" s="2"/>
      <c r="G69" s="3">
        <f t="shared" si="13"/>
        <v>0</v>
      </c>
      <c r="H69" s="202">
        <f t="shared" si="11"/>
        <v>0</v>
      </c>
      <c r="I69" s="200">
        <v>7.0000000000000007E-2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0</v>
      </c>
      <c r="N69" s="11">
        <f t="shared" si="3"/>
        <v>0</v>
      </c>
      <c r="O69" s="11">
        <f t="shared" si="4"/>
        <v>0</v>
      </c>
      <c r="P69" s="11">
        <f t="shared" si="5"/>
        <v>0</v>
      </c>
    </row>
    <row r="70" spans="1:16" hidden="1">
      <c r="A70" s="44"/>
      <c r="B70" s="5">
        <f t="shared" si="7"/>
        <v>45536</v>
      </c>
      <c r="C70" s="1" t="s">
        <v>534</v>
      </c>
      <c r="D70" s="195"/>
      <c r="E70" s="118"/>
      <c r="F70" s="2"/>
      <c r="G70" s="3">
        <f t="shared" si="13"/>
        <v>0</v>
      </c>
      <c r="H70" s="202">
        <f t="shared" si="11"/>
        <v>0</v>
      </c>
      <c r="I70" s="200">
        <v>7.0000000000000007E-2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0</v>
      </c>
      <c r="N70" s="11">
        <f t="shared" si="3"/>
        <v>0</v>
      </c>
      <c r="O70" s="11">
        <f t="shared" si="4"/>
        <v>0</v>
      </c>
      <c r="P70" s="11">
        <f t="shared" si="5"/>
        <v>0</v>
      </c>
    </row>
    <row r="71" spans="1:16" hidden="1">
      <c r="A71" s="44"/>
      <c r="B71" s="5">
        <f t="shared" si="7"/>
        <v>45536</v>
      </c>
      <c r="C71" s="1" t="s">
        <v>534</v>
      </c>
      <c r="D71" s="195"/>
      <c r="E71" s="118"/>
      <c r="F71" s="2"/>
      <c r="G71" s="3">
        <f t="shared" si="13"/>
        <v>0</v>
      </c>
      <c r="H71" s="202">
        <f t="shared" si="11"/>
        <v>0</v>
      </c>
      <c r="I71" s="200">
        <v>7.0000000000000007E-2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0</v>
      </c>
      <c r="N71" s="11">
        <f t="shared" si="3"/>
        <v>0</v>
      </c>
      <c r="O71" s="11">
        <f t="shared" si="4"/>
        <v>0</v>
      </c>
      <c r="P71" s="11">
        <f t="shared" si="5"/>
        <v>0</v>
      </c>
    </row>
    <row r="72" spans="1:16" hidden="1">
      <c r="A72" s="44"/>
      <c r="B72" s="5">
        <f t="shared" si="7"/>
        <v>45536</v>
      </c>
      <c r="C72" s="1" t="s">
        <v>534</v>
      </c>
      <c r="D72" s="195"/>
      <c r="E72" s="118"/>
      <c r="F72" s="2"/>
      <c r="G72" s="3">
        <f t="shared" si="13"/>
        <v>0</v>
      </c>
      <c r="H72" s="202">
        <f t="shared" si="11"/>
        <v>0</v>
      </c>
      <c r="I72" s="200">
        <v>7.0000000000000007E-2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0</v>
      </c>
      <c r="N72" s="11">
        <f t="shared" si="3"/>
        <v>0</v>
      </c>
      <c r="O72" s="11">
        <f t="shared" si="4"/>
        <v>0</v>
      </c>
      <c r="P72" s="11">
        <f t="shared" si="5"/>
        <v>0</v>
      </c>
    </row>
    <row r="73" spans="1:16" hidden="1">
      <c r="A73" s="44"/>
      <c r="B73" s="5">
        <f t="shared" si="7"/>
        <v>45536</v>
      </c>
      <c r="C73" s="1" t="s">
        <v>534</v>
      </c>
      <c r="D73" s="195"/>
      <c r="E73" s="118"/>
      <c r="F73" s="2"/>
      <c r="G73" s="3">
        <f t="shared" si="13"/>
        <v>0</v>
      </c>
      <c r="H73" s="202">
        <f t="shared" si="11"/>
        <v>0</v>
      </c>
      <c r="I73" s="200">
        <v>7.0000000000000007E-2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0</v>
      </c>
      <c r="N73" s="11">
        <f t="shared" si="3"/>
        <v>0</v>
      </c>
      <c r="O73" s="11">
        <f t="shared" si="4"/>
        <v>0</v>
      </c>
      <c r="P73" s="11">
        <f t="shared" si="5"/>
        <v>0</v>
      </c>
    </row>
    <row r="74" spans="1:16" hidden="1">
      <c r="A74" s="44"/>
      <c r="B74" s="5">
        <f t="shared" si="7"/>
        <v>45536</v>
      </c>
      <c r="C74" s="1" t="s">
        <v>534</v>
      </c>
      <c r="D74" s="195"/>
      <c r="E74" s="118"/>
      <c r="F74" s="2"/>
      <c r="G74" s="3">
        <f t="shared" si="13"/>
        <v>0</v>
      </c>
      <c r="H74" s="202">
        <f t="shared" si="11"/>
        <v>0</v>
      </c>
      <c r="I74" s="200">
        <v>7.0000000000000007E-2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0</v>
      </c>
      <c r="N74" s="11">
        <f t="shared" si="3"/>
        <v>0</v>
      </c>
      <c r="O74" s="11">
        <f t="shared" si="4"/>
        <v>0</v>
      </c>
      <c r="P74" s="11">
        <f t="shared" si="5"/>
        <v>0</v>
      </c>
    </row>
    <row r="75" spans="1:16" hidden="1">
      <c r="A75" s="44"/>
      <c r="B75" s="5">
        <f t="shared" si="7"/>
        <v>45536</v>
      </c>
      <c r="C75" s="1" t="s">
        <v>534</v>
      </c>
      <c r="D75" s="195"/>
      <c r="E75" s="118"/>
      <c r="F75" s="2"/>
      <c r="G75" s="3">
        <f t="shared" si="13"/>
        <v>0</v>
      </c>
      <c r="H75" s="202">
        <f t="shared" si="11"/>
        <v>0</v>
      </c>
      <c r="I75" s="200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0</v>
      </c>
      <c r="N75" s="11">
        <f t="shared" si="3"/>
        <v>0</v>
      </c>
      <c r="O75" s="11">
        <f t="shared" si="4"/>
        <v>0</v>
      </c>
      <c r="P75" s="11">
        <f t="shared" si="5"/>
        <v>0</v>
      </c>
    </row>
    <row r="76" spans="1:16" hidden="1">
      <c r="A76" s="44"/>
      <c r="B76" s="5">
        <f t="shared" si="7"/>
        <v>45536</v>
      </c>
      <c r="C76" s="1" t="s">
        <v>534</v>
      </c>
      <c r="D76" s="195"/>
      <c r="E76" s="118"/>
      <c r="F76" s="2"/>
      <c r="G76" s="3">
        <f t="shared" si="13"/>
        <v>0</v>
      </c>
      <c r="H76" s="202">
        <f t="shared" si="11"/>
        <v>0</v>
      </c>
      <c r="I76" s="200"/>
      <c r="J76" s="7">
        <v>1.6500000000000001E-2</v>
      </c>
      <c r="K76" s="7">
        <v>7.5999999999999998E-2</v>
      </c>
      <c r="L76" s="7">
        <v>0</v>
      </c>
      <c r="M76" s="11">
        <f t="shared" si="2"/>
        <v>0</v>
      </c>
      <c r="N76" s="11">
        <f t="shared" si="3"/>
        <v>0</v>
      </c>
      <c r="O76" s="11">
        <f t="shared" si="4"/>
        <v>0</v>
      </c>
      <c r="P76" s="11">
        <f t="shared" si="5"/>
        <v>0</v>
      </c>
    </row>
    <row r="77" spans="1:16" hidden="1">
      <c r="A77" s="44"/>
      <c r="B77" s="5">
        <f t="shared" si="7"/>
        <v>45536</v>
      </c>
      <c r="C77" s="1" t="s">
        <v>534</v>
      </c>
      <c r="D77" s="195"/>
      <c r="E77" s="118"/>
      <c r="F77" s="2"/>
      <c r="G77" s="3">
        <f t="shared" si="13"/>
        <v>0</v>
      </c>
      <c r="H77" s="202">
        <f t="shared" si="11"/>
        <v>0</v>
      </c>
      <c r="I77" s="200"/>
      <c r="J77" s="7">
        <v>1.6500000000000001E-2</v>
      </c>
      <c r="K77" s="7">
        <v>7.5999999999999998E-2</v>
      </c>
      <c r="L77" s="7">
        <v>0</v>
      </c>
      <c r="M77" s="11">
        <f t="shared" si="2"/>
        <v>0</v>
      </c>
      <c r="N77" s="11">
        <f t="shared" si="3"/>
        <v>0</v>
      </c>
      <c r="O77" s="11">
        <f t="shared" si="4"/>
        <v>0</v>
      </c>
      <c r="P77" s="11">
        <f t="shared" si="5"/>
        <v>0</v>
      </c>
    </row>
    <row r="78" spans="1:16" hidden="1">
      <c r="A78" s="44"/>
      <c r="B78" s="5">
        <f t="shared" si="7"/>
        <v>45536</v>
      </c>
      <c r="C78" s="1" t="s">
        <v>534</v>
      </c>
      <c r="D78" s="195"/>
      <c r="E78" s="118"/>
      <c r="F78" s="2"/>
      <c r="G78" s="3">
        <f t="shared" si="13"/>
        <v>0</v>
      </c>
      <c r="H78" s="202">
        <f t="shared" si="11"/>
        <v>0</v>
      </c>
      <c r="I78" s="200"/>
      <c r="J78" s="7">
        <v>1.6500000000000001E-2</v>
      </c>
      <c r="K78" s="7">
        <v>7.5999999999999998E-2</v>
      </c>
      <c r="L78" s="7">
        <v>0</v>
      </c>
      <c r="M78" s="11">
        <f t="shared" si="2"/>
        <v>0</v>
      </c>
      <c r="N78" s="11">
        <f t="shared" si="3"/>
        <v>0</v>
      </c>
      <c r="O78" s="11">
        <f t="shared" si="4"/>
        <v>0</v>
      </c>
      <c r="P78" s="11">
        <f t="shared" si="5"/>
        <v>0</v>
      </c>
    </row>
    <row r="79" spans="1:16" hidden="1">
      <c r="A79" s="44"/>
      <c r="B79" s="5">
        <f t="shared" si="7"/>
        <v>45536</v>
      </c>
      <c r="C79" s="1" t="s">
        <v>534</v>
      </c>
      <c r="D79" s="195"/>
      <c r="E79" s="118"/>
      <c r="F79" s="2"/>
      <c r="G79" s="3">
        <f t="shared" si="13"/>
        <v>0</v>
      </c>
      <c r="H79" s="202">
        <f t="shared" si="11"/>
        <v>0</v>
      </c>
      <c r="I79" s="200"/>
      <c r="J79" s="7">
        <v>1.6500000000000001E-2</v>
      </c>
      <c r="K79" s="7">
        <v>7.5999999999999998E-2</v>
      </c>
      <c r="L79" s="7">
        <v>0</v>
      </c>
      <c r="M79" s="11">
        <f t="shared" si="2"/>
        <v>0</v>
      </c>
      <c r="N79" s="11">
        <f t="shared" si="3"/>
        <v>0</v>
      </c>
      <c r="O79" s="11">
        <f t="shared" si="4"/>
        <v>0</v>
      </c>
      <c r="P79" s="11">
        <f t="shared" si="5"/>
        <v>0</v>
      </c>
    </row>
    <row r="80" spans="1:16" hidden="1">
      <c r="A80" s="44"/>
      <c r="B80" s="5">
        <f t="shared" si="7"/>
        <v>45536</v>
      </c>
      <c r="C80" s="1" t="s">
        <v>534</v>
      </c>
      <c r="D80" s="195"/>
      <c r="E80" s="118"/>
      <c r="F80" s="2"/>
      <c r="G80" s="3">
        <f t="shared" si="13"/>
        <v>0</v>
      </c>
      <c r="H80" s="202">
        <f t="shared" si="11"/>
        <v>0</v>
      </c>
      <c r="I80" s="200"/>
      <c r="J80" s="7">
        <v>1.6500000000000001E-2</v>
      </c>
      <c r="K80" s="7">
        <v>7.5999999999999998E-2</v>
      </c>
      <c r="L80" s="7">
        <v>0</v>
      </c>
      <c r="M80" s="11">
        <f t="shared" si="2"/>
        <v>0</v>
      </c>
      <c r="N80" s="11">
        <f t="shared" si="3"/>
        <v>0</v>
      </c>
      <c r="O80" s="11">
        <f t="shared" si="4"/>
        <v>0</v>
      </c>
      <c r="P80" s="11">
        <f t="shared" si="5"/>
        <v>0</v>
      </c>
    </row>
    <row r="81" spans="1:16" hidden="1">
      <c r="A81" s="44"/>
      <c r="B81" s="5">
        <f t="shared" si="7"/>
        <v>45536</v>
      </c>
      <c r="C81" s="1" t="s">
        <v>534</v>
      </c>
      <c r="D81" s="195"/>
      <c r="E81" s="118"/>
      <c r="F81" s="2"/>
      <c r="G81" s="3">
        <f t="shared" si="13"/>
        <v>0</v>
      </c>
      <c r="H81" s="202">
        <f t="shared" si="11"/>
        <v>0</v>
      </c>
      <c r="I81" s="200"/>
      <c r="J81" s="7">
        <v>1.6500000000000001E-2</v>
      </c>
      <c r="K81" s="7">
        <v>7.5999999999999998E-2</v>
      </c>
      <c r="L81" s="7">
        <v>0</v>
      </c>
      <c r="M81" s="11">
        <f t="shared" si="2"/>
        <v>0</v>
      </c>
      <c r="N81" s="11">
        <f t="shared" si="3"/>
        <v>0</v>
      </c>
      <c r="O81" s="11">
        <f t="shared" si="4"/>
        <v>0</v>
      </c>
      <c r="P81" s="11">
        <f t="shared" si="5"/>
        <v>0</v>
      </c>
    </row>
    <row r="82" spans="1:16" hidden="1">
      <c r="A82" s="44"/>
      <c r="B82" s="5">
        <f t="shared" si="7"/>
        <v>45536</v>
      </c>
      <c r="C82" s="1" t="s">
        <v>534</v>
      </c>
      <c r="D82" s="195"/>
      <c r="E82" s="118"/>
      <c r="F82" s="2"/>
      <c r="G82" s="3">
        <f t="shared" si="13"/>
        <v>0</v>
      </c>
      <c r="H82" s="202">
        <f t="shared" si="11"/>
        <v>0</v>
      </c>
      <c r="I82" s="200"/>
      <c r="J82" s="7">
        <v>1.6500000000000001E-2</v>
      </c>
      <c r="K82" s="7">
        <v>7.5999999999999998E-2</v>
      </c>
      <c r="L82" s="7">
        <v>0</v>
      </c>
      <c r="M82" s="11">
        <f t="shared" si="2"/>
        <v>0</v>
      </c>
      <c r="N82" s="11">
        <f t="shared" si="3"/>
        <v>0</v>
      </c>
      <c r="O82" s="11">
        <f t="shared" si="4"/>
        <v>0</v>
      </c>
      <c r="P82" s="11">
        <f t="shared" si="5"/>
        <v>0</v>
      </c>
    </row>
    <row r="83" spans="1:16" hidden="1">
      <c r="A83" s="44"/>
      <c r="B83" s="5">
        <f t="shared" si="7"/>
        <v>45536</v>
      </c>
      <c r="C83" s="1" t="s">
        <v>534</v>
      </c>
      <c r="D83" s="195"/>
      <c r="E83" s="118"/>
      <c r="F83" s="2"/>
      <c r="G83" s="3">
        <f t="shared" si="13"/>
        <v>0</v>
      </c>
      <c r="H83" s="202">
        <f t="shared" si="11"/>
        <v>0</v>
      </c>
      <c r="I83" s="200"/>
      <c r="J83" s="7">
        <v>1.6500000000000001E-2</v>
      </c>
      <c r="K83" s="7">
        <v>7.5999999999999998E-2</v>
      </c>
      <c r="L83" s="7">
        <v>0</v>
      </c>
      <c r="M83" s="11">
        <f t="shared" si="2"/>
        <v>0</v>
      </c>
      <c r="N83" s="11">
        <f t="shared" si="3"/>
        <v>0</v>
      </c>
      <c r="O83" s="11">
        <f t="shared" si="4"/>
        <v>0</v>
      </c>
      <c r="P83" s="11">
        <f t="shared" si="5"/>
        <v>0</v>
      </c>
    </row>
    <row r="84" spans="1:16" hidden="1">
      <c r="A84" s="44"/>
      <c r="B84" s="5">
        <f t="shared" si="7"/>
        <v>45536</v>
      </c>
      <c r="C84" s="1" t="s">
        <v>534</v>
      </c>
      <c r="D84" s="195"/>
      <c r="E84" s="118"/>
      <c r="F84" s="2"/>
      <c r="G84" s="3">
        <f t="shared" si="13"/>
        <v>0</v>
      </c>
      <c r="H84" s="202">
        <f t="shared" si="11"/>
        <v>0</v>
      </c>
      <c r="I84" s="200"/>
      <c r="J84" s="7">
        <v>1.6500000000000001E-2</v>
      </c>
      <c r="K84" s="7">
        <v>7.5999999999999998E-2</v>
      </c>
      <c r="L84" s="7">
        <v>0</v>
      </c>
      <c r="M84" s="11">
        <f t="shared" si="2"/>
        <v>0</v>
      </c>
      <c r="N84" s="11">
        <f t="shared" si="3"/>
        <v>0</v>
      </c>
      <c r="O84" s="11">
        <f t="shared" si="4"/>
        <v>0</v>
      </c>
      <c r="P84" s="11">
        <f t="shared" si="5"/>
        <v>0</v>
      </c>
    </row>
    <row r="85" spans="1:16" hidden="1">
      <c r="A85" s="44"/>
      <c r="B85" s="5">
        <f t="shared" ref="B85:B112" si="14">B84</f>
        <v>45536</v>
      </c>
      <c r="C85" s="1" t="s">
        <v>534</v>
      </c>
      <c r="D85" s="195"/>
      <c r="E85" s="118"/>
      <c r="F85" s="2"/>
      <c r="G85" s="3">
        <f t="shared" si="13"/>
        <v>0</v>
      </c>
      <c r="H85" s="202">
        <f t="shared" si="11"/>
        <v>0</v>
      </c>
      <c r="I85" s="200"/>
      <c r="J85" s="7">
        <v>1.6500000000000001E-2</v>
      </c>
      <c r="K85" s="7">
        <v>7.5999999999999998E-2</v>
      </c>
      <c r="L85" s="7">
        <v>0</v>
      </c>
      <c r="M85" s="11">
        <f t="shared" si="2"/>
        <v>0</v>
      </c>
      <c r="N85" s="11">
        <f t="shared" si="3"/>
        <v>0</v>
      </c>
      <c r="O85" s="11">
        <f t="shared" si="4"/>
        <v>0</v>
      </c>
      <c r="P85" s="11">
        <f t="shared" si="5"/>
        <v>0</v>
      </c>
    </row>
    <row r="86" spans="1:16" hidden="1">
      <c r="A86" s="44"/>
      <c r="B86" s="5">
        <f t="shared" si="14"/>
        <v>45536</v>
      </c>
      <c r="C86" s="1" t="s">
        <v>534</v>
      </c>
      <c r="D86" s="195"/>
      <c r="E86" s="118"/>
      <c r="F86" s="2"/>
      <c r="G86" s="3">
        <f t="shared" si="13"/>
        <v>0</v>
      </c>
      <c r="H86" s="202">
        <f t="shared" si="11"/>
        <v>0</v>
      </c>
      <c r="I86" s="200"/>
      <c r="J86" s="7">
        <v>1.6500000000000001E-2</v>
      </c>
      <c r="K86" s="7">
        <v>7.5999999999999998E-2</v>
      </c>
      <c r="L86" s="7">
        <v>0</v>
      </c>
      <c r="M86" s="11">
        <f t="shared" si="2"/>
        <v>0</v>
      </c>
      <c r="N86" s="11">
        <f t="shared" si="3"/>
        <v>0</v>
      </c>
      <c r="O86" s="11">
        <f t="shared" si="4"/>
        <v>0</v>
      </c>
      <c r="P86" s="11">
        <f t="shared" si="5"/>
        <v>0</v>
      </c>
    </row>
    <row r="87" spans="1:16" hidden="1">
      <c r="A87" s="44"/>
      <c r="B87" s="5">
        <f t="shared" si="14"/>
        <v>45536</v>
      </c>
      <c r="C87" s="1" t="s">
        <v>534</v>
      </c>
      <c r="D87" s="195"/>
      <c r="E87" s="118"/>
      <c r="F87" s="2"/>
      <c r="G87" s="3">
        <f t="shared" si="13"/>
        <v>0</v>
      </c>
      <c r="H87" s="202">
        <f t="shared" si="11"/>
        <v>0</v>
      </c>
      <c r="I87" s="200"/>
      <c r="J87" s="7">
        <v>1.6500000000000001E-2</v>
      </c>
      <c r="K87" s="7">
        <v>7.5999999999999998E-2</v>
      </c>
      <c r="L87" s="7">
        <v>0</v>
      </c>
      <c r="M87" s="11">
        <f t="shared" si="2"/>
        <v>0</v>
      </c>
      <c r="N87" s="11">
        <f t="shared" si="3"/>
        <v>0</v>
      </c>
      <c r="O87" s="11">
        <f t="shared" si="4"/>
        <v>0</v>
      </c>
      <c r="P87" s="11">
        <f t="shared" si="5"/>
        <v>0</v>
      </c>
    </row>
    <row r="88" spans="1:16" hidden="1">
      <c r="A88" s="44"/>
      <c r="B88" s="5">
        <f>B87</f>
        <v>45536</v>
      </c>
      <c r="C88" s="1" t="s">
        <v>534</v>
      </c>
      <c r="D88" s="195"/>
      <c r="E88" s="118"/>
      <c r="F88" s="2"/>
      <c r="G88" s="3">
        <f t="shared" si="12"/>
        <v>0</v>
      </c>
      <c r="H88" s="202">
        <f t="shared" si="11"/>
        <v>0</v>
      </c>
      <c r="I88" s="200"/>
      <c r="J88" s="7">
        <v>1.6500000000000001E-2</v>
      </c>
      <c r="K88" s="7">
        <v>7.5999999999999998E-2</v>
      </c>
      <c r="L88" s="7">
        <v>0</v>
      </c>
      <c r="M88" s="11">
        <f t="shared" si="2"/>
        <v>0</v>
      </c>
      <c r="N88" s="11">
        <f t="shared" si="3"/>
        <v>0</v>
      </c>
      <c r="O88" s="11">
        <f t="shared" si="4"/>
        <v>0</v>
      </c>
      <c r="P88" s="11">
        <f t="shared" si="5"/>
        <v>0</v>
      </c>
    </row>
    <row r="89" spans="1:16" hidden="1">
      <c r="A89" s="44"/>
      <c r="B89" s="5">
        <f t="shared" si="14"/>
        <v>45536</v>
      </c>
      <c r="C89" s="1" t="s">
        <v>534</v>
      </c>
      <c r="D89" s="195"/>
      <c r="E89" s="118"/>
      <c r="F89" s="2"/>
      <c r="G89" s="3">
        <f t="shared" si="12"/>
        <v>0</v>
      </c>
      <c r="H89" s="202">
        <f t="shared" si="11"/>
        <v>0</v>
      </c>
      <c r="I89" s="200"/>
      <c r="J89" s="7">
        <v>1.6500000000000001E-2</v>
      </c>
      <c r="K89" s="7">
        <v>7.5999999999999998E-2</v>
      </c>
      <c r="L89" s="7">
        <v>0</v>
      </c>
      <c r="M89" s="11">
        <f t="shared" si="2"/>
        <v>0</v>
      </c>
      <c r="N89" s="11">
        <f t="shared" si="3"/>
        <v>0</v>
      </c>
      <c r="O89" s="11">
        <f t="shared" si="4"/>
        <v>0</v>
      </c>
      <c r="P89" s="11">
        <f t="shared" si="5"/>
        <v>0</v>
      </c>
    </row>
    <row r="90" spans="1:16" hidden="1">
      <c r="A90" s="44"/>
      <c r="B90" s="5">
        <f t="shared" si="14"/>
        <v>45536</v>
      </c>
      <c r="C90" s="1" t="s">
        <v>534</v>
      </c>
      <c r="D90" s="195"/>
      <c r="E90" s="118"/>
      <c r="F90" s="2"/>
      <c r="G90" s="3">
        <f t="shared" si="12"/>
        <v>0</v>
      </c>
      <c r="H90" s="202">
        <f t="shared" si="11"/>
        <v>0</v>
      </c>
      <c r="I90" s="200"/>
      <c r="J90" s="7">
        <v>1.6500000000000001E-2</v>
      </c>
      <c r="K90" s="7">
        <v>7.5999999999999998E-2</v>
      </c>
      <c r="L90" s="7">
        <v>0</v>
      </c>
      <c r="M90" s="11">
        <f t="shared" si="2"/>
        <v>0</v>
      </c>
      <c r="N90" s="11">
        <f t="shared" si="3"/>
        <v>0</v>
      </c>
      <c r="O90" s="11">
        <f t="shared" si="4"/>
        <v>0</v>
      </c>
      <c r="P90" s="11">
        <f t="shared" si="5"/>
        <v>0</v>
      </c>
    </row>
    <row r="91" spans="1:16" hidden="1">
      <c r="A91" s="44"/>
      <c r="B91" s="5">
        <f t="shared" si="14"/>
        <v>45536</v>
      </c>
      <c r="C91" s="1" t="s">
        <v>534</v>
      </c>
      <c r="D91" s="195"/>
      <c r="E91" s="118"/>
      <c r="F91" s="2"/>
      <c r="G91" s="3">
        <f t="shared" si="12"/>
        <v>0</v>
      </c>
      <c r="H91" s="202">
        <f t="shared" si="11"/>
        <v>0</v>
      </c>
      <c r="I91" s="200"/>
      <c r="J91" s="7">
        <v>1.6500000000000001E-2</v>
      </c>
      <c r="K91" s="7">
        <v>7.5999999999999998E-2</v>
      </c>
      <c r="L91" s="7">
        <v>0</v>
      </c>
      <c r="M91" s="11">
        <f t="shared" si="2"/>
        <v>0</v>
      </c>
      <c r="N91" s="11">
        <f t="shared" si="3"/>
        <v>0</v>
      </c>
      <c r="O91" s="11">
        <f t="shared" si="4"/>
        <v>0</v>
      </c>
      <c r="P91" s="11">
        <f t="shared" si="5"/>
        <v>0</v>
      </c>
    </row>
    <row r="92" spans="1:16" hidden="1">
      <c r="A92" s="44"/>
      <c r="B92" s="5">
        <f t="shared" si="14"/>
        <v>45536</v>
      </c>
      <c r="C92" s="1" t="s">
        <v>534</v>
      </c>
      <c r="D92" s="195"/>
      <c r="E92" s="118"/>
      <c r="F92" s="2"/>
      <c r="G92" s="3">
        <f t="shared" ref="G92:G249" si="15">F92-SUM(M92:P92)</f>
        <v>0</v>
      </c>
      <c r="H92" s="202">
        <f t="shared" si="11"/>
        <v>0</v>
      </c>
      <c r="I92" s="200"/>
      <c r="J92" s="7">
        <v>1.6500000000000001E-2</v>
      </c>
      <c r="K92" s="7">
        <v>7.5999999999999998E-2</v>
      </c>
      <c r="L92" s="7">
        <v>0</v>
      </c>
      <c r="M92" s="11">
        <f t="shared" si="2"/>
        <v>0</v>
      </c>
      <c r="N92" s="11">
        <f t="shared" si="3"/>
        <v>0</v>
      </c>
      <c r="O92" s="11">
        <f t="shared" si="4"/>
        <v>0</v>
      </c>
      <c r="P92" s="11">
        <f t="shared" si="5"/>
        <v>0</v>
      </c>
    </row>
    <row r="93" spans="1:16" hidden="1">
      <c r="A93" s="44"/>
      <c r="B93" s="5">
        <f t="shared" si="14"/>
        <v>45536</v>
      </c>
      <c r="C93" s="1" t="s">
        <v>534</v>
      </c>
      <c r="D93" s="195"/>
      <c r="E93" s="118"/>
      <c r="F93" s="2"/>
      <c r="G93" s="3">
        <f t="shared" si="15"/>
        <v>0</v>
      </c>
      <c r="H93" s="202">
        <f t="shared" si="11"/>
        <v>0</v>
      </c>
      <c r="I93" s="200"/>
      <c r="J93" s="7">
        <v>1.6500000000000001E-2</v>
      </c>
      <c r="K93" s="7">
        <v>7.5999999999999998E-2</v>
      </c>
      <c r="L93" s="7">
        <v>0</v>
      </c>
      <c r="M93" s="11">
        <f t="shared" si="2"/>
        <v>0</v>
      </c>
      <c r="N93" s="11">
        <f t="shared" si="3"/>
        <v>0</v>
      </c>
      <c r="O93" s="11">
        <f t="shared" si="4"/>
        <v>0</v>
      </c>
      <c r="P93" s="11">
        <f t="shared" si="5"/>
        <v>0</v>
      </c>
    </row>
    <row r="94" spans="1:16" hidden="1">
      <c r="A94" s="44"/>
      <c r="B94" s="5">
        <f t="shared" si="14"/>
        <v>45536</v>
      </c>
      <c r="C94" s="1" t="s">
        <v>534</v>
      </c>
      <c r="D94" s="195"/>
      <c r="E94" s="118"/>
      <c r="F94" s="2"/>
      <c r="G94" s="3">
        <f t="shared" si="15"/>
        <v>0</v>
      </c>
      <c r="H94" s="202">
        <f t="shared" si="11"/>
        <v>0</v>
      </c>
      <c r="I94" s="200"/>
      <c r="J94" s="7">
        <v>1.6500000000000001E-2</v>
      </c>
      <c r="K94" s="7">
        <v>7.5999999999999998E-2</v>
      </c>
      <c r="L94" s="7">
        <v>0</v>
      </c>
      <c r="M94" s="11">
        <f t="shared" si="2"/>
        <v>0</v>
      </c>
      <c r="N94" s="11">
        <f t="shared" si="3"/>
        <v>0</v>
      </c>
      <c r="O94" s="11">
        <f t="shared" si="4"/>
        <v>0</v>
      </c>
      <c r="P94" s="11">
        <f t="shared" si="5"/>
        <v>0</v>
      </c>
    </row>
    <row r="95" spans="1:16" hidden="1">
      <c r="A95" s="44"/>
      <c r="B95" s="5">
        <f t="shared" si="14"/>
        <v>45536</v>
      </c>
      <c r="C95" s="1" t="s">
        <v>534</v>
      </c>
      <c r="D95" s="195"/>
      <c r="E95" s="118"/>
      <c r="F95" s="2"/>
      <c r="G95" s="3">
        <f t="shared" si="15"/>
        <v>0</v>
      </c>
      <c r="H95" s="202">
        <f t="shared" si="11"/>
        <v>0</v>
      </c>
      <c r="I95" s="200"/>
      <c r="J95" s="7">
        <v>1.6500000000000001E-2</v>
      </c>
      <c r="K95" s="7">
        <v>7.5999999999999998E-2</v>
      </c>
      <c r="L95" s="7">
        <v>0</v>
      </c>
      <c r="M95" s="11">
        <f t="shared" si="2"/>
        <v>0</v>
      </c>
      <c r="N95" s="11">
        <f t="shared" si="3"/>
        <v>0</v>
      </c>
      <c r="O95" s="11">
        <f t="shared" si="4"/>
        <v>0</v>
      </c>
      <c r="P95" s="11">
        <f t="shared" si="5"/>
        <v>0</v>
      </c>
    </row>
    <row r="96" spans="1:16" hidden="1">
      <c r="A96" s="44"/>
      <c r="B96" s="5">
        <f t="shared" si="14"/>
        <v>45536</v>
      </c>
      <c r="C96" s="1" t="s">
        <v>534</v>
      </c>
      <c r="D96" s="195"/>
      <c r="E96" s="118"/>
      <c r="F96" s="2"/>
      <c r="G96" s="3">
        <f t="shared" si="15"/>
        <v>0</v>
      </c>
      <c r="H96" s="202">
        <f t="shared" si="11"/>
        <v>0</v>
      </c>
      <c r="I96" s="200"/>
      <c r="J96" s="7">
        <v>1.6500000000000001E-2</v>
      </c>
      <c r="K96" s="7">
        <v>7.5999999999999998E-2</v>
      </c>
      <c r="L96" s="7">
        <v>0</v>
      </c>
      <c r="M96" s="11">
        <f t="shared" si="2"/>
        <v>0</v>
      </c>
      <c r="N96" s="11">
        <f t="shared" si="3"/>
        <v>0</v>
      </c>
      <c r="O96" s="11">
        <f t="shared" si="4"/>
        <v>0</v>
      </c>
      <c r="P96" s="11">
        <f t="shared" si="5"/>
        <v>0</v>
      </c>
    </row>
    <row r="97" spans="1:16" hidden="1">
      <c r="A97" s="44"/>
      <c r="B97" s="5">
        <f t="shared" si="14"/>
        <v>45536</v>
      </c>
      <c r="C97" s="1" t="s">
        <v>534</v>
      </c>
      <c r="D97" s="195"/>
      <c r="E97" s="118"/>
      <c r="F97" s="2"/>
      <c r="G97" s="3">
        <f t="shared" si="15"/>
        <v>0</v>
      </c>
      <c r="H97" s="202">
        <f t="shared" si="11"/>
        <v>0</v>
      </c>
      <c r="I97" s="200"/>
      <c r="J97" s="7">
        <v>1.6500000000000001E-2</v>
      </c>
      <c r="K97" s="7">
        <v>7.5999999999999998E-2</v>
      </c>
      <c r="L97" s="7">
        <v>0</v>
      </c>
      <c r="M97" s="11">
        <f t="shared" si="2"/>
        <v>0</v>
      </c>
      <c r="N97" s="11">
        <f t="shared" si="3"/>
        <v>0</v>
      </c>
      <c r="O97" s="11">
        <f t="shared" si="4"/>
        <v>0</v>
      </c>
      <c r="P97" s="11">
        <f t="shared" si="5"/>
        <v>0</v>
      </c>
    </row>
    <row r="98" spans="1:16" hidden="1">
      <c r="A98" s="44"/>
      <c r="B98" s="5">
        <f t="shared" si="14"/>
        <v>45536</v>
      </c>
      <c r="C98" s="1" t="s">
        <v>534</v>
      </c>
      <c r="D98" s="195"/>
      <c r="E98" s="118"/>
      <c r="F98" s="2"/>
      <c r="G98" s="3">
        <f t="shared" si="15"/>
        <v>0</v>
      </c>
      <c r="H98" s="202">
        <f t="shared" si="11"/>
        <v>0</v>
      </c>
      <c r="I98" s="200"/>
      <c r="J98" s="7">
        <v>1.6500000000000001E-2</v>
      </c>
      <c r="K98" s="7">
        <v>7.5999999999999998E-2</v>
      </c>
      <c r="L98" s="7">
        <v>0</v>
      </c>
      <c r="M98" s="11">
        <f t="shared" si="2"/>
        <v>0</v>
      </c>
      <c r="N98" s="11">
        <f t="shared" si="3"/>
        <v>0</v>
      </c>
      <c r="O98" s="11">
        <f t="shared" si="4"/>
        <v>0</v>
      </c>
      <c r="P98" s="11">
        <f t="shared" si="5"/>
        <v>0</v>
      </c>
    </row>
    <row r="99" spans="1:16" hidden="1">
      <c r="A99" s="44"/>
      <c r="B99" s="5">
        <f t="shared" si="14"/>
        <v>45536</v>
      </c>
      <c r="C99" s="1" t="s">
        <v>534</v>
      </c>
      <c r="D99" s="195"/>
      <c r="E99" s="118"/>
      <c r="F99" s="2"/>
      <c r="G99" s="3">
        <f t="shared" si="15"/>
        <v>0</v>
      </c>
      <c r="H99" s="202">
        <f t="shared" si="11"/>
        <v>0</v>
      </c>
      <c r="I99" s="200"/>
      <c r="J99" s="7">
        <v>1.6500000000000001E-2</v>
      </c>
      <c r="K99" s="7">
        <v>7.5999999999999998E-2</v>
      </c>
      <c r="L99" s="7">
        <v>0</v>
      </c>
      <c r="M99" s="11">
        <f>+I99*F99</f>
        <v>0</v>
      </c>
      <c r="N99" s="11">
        <f t="shared" si="3"/>
        <v>0</v>
      </c>
      <c r="O99" s="11">
        <f t="shared" si="4"/>
        <v>0</v>
      </c>
      <c r="P99" s="11">
        <f t="shared" si="5"/>
        <v>0</v>
      </c>
    </row>
    <row r="100" spans="1:16" hidden="1">
      <c r="A100" s="44"/>
      <c r="B100" s="5">
        <f t="shared" si="14"/>
        <v>45536</v>
      </c>
      <c r="C100" s="1" t="s">
        <v>534</v>
      </c>
      <c r="D100" s="195"/>
      <c r="E100" s="118"/>
      <c r="F100" s="2"/>
      <c r="G100" s="3">
        <f t="shared" si="15"/>
        <v>0</v>
      </c>
      <c r="H100" s="202">
        <f t="shared" si="11"/>
        <v>0</v>
      </c>
      <c r="I100" s="200"/>
      <c r="J100" s="7">
        <v>1.6500000000000001E-2</v>
      </c>
      <c r="K100" s="7">
        <v>7.5999999999999998E-2</v>
      </c>
      <c r="L100" s="7">
        <v>0</v>
      </c>
      <c r="M100" s="11">
        <f t="shared" si="2"/>
        <v>0</v>
      </c>
      <c r="N100" s="11">
        <f t="shared" si="3"/>
        <v>0</v>
      </c>
      <c r="O100" s="11">
        <f t="shared" si="4"/>
        <v>0</v>
      </c>
      <c r="P100" s="11">
        <f t="shared" si="5"/>
        <v>0</v>
      </c>
    </row>
    <row r="101" spans="1:16" hidden="1">
      <c r="A101" s="44"/>
      <c r="B101" s="5">
        <f t="shared" si="14"/>
        <v>45536</v>
      </c>
      <c r="C101" s="1" t="s">
        <v>534</v>
      </c>
      <c r="D101" s="195"/>
      <c r="E101" s="118"/>
      <c r="F101" s="2"/>
      <c r="G101" s="3">
        <f t="shared" si="15"/>
        <v>0</v>
      </c>
      <c r="H101" s="202">
        <f t="shared" si="11"/>
        <v>0</v>
      </c>
      <c r="I101" s="200"/>
      <c r="J101" s="7">
        <v>1.6500000000000001E-2</v>
      </c>
      <c r="K101" s="7">
        <v>7.5999999999999998E-2</v>
      </c>
      <c r="L101" s="7">
        <v>0</v>
      </c>
      <c r="M101" s="11">
        <f t="shared" si="2"/>
        <v>0</v>
      </c>
      <c r="N101" s="11">
        <f t="shared" si="3"/>
        <v>0</v>
      </c>
      <c r="O101" s="11">
        <f t="shared" si="4"/>
        <v>0</v>
      </c>
      <c r="P101" s="11">
        <f t="shared" si="5"/>
        <v>0</v>
      </c>
    </row>
    <row r="102" spans="1:16" hidden="1">
      <c r="A102" s="44"/>
      <c r="B102" s="5">
        <f t="shared" si="14"/>
        <v>45536</v>
      </c>
      <c r="C102" s="1" t="s">
        <v>534</v>
      </c>
      <c r="D102" s="195"/>
      <c r="E102" s="118"/>
      <c r="F102" s="2"/>
      <c r="G102" s="3">
        <f t="shared" si="15"/>
        <v>0</v>
      </c>
      <c r="H102" s="202">
        <f t="shared" ref="H102:H114" si="16">+IF(G102=0,0,G102/E102)</f>
        <v>0</v>
      </c>
      <c r="I102" s="200"/>
      <c r="J102" s="7">
        <v>1.6500000000000001E-2</v>
      </c>
      <c r="K102" s="7">
        <v>7.5999999999999998E-2</v>
      </c>
      <c r="L102" s="7">
        <v>0</v>
      </c>
      <c r="M102" s="11">
        <f t="shared" si="2"/>
        <v>0</v>
      </c>
      <c r="N102" s="11">
        <f t="shared" si="3"/>
        <v>0</v>
      </c>
      <c r="O102" s="11">
        <f t="shared" si="4"/>
        <v>0</v>
      </c>
      <c r="P102" s="11">
        <f t="shared" si="5"/>
        <v>0</v>
      </c>
    </row>
    <row r="103" spans="1:16" hidden="1">
      <c r="A103" s="44"/>
      <c r="B103" s="5">
        <f t="shared" si="14"/>
        <v>45536</v>
      </c>
      <c r="C103" s="1" t="s">
        <v>534</v>
      </c>
      <c r="D103" s="195"/>
      <c r="E103" s="118"/>
      <c r="F103" s="2"/>
      <c r="G103" s="3">
        <f t="shared" si="15"/>
        <v>0</v>
      </c>
      <c r="H103" s="202">
        <f t="shared" si="16"/>
        <v>0</v>
      </c>
      <c r="I103" s="200"/>
      <c r="J103" s="7">
        <v>1.6500000000000001E-2</v>
      </c>
      <c r="K103" s="7">
        <v>7.5999999999999998E-2</v>
      </c>
      <c r="L103" s="7">
        <v>0</v>
      </c>
      <c r="M103" s="11">
        <f t="shared" si="2"/>
        <v>0</v>
      </c>
      <c r="N103" s="11">
        <f t="shared" si="3"/>
        <v>0</v>
      </c>
      <c r="O103" s="11">
        <f t="shared" si="4"/>
        <v>0</v>
      </c>
      <c r="P103" s="11">
        <f t="shared" si="5"/>
        <v>0</v>
      </c>
    </row>
    <row r="104" spans="1:16" hidden="1">
      <c r="A104" s="44"/>
      <c r="B104" s="5">
        <f t="shared" si="14"/>
        <v>45536</v>
      </c>
      <c r="C104" s="1" t="s">
        <v>534</v>
      </c>
      <c r="D104" s="195"/>
      <c r="E104" s="118"/>
      <c r="F104" s="2"/>
      <c r="G104" s="3">
        <f t="shared" si="15"/>
        <v>0</v>
      </c>
      <c r="H104" s="202">
        <f t="shared" si="16"/>
        <v>0</v>
      </c>
      <c r="I104" s="200"/>
      <c r="J104" s="7">
        <v>1.6500000000000001E-2</v>
      </c>
      <c r="K104" s="7">
        <v>7.5999999999999998E-2</v>
      </c>
      <c r="L104" s="7">
        <v>0</v>
      </c>
      <c r="M104" s="11">
        <f t="shared" si="2"/>
        <v>0</v>
      </c>
      <c r="N104" s="11">
        <f t="shared" si="3"/>
        <v>0</v>
      </c>
      <c r="O104" s="11">
        <f t="shared" si="4"/>
        <v>0</v>
      </c>
      <c r="P104" s="11">
        <f t="shared" si="5"/>
        <v>0</v>
      </c>
    </row>
    <row r="105" spans="1:16" hidden="1">
      <c r="A105" s="44"/>
      <c r="B105" s="5">
        <f t="shared" si="14"/>
        <v>45536</v>
      </c>
      <c r="C105" s="1" t="s">
        <v>534</v>
      </c>
      <c r="D105" s="195"/>
      <c r="E105" s="118"/>
      <c r="F105" s="2"/>
      <c r="G105" s="3">
        <f t="shared" si="15"/>
        <v>0</v>
      </c>
      <c r="H105" s="202">
        <f t="shared" si="16"/>
        <v>0</v>
      </c>
      <c r="I105" s="200"/>
      <c r="J105" s="7">
        <v>1.6500000000000001E-2</v>
      </c>
      <c r="K105" s="7">
        <v>7.5999999999999998E-2</v>
      </c>
      <c r="L105" s="7">
        <v>0</v>
      </c>
      <c r="M105" s="11">
        <f t="shared" si="2"/>
        <v>0</v>
      </c>
      <c r="N105" s="11">
        <f t="shared" si="3"/>
        <v>0</v>
      </c>
      <c r="O105" s="11">
        <f t="shared" si="4"/>
        <v>0</v>
      </c>
      <c r="P105" s="11">
        <f t="shared" si="5"/>
        <v>0</v>
      </c>
    </row>
    <row r="106" spans="1:16" hidden="1">
      <c r="A106" s="44"/>
      <c r="B106" s="5">
        <f t="shared" si="14"/>
        <v>45536</v>
      </c>
      <c r="C106" s="1" t="s">
        <v>534</v>
      </c>
      <c r="D106" s="195"/>
      <c r="E106" s="118"/>
      <c r="F106" s="2"/>
      <c r="G106" s="3">
        <f t="shared" si="15"/>
        <v>0</v>
      </c>
      <c r="H106" s="202">
        <f t="shared" si="16"/>
        <v>0</v>
      </c>
      <c r="I106" s="200"/>
      <c r="J106" s="7">
        <v>1.6500000000000001E-2</v>
      </c>
      <c r="K106" s="7">
        <v>7.5999999999999998E-2</v>
      </c>
      <c r="L106" s="7">
        <v>0</v>
      </c>
      <c r="M106" s="11">
        <f t="shared" si="2"/>
        <v>0</v>
      </c>
      <c r="N106" s="11">
        <f t="shared" si="3"/>
        <v>0</v>
      </c>
      <c r="O106" s="11">
        <f t="shared" si="4"/>
        <v>0</v>
      </c>
      <c r="P106" s="11">
        <f t="shared" si="5"/>
        <v>0</v>
      </c>
    </row>
    <row r="107" spans="1:16" hidden="1">
      <c r="A107" s="44"/>
      <c r="B107" s="5">
        <f t="shared" si="14"/>
        <v>45536</v>
      </c>
      <c r="C107" s="1" t="s">
        <v>534</v>
      </c>
      <c r="D107" s="195"/>
      <c r="E107" s="118"/>
      <c r="F107" s="2"/>
      <c r="G107" s="3">
        <f t="shared" si="15"/>
        <v>0</v>
      </c>
      <c r="H107" s="202">
        <f t="shared" si="16"/>
        <v>0</v>
      </c>
      <c r="I107" s="200"/>
      <c r="J107" s="7">
        <v>1.6500000000000001E-2</v>
      </c>
      <c r="K107" s="7">
        <v>7.5999999999999998E-2</v>
      </c>
      <c r="L107" s="7">
        <v>0</v>
      </c>
      <c r="M107" s="11">
        <f t="shared" si="2"/>
        <v>0</v>
      </c>
      <c r="N107" s="11">
        <f t="shared" si="3"/>
        <v>0</v>
      </c>
      <c r="O107" s="11">
        <f t="shared" si="4"/>
        <v>0</v>
      </c>
      <c r="P107" s="11">
        <f t="shared" si="5"/>
        <v>0</v>
      </c>
    </row>
    <row r="108" spans="1:16" hidden="1">
      <c r="A108" s="44"/>
      <c r="B108" s="5">
        <f t="shared" si="14"/>
        <v>45536</v>
      </c>
      <c r="C108" s="1" t="s">
        <v>534</v>
      </c>
      <c r="D108" s="195"/>
      <c r="E108" s="118"/>
      <c r="F108" s="2"/>
      <c r="G108" s="3">
        <f t="shared" si="15"/>
        <v>0</v>
      </c>
      <c r="H108" s="202">
        <f t="shared" si="16"/>
        <v>0</v>
      </c>
      <c r="I108" s="200"/>
      <c r="J108" s="7">
        <v>1.6500000000000001E-2</v>
      </c>
      <c r="K108" s="7">
        <v>7.5999999999999998E-2</v>
      </c>
      <c r="L108" s="7">
        <v>0</v>
      </c>
      <c r="M108" s="11">
        <f t="shared" si="2"/>
        <v>0</v>
      </c>
      <c r="N108" s="11">
        <f t="shared" si="3"/>
        <v>0</v>
      </c>
      <c r="O108" s="11">
        <f t="shared" si="4"/>
        <v>0</v>
      </c>
      <c r="P108" s="11">
        <f t="shared" si="5"/>
        <v>0</v>
      </c>
    </row>
    <row r="109" spans="1:16" hidden="1">
      <c r="A109" s="44"/>
      <c r="B109" s="5">
        <f t="shared" si="14"/>
        <v>45536</v>
      </c>
      <c r="C109" s="1" t="s">
        <v>534</v>
      </c>
      <c r="D109" s="195"/>
      <c r="E109" s="118"/>
      <c r="F109" s="2"/>
      <c r="G109" s="3">
        <f t="shared" si="15"/>
        <v>0</v>
      </c>
      <c r="H109" s="202">
        <f t="shared" si="16"/>
        <v>0</v>
      </c>
      <c r="I109" s="200"/>
      <c r="J109" s="7">
        <v>1.6500000000000001E-2</v>
      </c>
      <c r="K109" s="7">
        <v>7.5999999999999998E-2</v>
      </c>
      <c r="L109" s="7">
        <v>0</v>
      </c>
      <c r="M109" s="11">
        <f t="shared" si="2"/>
        <v>0</v>
      </c>
      <c r="N109" s="11">
        <f t="shared" si="3"/>
        <v>0</v>
      </c>
      <c r="O109" s="11">
        <f t="shared" si="4"/>
        <v>0</v>
      </c>
      <c r="P109" s="11">
        <f t="shared" si="5"/>
        <v>0</v>
      </c>
    </row>
    <row r="110" spans="1:16" hidden="1">
      <c r="A110" s="44"/>
      <c r="B110" s="5">
        <f t="shared" si="14"/>
        <v>45536</v>
      </c>
      <c r="C110" s="1" t="s">
        <v>534</v>
      </c>
      <c r="D110" s="195"/>
      <c r="E110" s="118"/>
      <c r="F110" s="2"/>
      <c r="G110" s="3">
        <f t="shared" si="15"/>
        <v>0</v>
      </c>
      <c r="H110" s="202">
        <f t="shared" si="16"/>
        <v>0</v>
      </c>
      <c r="I110" s="200"/>
      <c r="J110" s="7">
        <v>1.6500000000000001E-2</v>
      </c>
      <c r="K110" s="7">
        <v>7.5999999999999998E-2</v>
      </c>
      <c r="L110" s="7">
        <v>0</v>
      </c>
      <c r="M110" s="11">
        <f t="shared" si="2"/>
        <v>0</v>
      </c>
      <c r="N110" s="11">
        <f t="shared" si="3"/>
        <v>0</v>
      </c>
      <c r="O110" s="11">
        <f t="shared" si="4"/>
        <v>0</v>
      </c>
      <c r="P110" s="11">
        <f t="shared" si="5"/>
        <v>0</v>
      </c>
    </row>
    <row r="111" spans="1:16" hidden="1">
      <c r="A111" s="44"/>
      <c r="B111" s="5">
        <f t="shared" si="14"/>
        <v>45536</v>
      </c>
      <c r="C111" s="1"/>
      <c r="D111" s="195"/>
      <c r="E111" s="118"/>
      <c r="F111" s="2"/>
      <c r="G111" s="3">
        <f t="shared" si="15"/>
        <v>0</v>
      </c>
      <c r="H111" s="202">
        <f t="shared" si="16"/>
        <v>0</v>
      </c>
      <c r="I111" s="200">
        <v>0.12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0</v>
      </c>
      <c r="N111" s="11">
        <f t="shared" si="3"/>
        <v>0</v>
      </c>
      <c r="O111" s="11">
        <f t="shared" si="4"/>
        <v>0</v>
      </c>
      <c r="P111" s="11">
        <f t="shared" si="5"/>
        <v>0</v>
      </c>
    </row>
    <row r="112" spans="1:16" hidden="1">
      <c r="A112" s="44"/>
      <c r="B112" s="5">
        <f t="shared" si="14"/>
        <v>45536</v>
      </c>
      <c r="C112" s="1" t="s">
        <v>689</v>
      </c>
      <c r="D112" s="195"/>
      <c r="E112" s="118"/>
      <c r="F112" s="2"/>
      <c r="G112" s="3">
        <f t="shared" si="15"/>
        <v>0</v>
      </c>
      <c r="H112" s="202">
        <f t="shared" si="16"/>
        <v>0</v>
      </c>
      <c r="I112" s="200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0</v>
      </c>
      <c r="N112" s="11">
        <f t="shared" si="3"/>
        <v>0</v>
      </c>
      <c r="O112" s="11">
        <f t="shared" si="4"/>
        <v>0</v>
      </c>
      <c r="P112" s="11">
        <f t="shared" si="5"/>
        <v>0</v>
      </c>
    </row>
    <row r="113" spans="1:16" ht="15" hidden="1" customHeight="1">
      <c r="A113" s="44"/>
      <c r="B113" s="5">
        <f>B112</f>
        <v>45536</v>
      </c>
      <c r="C113" s="1" t="s">
        <v>533</v>
      </c>
      <c r="D113" s="195"/>
      <c r="E113" s="118"/>
      <c r="F113" s="2"/>
      <c r="G113" s="3">
        <f t="shared" si="15"/>
        <v>0</v>
      </c>
      <c r="H113" s="202">
        <f t="shared" si="16"/>
        <v>0</v>
      </c>
      <c r="I113" s="7">
        <v>7.0000000000000007E-2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0</v>
      </c>
      <c r="N113" s="11">
        <f t="shared" si="3"/>
        <v>0</v>
      </c>
      <c r="O113" s="11">
        <f t="shared" si="4"/>
        <v>0</v>
      </c>
      <c r="P113" s="11">
        <f t="shared" si="5"/>
        <v>0</v>
      </c>
    </row>
    <row r="114" spans="1:16" ht="15" hidden="1" customHeight="1">
      <c r="A114" s="44"/>
      <c r="B114" s="5">
        <f>B113</f>
        <v>45536</v>
      </c>
      <c r="C114" s="1" t="s">
        <v>533</v>
      </c>
      <c r="D114" s="195"/>
      <c r="E114" s="118"/>
      <c r="F114" s="2"/>
      <c r="G114" s="3">
        <f t="shared" si="15"/>
        <v>0</v>
      </c>
      <c r="H114" s="202">
        <f t="shared" si="16"/>
        <v>0</v>
      </c>
      <c r="I114" s="7">
        <v>7.0000000000000007E-2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0</v>
      </c>
      <c r="N114" s="11">
        <f t="shared" si="3"/>
        <v>0</v>
      </c>
      <c r="O114" s="11">
        <f t="shared" si="4"/>
        <v>0</v>
      </c>
      <c r="P114" s="11">
        <f t="shared" si="5"/>
        <v>0</v>
      </c>
    </row>
    <row r="115" spans="1:16" ht="15" customHeight="1">
      <c r="A115" s="44"/>
      <c r="B115" s="5">
        <f t="shared" ref="B115:B178" si="17">B114</f>
        <v>45536</v>
      </c>
      <c r="C115" s="1" t="s">
        <v>533</v>
      </c>
      <c r="D115" s="195">
        <v>4761</v>
      </c>
      <c r="E115" s="186"/>
      <c r="F115" s="2">
        <v>138235.5</v>
      </c>
      <c r="G115" s="3">
        <f t="shared" si="15"/>
        <v>110394.87030000001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16588.259999999998</v>
      </c>
      <c r="N115" s="11">
        <f t="shared" si="3"/>
        <v>2007.1794600000003</v>
      </c>
      <c r="O115" s="11">
        <f t="shared" si="4"/>
        <v>9245.1902399999999</v>
      </c>
      <c r="P115" s="11">
        <f t="shared" si="5"/>
        <v>0</v>
      </c>
    </row>
    <row r="116" spans="1:16" ht="15" customHeight="1">
      <c r="A116" s="44"/>
      <c r="B116" s="5">
        <f t="shared" si="17"/>
        <v>45536</v>
      </c>
      <c r="C116" s="1" t="s">
        <v>533</v>
      </c>
      <c r="D116" s="195">
        <v>4762</v>
      </c>
      <c r="E116" s="186"/>
      <c r="F116" s="2">
        <v>5585.62</v>
      </c>
      <c r="G116" s="3">
        <f t="shared" si="15"/>
        <v>4460.6761320000005</v>
      </c>
      <c r="H116" s="187"/>
      <c r="I116" s="7">
        <v>0.12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670.27440000000001</v>
      </c>
      <c r="N116" s="11">
        <f t="shared" si="3"/>
        <v>81.103202400000001</v>
      </c>
      <c r="O116" s="11">
        <f t="shared" si="4"/>
        <v>373.56626559999995</v>
      </c>
      <c r="P116" s="11">
        <f t="shared" si="5"/>
        <v>0</v>
      </c>
    </row>
    <row r="117" spans="1:16" ht="15" customHeight="1">
      <c r="A117" s="44"/>
      <c r="B117" s="5">
        <f t="shared" si="17"/>
        <v>45536</v>
      </c>
      <c r="C117" s="1" t="s">
        <v>533</v>
      </c>
      <c r="D117" s="195">
        <v>4763</v>
      </c>
      <c r="E117" s="186"/>
      <c r="F117" s="2">
        <v>27887.360000000001</v>
      </c>
      <c r="G117" s="3">
        <f t="shared" si="15"/>
        <v>22270.845696</v>
      </c>
      <c r="H117" s="187"/>
      <c r="I117" s="7">
        <v>0.12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3346.4832000000001</v>
      </c>
      <c r="N117" s="11">
        <f t="shared" si="3"/>
        <v>404.92446720000004</v>
      </c>
      <c r="O117" s="11">
        <f t="shared" si="4"/>
        <v>1865.1066368000002</v>
      </c>
      <c r="P117" s="11">
        <f t="shared" si="5"/>
        <v>0</v>
      </c>
    </row>
    <row r="118" spans="1:16" ht="15" customHeight="1">
      <c r="A118" s="44"/>
      <c r="B118" s="5">
        <f t="shared" si="17"/>
        <v>45536</v>
      </c>
      <c r="C118" s="1" t="s">
        <v>533</v>
      </c>
      <c r="D118" s="195">
        <v>4764</v>
      </c>
      <c r="E118" s="186"/>
      <c r="F118" s="2">
        <v>201263.77</v>
      </c>
      <c r="G118" s="3">
        <f t="shared" si="15"/>
        <v>160729.24672199998</v>
      </c>
      <c r="H118" s="187"/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24151.652399999999</v>
      </c>
      <c r="N118" s="11">
        <f t="shared" si="3"/>
        <v>2922.3499403999999</v>
      </c>
      <c r="O118" s="11">
        <f t="shared" si="4"/>
        <v>13460.5209376</v>
      </c>
      <c r="P118" s="11">
        <f t="shared" si="5"/>
        <v>0</v>
      </c>
    </row>
    <row r="119" spans="1:16" ht="15" customHeight="1">
      <c r="A119" s="44"/>
      <c r="B119" s="5">
        <f t="shared" si="17"/>
        <v>45536</v>
      </c>
      <c r="C119" s="1" t="s">
        <v>533</v>
      </c>
      <c r="D119" s="195">
        <v>4765</v>
      </c>
      <c r="E119" s="186"/>
      <c r="F119" s="2">
        <v>8428.9699999999993</v>
      </c>
      <c r="G119" s="3">
        <f t="shared" si="15"/>
        <v>6731.3754419999996</v>
      </c>
      <c r="H119" s="187"/>
      <c r="I119" s="7">
        <v>0.12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1011.4763999999999</v>
      </c>
      <c r="N119" s="11">
        <f t="shared" si="3"/>
        <v>122.3886444</v>
      </c>
      <c r="O119" s="11">
        <f t="shared" si="4"/>
        <v>563.72951360000002</v>
      </c>
      <c r="P119" s="11">
        <f t="shared" si="5"/>
        <v>0</v>
      </c>
    </row>
    <row r="120" spans="1:16" ht="15" customHeight="1">
      <c r="A120" s="44"/>
      <c r="B120" s="5">
        <f t="shared" si="17"/>
        <v>45536</v>
      </c>
      <c r="C120" s="1" t="s">
        <v>533</v>
      </c>
      <c r="D120" s="195">
        <v>4766</v>
      </c>
      <c r="E120" s="186"/>
      <c r="F120" s="2">
        <v>41656.980000000003</v>
      </c>
      <c r="G120" s="3">
        <f t="shared" si="15"/>
        <v>33267.264228</v>
      </c>
      <c r="H120" s="187"/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4998.8375999999998</v>
      </c>
      <c r="N120" s="11">
        <f t="shared" si="3"/>
        <v>604.85934960000009</v>
      </c>
      <c r="O120" s="11">
        <f t="shared" si="4"/>
        <v>2786.0188224000003</v>
      </c>
      <c r="P120" s="11">
        <f t="shared" si="5"/>
        <v>0</v>
      </c>
    </row>
    <row r="121" spans="1:16" ht="15" customHeight="1">
      <c r="A121" s="44"/>
      <c r="B121" s="5">
        <f t="shared" si="17"/>
        <v>45536</v>
      </c>
      <c r="C121" s="1" t="s">
        <v>533</v>
      </c>
      <c r="D121" s="195">
        <v>4767</v>
      </c>
      <c r="E121" s="186"/>
      <c r="F121" s="2">
        <v>97089.17</v>
      </c>
      <c r="G121" s="3">
        <f t="shared" si="15"/>
        <v>77535.411162000004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11650.7004</v>
      </c>
      <c r="N121" s="11">
        <f t="shared" si="3"/>
        <v>1409.7347483999999</v>
      </c>
      <c r="O121" s="11">
        <f t="shared" si="4"/>
        <v>6493.3236895999999</v>
      </c>
      <c r="P121" s="11">
        <f t="shared" si="5"/>
        <v>0</v>
      </c>
    </row>
    <row r="122" spans="1:16" ht="15" customHeight="1">
      <c r="A122" s="44"/>
      <c r="B122" s="5">
        <f t="shared" si="17"/>
        <v>45536</v>
      </c>
      <c r="C122" s="1" t="s">
        <v>533</v>
      </c>
      <c r="D122" s="195">
        <v>4768</v>
      </c>
      <c r="E122" s="186"/>
      <c r="F122" s="2">
        <v>12214.74</v>
      </c>
      <c r="G122" s="3">
        <f t="shared" si="15"/>
        <v>9754.6913640000002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1465.7687999999998</v>
      </c>
      <c r="N122" s="11">
        <f t="shared" si="3"/>
        <v>177.35802480000001</v>
      </c>
      <c r="O122" s="11">
        <f t="shared" si="4"/>
        <v>816.92181119999998</v>
      </c>
      <c r="P122" s="11">
        <f t="shared" si="5"/>
        <v>0</v>
      </c>
    </row>
    <row r="123" spans="1:16" ht="15" customHeight="1">
      <c r="A123" s="44"/>
      <c r="B123" s="5">
        <f t="shared" si="17"/>
        <v>45536</v>
      </c>
      <c r="C123" s="1" t="s">
        <v>533</v>
      </c>
      <c r="D123" s="195">
        <v>4769</v>
      </c>
      <c r="E123" s="186"/>
      <c r="F123" s="2">
        <v>27435.43</v>
      </c>
      <c r="G123" s="3">
        <f t="shared" si="15"/>
        <v>21909.934398000001</v>
      </c>
      <c r="H123" s="187"/>
      <c r="I123" s="7">
        <v>0.12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3292.2516000000001</v>
      </c>
      <c r="N123" s="11">
        <f t="shared" si="3"/>
        <v>398.36244360000001</v>
      </c>
      <c r="O123" s="11">
        <f t="shared" si="4"/>
        <v>1834.8815583999999</v>
      </c>
      <c r="P123" s="11">
        <f t="shared" si="5"/>
        <v>0</v>
      </c>
    </row>
    <row r="124" spans="1:16" ht="15" customHeight="1">
      <c r="A124" s="44"/>
      <c r="B124" s="5">
        <f t="shared" si="17"/>
        <v>45536</v>
      </c>
      <c r="C124" s="1" t="s">
        <v>533</v>
      </c>
      <c r="D124" s="195">
        <v>4770</v>
      </c>
      <c r="E124" s="186"/>
      <c r="F124" s="2">
        <v>110683.77</v>
      </c>
      <c r="G124" s="3">
        <f t="shared" si="15"/>
        <v>88392.058722000002</v>
      </c>
      <c r="H124" s="187"/>
      <c r="I124" s="7">
        <v>0.12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13282.0524</v>
      </c>
      <c r="N124" s="11">
        <f t="shared" si="3"/>
        <v>1607.1283404000001</v>
      </c>
      <c r="O124" s="11">
        <f t="shared" si="4"/>
        <v>7402.5305375999997</v>
      </c>
      <c r="P124" s="11">
        <f t="shared" si="5"/>
        <v>0</v>
      </c>
    </row>
    <row r="125" spans="1:16" ht="15" customHeight="1">
      <c r="A125" s="44"/>
      <c r="B125" s="5">
        <f t="shared" si="17"/>
        <v>45536</v>
      </c>
      <c r="C125" s="1" t="s">
        <v>533</v>
      </c>
      <c r="D125" s="195">
        <v>4771</v>
      </c>
      <c r="E125" s="186"/>
      <c r="F125" s="2">
        <v>13634.59</v>
      </c>
      <c r="G125" s="3">
        <f t="shared" si="15"/>
        <v>10888.583574</v>
      </c>
      <c r="H125" s="187"/>
      <c r="I125" s="7">
        <v>0.12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1636.1507999999999</v>
      </c>
      <c r="N125" s="11">
        <f t="shared" si="3"/>
        <v>197.97424680000003</v>
      </c>
      <c r="O125" s="11">
        <f t="shared" si="4"/>
        <v>911.88137920000008</v>
      </c>
      <c r="P125" s="11">
        <f t="shared" si="5"/>
        <v>0</v>
      </c>
    </row>
    <row r="126" spans="1:16" ht="15" customHeight="1">
      <c r="A126" s="44"/>
      <c r="B126" s="5">
        <f t="shared" si="17"/>
        <v>45536</v>
      </c>
      <c r="C126" s="1" t="s">
        <v>533</v>
      </c>
      <c r="D126" s="195">
        <v>4772</v>
      </c>
      <c r="E126" s="186"/>
      <c r="F126" s="2">
        <v>28723.63</v>
      </c>
      <c r="G126" s="3">
        <f t="shared" si="15"/>
        <v>22938.690918</v>
      </c>
      <c r="H126" s="187"/>
      <c r="I126" s="7">
        <v>0.12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3446.8355999999999</v>
      </c>
      <c r="N126" s="11">
        <f t="shared" si="3"/>
        <v>417.06710760000004</v>
      </c>
      <c r="O126" s="11">
        <f t="shared" si="4"/>
        <v>1921.0363744000001</v>
      </c>
      <c r="P126" s="11">
        <f t="shared" si="5"/>
        <v>0</v>
      </c>
    </row>
    <row r="127" spans="1:16" ht="15" customHeight="1">
      <c r="A127" s="44"/>
      <c r="B127" s="5">
        <f t="shared" si="17"/>
        <v>45536</v>
      </c>
      <c r="C127" s="1" t="s">
        <v>533</v>
      </c>
      <c r="D127" s="195">
        <v>4773</v>
      </c>
      <c r="E127" s="186"/>
      <c r="F127" s="2">
        <v>48716.67</v>
      </c>
      <c r="G127" s="3">
        <f t="shared" si="15"/>
        <v>38905.132661999996</v>
      </c>
      <c r="H127" s="187"/>
      <c r="I127" s="7">
        <v>0.12</v>
      </c>
      <c r="J127" s="7">
        <v>1.6500000000000001E-2</v>
      </c>
      <c r="K127" s="7">
        <v>7.5999999999999998E-2</v>
      </c>
      <c r="L127" s="7">
        <v>0</v>
      </c>
      <c r="M127" s="11">
        <f t="shared" si="2"/>
        <v>5846.0003999999999</v>
      </c>
      <c r="N127" s="11">
        <f t="shared" si="3"/>
        <v>707.36604840000007</v>
      </c>
      <c r="O127" s="11">
        <f t="shared" si="4"/>
        <v>3258.1708896</v>
      </c>
      <c r="P127" s="11">
        <f t="shared" si="5"/>
        <v>0</v>
      </c>
    </row>
    <row r="128" spans="1:16" ht="15" customHeight="1">
      <c r="A128" s="44"/>
      <c r="B128" s="5">
        <f t="shared" si="17"/>
        <v>45536</v>
      </c>
      <c r="C128" s="1" t="s">
        <v>533</v>
      </c>
      <c r="D128" s="195">
        <v>4774</v>
      </c>
      <c r="E128" s="186"/>
      <c r="F128" s="2">
        <v>6078.94</v>
      </c>
      <c r="G128" s="3">
        <f t="shared" si="15"/>
        <v>4854.6414839999998</v>
      </c>
      <c r="H128" s="187"/>
      <c r="I128" s="7">
        <v>0.12</v>
      </c>
      <c r="J128" s="7">
        <v>1.6500000000000001E-2</v>
      </c>
      <c r="K128" s="7">
        <v>7.5999999999999998E-2</v>
      </c>
      <c r="L128" s="7">
        <v>0</v>
      </c>
      <c r="M128" s="11">
        <f t="shared" si="2"/>
        <v>729.47279999999989</v>
      </c>
      <c r="N128" s="11">
        <f t="shared" si="3"/>
        <v>88.266208800000001</v>
      </c>
      <c r="O128" s="11">
        <f t="shared" si="4"/>
        <v>406.55950719999998</v>
      </c>
      <c r="P128" s="11">
        <f t="shared" si="5"/>
        <v>0</v>
      </c>
    </row>
    <row r="129" spans="1:16" ht="15" customHeight="1">
      <c r="A129" s="44"/>
      <c r="B129" s="5">
        <f t="shared" si="17"/>
        <v>45536</v>
      </c>
      <c r="C129" s="1" t="s">
        <v>533</v>
      </c>
      <c r="D129" s="195">
        <v>4775</v>
      </c>
      <c r="E129" s="186"/>
      <c r="F129" s="2">
        <v>12674.79</v>
      </c>
      <c r="G129" s="3">
        <f t="shared" si="15"/>
        <v>10122.087294000001</v>
      </c>
      <c r="H129" s="187"/>
      <c r="I129" s="7">
        <v>0.12</v>
      </c>
      <c r="J129" s="7">
        <v>1.6500000000000001E-2</v>
      </c>
      <c r="K129" s="7">
        <v>7.5999999999999998E-2</v>
      </c>
      <c r="L129" s="7">
        <v>0</v>
      </c>
      <c r="M129" s="11">
        <f t="shared" si="2"/>
        <v>1520.9748</v>
      </c>
      <c r="N129" s="11">
        <f t="shared" si="3"/>
        <v>184.03795080000003</v>
      </c>
      <c r="O129" s="11">
        <f t="shared" si="4"/>
        <v>847.6899552000001</v>
      </c>
      <c r="P129" s="11">
        <f t="shared" si="5"/>
        <v>0</v>
      </c>
    </row>
    <row r="130" spans="1:16" ht="15" customHeight="1">
      <c r="A130" s="44"/>
      <c r="B130" s="5">
        <f t="shared" si="17"/>
        <v>45536</v>
      </c>
      <c r="C130" s="1" t="s">
        <v>533</v>
      </c>
      <c r="D130" s="195">
        <v>4776</v>
      </c>
      <c r="E130" s="186"/>
      <c r="F130" s="2">
        <v>25520.49</v>
      </c>
      <c r="G130" s="3">
        <f t="shared" si="15"/>
        <v>20380.663314000001</v>
      </c>
      <c r="H130" s="187"/>
      <c r="I130" s="7">
        <v>0.12</v>
      </c>
      <c r="J130" s="7">
        <v>1.6500000000000001E-2</v>
      </c>
      <c r="K130" s="7">
        <v>7.5999999999999998E-2</v>
      </c>
      <c r="L130" s="7">
        <v>0</v>
      </c>
      <c r="M130" s="11">
        <f t="shared" si="2"/>
        <v>3062.4587999999999</v>
      </c>
      <c r="N130" s="11">
        <f t="shared" si="3"/>
        <v>370.55751480000004</v>
      </c>
      <c r="O130" s="11">
        <f t="shared" si="4"/>
        <v>1706.8103712</v>
      </c>
      <c r="P130" s="11">
        <f t="shared" si="5"/>
        <v>0</v>
      </c>
    </row>
    <row r="131" spans="1:16" ht="15" customHeight="1">
      <c r="A131" s="44"/>
      <c r="B131" s="5">
        <f t="shared" si="17"/>
        <v>45536</v>
      </c>
      <c r="C131" s="1" t="s">
        <v>533</v>
      </c>
      <c r="D131" s="195">
        <v>4777</v>
      </c>
      <c r="E131" s="186"/>
      <c r="F131" s="2">
        <v>3169.7</v>
      </c>
      <c r="G131" s="3">
        <f t="shared" si="15"/>
        <v>2531.32242</v>
      </c>
      <c r="H131" s="187"/>
      <c r="I131" s="7">
        <v>0.12</v>
      </c>
      <c r="J131" s="7">
        <v>1.6500000000000001E-2</v>
      </c>
      <c r="K131" s="7">
        <v>7.5999999999999998E-2</v>
      </c>
      <c r="L131" s="7">
        <v>0</v>
      </c>
      <c r="M131" s="11">
        <f t="shared" si="2"/>
        <v>380.36399999999998</v>
      </c>
      <c r="N131" s="11">
        <f t="shared" si="3"/>
        <v>46.024043999999996</v>
      </c>
      <c r="O131" s="11">
        <f t="shared" si="4"/>
        <v>211.98953599999999</v>
      </c>
      <c r="P131" s="11">
        <f t="shared" si="5"/>
        <v>0</v>
      </c>
    </row>
    <row r="132" spans="1:16" ht="15" customHeight="1">
      <c r="A132" s="44"/>
      <c r="B132" s="5">
        <f t="shared" si="17"/>
        <v>45536</v>
      </c>
      <c r="C132" s="1" t="s">
        <v>533</v>
      </c>
      <c r="D132" s="195">
        <v>4778</v>
      </c>
      <c r="E132" s="186"/>
      <c r="F132" s="2">
        <v>6883.62</v>
      </c>
      <c r="G132" s="3">
        <f t="shared" si="15"/>
        <v>5497.2589319999997</v>
      </c>
      <c r="H132" s="187"/>
      <c r="I132" s="7">
        <v>0.12</v>
      </c>
      <c r="J132" s="7">
        <v>1.6500000000000001E-2</v>
      </c>
      <c r="K132" s="7">
        <v>7.5999999999999998E-2</v>
      </c>
      <c r="L132" s="7">
        <v>0</v>
      </c>
      <c r="M132" s="11">
        <f t="shared" si="2"/>
        <v>826.03440000000001</v>
      </c>
      <c r="N132" s="11">
        <f t="shared" si="3"/>
        <v>99.950162400000011</v>
      </c>
      <c r="O132" s="11">
        <f t="shared" si="4"/>
        <v>460.37650560000003</v>
      </c>
      <c r="P132" s="11">
        <f t="shared" si="5"/>
        <v>0</v>
      </c>
    </row>
    <row r="133" spans="1:16" ht="15" customHeight="1">
      <c r="A133" s="44"/>
      <c r="B133" s="5">
        <f t="shared" si="17"/>
        <v>45536</v>
      </c>
      <c r="C133" s="1" t="s">
        <v>533</v>
      </c>
      <c r="D133" s="195">
        <v>4779</v>
      </c>
      <c r="E133" s="186"/>
      <c r="F133" s="2">
        <v>34180.370000000003</v>
      </c>
      <c r="G133" s="3">
        <f t="shared" si="15"/>
        <v>27296.443482000002</v>
      </c>
      <c r="H133" s="187"/>
      <c r="I133" s="7">
        <v>0.12</v>
      </c>
      <c r="J133" s="7">
        <v>1.6500000000000001E-2</v>
      </c>
      <c r="K133" s="7">
        <v>7.5999999999999998E-2</v>
      </c>
      <c r="L133" s="7">
        <v>0</v>
      </c>
      <c r="M133" s="11">
        <f t="shared" si="2"/>
        <v>4101.6444000000001</v>
      </c>
      <c r="N133" s="11">
        <f t="shared" si="3"/>
        <v>496.29897240000003</v>
      </c>
      <c r="O133" s="11">
        <f t="shared" si="4"/>
        <v>2285.9831456000002</v>
      </c>
      <c r="P133" s="11">
        <f t="shared" si="5"/>
        <v>0</v>
      </c>
    </row>
    <row r="134" spans="1:16" ht="15" customHeight="1">
      <c r="A134" s="44"/>
      <c r="B134" s="5">
        <f t="shared" si="17"/>
        <v>45536</v>
      </c>
      <c r="C134" s="1" t="s">
        <v>533</v>
      </c>
      <c r="D134" s="195">
        <v>4780</v>
      </c>
      <c r="E134" s="186"/>
      <c r="F134" s="2">
        <v>4226.2700000000004</v>
      </c>
      <c r="G134" s="3">
        <f t="shared" si="15"/>
        <v>3375.0992220000003</v>
      </c>
      <c r="H134" s="187"/>
      <c r="I134" s="7">
        <v>0.12</v>
      </c>
      <c r="J134" s="7">
        <v>1.6500000000000001E-2</v>
      </c>
      <c r="K134" s="7">
        <v>7.5999999999999998E-2</v>
      </c>
      <c r="L134" s="7">
        <v>0</v>
      </c>
      <c r="M134" s="11">
        <f t="shared" si="2"/>
        <v>507.15240000000006</v>
      </c>
      <c r="N134" s="11">
        <f t="shared" si="3"/>
        <v>61.365440400000011</v>
      </c>
      <c r="O134" s="11">
        <f t="shared" si="4"/>
        <v>282.65293760000003</v>
      </c>
      <c r="P134" s="11">
        <f t="shared" si="5"/>
        <v>0</v>
      </c>
    </row>
    <row r="135" spans="1:16" ht="15" customHeight="1">
      <c r="A135" s="44"/>
      <c r="B135" s="5">
        <f t="shared" si="17"/>
        <v>45536</v>
      </c>
      <c r="C135" s="1" t="s">
        <v>533</v>
      </c>
      <c r="D135" s="195">
        <v>4781</v>
      </c>
      <c r="E135" s="186"/>
      <c r="F135" s="2">
        <v>9178.16</v>
      </c>
      <c r="G135" s="3">
        <f t="shared" si="15"/>
        <v>7329.6785760000002</v>
      </c>
      <c r="H135" s="187"/>
      <c r="I135" s="7">
        <v>0.12</v>
      </c>
      <c r="J135" s="7">
        <v>1.6500000000000001E-2</v>
      </c>
      <c r="K135" s="7">
        <v>7.5999999999999998E-2</v>
      </c>
      <c r="L135" s="7">
        <v>0</v>
      </c>
      <c r="M135" s="11">
        <f t="shared" si="2"/>
        <v>1101.3791999999999</v>
      </c>
      <c r="N135" s="11">
        <f t="shared" si="3"/>
        <v>133.26688320000002</v>
      </c>
      <c r="O135" s="11">
        <f t="shared" si="4"/>
        <v>613.83534080000004</v>
      </c>
      <c r="P135" s="11">
        <f t="shared" si="5"/>
        <v>0</v>
      </c>
    </row>
    <row r="136" spans="1:16" ht="15" customHeight="1">
      <c r="A136" s="44"/>
      <c r="B136" s="5">
        <f t="shared" si="17"/>
        <v>45536</v>
      </c>
      <c r="C136" s="1" t="s">
        <v>533</v>
      </c>
      <c r="D136" s="195">
        <v>4782</v>
      </c>
      <c r="E136" s="186"/>
      <c r="F136" s="2">
        <v>115805.36</v>
      </c>
      <c r="G136" s="3">
        <f t="shared" si="15"/>
        <v>92482.160495999997</v>
      </c>
      <c r="H136" s="187"/>
      <c r="I136" s="7">
        <v>0.12</v>
      </c>
      <c r="J136" s="7">
        <v>1.6500000000000001E-2</v>
      </c>
      <c r="K136" s="7">
        <v>7.5999999999999998E-2</v>
      </c>
      <c r="L136" s="7">
        <v>0</v>
      </c>
      <c r="M136" s="11">
        <f t="shared" si="2"/>
        <v>13896.6432</v>
      </c>
      <c r="N136" s="11">
        <f t="shared" si="3"/>
        <v>1681.4938271999999</v>
      </c>
      <c r="O136" s="11">
        <f t="shared" si="4"/>
        <v>7745.0624767999998</v>
      </c>
      <c r="P136" s="11">
        <f t="shared" si="5"/>
        <v>0</v>
      </c>
    </row>
    <row r="137" spans="1:16" ht="15" customHeight="1">
      <c r="A137" s="44"/>
      <c r="B137" s="5">
        <f t="shared" si="17"/>
        <v>45536</v>
      </c>
      <c r="C137" s="1" t="s">
        <v>533</v>
      </c>
      <c r="D137" s="195">
        <v>4783</v>
      </c>
      <c r="E137" s="186"/>
      <c r="F137" s="2">
        <v>13504.33</v>
      </c>
      <c r="G137" s="3">
        <f t="shared" si="15"/>
        <v>10784.557938</v>
      </c>
      <c r="H137" s="187"/>
      <c r="I137" s="7">
        <v>0.12</v>
      </c>
      <c r="J137" s="7">
        <v>1.6500000000000001E-2</v>
      </c>
      <c r="K137" s="7">
        <v>7.5999999999999998E-2</v>
      </c>
      <c r="L137" s="7">
        <v>0</v>
      </c>
      <c r="M137" s="11">
        <f t="shared" si="2"/>
        <v>1620.5195999999999</v>
      </c>
      <c r="N137" s="11">
        <f t="shared" si="3"/>
        <v>196.0828716</v>
      </c>
      <c r="O137" s="11">
        <f t="shared" si="4"/>
        <v>903.16959039999995</v>
      </c>
      <c r="P137" s="11">
        <f t="shared" si="5"/>
        <v>0</v>
      </c>
    </row>
    <row r="138" spans="1:16" ht="15" customHeight="1">
      <c r="A138" s="44"/>
      <c r="B138" s="5">
        <f t="shared" si="17"/>
        <v>45536</v>
      </c>
      <c r="C138" s="1" t="s">
        <v>533</v>
      </c>
      <c r="D138" s="195">
        <v>4784</v>
      </c>
      <c r="E138" s="186"/>
      <c r="F138" s="2">
        <v>29833.01</v>
      </c>
      <c r="G138" s="3">
        <f t="shared" si="15"/>
        <v>23824.641786</v>
      </c>
      <c r="H138" s="187"/>
      <c r="I138" s="7">
        <v>0.12</v>
      </c>
      <c r="J138" s="7">
        <v>1.6500000000000001E-2</v>
      </c>
      <c r="K138" s="7">
        <v>7.5999999999999998E-2</v>
      </c>
      <c r="L138" s="7">
        <v>0</v>
      </c>
      <c r="M138" s="11">
        <f t="shared" si="2"/>
        <v>3579.9611999999997</v>
      </c>
      <c r="N138" s="11">
        <f t="shared" si="3"/>
        <v>433.17530519999997</v>
      </c>
      <c r="O138" s="11">
        <f t="shared" si="4"/>
        <v>1995.2317087999998</v>
      </c>
      <c r="P138" s="11">
        <f t="shared" si="5"/>
        <v>0</v>
      </c>
    </row>
    <row r="139" spans="1:16" ht="15" customHeight="1">
      <c r="A139" s="44"/>
      <c r="B139" s="5">
        <f t="shared" si="17"/>
        <v>45536</v>
      </c>
      <c r="C139" s="1" t="s">
        <v>533</v>
      </c>
      <c r="D139" s="195">
        <v>17728</v>
      </c>
      <c r="E139" s="186"/>
      <c r="F139" s="2">
        <v>8367.41</v>
      </c>
      <c r="G139" s="3">
        <f t="shared" si="15"/>
        <v>7061.8848547500002</v>
      </c>
      <c r="H139" s="187"/>
      <c r="I139" s="7">
        <v>7.0000000000000007E-2</v>
      </c>
      <c r="J139" s="7">
        <v>1.6500000000000001E-2</v>
      </c>
      <c r="K139" s="7">
        <v>7.5999999999999998E-2</v>
      </c>
      <c r="L139" s="7">
        <v>0</v>
      </c>
      <c r="M139" s="11">
        <f t="shared" si="2"/>
        <v>585.71870000000001</v>
      </c>
      <c r="N139" s="11">
        <f t="shared" si="3"/>
        <v>128.39790644999999</v>
      </c>
      <c r="O139" s="11">
        <f t="shared" si="4"/>
        <v>591.40853879999997</v>
      </c>
      <c r="P139" s="11">
        <f t="shared" si="5"/>
        <v>0</v>
      </c>
    </row>
    <row r="140" spans="1:16" ht="15" customHeight="1">
      <c r="A140" s="44"/>
      <c r="B140" s="5">
        <f t="shared" si="17"/>
        <v>45536</v>
      </c>
      <c r="C140" s="1" t="s">
        <v>533</v>
      </c>
      <c r="D140" s="195">
        <v>17729</v>
      </c>
      <c r="E140" s="186"/>
      <c r="F140" s="2">
        <v>550.48</v>
      </c>
      <c r="G140" s="3">
        <f t="shared" si="15"/>
        <v>464.59135800000001</v>
      </c>
      <c r="H140" s="187"/>
      <c r="I140" s="7">
        <v>7.0000000000000007E-2</v>
      </c>
      <c r="J140" s="7">
        <v>1.6500000000000001E-2</v>
      </c>
      <c r="K140" s="7">
        <v>7.5999999999999998E-2</v>
      </c>
      <c r="L140" s="7">
        <v>0</v>
      </c>
      <c r="M140" s="11">
        <f t="shared" si="2"/>
        <v>38.533600000000007</v>
      </c>
      <c r="N140" s="11">
        <f t="shared" si="3"/>
        <v>8.4471156000000018</v>
      </c>
      <c r="O140" s="11">
        <f t="shared" si="4"/>
        <v>38.907926400000001</v>
      </c>
      <c r="P140" s="11">
        <f t="shared" si="5"/>
        <v>0</v>
      </c>
    </row>
    <row r="141" spans="1:16" ht="15" customHeight="1">
      <c r="A141" s="44"/>
      <c r="B141" s="5">
        <f t="shared" si="17"/>
        <v>45536</v>
      </c>
      <c r="C141" s="1" t="s">
        <v>533</v>
      </c>
      <c r="D141" s="195">
        <v>17730</v>
      </c>
      <c r="E141" s="186"/>
      <c r="F141" s="2">
        <v>203.82</v>
      </c>
      <c r="G141" s="3">
        <f t="shared" si="15"/>
        <v>172.01898449999999</v>
      </c>
      <c r="H141" s="187"/>
      <c r="I141" s="7">
        <v>7.0000000000000007E-2</v>
      </c>
      <c r="J141" s="7">
        <v>1.6500000000000001E-2</v>
      </c>
      <c r="K141" s="7">
        <v>7.5999999999999998E-2</v>
      </c>
      <c r="L141" s="7">
        <v>0</v>
      </c>
      <c r="M141" s="11">
        <f t="shared" si="2"/>
        <v>14.2674</v>
      </c>
      <c r="N141" s="11">
        <f t="shared" si="3"/>
        <v>3.1276178999999997</v>
      </c>
      <c r="O141" s="11">
        <f t="shared" si="4"/>
        <v>14.405997599999999</v>
      </c>
      <c r="P141" s="11">
        <f t="shared" si="5"/>
        <v>0</v>
      </c>
    </row>
    <row r="142" spans="1:16" ht="15" customHeight="1">
      <c r="A142" s="44"/>
      <c r="B142" s="5">
        <f t="shared" si="17"/>
        <v>45536</v>
      </c>
      <c r="C142" s="1" t="s">
        <v>533</v>
      </c>
      <c r="D142" s="195">
        <v>17731</v>
      </c>
      <c r="E142" s="186"/>
      <c r="F142" s="2">
        <v>12300.2</v>
      </c>
      <c r="G142" s="3">
        <f t="shared" si="15"/>
        <v>10381.061295000001</v>
      </c>
      <c r="H142" s="187"/>
      <c r="I142" s="7">
        <v>7.0000000000000007E-2</v>
      </c>
      <c r="J142" s="7">
        <v>1.6500000000000001E-2</v>
      </c>
      <c r="K142" s="7">
        <v>7.5999999999999998E-2</v>
      </c>
      <c r="L142" s="7">
        <v>0</v>
      </c>
      <c r="M142" s="11">
        <f t="shared" si="2"/>
        <v>861.01400000000012</v>
      </c>
      <c r="N142" s="11">
        <f t="shared" si="3"/>
        <v>188.74656900000002</v>
      </c>
      <c r="O142" s="11">
        <f t="shared" si="4"/>
        <v>869.37813600000004</v>
      </c>
      <c r="P142" s="11">
        <f t="shared" si="5"/>
        <v>0</v>
      </c>
    </row>
    <row r="143" spans="1:16" ht="15" customHeight="1">
      <c r="A143" s="44"/>
      <c r="B143" s="5">
        <f t="shared" si="17"/>
        <v>45536</v>
      </c>
      <c r="C143" s="1" t="s">
        <v>533</v>
      </c>
      <c r="D143" s="195">
        <v>17732</v>
      </c>
      <c r="E143" s="186"/>
      <c r="F143" s="2">
        <v>838.96</v>
      </c>
      <c r="G143" s="3">
        <f t="shared" si="15"/>
        <v>708.06126600000005</v>
      </c>
      <c r="H143" s="187"/>
      <c r="I143" s="7">
        <v>7.0000000000000007E-2</v>
      </c>
      <c r="J143" s="7">
        <v>1.6500000000000001E-2</v>
      </c>
      <c r="K143" s="7">
        <v>7.5999999999999998E-2</v>
      </c>
      <c r="L143" s="7">
        <v>0</v>
      </c>
      <c r="M143" s="11">
        <f t="shared" si="2"/>
        <v>58.727200000000011</v>
      </c>
      <c r="N143" s="11">
        <f t="shared" si="3"/>
        <v>12.873841200000001</v>
      </c>
      <c r="O143" s="11">
        <f t="shared" si="4"/>
        <v>59.2976928</v>
      </c>
      <c r="P143" s="11">
        <f t="shared" si="5"/>
        <v>0</v>
      </c>
    </row>
    <row r="144" spans="1:16" ht="15" customHeight="1">
      <c r="A144" s="44"/>
      <c r="B144" s="5">
        <f t="shared" si="17"/>
        <v>45536</v>
      </c>
      <c r="C144" s="1" t="s">
        <v>533</v>
      </c>
      <c r="D144" s="195">
        <v>17733</v>
      </c>
      <c r="E144" s="186"/>
      <c r="F144" s="2">
        <v>304.49</v>
      </c>
      <c r="G144" s="3">
        <f t="shared" si="15"/>
        <v>256.98194775000002</v>
      </c>
      <c r="H144" s="187"/>
      <c r="I144" s="7">
        <v>7.0000000000000007E-2</v>
      </c>
      <c r="J144" s="7">
        <v>1.6500000000000001E-2</v>
      </c>
      <c r="K144" s="7">
        <v>7.5999999999999998E-2</v>
      </c>
      <c r="L144" s="7">
        <v>0</v>
      </c>
      <c r="M144" s="11">
        <f t="shared" si="2"/>
        <v>21.314300000000003</v>
      </c>
      <c r="N144" s="11">
        <f t="shared" si="3"/>
        <v>4.6723990500000001</v>
      </c>
      <c r="O144" s="11">
        <f t="shared" si="4"/>
        <v>21.5213532</v>
      </c>
      <c r="P144" s="11">
        <f t="shared" si="5"/>
        <v>0</v>
      </c>
    </row>
    <row r="145" spans="1:16" ht="15" customHeight="1">
      <c r="A145" s="44"/>
      <c r="B145" s="5">
        <f t="shared" si="17"/>
        <v>45536</v>
      </c>
      <c r="C145" s="1" t="s">
        <v>533</v>
      </c>
      <c r="D145" s="195">
        <v>17734</v>
      </c>
      <c r="E145" s="186"/>
      <c r="F145" s="2">
        <v>23742.02</v>
      </c>
      <c r="G145" s="3">
        <f t="shared" si="15"/>
        <v>20037.671329500001</v>
      </c>
      <c r="H145" s="187"/>
      <c r="I145" s="7">
        <v>7.0000000000000007E-2</v>
      </c>
      <c r="J145" s="7">
        <v>1.6500000000000001E-2</v>
      </c>
      <c r="K145" s="7">
        <v>7.5999999999999998E-2</v>
      </c>
      <c r="L145" s="7">
        <v>0</v>
      </c>
      <c r="M145" s="11">
        <f t="shared" si="2"/>
        <v>1661.9414000000002</v>
      </c>
      <c r="N145" s="11">
        <f t="shared" si="3"/>
        <v>364.32129690000005</v>
      </c>
      <c r="O145" s="11">
        <f t="shared" si="4"/>
        <v>1678.0859736</v>
      </c>
      <c r="P145" s="11">
        <f t="shared" si="5"/>
        <v>0</v>
      </c>
    </row>
    <row r="146" spans="1:16" ht="15" customHeight="1">
      <c r="A146" s="44"/>
      <c r="B146" s="5">
        <f t="shared" si="17"/>
        <v>45536</v>
      </c>
      <c r="C146" s="1" t="s">
        <v>533</v>
      </c>
      <c r="D146" s="195">
        <v>17735</v>
      </c>
      <c r="E146" s="186"/>
      <c r="F146" s="2">
        <v>5406.41</v>
      </c>
      <c r="G146" s="3">
        <f t="shared" si="15"/>
        <v>4562.8748797499993</v>
      </c>
      <c r="H146" s="187"/>
      <c r="I146" s="7">
        <v>7.0000000000000007E-2</v>
      </c>
      <c r="J146" s="7">
        <v>1.6500000000000001E-2</v>
      </c>
      <c r="K146" s="7">
        <v>7.5999999999999998E-2</v>
      </c>
      <c r="L146" s="7">
        <v>0</v>
      </c>
      <c r="M146" s="11">
        <f t="shared" si="2"/>
        <v>378.44870000000003</v>
      </c>
      <c r="N146" s="11">
        <f t="shared" si="3"/>
        <v>82.961361449999998</v>
      </c>
      <c r="O146" s="11">
        <f t="shared" si="4"/>
        <v>382.12505879999998</v>
      </c>
      <c r="P146" s="11">
        <f t="shared" si="5"/>
        <v>0</v>
      </c>
    </row>
    <row r="147" spans="1:16" ht="15" customHeight="1">
      <c r="A147" s="44"/>
      <c r="B147" s="5">
        <f t="shared" si="17"/>
        <v>45536</v>
      </c>
      <c r="C147" s="1" t="s">
        <v>533</v>
      </c>
      <c r="D147" s="195">
        <v>17736</v>
      </c>
      <c r="E147" s="186"/>
      <c r="F147" s="2">
        <v>877.76</v>
      </c>
      <c r="G147" s="3">
        <f t="shared" si="15"/>
        <v>740.80749600000001</v>
      </c>
      <c r="H147" s="187"/>
      <c r="I147" s="7">
        <v>7.0000000000000007E-2</v>
      </c>
      <c r="J147" s="7">
        <v>1.6500000000000001E-2</v>
      </c>
      <c r="K147" s="7">
        <v>7.5999999999999998E-2</v>
      </c>
      <c r="L147" s="7">
        <v>0</v>
      </c>
      <c r="M147" s="11">
        <f t="shared" si="2"/>
        <v>61.443200000000004</v>
      </c>
      <c r="N147" s="11">
        <f t="shared" si="3"/>
        <v>13.469227199999999</v>
      </c>
      <c r="O147" s="11">
        <f t="shared" si="4"/>
        <v>62.040076799999994</v>
      </c>
      <c r="P147" s="11">
        <f t="shared" si="5"/>
        <v>0</v>
      </c>
    </row>
    <row r="148" spans="1:16" ht="15" customHeight="1">
      <c r="A148" s="44"/>
      <c r="B148" s="5">
        <f t="shared" si="17"/>
        <v>45536</v>
      </c>
      <c r="C148" s="1" t="s">
        <v>533</v>
      </c>
      <c r="D148" s="195">
        <v>17737</v>
      </c>
      <c r="E148" s="186"/>
      <c r="F148" s="2">
        <v>27326.27</v>
      </c>
      <c r="G148" s="3">
        <f t="shared" si="15"/>
        <v>23062.688723250001</v>
      </c>
      <c r="H148" s="187"/>
      <c r="I148" s="7">
        <v>7.0000000000000007E-2</v>
      </c>
      <c r="J148" s="7">
        <v>1.6500000000000001E-2</v>
      </c>
      <c r="K148" s="7">
        <v>7.5999999999999998E-2</v>
      </c>
      <c r="L148" s="7">
        <v>0</v>
      </c>
      <c r="M148" s="11">
        <f t="shared" si="2"/>
        <v>1912.8389000000002</v>
      </c>
      <c r="N148" s="11">
        <f t="shared" si="3"/>
        <v>419.32161315000002</v>
      </c>
      <c r="O148" s="11">
        <f t="shared" si="4"/>
        <v>1931.4207636000001</v>
      </c>
      <c r="P148" s="11">
        <f t="shared" si="5"/>
        <v>0</v>
      </c>
    </row>
    <row r="149" spans="1:16" ht="15" customHeight="1">
      <c r="A149" s="44"/>
      <c r="B149" s="5">
        <f t="shared" si="17"/>
        <v>45536</v>
      </c>
      <c r="C149" s="1" t="s">
        <v>533</v>
      </c>
      <c r="D149" s="195">
        <v>17738</v>
      </c>
      <c r="E149" s="186"/>
      <c r="F149" s="2">
        <v>6132.05</v>
      </c>
      <c r="G149" s="3">
        <f t="shared" si="15"/>
        <v>5175.2968987499999</v>
      </c>
      <c r="H149" s="187"/>
      <c r="I149" s="7">
        <v>7.0000000000000007E-2</v>
      </c>
      <c r="J149" s="7">
        <v>1.6500000000000001E-2</v>
      </c>
      <c r="K149" s="7">
        <v>7.5999999999999998E-2</v>
      </c>
      <c r="L149" s="7">
        <v>0</v>
      </c>
      <c r="M149" s="11">
        <f t="shared" si="2"/>
        <v>429.24350000000004</v>
      </c>
      <c r="N149" s="11">
        <f t="shared" si="3"/>
        <v>94.09630725000001</v>
      </c>
      <c r="O149" s="11">
        <f t="shared" si="4"/>
        <v>433.41329400000001</v>
      </c>
      <c r="P149" s="11">
        <f t="shared" si="5"/>
        <v>0</v>
      </c>
    </row>
    <row r="150" spans="1:16" ht="15" customHeight="1">
      <c r="A150" s="44"/>
      <c r="B150" s="5">
        <f t="shared" si="17"/>
        <v>45536</v>
      </c>
      <c r="C150" s="1" t="s">
        <v>533</v>
      </c>
      <c r="D150" s="195">
        <v>17674</v>
      </c>
      <c r="E150" s="186"/>
      <c r="F150" s="2">
        <v>940.35</v>
      </c>
      <c r="G150" s="3">
        <f t="shared" si="15"/>
        <v>793.63189125000008</v>
      </c>
      <c r="H150" s="187"/>
      <c r="I150" s="7">
        <v>7.0000000000000007E-2</v>
      </c>
      <c r="J150" s="7">
        <v>1.6500000000000001E-2</v>
      </c>
      <c r="K150" s="7">
        <v>7.5999999999999998E-2</v>
      </c>
      <c r="L150" s="7">
        <v>0</v>
      </c>
      <c r="M150" s="11">
        <f t="shared" si="2"/>
        <v>65.824500000000015</v>
      </c>
      <c r="N150" s="11">
        <f t="shared" si="3"/>
        <v>14.42967075</v>
      </c>
      <c r="O150" s="11">
        <f t="shared" si="4"/>
        <v>66.463937999999999</v>
      </c>
      <c r="P150" s="11">
        <f t="shared" si="5"/>
        <v>0</v>
      </c>
    </row>
    <row r="151" spans="1:16" ht="15" customHeight="1">
      <c r="A151" s="44"/>
      <c r="B151" s="5">
        <f t="shared" si="17"/>
        <v>45536</v>
      </c>
      <c r="C151" s="1" t="s">
        <v>533</v>
      </c>
      <c r="D151" s="195">
        <v>17675</v>
      </c>
      <c r="E151" s="186"/>
      <c r="F151" s="2">
        <v>11971.65</v>
      </c>
      <c r="G151" s="3">
        <f t="shared" si="15"/>
        <v>10103.77330875</v>
      </c>
      <c r="H151" s="187"/>
      <c r="I151" s="7">
        <v>7.0000000000000007E-2</v>
      </c>
      <c r="J151" s="7">
        <v>1.6500000000000001E-2</v>
      </c>
      <c r="K151" s="7">
        <v>7.5999999999999998E-2</v>
      </c>
      <c r="L151" s="7">
        <v>0</v>
      </c>
      <c r="M151" s="11">
        <f t="shared" si="2"/>
        <v>838.01550000000009</v>
      </c>
      <c r="N151" s="11">
        <f t="shared" si="3"/>
        <v>183.70496925</v>
      </c>
      <c r="O151" s="11">
        <f t="shared" si="4"/>
        <v>846.15622199999996</v>
      </c>
      <c r="P151" s="11">
        <f t="shared" si="5"/>
        <v>0</v>
      </c>
    </row>
    <row r="152" spans="1:16" ht="15" customHeight="1">
      <c r="A152" s="44"/>
      <c r="B152" s="5">
        <f t="shared" si="17"/>
        <v>45536</v>
      </c>
      <c r="C152" s="1" t="s">
        <v>533</v>
      </c>
      <c r="D152" s="195">
        <v>17676</v>
      </c>
      <c r="E152" s="186"/>
      <c r="F152" s="2">
        <v>2740.23</v>
      </c>
      <c r="G152" s="3">
        <f t="shared" si="15"/>
        <v>2312.6856142500001</v>
      </c>
      <c r="H152" s="187"/>
      <c r="I152" s="7">
        <v>7.0000000000000007E-2</v>
      </c>
      <c r="J152" s="7">
        <v>1.6500000000000001E-2</v>
      </c>
      <c r="K152" s="7">
        <v>7.5999999999999998E-2</v>
      </c>
      <c r="L152" s="7">
        <v>0</v>
      </c>
      <c r="M152" s="11">
        <f t="shared" si="2"/>
        <v>191.81610000000001</v>
      </c>
      <c r="N152" s="11">
        <f t="shared" si="3"/>
        <v>42.048829350000005</v>
      </c>
      <c r="O152" s="11">
        <f t="shared" si="4"/>
        <v>193.67945639999999</v>
      </c>
      <c r="P152" s="11">
        <f t="shared" si="5"/>
        <v>0</v>
      </c>
    </row>
    <row r="153" spans="1:16" ht="15" customHeight="1">
      <c r="A153" s="44"/>
      <c r="B153" s="5">
        <f t="shared" si="17"/>
        <v>45536</v>
      </c>
      <c r="C153" s="1" t="s">
        <v>533</v>
      </c>
      <c r="D153" s="195">
        <v>17677</v>
      </c>
      <c r="E153" s="186"/>
      <c r="F153" s="2">
        <v>412.32</v>
      </c>
      <c r="G153" s="3">
        <f t="shared" si="15"/>
        <v>347.98777200000001</v>
      </c>
      <c r="H153" s="187"/>
      <c r="I153" s="7">
        <v>7.0000000000000007E-2</v>
      </c>
      <c r="J153" s="7">
        <v>1.6500000000000001E-2</v>
      </c>
      <c r="K153" s="7">
        <v>7.5999999999999998E-2</v>
      </c>
      <c r="L153" s="7">
        <v>0</v>
      </c>
      <c r="M153" s="11">
        <f t="shared" si="2"/>
        <v>28.862400000000001</v>
      </c>
      <c r="N153" s="11">
        <f t="shared" si="3"/>
        <v>6.327050400000001</v>
      </c>
      <c r="O153" s="11">
        <f t="shared" si="4"/>
        <v>29.142777599999999</v>
      </c>
      <c r="P153" s="11">
        <f t="shared" si="5"/>
        <v>0</v>
      </c>
    </row>
    <row r="154" spans="1:16" ht="15" customHeight="1">
      <c r="A154" s="44"/>
      <c r="B154" s="5">
        <f t="shared" si="17"/>
        <v>45536</v>
      </c>
      <c r="C154" s="1" t="s">
        <v>533</v>
      </c>
      <c r="D154" s="195">
        <v>17678</v>
      </c>
      <c r="E154" s="186"/>
      <c r="F154" s="2">
        <v>6269.53</v>
      </c>
      <c r="G154" s="3">
        <f t="shared" si="15"/>
        <v>5291.3265817499996</v>
      </c>
      <c r="H154" s="187"/>
      <c r="I154" s="7">
        <v>7.0000000000000007E-2</v>
      </c>
      <c r="J154" s="7">
        <v>1.6500000000000001E-2</v>
      </c>
      <c r="K154" s="7">
        <v>7.5999999999999998E-2</v>
      </c>
      <c r="L154" s="7">
        <v>0</v>
      </c>
      <c r="M154" s="11">
        <f t="shared" si="2"/>
        <v>438.86710000000005</v>
      </c>
      <c r="N154" s="11">
        <f t="shared" si="3"/>
        <v>96.205937849999998</v>
      </c>
      <c r="O154" s="11">
        <f t="shared" si="4"/>
        <v>443.13038039999992</v>
      </c>
      <c r="P154" s="11">
        <f t="shared" si="5"/>
        <v>0</v>
      </c>
    </row>
    <row r="155" spans="1:16" ht="15" customHeight="1">
      <c r="A155" s="44"/>
      <c r="B155" s="5">
        <f t="shared" si="17"/>
        <v>45536</v>
      </c>
      <c r="C155" s="1" t="s">
        <v>533</v>
      </c>
      <c r="D155" s="195">
        <v>17679</v>
      </c>
      <c r="E155" s="186"/>
      <c r="F155" s="2">
        <v>1417.4</v>
      </c>
      <c r="G155" s="3">
        <f t="shared" si="15"/>
        <v>1196.2501650000002</v>
      </c>
      <c r="H155" s="187"/>
      <c r="I155" s="7">
        <v>7.0000000000000007E-2</v>
      </c>
      <c r="J155" s="7">
        <v>1.6500000000000001E-2</v>
      </c>
      <c r="K155" s="7">
        <v>7.5999999999999998E-2</v>
      </c>
      <c r="L155" s="7">
        <v>0</v>
      </c>
      <c r="M155" s="11">
        <f t="shared" si="2"/>
        <v>99.218000000000018</v>
      </c>
      <c r="N155" s="11">
        <f t="shared" si="3"/>
        <v>21.750003</v>
      </c>
      <c r="O155" s="11">
        <f t="shared" si="4"/>
        <v>100.181832</v>
      </c>
      <c r="P155" s="11">
        <f t="shared" si="5"/>
        <v>0</v>
      </c>
    </row>
    <row r="156" spans="1:16" ht="15" customHeight="1">
      <c r="A156" s="44"/>
      <c r="B156" s="5">
        <f t="shared" si="17"/>
        <v>45536</v>
      </c>
      <c r="C156" s="1" t="s">
        <v>533</v>
      </c>
      <c r="D156" s="195">
        <v>17884</v>
      </c>
      <c r="E156" s="186"/>
      <c r="F156" s="2">
        <v>221.96</v>
      </c>
      <c r="G156" s="3">
        <f t="shared" si="15"/>
        <v>187.32869099999999</v>
      </c>
      <c r="H156" s="187"/>
      <c r="I156" s="7">
        <v>7.0000000000000007E-2</v>
      </c>
      <c r="J156" s="7">
        <v>1.6500000000000001E-2</v>
      </c>
      <c r="K156" s="7">
        <v>7.5999999999999998E-2</v>
      </c>
      <c r="L156" s="7">
        <v>0</v>
      </c>
      <c r="M156" s="11">
        <f t="shared" si="2"/>
        <v>15.537200000000002</v>
      </c>
      <c r="N156" s="11">
        <f t="shared" si="3"/>
        <v>3.4059762</v>
      </c>
      <c r="O156" s="11">
        <f t="shared" si="4"/>
        <v>15.6881328</v>
      </c>
      <c r="P156" s="11">
        <f t="shared" si="5"/>
        <v>0</v>
      </c>
    </row>
    <row r="157" spans="1:16" ht="15" customHeight="1">
      <c r="A157" s="44"/>
      <c r="B157" s="5">
        <f t="shared" si="17"/>
        <v>45536</v>
      </c>
      <c r="C157" s="1" t="s">
        <v>533</v>
      </c>
      <c r="D157" s="195">
        <v>17900</v>
      </c>
      <c r="E157" s="186"/>
      <c r="F157" s="2">
        <v>8380.86</v>
      </c>
      <c r="G157" s="3">
        <f t="shared" si="15"/>
        <v>7073.2363185000004</v>
      </c>
      <c r="H157" s="187"/>
      <c r="I157" s="7">
        <v>7.0000000000000007E-2</v>
      </c>
      <c r="J157" s="7">
        <v>1.6500000000000001E-2</v>
      </c>
      <c r="K157" s="7">
        <v>7.5999999999999998E-2</v>
      </c>
      <c r="L157" s="7">
        <v>0</v>
      </c>
      <c r="M157" s="11">
        <f t="shared" si="2"/>
        <v>586.66020000000015</v>
      </c>
      <c r="N157" s="11">
        <f t="shared" si="3"/>
        <v>128.60429670000002</v>
      </c>
      <c r="O157" s="11">
        <f t="shared" si="4"/>
        <v>592.35918479999998</v>
      </c>
      <c r="P157" s="11">
        <f t="shared" si="5"/>
        <v>0</v>
      </c>
    </row>
    <row r="158" spans="1:16" ht="15" customHeight="1">
      <c r="A158" s="44"/>
      <c r="B158" s="5">
        <f t="shared" si="17"/>
        <v>45536</v>
      </c>
      <c r="C158" s="1" t="s">
        <v>533</v>
      </c>
      <c r="D158" s="195">
        <v>17901</v>
      </c>
      <c r="E158" s="186"/>
      <c r="F158" s="2">
        <v>1889.86</v>
      </c>
      <c r="G158" s="3">
        <f t="shared" si="15"/>
        <v>1594.9945934999998</v>
      </c>
      <c r="H158" s="187"/>
      <c r="I158" s="7">
        <v>7.0000000000000007E-2</v>
      </c>
      <c r="J158" s="7">
        <v>1.6500000000000001E-2</v>
      </c>
      <c r="K158" s="7">
        <v>7.5999999999999998E-2</v>
      </c>
      <c r="L158" s="7">
        <v>0</v>
      </c>
      <c r="M158" s="11">
        <f t="shared" si="2"/>
        <v>132.2902</v>
      </c>
      <c r="N158" s="11">
        <f t="shared" si="3"/>
        <v>28.999901700000002</v>
      </c>
      <c r="O158" s="11">
        <f t="shared" si="4"/>
        <v>133.5753048</v>
      </c>
      <c r="P158" s="11">
        <f t="shared" si="5"/>
        <v>0</v>
      </c>
    </row>
    <row r="159" spans="1:16" ht="15" customHeight="1">
      <c r="A159" s="44"/>
      <c r="B159" s="5">
        <f t="shared" si="17"/>
        <v>45536</v>
      </c>
      <c r="C159" s="1" t="s">
        <v>533</v>
      </c>
      <c r="D159" s="195">
        <v>17902</v>
      </c>
      <c r="E159" s="186"/>
      <c r="F159" s="2">
        <v>295.94</v>
      </c>
      <c r="G159" s="3">
        <f t="shared" si="15"/>
        <v>249.7659615</v>
      </c>
      <c r="H159" s="187"/>
      <c r="I159" s="7">
        <v>7.0000000000000007E-2</v>
      </c>
      <c r="J159" s="7">
        <v>1.6500000000000001E-2</v>
      </c>
      <c r="K159" s="7">
        <v>7.5999999999999998E-2</v>
      </c>
      <c r="L159" s="7">
        <v>0</v>
      </c>
      <c r="M159" s="11">
        <f t="shared" si="2"/>
        <v>20.715800000000002</v>
      </c>
      <c r="N159" s="11">
        <f t="shared" si="3"/>
        <v>4.5411992999999997</v>
      </c>
      <c r="O159" s="11">
        <f t="shared" si="4"/>
        <v>20.917039199999998</v>
      </c>
      <c r="P159" s="11">
        <f t="shared" si="5"/>
        <v>0</v>
      </c>
    </row>
    <row r="160" spans="1:16" ht="15" customHeight="1">
      <c r="A160" s="44"/>
      <c r="B160" s="5">
        <f t="shared" si="17"/>
        <v>45536</v>
      </c>
      <c r="C160" s="1" t="s">
        <v>533</v>
      </c>
      <c r="D160" s="195">
        <v>17903</v>
      </c>
      <c r="E160" s="186"/>
      <c r="F160" s="2">
        <v>27778.87</v>
      </c>
      <c r="G160" s="3">
        <f t="shared" si="15"/>
        <v>23444.671808250001</v>
      </c>
      <c r="H160" s="187"/>
      <c r="I160" s="7">
        <v>7.0000000000000007E-2</v>
      </c>
      <c r="J160" s="7">
        <v>1.6500000000000001E-2</v>
      </c>
      <c r="K160" s="7">
        <v>7.5999999999999998E-2</v>
      </c>
      <c r="L160" s="7">
        <v>0</v>
      </c>
      <c r="M160" s="11">
        <f t="shared" si="2"/>
        <v>1944.5209000000002</v>
      </c>
      <c r="N160" s="11">
        <f t="shared" si="3"/>
        <v>426.26676015000004</v>
      </c>
      <c r="O160" s="11">
        <f t="shared" si="4"/>
        <v>1963.4105316</v>
      </c>
      <c r="P160" s="11">
        <f t="shared" si="5"/>
        <v>0</v>
      </c>
    </row>
    <row r="161" spans="1:16" ht="15" customHeight="1">
      <c r="A161" s="44"/>
      <c r="B161" s="5">
        <f t="shared" si="17"/>
        <v>45536</v>
      </c>
      <c r="C161" s="1" t="s">
        <v>533</v>
      </c>
      <c r="D161" s="195">
        <v>17904</v>
      </c>
      <c r="E161" s="186"/>
      <c r="F161" s="2">
        <v>6037.33</v>
      </c>
      <c r="G161" s="3">
        <f t="shared" si="15"/>
        <v>5095.3555867499999</v>
      </c>
      <c r="H161" s="187"/>
      <c r="I161" s="7">
        <v>7.0000000000000007E-2</v>
      </c>
      <c r="J161" s="7">
        <v>1.6500000000000001E-2</v>
      </c>
      <c r="K161" s="7">
        <v>7.5999999999999998E-2</v>
      </c>
      <c r="L161" s="7">
        <v>0</v>
      </c>
      <c r="M161" s="11">
        <f t="shared" si="2"/>
        <v>422.61310000000003</v>
      </c>
      <c r="N161" s="11">
        <f t="shared" si="3"/>
        <v>92.642828850000001</v>
      </c>
      <c r="O161" s="11">
        <f t="shared" si="4"/>
        <v>426.71848439999997</v>
      </c>
      <c r="P161" s="11">
        <f t="shared" si="5"/>
        <v>0</v>
      </c>
    </row>
    <row r="162" spans="1:16" ht="15" customHeight="1">
      <c r="A162" s="44"/>
      <c r="B162" s="5">
        <f t="shared" si="17"/>
        <v>45536</v>
      </c>
      <c r="C162" s="1" t="s">
        <v>533</v>
      </c>
      <c r="D162" s="195">
        <v>17905</v>
      </c>
      <c r="E162" s="186"/>
      <c r="F162" s="2">
        <v>951.12</v>
      </c>
      <c r="G162" s="3">
        <f t="shared" si="15"/>
        <v>802.72150199999999</v>
      </c>
      <c r="H162" s="187"/>
      <c r="I162" s="7">
        <v>7.0000000000000007E-2</v>
      </c>
      <c r="J162" s="7">
        <v>1.6500000000000001E-2</v>
      </c>
      <c r="K162" s="7">
        <v>7.5999999999999998E-2</v>
      </c>
      <c r="L162" s="7">
        <v>0</v>
      </c>
      <c r="M162" s="11">
        <f t="shared" si="2"/>
        <v>66.578400000000002</v>
      </c>
      <c r="N162" s="11">
        <f t="shared" si="3"/>
        <v>14.594936400000002</v>
      </c>
      <c r="O162" s="11">
        <f t="shared" si="4"/>
        <v>67.225161599999993</v>
      </c>
      <c r="P162" s="11">
        <f t="shared" si="5"/>
        <v>0</v>
      </c>
    </row>
    <row r="163" spans="1:16" ht="15" customHeight="1">
      <c r="A163" s="44"/>
      <c r="B163" s="5">
        <f t="shared" si="17"/>
        <v>45536</v>
      </c>
      <c r="C163" s="1" t="s">
        <v>533</v>
      </c>
      <c r="D163" s="195">
        <v>9474</v>
      </c>
      <c r="E163" s="186"/>
      <c r="F163" s="2">
        <v>2584.9899999999998</v>
      </c>
      <c r="G163" s="3">
        <f t="shared" si="15"/>
        <v>2064.3730139999998</v>
      </c>
      <c r="H163" s="187"/>
      <c r="I163" s="7">
        <v>0.12</v>
      </c>
      <c r="J163" s="7">
        <v>1.6500000000000001E-2</v>
      </c>
      <c r="K163" s="7">
        <v>7.5999999999999998E-2</v>
      </c>
      <c r="L163" s="7">
        <v>0</v>
      </c>
      <c r="M163" s="11">
        <f t="shared" si="2"/>
        <v>310.19879999999995</v>
      </c>
      <c r="N163" s="11">
        <f t="shared" si="3"/>
        <v>37.534054799999993</v>
      </c>
      <c r="O163" s="11">
        <f t="shared" si="4"/>
        <v>172.88413119999996</v>
      </c>
      <c r="P163" s="11">
        <f t="shared" si="5"/>
        <v>0</v>
      </c>
    </row>
    <row r="164" spans="1:16" ht="15" customHeight="1">
      <c r="A164" s="44"/>
      <c r="B164" s="5">
        <f t="shared" si="17"/>
        <v>45536</v>
      </c>
      <c r="C164" s="1" t="s">
        <v>533</v>
      </c>
      <c r="D164" s="195">
        <v>9473</v>
      </c>
      <c r="E164" s="186"/>
      <c r="F164" s="2">
        <v>1292.5</v>
      </c>
      <c r="G164" s="3">
        <f t="shared" si="15"/>
        <v>1032.1904999999999</v>
      </c>
      <c r="H164" s="187"/>
      <c r="I164" s="7">
        <v>0.12</v>
      </c>
      <c r="J164" s="7">
        <v>1.6500000000000001E-2</v>
      </c>
      <c r="K164" s="7">
        <v>7.5999999999999998E-2</v>
      </c>
      <c r="L164" s="7">
        <v>0</v>
      </c>
      <c r="M164" s="11">
        <f t="shared" si="2"/>
        <v>155.1</v>
      </c>
      <c r="N164" s="11">
        <f t="shared" si="3"/>
        <v>18.767100000000003</v>
      </c>
      <c r="O164" s="11">
        <f t="shared" si="4"/>
        <v>86.442400000000006</v>
      </c>
      <c r="P164" s="11">
        <f t="shared" si="5"/>
        <v>0</v>
      </c>
    </row>
    <row r="165" spans="1:16" ht="15" customHeight="1">
      <c r="A165" s="44"/>
      <c r="B165" s="5">
        <f t="shared" si="17"/>
        <v>45536</v>
      </c>
      <c r="C165" s="1" t="s">
        <v>533</v>
      </c>
      <c r="D165" s="195">
        <v>9475</v>
      </c>
      <c r="E165" s="186"/>
      <c r="F165" s="2">
        <v>2625.89</v>
      </c>
      <c r="G165" s="3">
        <f t="shared" si="15"/>
        <v>2097.035754</v>
      </c>
      <c r="H165" s="187"/>
      <c r="I165" s="7">
        <v>0.12</v>
      </c>
      <c r="J165" s="7">
        <v>1.6500000000000001E-2</v>
      </c>
      <c r="K165" s="7">
        <v>7.5999999999999998E-2</v>
      </c>
      <c r="L165" s="7">
        <v>0</v>
      </c>
      <c r="M165" s="11">
        <f t="shared" si="2"/>
        <v>315.10679999999996</v>
      </c>
      <c r="N165" s="11">
        <f t="shared" si="3"/>
        <v>38.1279228</v>
      </c>
      <c r="O165" s="11">
        <f t="shared" si="4"/>
        <v>175.61952319999997</v>
      </c>
      <c r="P165" s="11">
        <f t="shared" si="5"/>
        <v>0</v>
      </c>
    </row>
    <row r="166" spans="1:16" ht="15" customHeight="1">
      <c r="A166" s="44"/>
      <c r="B166" s="5">
        <f t="shared" si="17"/>
        <v>45536</v>
      </c>
      <c r="C166" s="1" t="s">
        <v>533</v>
      </c>
      <c r="D166" s="195">
        <v>9476</v>
      </c>
      <c r="E166" s="186"/>
      <c r="F166" s="2">
        <v>3034.56</v>
      </c>
      <c r="G166" s="3">
        <f t="shared" si="15"/>
        <v>2423.3996159999997</v>
      </c>
      <c r="H166" s="187"/>
      <c r="I166" s="7">
        <v>0.12</v>
      </c>
      <c r="J166" s="7">
        <v>1.6500000000000001E-2</v>
      </c>
      <c r="K166" s="7">
        <v>7.5999999999999998E-2</v>
      </c>
      <c r="L166" s="7">
        <v>0</v>
      </c>
      <c r="M166" s="11">
        <f t="shared" si="2"/>
        <v>364.1472</v>
      </c>
      <c r="N166" s="11">
        <f t="shared" si="3"/>
        <v>44.061811200000001</v>
      </c>
      <c r="O166" s="11">
        <f t="shared" si="4"/>
        <v>202.9513728</v>
      </c>
      <c r="P166" s="11">
        <f t="shared" si="5"/>
        <v>0</v>
      </c>
    </row>
    <row r="167" spans="1:16" ht="15" customHeight="1">
      <c r="A167" s="44"/>
      <c r="B167" s="5">
        <f t="shared" si="17"/>
        <v>45536</v>
      </c>
      <c r="C167" s="1" t="s">
        <v>533</v>
      </c>
      <c r="D167" s="195">
        <v>9477</v>
      </c>
      <c r="E167" s="186"/>
      <c r="F167" s="2">
        <v>1517.28</v>
      </c>
      <c r="G167" s="3">
        <f t="shared" si="15"/>
        <v>1211.6998079999998</v>
      </c>
      <c r="H167" s="187"/>
      <c r="I167" s="7">
        <v>0.12</v>
      </c>
      <c r="J167" s="7">
        <v>1.6500000000000001E-2</v>
      </c>
      <c r="K167" s="7">
        <v>7.5999999999999998E-2</v>
      </c>
      <c r="L167" s="7">
        <v>0</v>
      </c>
      <c r="M167" s="11">
        <f t="shared" si="2"/>
        <v>182.0736</v>
      </c>
      <c r="N167" s="11">
        <f t="shared" si="3"/>
        <v>22.030905600000001</v>
      </c>
      <c r="O167" s="11">
        <f t="shared" si="4"/>
        <v>101.4756864</v>
      </c>
      <c r="P167" s="11">
        <f t="shared" si="5"/>
        <v>0</v>
      </c>
    </row>
    <row r="168" spans="1:16" ht="15" customHeight="1">
      <c r="A168" s="44"/>
      <c r="B168" s="5">
        <f t="shared" si="17"/>
        <v>45536</v>
      </c>
      <c r="C168" s="1" t="s">
        <v>533</v>
      </c>
      <c r="D168" s="195">
        <v>9478</v>
      </c>
      <c r="E168" s="186"/>
      <c r="F168" s="2">
        <v>3082.57</v>
      </c>
      <c r="G168" s="3">
        <f t="shared" si="15"/>
        <v>2461.7404020000004</v>
      </c>
      <c r="H168" s="187"/>
      <c r="I168" s="7">
        <v>0.12</v>
      </c>
      <c r="J168" s="7">
        <v>1.6500000000000001E-2</v>
      </c>
      <c r="K168" s="7">
        <v>7.5999999999999998E-2</v>
      </c>
      <c r="L168" s="7">
        <v>0</v>
      </c>
      <c r="M168" s="11">
        <f t="shared" si="2"/>
        <v>369.90840000000003</v>
      </c>
      <c r="N168" s="11">
        <f t="shared" si="3"/>
        <v>44.758916400000011</v>
      </c>
      <c r="O168" s="11">
        <f t="shared" si="4"/>
        <v>206.16228160000003</v>
      </c>
      <c r="P168" s="11">
        <f t="shared" si="5"/>
        <v>0</v>
      </c>
    </row>
    <row r="169" spans="1:16" ht="15" customHeight="1">
      <c r="A169" s="44"/>
      <c r="B169" s="5">
        <f t="shared" si="17"/>
        <v>45536</v>
      </c>
      <c r="C169" s="1" t="s">
        <v>533</v>
      </c>
      <c r="D169" s="195">
        <v>9479</v>
      </c>
      <c r="E169" s="186"/>
      <c r="F169" s="2">
        <v>1298.1199999999999</v>
      </c>
      <c r="G169" s="3">
        <f t="shared" si="15"/>
        <v>1036.6786319999999</v>
      </c>
      <c r="H169" s="187"/>
      <c r="I169" s="7">
        <v>0.12</v>
      </c>
      <c r="J169" s="7">
        <v>1.6500000000000001E-2</v>
      </c>
      <c r="K169" s="7">
        <v>7.5999999999999998E-2</v>
      </c>
      <c r="L169" s="7">
        <v>0</v>
      </c>
      <c r="M169" s="11">
        <f t="shared" si="2"/>
        <v>155.77439999999999</v>
      </c>
      <c r="N169" s="11">
        <f t="shared" si="3"/>
        <v>18.848702400000001</v>
      </c>
      <c r="O169" s="11">
        <f t="shared" si="4"/>
        <v>86.818265599999989</v>
      </c>
      <c r="P169" s="11">
        <f t="shared" si="5"/>
        <v>0</v>
      </c>
    </row>
    <row r="170" spans="1:16" ht="15" customHeight="1">
      <c r="A170" s="44"/>
      <c r="B170" s="5">
        <f t="shared" si="17"/>
        <v>45536</v>
      </c>
      <c r="C170" s="1" t="s">
        <v>533</v>
      </c>
      <c r="D170" s="195">
        <v>9480</v>
      </c>
      <c r="E170" s="186"/>
      <c r="F170" s="2">
        <v>649.05999999999995</v>
      </c>
      <c r="G170" s="3">
        <f t="shared" si="15"/>
        <v>518.33931599999994</v>
      </c>
      <c r="H170" s="187"/>
      <c r="I170" s="7">
        <v>0.12</v>
      </c>
      <c r="J170" s="7">
        <v>1.6500000000000001E-2</v>
      </c>
      <c r="K170" s="7">
        <v>7.5999999999999998E-2</v>
      </c>
      <c r="L170" s="7">
        <v>0</v>
      </c>
      <c r="M170" s="11">
        <f t="shared" si="2"/>
        <v>77.887199999999993</v>
      </c>
      <c r="N170" s="11">
        <f t="shared" si="3"/>
        <v>9.4243512000000003</v>
      </c>
      <c r="O170" s="11">
        <f t="shared" si="4"/>
        <v>43.409132799999995</v>
      </c>
      <c r="P170" s="11">
        <f t="shared" si="5"/>
        <v>0</v>
      </c>
    </row>
    <row r="171" spans="1:16" ht="15" customHeight="1">
      <c r="A171" s="44"/>
      <c r="B171" s="5">
        <f t="shared" si="17"/>
        <v>45536</v>
      </c>
      <c r="C171" s="1" t="s">
        <v>533</v>
      </c>
      <c r="D171" s="195">
        <v>9481</v>
      </c>
      <c r="E171" s="186"/>
      <c r="F171" s="2">
        <v>1318.65</v>
      </c>
      <c r="G171" s="3">
        <f>F171-SUM(M171:P171)</f>
        <v>1053.0738900000001</v>
      </c>
      <c r="H171" s="187"/>
      <c r="I171" s="7">
        <v>0.12</v>
      </c>
      <c r="J171" s="7">
        <v>1.6500000000000001E-2</v>
      </c>
      <c r="K171" s="7">
        <v>7.5999999999999998E-2</v>
      </c>
      <c r="L171" s="7">
        <v>0</v>
      </c>
      <c r="M171" s="11">
        <f>+I171*F171</f>
        <v>158.238</v>
      </c>
      <c r="N171" s="11">
        <f>J171*(F171-M171)</f>
        <v>19.146798</v>
      </c>
      <c r="O171" s="11">
        <f>K171*(F171-M171)</f>
        <v>88.191311999999996</v>
      </c>
      <c r="P171" s="11">
        <f>L171*(F171)</f>
        <v>0</v>
      </c>
    </row>
    <row r="172" spans="1:16" ht="15" customHeight="1">
      <c r="A172" s="44"/>
      <c r="B172" s="5">
        <f t="shared" si="17"/>
        <v>45536</v>
      </c>
      <c r="C172" s="1" t="s">
        <v>533</v>
      </c>
      <c r="D172" s="195">
        <v>9482</v>
      </c>
      <c r="E172" s="186"/>
      <c r="F172" s="2">
        <v>674.35</v>
      </c>
      <c r="G172" s="3">
        <f>F172-SUM(M172:P172)</f>
        <v>538.53591000000006</v>
      </c>
      <c r="H172" s="187"/>
      <c r="I172" s="7">
        <v>0.12</v>
      </c>
      <c r="J172" s="7">
        <v>1.6500000000000001E-2</v>
      </c>
      <c r="K172" s="7">
        <v>7.5999999999999998E-2</v>
      </c>
      <c r="L172" s="7">
        <v>0</v>
      </c>
      <c r="M172" s="11">
        <f>+I172*F172</f>
        <v>80.921999999999997</v>
      </c>
      <c r="N172" s="11">
        <f>J172*(F172-M172)</f>
        <v>9.7915620000000008</v>
      </c>
      <c r="O172" s="11">
        <f>K172*(F172-M172)</f>
        <v>45.100527999999997</v>
      </c>
      <c r="P172" s="11">
        <f>L172*(F172)</f>
        <v>0</v>
      </c>
    </row>
    <row r="173" spans="1:16" ht="15" customHeight="1">
      <c r="A173" s="44"/>
      <c r="B173" s="5">
        <f t="shared" si="17"/>
        <v>45536</v>
      </c>
      <c r="C173" s="1" t="s">
        <v>533</v>
      </c>
      <c r="D173" s="195">
        <v>9483</v>
      </c>
      <c r="E173" s="186"/>
      <c r="F173" s="2">
        <v>337.17</v>
      </c>
      <c r="G173" s="3">
        <f t="shared" si="15"/>
        <v>269.26396199999999</v>
      </c>
      <c r="H173" s="187"/>
      <c r="I173" s="7">
        <v>0.12</v>
      </c>
      <c r="J173" s="7">
        <v>1.6500000000000001E-2</v>
      </c>
      <c r="K173" s="7">
        <v>7.5999999999999998E-2</v>
      </c>
      <c r="L173" s="7">
        <v>0</v>
      </c>
      <c r="M173" s="11">
        <f t="shared" si="2"/>
        <v>40.4604</v>
      </c>
      <c r="N173" s="11">
        <f t="shared" si="3"/>
        <v>4.8957084000000002</v>
      </c>
      <c r="O173" s="11">
        <f t="shared" si="4"/>
        <v>22.549929600000002</v>
      </c>
      <c r="P173" s="11">
        <f t="shared" si="5"/>
        <v>0</v>
      </c>
    </row>
    <row r="174" spans="1:16" ht="15" customHeight="1">
      <c r="A174" s="44"/>
      <c r="B174" s="5">
        <f t="shared" si="17"/>
        <v>45536</v>
      </c>
      <c r="C174" s="1" t="s">
        <v>533</v>
      </c>
      <c r="D174" s="195">
        <v>9484</v>
      </c>
      <c r="E174" s="186"/>
      <c r="F174" s="2">
        <v>685.01</v>
      </c>
      <c r="G174" s="3">
        <f t="shared" si="15"/>
        <v>547.04898600000001</v>
      </c>
      <c r="H174" s="187"/>
      <c r="I174" s="7">
        <v>0.12</v>
      </c>
      <c r="J174" s="7">
        <v>1.6500000000000001E-2</v>
      </c>
      <c r="K174" s="7">
        <v>7.5999999999999998E-2</v>
      </c>
      <c r="L174" s="7">
        <v>0</v>
      </c>
      <c r="M174" s="11">
        <f t="shared" si="2"/>
        <v>82.2012</v>
      </c>
      <c r="N174" s="11">
        <f t="shared" si="3"/>
        <v>9.9463452000000014</v>
      </c>
      <c r="O174" s="11">
        <f t="shared" si="4"/>
        <v>45.813468800000003</v>
      </c>
      <c r="P174" s="11">
        <f t="shared" si="5"/>
        <v>0</v>
      </c>
    </row>
    <row r="175" spans="1:16" ht="15" customHeight="1">
      <c r="A175" s="44"/>
      <c r="B175" s="5">
        <f t="shared" si="17"/>
        <v>45536</v>
      </c>
      <c r="C175" s="1" t="s">
        <v>533</v>
      </c>
      <c r="D175" s="195">
        <v>9485</v>
      </c>
      <c r="E175" s="186"/>
      <c r="F175" s="2">
        <v>899.13</v>
      </c>
      <c r="G175" s="3">
        <f t="shared" si="15"/>
        <v>718.04521799999998</v>
      </c>
      <c r="H175" s="187"/>
      <c r="I175" s="7">
        <v>0.12</v>
      </c>
      <c r="J175" s="7">
        <v>1.6500000000000001E-2</v>
      </c>
      <c r="K175" s="7">
        <v>7.5999999999999998E-2</v>
      </c>
      <c r="L175" s="7">
        <v>0</v>
      </c>
      <c r="M175" s="11">
        <f t="shared" si="2"/>
        <v>107.8956</v>
      </c>
      <c r="N175" s="11">
        <f t="shared" si="3"/>
        <v>13.055367600000002</v>
      </c>
      <c r="O175" s="11">
        <f t="shared" si="4"/>
        <v>60.133814400000006</v>
      </c>
      <c r="P175" s="11">
        <f t="shared" si="5"/>
        <v>0</v>
      </c>
    </row>
    <row r="176" spans="1:16" ht="15" customHeight="1">
      <c r="A176" s="44"/>
      <c r="B176" s="5">
        <f t="shared" si="17"/>
        <v>45536</v>
      </c>
      <c r="C176" s="1" t="s">
        <v>533</v>
      </c>
      <c r="D176" s="195">
        <v>9486</v>
      </c>
      <c r="E176" s="186"/>
      <c r="F176" s="2">
        <v>449.56</v>
      </c>
      <c r="G176" s="3">
        <f t="shared" si="15"/>
        <v>359.01861600000001</v>
      </c>
      <c r="H176" s="187"/>
      <c r="I176" s="7">
        <v>0.12</v>
      </c>
      <c r="J176" s="7">
        <v>1.6500000000000001E-2</v>
      </c>
      <c r="K176" s="7">
        <v>7.5999999999999998E-2</v>
      </c>
      <c r="L176" s="7">
        <v>0</v>
      </c>
      <c r="M176" s="11">
        <f t="shared" si="2"/>
        <v>53.947199999999995</v>
      </c>
      <c r="N176" s="11">
        <f t="shared" si="3"/>
        <v>6.5276111999999999</v>
      </c>
      <c r="O176" s="11">
        <f t="shared" si="4"/>
        <v>30.066572799999999</v>
      </c>
      <c r="P176" s="11">
        <f t="shared" si="5"/>
        <v>0</v>
      </c>
    </row>
    <row r="177" spans="1:16" ht="15" customHeight="1">
      <c r="A177" s="44"/>
      <c r="B177" s="5">
        <f t="shared" si="17"/>
        <v>45536</v>
      </c>
      <c r="C177" s="1" t="s">
        <v>533</v>
      </c>
      <c r="D177" s="195">
        <v>9487</v>
      </c>
      <c r="E177" s="186"/>
      <c r="F177" s="2">
        <v>913.35</v>
      </c>
      <c r="G177" s="3">
        <f t="shared" si="15"/>
        <v>729.40130999999997</v>
      </c>
      <c r="H177" s="187"/>
      <c r="I177" s="7">
        <v>0.12</v>
      </c>
      <c r="J177" s="7">
        <v>1.6500000000000001E-2</v>
      </c>
      <c r="K177" s="7">
        <v>7.5999999999999998E-2</v>
      </c>
      <c r="L177" s="7">
        <v>0</v>
      </c>
      <c r="M177" s="11">
        <f t="shared" si="2"/>
        <v>109.602</v>
      </c>
      <c r="N177" s="11">
        <f t="shared" si="3"/>
        <v>13.261842000000001</v>
      </c>
      <c r="O177" s="11">
        <f t="shared" si="4"/>
        <v>61.084848000000001</v>
      </c>
      <c r="P177" s="11">
        <f t="shared" si="5"/>
        <v>0</v>
      </c>
    </row>
    <row r="178" spans="1:16" ht="15" customHeight="1">
      <c r="A178" s="44"/>
      <c r="B178" s="5">
        <f t="shared" si="17"/>
        <v>45536</v>
      </c>
      <c r="C178" s="1" t="s">
        <v>533</v>
      </c>
      <c r="D178" s="195">
        <v>9488</v>
      </c>
      <c r="E178" s="186"/>
      <c r="F178" s="2">
        <v>2747.96</v>
      </c>
      <c r="G178" s="3">
        <f t="shared" si="15"/>
        <v>2194.5208560000001</v>
      </c>
      <c r="H178" s="187"/>
      <c r="I178" s="7">
        <v>0.12</v>
      </c>
      <c r="J178" s="7">
        <v>1.6500000000000001E-2</v>
      </c>
      <c r="K178" s="7">
        <v>7.5999999999999998E-2</v>
      </c>
      <c r="L178" s="7">
        <v>0</v>
      </c>
      <c r="M178" s="11">
        <f t="shared" si="2"/>
        <v>329.7552</v>
      </c>
      <c r="N178" s="11">
        <f t="shared" si="3"/>
        <v>39.900379200000003</v>
      </c>
      <c r="O178" s="11">
        <f t="shared" si="4"/>
        <v>183.78356479999999</v>
      </c>
      <c r="P178" s="11">
        <f t="shared" si="5"/>
        <v>0</v>
      </c>
    </row>
    <row r="179" spans="1:16" ht="15" customHeight="1">
      <c r="A179" s="44"/>
      <c r="B179" s="5">
        <f t="shared" ref="B179:B242" si="18">B178</f>
        <v>45536</v>
      </c>
      <c r="C179" s="1" t="s">
        <v>533</v>
      </c>
      <c r="D179" s="195">
        <v>9489</v>
      </c>
      <c r="E179" s="186"/>
      <c r="F179" s="2">
        <v>1373.98</v>
      </c>
      <c r="G179" s="3">
        <f t="shared" si="15"/>
        <v>1097.260428</v>
      </c>
      <c r="H179" s="187"/>
      <c r="I179" s="7">
        <v>0.12</v>
      </c>
      <c r="J179" s="7">
        <v>1.6500000000000001E-2</v>
      </c>
      <c r="K179" s="7">
        <v>7.5999999999999998E-2</v>
      </c>
      <c r="L179" s="7">
        <v>0</v>
      </c>
      <c r="M179" s="11">
        <f t="shared" si="2"/>
        <v>164.8776</v>
      </c>
      <c r="N179" s="11">
        <f t="shared" si="3"/>
        <v>19.950189600000002</v>
      </c>
      <c r="O179" s="11">
        <f t="shared" si="4"/>
        <v>91.891782399999997</v>
      </c>
      <c r="P179" s="11">
        <f t="shared" si="5"/>
        <v>0</v>
      </c>
    </row>
    <row r="180" spans="1:16" ht="15" customHeight="1">
      <c r="A180" s="44"/>
      <c r="B180" s="5">
        <f t="shared" si="18"/>
        <v>45536</v>
      </c>
      <c r="C180" s="1" t="s">
        <v>533</v>
      </c>
      <c r="D180" s="195">
        <v>9490</v>
      </c>
      <c r="E180" s="186"/>
      <c r="F180" s="2">
        <v>2791.43</v>
      </c>
      <c r="G180" s="3">
        <f t="shared" si="15"/>
        <v>2229.2359980000001</v>
      </c>
      <c r="H180" s="187"/>
      <c r="I180" s="7">
        <v>0.12</v>
      </c>
      <c r="J180" s="7">
        <v>1.6500000000000001E-2</v>
      </c>
      <c r="K180" s="7">
        <v>7.5999999999999998E-2</v>
      </c>
      <c r="L180" s="7">
        <v>0</v>
      </c>
      <c r="M180" s="11">
        <f t="shared" si="2"/>
        <v>334.97159999999997</v>
      </c>
      <c r="N180" s="11">
        <f t="shared" si="3"/>
        <v>40.531563599999998</v>
      </c>
      <c r="O180" s="11">
        <f t="shared" si="4"/>
        <v>186.69083839999999</v>
      </c>
      <c r="P180" s="11">
        <f t="shared" si="5"/>
        <v>0</v>
      </c>
    </row>
    <row r="181" spans="1:16" ht="15" customHeight="1">
      <c r="A181" s="44"/>
      <c r="B181" s="5">
        <f t="shared" si="18"/>
        <v>45536</v>
      </c>
      <c r="C181" s="1" t="s">
        <v>533</v>
      </c>
      <c r="D181" s="195">
        <v>17979</v>
      </c>
      <c r="E181" s="186"/>
      <c r="F181" s="2">
        <v>13768.71</v>
      </c>
      <c r="G181" s="3">
        <f t="shared" si="15"/>
        <v>11620.447022249999</v>
      </c>
      <c r="H181" s="187"/>
      <c r="I181" s="7">
        <v>7.0000000000000007E-2</v>
      </c>
      <c r="J181" s="7">
        <v>1.6500000000000001E-2</v>
      </c>
      <c r="K181" s="7">
        <v>7.5999999999999998E-2</v>
      </c>
      <c r="L181" s="7">
        <v>0</v>
      </c>
      <c r="M181" s="11">
        <f t="shared" si="2"/>
        <v>963.80970000000002</v>
      </c>
      <c r="N181" s="11">
        <f t="shared" si="3"/>
        <v>211.28085494999999</v>
      </c>
      <c r="O181" s="11">
        <f t="shared" si="4"/>
        <v>973.17242279999994</v>
      </c>
      <c r="P181" s="11">
        <f t="shared" si="5"/>
        <v>0</v>
      </c>
    </row>
    <row r="182" spans="1:16" ht="15" customHeight="1">
      <c r="A182" s="44"/>
      <c r="B182" s="5">
        <f t="shared" si="18"/>
        <v>45536</v>
      </c>
      <c r="C182" s="1" t="s">
        <v>533</v>
      </c>
      <c r="D182" s="195">
        <v>17739</v>
      </c>
      <c r="E182" s="186"/>
      <c r="F182" s="2">
        <v>45.77</v>
      </c>
      <c r="G182" s="3">
        <f t="shared" si="15"/>
        <v>38.628735750000004</v>
      </c>
      <c r="H182" s="187"/>
      <c r="I182" s="7">
        <v>7.0000000000000007E-2</v>
      </c>
      <c r="J182" s="7">
        <v>1.6500000000000001E-2</v>
      </c>
      <c r="K182" s="7">
        <v>7.5999999999999998E-2</v>
      </c>
      <c r="L182" s="7">
        <v>0</v>
      </c>
      <c r="M182" s="11">
        <f t="shared" si="2"/>
        <v>3.2039000000000004</v>
      </c>
      <c r="N182" s="11">
        <f t="shared" si="3"/>
        <v>0.70234065000000012</v>
      </c>
      <c r="O182" s="11">
        <f t="shared" si="4"/>
        <v>3.2350236000000003</v>
      </c>
      <c r="P182" s="11">
        <f t="shared" si="5"/>
        <v>0</v>
      </c>
    </row>
    <row r="183" spans="1:16" ht="15" customHeight="1">
      <c r="A183" s="44"/>
      <c r="B183" s="5">
        <f t="shared" si="18"/>
        <v>45536</v>
      </c>
      <c r="C183" s="1" t="s">
        <v>533</v>
      </c>
      <c r="D183" s="195">
        <v>17740</v>
      </c>
      <c r="E183" s="186"/>
      <c r="F183" s="2">
        <v>444.17</v>
      </c>
      <c r="G183" s="3">
        <f t="shared" si="15"/>
        <v>374.86837575000004</v>
      </c>
      <c r="H183" s="187"/>
      <c r="I183" s="7">
        <v>7.0000000000000007E-2</v>
      </c>
      <c r="J183" s="7">
        <v>1.6500000000000001E-2</v>
      </c>
      <c r="K183" s="7">
        <v>7.5999999999999998E-2</v>
      </c>
      <c r="L183" s="7">
        <v>0</v>
      </c>
      <c r="M183" s="11">
        <f t="shared" si="2"/>
        <v>31.091900000000003</v>
      </c>
      <c r="N183" s="11">
        <f t="shared" si="3"/>
        <v>6.81578865</v>
      </c>
      <c r="O183" s="11">
        <f t="shared" si="4"/>
        <v>31.393935599999999</v>
      </c>
      <c r="P183" s="11">
        <f t="shared" si="5"/>
        <v>0</v>
      </c>
    </row>
    <row r="184" spans="1:16" ht="15" customHeight="1">
      <c r="A184" s="44"/>
      <c r="B184" s="5">
        <f t="shared" si="18"/>
        <v>45536</v>
      </c>
      <c r="C184" s="1" t="s">
        <v>533</v>
      </c>
      <c r="D184" s="195">
        <v>17741</v>
      </c>
      <c r="E184" s="186"/>
      <c r="F184" s="2">
        <v>19927.38</v>
      </c>
      <c r="G184" s="3">
        <f t="shared" si="15"/>
        <v>16818.210535500002</v>
      </c>
      <c r="H184" s="187"/>
      <c r="I184" s="7">
        <v>7.0000000000000007E-2</v>
      </c>
      <c r="J184" s="7">
        <v>1.6500000000000001E-2</v>
      </c>
      <c r="K184" s="7">
        <v>7.5999999999999998E-2</v>
      </c>
      <c r="L184" s="7">
        <v>0</v>
      </c>
      <c r="M184" s="11">
        <f t="shared" si="2"/>
        <v>1394.9166000000002</v>
      </c>
      <c r="N184" s="11">
        <f t="shared" si="3"/>
        <v>305.78564610000001</v>
      </c>
      <c r="O184" s="11">
        <f t="shared" si="4"/>
        <v>1408.4672184000001</v>
      </c>
      <c r="P184" s="11">
        <f t="shared" si="5"/>
        <v>0</v>
      </c>
    </row>
    <row r="185" spans="1:16" ht="15" customHeight="1">
      <c r="A185" s="44"/>
      <c r="B185" s="5">
        <f t="shared" si="18"/>
        <v>45536</v>
      </c>
      <c r="C185" s="1" t="s">
        <v>533</v>
      </c>
      <c r="D185" s="195">
        <v>17742</v>
      </c>
      <c r="E185" s="186"/>
      <c r="F185" s="2">
        <v>68.39</v>
      </c>
      <c r="G185" s="3">
        <f t="shared" si="15"/>
        <v>57.719450250000001</v>
      </c>
      <c r="H185" s="187"/>
      <c r="I185" s="7">
        <v>7.0000000000000007E-2</v>
      </c>
      <c r="J185" s="7">
        <v>1.6500000000000001E-2</v>
      </c>
      <c r="K185" s="7">
        <v>7.5999999999999998E-2</v>
      </c>
      <c r="L185" s="7">
        <v>0</v>
      </c>
      <c r="M185" s="11">
        <f t="shared" si="2"/>
        <v>4.7873000000000001</v>
      </c>
      <c r="N185" s="11">
        <f t="shared" si="3"/>
        <v>1.04944455</v>
      </c>
      <c r="O185" s="11">
        <f t="shared" si="4"/>
        <v>4.8338051999999996</v>
      </c>
      <c r="P185" s="11">
        <f t="shared" si="5"/>
        <v>0</v>
      </c>
    </row>
    <row r="186" spans="1:16" ht="15" customHeight="1">
      <c r="A186" s="44"/>
      <c r="B186" s="5">
        <f t="shared" si="18"/>
        <v>45536</v>
      </c>
      <c r="C186" s="1" t="s">
        <v>533</v>
      </c>
      <c r="D186" s="195">
        <v>17743</v>
      </c>
      <c r="E186" s="186"/>
      <c r="F186" s="2">
        <v>663.63</v>
      </c>
      <c r="G186" s="3">
        <f t="shared" si="15"/>
        <v>560.08712924999998</v>
      </c>
      <c r="H186" s="187"/>
      <c r="I186" s="7">
        <v>7.0000000000000007E-2</v>
      </c>
      <c r="J186" s="7">
        <v>1.6500000000000001E-2</v>
      </c>
      <c r="K186" s="7">
        <v>7.5999999999999998E-2</v>
      </c>
      <c r="L186" s="7">
        <v>0</v>
      </c>
      <c r="M186" s="11">
        <f t="shared" si="2"/>
        <v>46.454100000000004</v>
      </c>
      <c r="N186" s="11">
        <f t="shared" si="3"/>
        <v>10.18340235</v>
      </c>
      <c r="O186" s="11">
        <f t="shared" si="4"/>
        <v>46.905368399999993</v>
      </c>
      <c r="P186" s="11">
        <f t="shared" si="5"/>
        <v>0</v>
      </c>
    </row>
    <row r="187" spans="1:16" ht="15" customHeight="1">
      <c r="A187" s="44"/>
      <c r="B187" s="5">
        <f t="shared" si="18"/>
        <v>45536</v>
      </c>
      <c r="C187" s="1" t="s">
        <v>533</v>
      </c>
      <c r="D187" s="195">
        <v>17744</v>
      </c>
      <c r="E187" s="186"/>
      <c r="F187" s="2">
        <v>9791.16</v>
      </c>
      <c r="G187" s="3">
        <f t="shared" si="15"/>
        <v>8263.4942609999998</v>
      </c>
      <c r="H187" s="187"/>
      <c r="I187" s="7">
        <v>7.0000000000000007E-2</v>
      </c>
      <c r="J187" s="7">
        <v>1.6500000000000001E-2</v>
      </c>
      <c r="K187" s="7">
        <v>7.5999999999999998E-2</v>
      </c>
      <c r="L187" s="7">
        <v>0</v>
      </c>
      <c r="M187" s="11">
        <f t="shared" si="2"/>
        <v>685.38120000000004</v>
      </c>
      <c r="N187" s="11">
        <f t="shared" si="3"/>
        <v>150.24535020000002</v>
      </c>
      <c r="O187" s="11">
        <f t="shared" si="4"/>
        <v>692.03918880000003</v>
      </c>
      <c r="P187" s="11">
        <f t="shared" si="5"/>
        <v>0</v>
      </c>
    </row>
    <row r="188" spans="1:16" ht="15" customHeight="1">
      <c r="A188" s="44"/>
      <c r="B188" s="5">
        <f t="shared" si="18"/>
        <v>45536</v>
      </c>
      <c r="C188" s="1" t="s">
        <v>533</v>
      </c>
      <c r="D188" s="195">
        <v>17745</v>
      </c>
      <c r="E188" s="186"/>
      <c r="F188" s="2">
        <v>346.51</v>
      </c>
      <c r="G188" s="3">
        <f t="shared" si="15"/>
        <v>292.44577724999999</v>
      </c>
      <c r="H188" s="187"/>
      <c r="I188" s="7">
        <v>7.0000000000000007E-2</v>
      </c>
      <c r="J188" s="7">
        <v>1.6500000000000001E-2</v>
      </c>
      <c r="K188" s="7">
        <v>7.5999999999999998E-2</v>
      </c>
      <c r="L188" s="7">
        <v>0</v>
      </c>
      <c r="M188" s="11">
        <f t="shared" si="2"/>
        <v>24.255700000000001</v>
      </c>
      <c r="N188" s="11">
        <f t="shared" si="3"/>
        <v>5.3171959500000003</v>
      </c>
      <c r="O188" s="11">
        <f t="shared" si="4"/>
        <v>24.4913268</v>
      </c>
      <c r="P188" s="11">
        <f t="shared" si="5"/>
        <v>0</v>
      </c>
    </row>
    <row r="189" spans="1:16" ht="15" customHeight="1">
      <c r="A189" s="44"/>
      <c r="B189" s="5">
        <f t="shared" si="18"/>
        <v>45536</v>
      </c>
      <c r="C189" s="1" t="s">
        <v>533</v>
      </c>
      <c r="D189" s="195">
        <v>17746</v>
      </c>
      <c r="E189" s="186"/>
      <c r="F189" s="2">
        <v>410.55</v>
      </c>
      <c r="G189" s="3">
        <f t="shared" si="15"/>
        <v>346.49393625000005</v>
      </c>
      <c r="H189" s="187"/>
      <c r="I189" s="7">
        <v>7.0000000000000007E-2</v>
      </c>
      <c r="J189" s="7">
        <v>1.6500000000000001E-2</v>
      </c>
      <c r="K189" s="7">
        <v>7.5999999999999998E-2</v>
      </c>
      <c r="L189" s="7">
        <v>0</v>
      </c>
      <c r="M189" s="11">
        <f t="shared" si="2"/>
        <v>28.738500000000002</v>
      </c>
      <c r="N189" s="11">
        <f t="shared" si="3"/>
        <v>6.2998897500000011</v>
      </c>
      <c r="O189" s="11">
        <f t="shared" si="4"/>
        <v>29.017674</v>
      </c>
      <c r="P189" s="11">
        <f t="shared" si="5"/>
        <v>0</v>
      </c>
    </row>
    <row r="190" spans="1:16" ht="15" customHeight="1">
      <c r="A190" s="44"/>
      <c r="B190" s="5">
        <f t="shared" si="18"/>
        <v>45536</v>
      </c>
      <c r="C190" s="1" t="s">
        <v>533</v>
      </c>
      <c r="D190" s="195">
        <v>17764</v>
      </c>
      <c r="E190" s="186"/>
      <c r="F190" s="2">
        <v>12146.25</v>
      </c>
      <c r="G190" s="3">
        <f t="shared" si="15"/>
        <v>10251.131343749999</v>
      </c>
      <c r="H190" s="187"/>
      <c r="I190" s="7">
        <v>7.0000000000000007E-2</v>
      </c>
      <c r="J190" s="7">
        <v>1.6500000000000001E-2</v>
      </c>
      <c r="K190" s="7">
        <v>7.5999999999999998E-2</v>
      </c>
      <c r="L190" s="7">
        <v>0</v>
      </c>
      <c r="M190" s="11">
        <f t="shared" si="2"/>
        <v>850.23750000000007</v>
      </c>
      <c r="N190" s="11">
        <f t="shared" si="3"/>
        <v>186.38420625000003</v>
      </c>
      <c r="O190" s="11">
        <f t="shared" si="4"/>
        <v>858.49695000000008</v>
      </c>
      <c r="P190" s="11">
        <f t="shared" si="5"/>
        <v>0</v>
      </c>
    </row>
    <row r="191" spans="1:16" ht="15" customHeight="1">
      <c r="A191" s="44"/>
      <c r="B191" s="5">
        <f t="shared" si="18"/>
        <v>45536</v>
      </c>
      <c r="C191" s="1" t="s">
        <v>533</v>
      </c>
      <c r="D191" s="195">
        <v>17765</v>
      </c>
      <c r="E191" s="186"/>
      <c r="F191" s="2">
        <v>445.36</v>
      </c>
      <c r="G191" s="3">
        <f t="shared" si="15"/>
        <v>375.87270599999999</v>
      </c>
      <c r="H191" s="187"/>
      <c r="I191" s="7">
        <v>7.0000000000000007E-2</v>
      </c>
      <c r="J191" s="7">
        <v>1.6500000000000001E-2</v>
      </c>
      <c r="K191" s="7">
        <v>7.5999999999999998E-2</v>
      </c>
      <c r="L191" s="7">
        <v>0</v>
      </c>
      <c r="M191" s="11">
        <f t="shared" si="2"/>
        <v>31.175200000000004</v>
      </c>
      <c r="N191" s="11">
        <f t="shared" si="3"/>
        <v>6.8340491999999999</v>
      </c>
      <c r="O191" s="11">
        <f t="shared" si="4"/>
        <v>31.478044799999999</v>
      </c>
      <c r="P191" s="11">
        <f t="shared" si="5"/>
        <v>0</v>
      </c>
    </row>
    <row r="192" spans="1:16" ht="15" customHeight="1">
      <c r="A192" s="44"/>
      <c r="B192" s="5">
        <f t="shared" si="18"/>
        <v>45536</v>
      </c>
      <c r="C192" s="1" t="s">
        <v>533</v>
      </c>
      <c r="D192" s="195">
        <v>17758</v>
      </c>
      <c r="E192" s="186"/>
      <c r="F192" s="2">
        <v>425.18</v>
      </c>
      <c r="G192" s="3">
        <f t="shared" si="15"/>
        <v>358.84129050000001</v>
      </c>
      <c r="H192" s="187"/>
      <c r="I192" s="7">
        <v>7.0000000000000007E-2</v>
      </c>
      <c r="J192" s="7">
        <v>1.6500000000000001E-2</v>
      </c>
      <c r="K192" s="7">
        <v>7.5999999999999998E-2</v>
      </c>
      <c r="L192" s="7">
        <v>0</v>
      </c>
      <c r="M192" s="11">
        <f t="shared" si="2"/>
        <v>29.762600000000003</v>
      </c>
      <c r="N192" s="11">
        <f t="shared" si="3"/>
        <v>6.5243871000000002</v>
      </c>
      <c r="O192" s="11">
        <f t="shared" si="4"/>
        <v>30.051722399999999</v>
      </c>
      <c r="P192" s="11">
        <f t="shared" si="5"/>
        <v>0</v>
      </c>
    </row>
    <row r="193" spans="1:16" ht="15" customHeight="1">
      <c r="A193" s="44"/>
      <c r="B193" s="5">
        <f t="shared" si="18"/>
        <v>45536</v>
      </c>
      <c r="C193" s="1" t="s">
        <v>533</v>
      </c>
      <c r="D193" s="195">
        <v>17759</v>
      </c>
      <c r="E193" s="186"/>
      <c r="F193" s="2">
        <v>4961.8900000000003</v>
      </c>
      <c r="G193" s="3">
        <f t="shared" si="15"/>
        <v>4187.7111127500002</v>
      </c>
      <c r="H193" s="187"/>
      <c r="I193" s="7">
        <v>7.0000000000000007E-2</v>
      </c>
      <c r="J193" s="7">
        <v>1.6500000000000001E-2</v>
      </c>
      <c r="K193" s="7">
        <v>7.5999999999999998E-2</v>
      </c>
      <c r="L193" s="7">
        <v>0</v>
      </c>
      <c r="M193" s="11">
        <f t="shared" si="2"/>
        <v>347.33230000000003</v>
      </c>
      <c r="N193" s="11">
        <f t="shared" si="3"/>
        <v>76.140202050000013</v>
      </c>
      <c r="O193" s="11">
        <f t="shared" si="4"/>
        <v>350.7063852</v>
      </c>
      <c r="P193" s="11">
        <f t="shared" si="5"/>
        <v>0</v>
      </c>
    </row>
    <row r="194" spans="1:16" ht="15" customHeight="1">
      <c r="A194" s="44"/>
      <c r="B194" s="5">
        <f t="shared" si="18"/>
        <v>45536</v>
      </c>
      <c r="C194" s="1" t="s">
        <v>533</v>
      </c>
      <c r="D194" s="195">
        <v>17760</v>
      </c>
      <c r="E194" s="186"/>
      <c r="F194" s="2">
        <v>178.79</v>
      </c>
      <c r="G194" s="3">
        <f t="shared" si="15"/>
        <v>150.89429024999998</v>
      </c>
      <c r="H194" s="187"/>
      <c r="I194" s="7">
        <v>7.0000000000000007E-2</v>
      </c>
      <c r="J194" s="7">
        <v>1.6500000000000001E-2</v>
      </c>
      <c r="K194" s="7">
        <v>7.5999999999999998E-2</v>
      </c>
      <c r="L194" s="7">
        <v>0</v>
      </c>
      <c r="M194" s="11">
        <f t="shared" si="2"/>
        <v>12.5153</v>
      </c>
      <c r="N194" s="11">
        <f t="shared" si="3"/>
        <v>2.7435325499999998</v>
      </c>
      <c r="O194" s="11">
        <f t="shared" si="4"/>
        <v>12.636877199999999</v>
      </c>
      <c r="P194" s="11">
        <f t="shared" si="5"/>
        <v>0</v>
      </c>
    </row>
    <row r="195" spans="1:16" ht="15" customHeight="1">
      <c r="A195" s="44"/>
      <c r="B195" s="5">
        <f t="shared" si="18"/>
        <v>45536</v>
      </c>
      <c r="C195" s="1" t="s">
        <v>533</v>
      </c>
      <c r="D195" s="195">
        <v>17761</v>
      </c>
      <c r="E195" s="186"/>
      <c r="F195" s="2">
        <v>188.1</v>
      </c>
      <c r="G195" s="3">
        <f t="shared" si="15"/>
        <v>158.75169749999998</v>
      </c>
      <c r="H195" s="187"/>
      <c r="I195" s="7">
        <v>7.0000000000000007E-2</v>
      </c>
      <c r="J195" s="7">
        <v>1.6500000000000001E-2</v>
      </c>
      <c r="K195" s="7">
        <v>7.5999999999999998E-2</v>
      </c>
      <c r="L195" s="7">
        <v>0</v>
      </c>
      <c r="M195" s="11">
        <f t="shared" si="2"/>
        <v>13.167000000000002</v>
      </c>
      <c r="N195" s="11">
        <f t="shared" si="3"/>
        <v>2.8863945000000002</v>
      </c>
      <c r="O195" s="11">
        <f t="shared" si="4"/>
        <v>13.294908</v>
      </c>
      <c r="P195" s="11">
        <f t="shared" si="5"/>
        <v>0</v>
      </c>
    </row>
    <row r="196" spans="1:16" ht="15" customHeight="1">
      <c r="A196" s="44"/>
      <c r="B196" s="5">
        <f t="shared" si="18"/>
        <v>45536</v>
      </c>
      <c r="C196" s="1" t="s">
        <v>533</v>
      </c>
      <c r="D196" s="195">
        <v>17762</v>
      </c>
      <c r="E196" s="186"/>
      <c r="F196" s="2">
        <v>2706.49</v>
      </c>
      <c r="G196" s="3">
        <f t="shared" si="15"/>
        <v>2284.20989775</v>
      </c>
      <c r="H196" s="187"/>
      <c r="I196" s="7">
        <v>7.0000000000000007E-2</v>
      </c>
      <c r="J196" s="7">
        <v>1.6500000000000001E-2</v>
      </c>
      <c r="K196" s="7">
        <v>7.5999999999999998E-2</v>
      </c>
      <c r="L196" s="7">
        <v>0</v>
      </c>
      <c r="M196" s="11">
        <f t="shared" si="2"/>
        <v>189.45429999999999</v>
      </c>
      <c r="N196" s="11">
        <f t="shared" si="3"/>
        <v>41.531089049999999</v>
      </c>
      <c r="O196" s="11">
        <f t="shared" si="4"/>
        <v>191.29471319999999</v>
      </c>
      <c r="P196" s="11">
        <f t="shared" si="5"/>
        <v>0</v>
      </c>
    </row>
    <row r="197" spans="1:16" ht="15" customHeight="1">
      <c r="A197" s="44"/>
      <c r="B197" s="5">
        <f t="shared" si="18"/>
        <v>45536</v>
      </c>
      <c r="C197" s="1" t="s">
        <v>533</v>
      </c>
      <c r="D197" s="195">
        <v>17763</v>
      </c>
      <c r="E197" s="186"/>
      <c r="F197" s="2">
        <v>97.53</v>
      </c>
      <c r="G197" s="3">
        <f t="shared" si="15"/>
        <v>82.312881750000003</v>
      </c>
      <c r="H197" s="187"/>
      <c r="I197" s="7">
        <v>7.0000000000000007E-2</v>
      </c>
      <c r="J197" s="7">
        <v>1.6500000000000001E-2</v>
      </c>
      <c r="K197" s="7">
        <v>7.5999999999999998E-2</v>
      </c>
      <c r="L197" s="7">
        <v>0</v>
      </c>
      <c r="M197" s="11">
        <f t="shared" si="2"/>
        <v>6.8271000000000006</v>
      </c>
      <c r="N197" s="11">
        <f t="shared" si="3"/>
        <v>1.4965978500000001</v>
      </c>
      <c r="O197" s="11">
        <f t="shared" si="4"/>
        <v>6.8934204000000001</v>
      </c>
      <c r="P197" s="11">
        <f t="shared" si="5"/>
        <v>0</v>
      </c>
    </row>
    <row r="198" spans="1:16" ht="15" customHeight="1">
      <c r="A198" s="44"/>
      <c r="B198" s="5">
        <f t="shared" si="18"/>
        <v>45536</v>
      </c>
      <c r="C198" s="1" t="s">
        <v>533</v>
      </c>
      <c r="D198" s="195">
        <v>17779</v>
      </c>
      <c r="E198" s="186"/>
      <c r="F198" s="2">
        <v>102.64</v>
      </c>
      <c r="G198" s="3">
        <f t="shared" si="15"/>
        <v>86.625594000000007</v>
      </c>
      <c r="H198" s="187"/>
      <c r="I198" s="7">
        <v>7.0000000000000007E-2</v>
      </c>
      <c r="J198" s="7">
        <v>1.6500000000000001E-2</v>
      </c>
      <c r="K198" s="7">
        <v>7.5999999999999998E-2</v>
      </c>
      <c r="L198" s="7">
        <v>0</v>
      </c>
      <c r="M198" s="11">
        <f t="shared" si="2"/>
        <v>7.184800000000001</v>
      </c>
      <c r="N198" s="11">
        <f t="shared" si="3"/>
        <v>1.5750108000000003</v>
      </c>
      <c r="O198" s="11">
        <f t="shared" si="4"/>
        <v>7.2545951999999998</v>
      </c>
      <c r="P198" s="11">
        <f t="shared" si="5"/>
        <v>0</v>
      </c>
    </row>
    <row r="199" spans="1:16" ht="15" customHeight="1">
      <c r="A199" s="44"/>
      <c r="B199" s="5">
        <f t="shared" si="18"/>
        <v>45536</v>
      </c>
      <c r="C199" s="1" t="s">
        <v>533</v>
      </c>
      <c r="D199" s="195">
        <v>17780</v>
      </c>
      <c r="E199" s="186"/>
      <c r="F199" s="2">
        <v>3608.64</v>
      </c>
      <c r="G199" s="3">
        <f t="shared" si="15"/>
        <v>3045.601944</v>
      </c>
      <c r="H199" s="187"/>
      <c r="I199" s="7">
        <v>7.0000000000000007E-2</v>
      </c>
      <c r="J199" s="7">
        <v>1.6500000000000001E-2</v>
      </c>
      <c r="K199" s="7">
        <v>7.5999999999999998E-2</v>
      </c>
      <c r="L199" s="7">
        <v>0</v>
      </c>
      <c r="M199" s="11">
        <f t="shared" si="2"/>
        <v>252.60480000000001</v>
      </c>
      <c r="N199" s="11">
        <f t="shared" si="3"/>
        <v>55.374580799999997</v>
      </c>
      <c r="O199" s="11">
        <f t="shared" si="4"/>
        <v>255.05867519999998</v>
      </c>
      <c r="P199" s="11">
        <f t="shared" si="5"/>
        <v>0</v>
      </c>
    </row>
    <row r="200" spans="1:16" ht="15" customHeight="1">
      <c r="A200" s="44"/>
      <c r="B200" s="5">
        <f t="shared" si="18"/>
        <v>45536</v>
      </c>
      <c r="C200" s="1" t="s">
        <v>533</v>
      </c>
      <c r="D200" s="195">
        <v>17781</v>
      </c>
      <c r="E200" s="186"/>
      <c r="F200" s="2">
        <v>130.03</v>
      </c>
      <c r="G200" s="3">
        <f t="shared" si="15"/>
        <v>109.74206925</v>
      </c>
      <c r="H200" s="187"/>
      <c r="I200" s="7">
        <v>7.0000000000000007E-2</v>
      </c>
      <c r="J200" s="7">
        <v>1.6500000000000001E-2</v>
      </c>
      <c r="K200" s="7">
        <v>7.5999999999999998E-2</v>
      </c>
      <c r="L200" s="7">
        <v>0</v>
      </c>
      <c r="M200" s="11">
        <f t="shared" si="2"/>
        <v>9.1021000000000001</v>
      </c>
      <c r="N200" s="11">
        <f t="shared" si="3"/>
        <v>1.99531035</v>
      </c>
      <c r="O200" s="11">
        <f t="shared" si="4"/>
        <v>9.1905203999999987</v>
      </c>
      <c r="P200" s="11">
        <f t="shared" si="5"/>
        <v>0</v>
      </c>
    </row>
    <row r="201" spans="1:16" ht="15" customHeight="1">
      <c r="A201" s="44"/>
      <c r="B201" s="5">
        <f t="shared" si="18"/>
        <v>45536</v>
      </c>
      <c r="C201" s="1" t="s">
        <v>533</v>
      </c>
      <c r="D201" s="195">
        <v>17782</v>
      </c>
      <c r="E201" s="186"/>
      <c r="F201" s="2">
        <v>136.78</v>
      </c>
      <c r="G201" s="3">
        <f t="shared" si="15"/>
        <v>115.4389005</v>
      </c>
      <c r="H201" s="187"/>
      <c r="I201" s="7">
        <v>7.0000000000000007E-2</v>
      </c>
      <c r="J201" s="7">
        <v>1.6500000000000001E-2</v>
      </c>
      <c r="K201" s="7">
        <v>7.5999999999999998E-2</v>
      </c>
      <c r="L201" s="7">
        <v>0</v>
      </c>
      <c r="M201" s="11">
        <f t="shared" si="2"/>
        <v>9.5746000000000002</v>
      </c>
      <c r="N201" s="11">
        <f t="shared" si="3"/>
        <v>2.0988891000000001</v>
      </c>
      <c r="O201" s="11">
        <f t="shared" si="4"/>
        <v>9.6676103999999992</v>
      </c>
      <c r="P201" s="11">
        <f t="shared" si="5"/>
        <v>0</v>
      </c>
    </row>
    <row r="202" spans="1:16" ht="15" customHeight="1">
      <c r="A202" s="44"/>
      <c r="B202" s="5">
        <f t="shared" si="18"/>
        <v>45536</v>
      </c>
      <c r="C202" s="1" t="s">
        <v>533</v>
      </c>
      <c r="D202" s="195">
        <v>17783</v>
      </c>
      <c r="E202" s="186"/>
      <c r="F202" s="2">
        <v>11893.82</v>
      </c>
      <c r="G202" s="3">
        <f t="shared" si="15"/>
        <v>10038.086734500001</v>
      </c>
      <c r="H202" s="187"/>
      <c r="I202" s="7">
        <v>7.0000000000000007E-2</v>
      </c>
      <c r="J202" s="7">
        <v>1.6500000000000001E-2</v>
      </c>
      <c r="K202" s="7">
        <v>7.5999999999999998E-2</v>
      </c>
      <c r="L202" s="7">
        <v>0</v>
      </c>
      <c r="M202" s="11">
        <f t="shared" si="2"/>
        <v>832.56740000000002</v>
      </c>
      <c r="N202" s="11">
        <f t="shared" si="3"/>
        <v>182.51066790000002</v>
      </c>
      <c r="O202" s="11">
        <f t="shared" si="4"/>
        <v>840.65519759999995</v>
      </c>
      <c r="P202" s="11">
        <f t="shared" si="5"/>
        <v>0</v>
      </c>
    </row>
    <row r="203" spans="1:16" ht="15" customHeight="1">
      <c r="A203" s="44"/>
      <c r="B203" s="5">
        <f t="shared" si="18"/>
        <v>45536</v>
      </c>
      <c r="C203" s="1" t="s">
        <v>533</v>
      </c>
      <c r="D203" s="195">
        <v>17784</v>
      </c>
      <c r="E203" s="186"/>
      <c r="F203" s="2">
        <v>427.27</v>
      </c>
      <c r="G203" s="3">
        <f t="shared" si="15"/>
        <v>360.60519825</v>
      </c>
      <c r="H203" s="187"/>
      <c r="I203" s="7">
        <v>7.0000000000000007E-2</v>
      </c>
      <c r="J203" s="7">
        <v>1.6500000000000001E-2</v>
      </c>
      <c r="K203" s="7">
        <v>7.5999999999999998E-2</v>
      </c>
      <c r="L203" s="7">
        <v>0</v>
      </c>
      <c r="M203" s="11">
        <f t="shared" si="2"/>
        <v>29.908900000000003</v>
      </c>
      <c r="N203" s="11">
        <f t="shared" si="3"/>
        <v>6.5564581500000001</v>
      </c>
      <c r="O203" s="11">
        <f t="shared" si="4"/>
        <v>30.199443599999995</v>
      </c>
      <c r="P203" s="11">
        <f t="shared" si="5"/>
        <v>0</v>
      </c>
    </row>
    <row r="204" spans="1:16" ht="15" customHeight="1">
      <c r="A204" s="44"/>
      <c r="B204" s="5">
        <f t="shared" si="18"/>
        <v>45536</v>
      </c>
      <c r="C204" s="1" t="s">
        <v>533</v>
      </c>
      <c r="D204" s="195">
        <v>17785</v>
      </c>
      <c r="E204" s="186"/>
      <c r="F204" s="2">
        <v>447.66</v>
      </c>
      <c r="G204" s="3">
        <f t="shared" si="15"/>
        <v>377.81384850000001</v>
      </c>
      <c r="H204" s="187"/>
      <c r="I204" s="7">
        <v>7.0000000000000007E-2</v>
      </c>
      <c r="J204" s="7">
        <v>1.6500000000000001E-2</v>
      </c>
      <c r="K204" s="7">
        <v>7.5999999999999998E-2</v>
      </c>
      <c r="L204" s="7">
        <v>0</v>
      </c>
      <c r="M204" s="11">
        <f t="shared" si="2"/>
        <v>31.336200000000005</v>
      </c>
      <c r="N204" s="11">
        <f t="shared" si="3"/>
        <v>6.8693427000000007</v>
      </c>
      <c r="O204" s="11">
        <f t="shared" si="4"/>
        <v>31.640608799999999</v>
      </c>
      <c r="P204" s="11">
        <f t="shared" si="5"/>
        <v>0</v>
      </c>
    </row>
    <row r="205" spans="1:16" ht="15" hidden="1" customHeight="1">
      <c r="A205" s="44"/>
      <c r="B205" s="5">
        <f t="shared" si="18"/>
        <v>45536</v>
      </c>
      <c r="C205" s="1" t="s">
        <v>533</v>
      </c>
      <c r="D205" s="195"/>
      <c r="E205" s="186"/>
      <c r="F205" s="2"/>
      <c r="G205" s="3">
        <f t="shared" si="15"/>
        <v>0</v>
      </c>
      <c r="H205" s="187"/>
      <c r="I205" s="7"/>
      <c r="J205" s="7">
        <v>1.6500000000000001E-2</v>
      </c>
      <c r="K205" s="7">
        <v>7.5999999999999998E-2</v>
      </c>
      <c r="L205" s="7">
        <v>0</v>
      </c>
      <c r="M205" s="11">
        <f t="shared" si="2"/>
        <v>0</v>
      </c>
      <c r="N205" s="11">
        <f t="shared" si="3"/>
        <v>0</v>
      </c>
      <c r="O205" s="11">
        <f t="shared" si="4"/>
        <v>0</v>
      </c>
      <c r="P205" s="11">
        <f t="shared" si="5"/>
        <v>0</v>
      </c>
    </row>
    <row r="206" spans="1:16" ht="15" hidden="1" customHeight="1">
      <c r="A206" s="44"/>
      <c r="B206" s="5">
        <f t="shared" si="18"/>
        <v>45536</v>
      </c>
      <c r="C206" s="1" t="s">
        <v>533</v>
      </c>
      <c r="D206" s="195"/>
      <c r="E206" s="186"/>
      <c r="F206" s="2"/>
      <c r="G206" s="3">
        <f t="shared" si="15"/>
        <v>0</v>
      </c>
      <c r="H206" s="187"/>
      <c r="I206" s="7"/>
      <c r="J206" s="7">
        <v>1.6500000000000001E-2</v>
      </c>
      <c r="K206" s="7">
        <v>7.5999999999999998E-2</v>
      </c>
      <c r="L206" s="7">
        <v>0</v>
      </c>
      <c r="M206" s="11">
        <f t="shared" si="2"/>
        <v>0</v>
      </c>
      <c r="N206" s="11">
        <f t="shared" si="3"/>
        <v>0</v>
      </c>
      <c r="O206" s="11">
        <f t="shared" si="4"/>
        <v>0</v>
      </c>
      <c r="P206" s="11">
        <f t="shared" ref="P206:P249" si="19">L206*(F206)</f>
        <v>0</v>
      </c>
    </row>
    <row r="207" spans="1:16" ht="15" hidden="1" customHeight="1">
      <c r="A207" s="44"/>
      <c r="B207" s="5">
        <f t="shared" si="18"/>
        <v>45536</v>
      </c>
      <c r="C207" s="1" t="s">
        <v>533</v>
      </c>
      <c r="D207" s="195"/>
      <c r="E207" s="186"/>
      <c r="F207" s="2"/>
      <c r="G207" s="3">
        <f t="shared" si="15"/>
        <v>0</v>
      </c>
      <c r="H207" s="187"/>
      <c r="I207" s="7"/>
      <c r="J207" s="7">
        <v>1.6500000000000001E-2</v>
      </c>
      <c r="K207" s="7">
        <v>7.5999999999999998E-2</v>
      </c>
      <c r="L207" s="7">
        <v>0</v>
      </c>
      <c r="M207" s="11">
        <f t="shared" si="2"/>
        <v>0</v>
      </c>
      <c r="N207" s="11">
        <f t="shared" si="3"/>
        <v>0</v>
      </c>
      <c r="O207" s="11">
        <f t="shared" si="4"/>
        <v>0</v>
      </c>
      <c r="P207" s="11">
        <f t="shared" si="19"/>
        <v>0</v>
      </c>
    </row>
    <row r="208" spans="1:16" ht="15" hidden="1" customHeight="1">
      <c r="A208" s="44"/>
      <c r="B208" s="5">
        <f t="shared" si="18"/>
        <v>45536</v>
      </c>
      <c r="C208" s="1" t="s">
        <v>533</v>
      </c>
      <c r="D208" s="195"/>
      <c r="E208" s="186"/>
      <c r="F208" s="2"/>
      <c r="G208" s="3">
        <f t="shared" ref="G208:G246" si="20">F208-SUM(M208:P208)</f>
        <v>0</v>
      </c>
      <c r="H208" s="187"/>
      <c r="I208" s="7"/>
      <c r="J208" s="7">
        <v>1.6500000000000001E-2</v>
      </c>
      <c r="K208" s="7">
        <v>7.5999999999999998E-2</v>
      </c>
      <c r="L208" s="7">
        <v>0</v>
      </c>
      <c r="M208" s="11">
        <f t="shared" si="2"/>
        <v>0</v>
      </c>
      <c r="N208" s="11">
        <f t="shared" si="3"/>
        <v>0</v>
      </c>
      <c r="O208" s="11">
        <f t="shared" si="4"/>
        <v>0</v>
      </c>
      <c r="P208" s="11">
        <f t="shared" si="19"/>
        <v>0</v>
      </c>
    </row>
    <row r="209" spans="1:16" ht="15" hidden="1" customHeight="1">
      <c r="A209" s="44"/>
      <c r="B209" s="5">
        <f t="shared" si="18"/>
        <v>45536</v>
      </c>
      <c r="C209" s="1" t="s">
        <v>533</v>
      </c>
      <c r="D209" s="195"/>
      <c r="E209" s="186"/>
      <c r="F209" s="2"/>
      <c r="G209" s="3">
        <f t="shared" si="20"/>
        <v>0</v>
      </c>
      <c r="H209" s="187"/>
      <c r="I209" s="7"/>
      <c r="J209" s="7">
        <v>1.6500000000000001E-2</v>
      </c>
      <c r="K209" s="7">
        <v>7.5999999999999998E-2</v>
      </c>
      <c r="L209" s="7">
        <v>0</v>
      </c>
      <c r="M209" s="11">
        <f t="shared" si="2"/>
        <v>0</v>
      </c>
      <c r="N209" s="11">
        <f t="shared" si="3"/>
        <v>0</v>
      </c>
      <c r="O209" s="11">
        <f t="shared" si="4"/>
        <v>0</v>
      </c>
      <c r="P209" s="11">
        <f t="shared" si="19"/>
        <v>0</v>
      </c>
    </row>
    <row r="210" spans="1:16" ht="15" hidden="1" customHeight="1">
      <c r="A210" s="44"/>
      <c r="B210" s="5">
        <f t="shared" si="18"/>
        <v>45536</v>
      </c>
      <c r="C210" s="1" t="s">
        <v>533</v>
      </c>
      <c r="D210" s="195"/>
      <c r="E210" s="186"/>
      <c r="F210" s="2"/>
      <c r="G210" s="3">
        <f t="shared" si="20"/>
        <v>0</v>
      </c>
      <c r="H210" s="187"/>
      <c r="I210" s="7"/>
      <c r="J210" s="7">
        <v>1.6500000000000001E-2</v>
      </c>
      <c r="K210" s="7">
        <v>7.5999999999999998E-2</v>
      </c>
      <c r="L210" s="7">
        <v>0</v>
      </c>
      <c r="M210" s="11">
        <f t="shared" si="2"/>
        <v>0</v>
      </c>
      <c r="N210" s="11">
        <f t="shared" si="3"/>
        <v>0</v>
      </c>
      <c r="O210" s="11">
        <f t="shared" si="4"/>
        <v>0</v>
      </c>
      <c r="P210" s="11">
        <f t="shared" si="19"/>
        <v>0</v>
      </c>
    </row>
    <row r="211" spans="1:16" ht="15" hidden="1" customHeight="1">
      <c r="A211" s="44"/>
      <c r="B211" s="5">
        <f t="shared" si="18"/>
        <v>45536</v>
      </c>
      <c r="C211" s="1" t="s">
        <v>533</v>
      </c>
      <c r="D211" s="195"/>
      <c r="E211" s="186"/>
      <c r="F211" s="2"/>
      <c r="G211" s="3">
        <f t="shared" si="20"/>
        <v>0</v>
      </c>
      <c r="H211" s="187"/>
      <c r="I211" s="7"/>
      <c r="J211" s="7">
        <v>1.6500000000000001E-2</v>
      </c>
      <c r="K211" s="7">
        <v>7.5999999999999998E-2</v>
      </c>
      <c r="L211" s="7">
        <v>0</v>
      </c>
      <c r="M211" s="11">
        <f t="shared" si="2"/>
        <v>0</v>
      </c>
      <c r="N211" s="11">
        <f t="shared" si="3"/>
        <v>0</v>
      </c>
      <c r="O211" s="11">
        <f t="shared" si="4"/>
        <v>0</v>
      </c>
      <c r="P211" s="11">
        <f t="shared" si="19"/>
        <v>0</v>
      </c>
    </row>
    <row r="212" spans="1:16" ht="15" hidden="1" customHeight="1">
      <c r="A212" s="44"/>
      <c r="B212" s="5">
        <f t="shared" si="18"/>
        <v>45536</v>
      </c>
      <c r="C212" s="1" t="s">
        <v>533</v>
      </c>
      <c r="D212" s="195"/>
      <c r="E212" s="186"/>
      <c r="F212" s="2"/>
      <c r="G212" s="3">
        <f t="shared" si="20"/>
        <v>0</v>
      </c>
      <c r="H212" s="187"/>
      <c r="I212" s="7"/>
      <c r="J212" s="7">
        <v>1.6500000000000001E-2</v>
      </c>
      <c r="K212" s="7">
        <v>7.5999999999999998E-2</v>
      </c>
      <c r="L212" s="7">
        <v>0</v>
      </c>
      <c r="M212" s="11">
        <f t="shared" si="2"/>
        <v>0</v>
      </c>
      <c r="N212" s="11">
        <f t="shared" si="3"/>
        <v>0</v>
      </c>
      <c r="O212" s="11">
        <f t="shared" si="4"/>
        <v>0</v>
      </c>
      <c r="P212" s="11">
        <f t="shared" si="19"/>
        <v>0</v>
      </c>
    </row>
    <row r="213" spans="1:16" ht="15" hidden="1" customHeight="1">
      <c r="A213" s="44"/>
      <c r="B213" s="5">
        <f t="shared" si="18"/>
        <v>45536</v>
      </c>
      <c r="C213" s="1" t="s">
        <v>533</v>
      </c>
      <c r="D213" s="195"/>
      <c r="E213" s="186"/>
      <c r="F213" s="2"/>
      <c r="G213" s="3">
        <f t="shared" si="20"/>
        <v>0</v>
      </c>
      <c r="H213" s="187"/>
      <c r="I213" s="7"/>
      <c r="J213" s="7">
        <v>1.6500000000000001E-2</v>
      </c>
      <c r="K213" s="7">
        <v>7.5999999999999998E-2</v>
      </c>
      <c r="L213" s="7">
        <v>0</v>
      </c>
      <c r="M213" s="11">
        <f t="shared" si="2"/>
        <v>0</v>
      </c>
      <c r="N213" s="11">
        <f t="shared" si="3"/>
        <v>0</v>
      </c>
      <c r="O213" s="11">
        <f t="shared" si="4"/>
        <v>0</v>
      </c>
      <c r="P213" s="11">
        <f t="shared" si="19"/>
        <v>0</v>
      </c>
    </row>
    <row r="214" spans="1:16" ht="15" hidden="1" customHeight="1">
      <c r="A214" s="44"/>
      <c r="B214" s="5">
        <f t="shared" si="18"/>
        <v>45536</v>
      </c>
      <c r="C214" s="1" t="s">
        <v>533</v>
      </c>
      <c r="D214" s="195"/>
      <c r="E214" s="186"/>
      <c r="F214" s="2"/>
      <c r="G214" s="3">
        <f t="shared" si="20"/>
        <v>0</v>
      </c>
      <c r="H214" s="187"/>
      <c r="I214" s="7"/>
      <c r="J214" s="7">
        <v>1.6500000000000001E-2</v>
      </c>
      <c r="K214" s="7">
        <v>7.5999999999999998E-2</v>
      </c>
      <c r="L214" s="7">
        <v>0</v>
      </c>
      <c r="M214" s="11">
        <f t="shared" si="2"/>
        <v>0</v>
      </c>
      <c r="N214" s="11">
        <f t="shared" si="3"/>
        <v>0</v>
      </c>
      <c r="O214" s="11">
        <f t="shared" si="4"/>
        <v>0</v>
      </c>
      <c r="P214" s="11">
        <f t="shared" si="19"/>
        <v>0</v>
      </c>
    </row>
    <row r="215" spans="1:16" ht="15" hidden="1" customHeight="1">
      <c r="A215" s="44"/>
      <c r="B215" s="5">
        <f t="shared" si="18"/>
        <v>45536</v>
      </c>
      <c r="C215" s="1" t="s">
        <v>533</v>
      </c>
      <c r="D215" s="195"/>
      <c r="E215" s="186"/>
      <c r="F215" s="2"/>
      <c r="G215" s="3">
        <f t="shared" si="20"/>
        <v>0</v>
      </c>
      <c r="H215" s="187"/>
      <c r="I215" s="7"/>
      <c r="J215" s="7">
        <v>1.6500000000000001E-2</v>
      </c>
      <c r="K215" s="7">
        <v>7.5999999999999998E-2</v>
      </c>
      <c r="L215" s="7">
        <v>0</v>
      </c>
      <c r="M215" s="11">
        <f t="shared" si="2"/>
        <v>0</v>
      </c>
      <c r="N215" s="11">
        <f t="shared" si="3"/>
        <v>0</v>
      </c>
      <c r="O215" s="11">
        <f t="shared" si="4"/>
        <v>0</v>
      </c>
      <c r="P215" s="11">
        <f t="shared" si="19"/>
        <v>0</v>
      </c>
    </row>
    <row r="216" spans="1:16" ht="15" hidden="1" customHeight="1">
      <c r="A216" s="44"/>
      <c r="B216" s="5">
        <f t="shared" si="18"/>
        <v>45536</v>
      </c>
      <c r="C216" s="1" t="s">
        <v>533</v>
      </c>
      <c r="D216" s="195"/>
      <c r="E216" s="186"/>
      <c r="F216" s="2"/>
      <c r="G216" s="3">
        <f t="shared" si="20"/>
        <v>0</v>
      </c>
      <c r="H216" s="187"/>
      <c r="I216" s="7"/>
      <c r="J216" s="7">
        <v>1.6500000000000001E-2</v>
      </c>
      <c r="K216" s="7">
        <v>7.5999999999999998E-2</v>
      </c>
      <c r="L216" s="7">
        <v>0</v>
      </c>
      <c r="M216" s="11">
        <f t="shared" si="2"/>
        <v>0</v>
      </c>
      <c r="N216" s="11">
        <f t="shared" si="3"/>
        <v>0</v>
      </c>
      <c r="O216" s="11">
        <f t="shared" si="4"/>
        <v>0</v>
      </c>
      <c r="P216" s="11">
        <f t="shared" si="19"/>
        <v>0</v>
      </c>
    </row>
    <row r="217" spans="1:16" ht="15" hidden="1" customHeight="1">
      <c r="A217" s="44"/>
      <c r="B217" s="5">
        <f t="shared" si="18"/>
        <v>45536</v>
      </c>
      <c r="C217" s="1" t="s">
        <v>533</v>
      </c>
      <c r="D217" s="195"/>
      <c r="E217" s="186"/>
      <c r="F217" s="2"/>
      <c r="G217" s="3">
        <f t="shared" si="20"/>
        <v>0</v>
      </c>
      <c r="H217" s="187"/>
      <c r="I217" s="7"/>
      <c r="J217" s="7">
        <v>1.6500000000000001E-2</v>
      </c>
      <c r="K217" s="7">
        <v>7.5999999999999998E-2</v>
      </c>
      <c r="L217" s="7">
        <v>0</v>
      </c>
      <c r="M217" s="11">
        <f t="shared" si="2"/>
        <v>0</v>
      </c>
      <c r="N217" s="11">
        <f t="shared" si="3"/>
        <v>0</v>
      </c>
      <c r="O217" s="11">
        <f t="shared" si="4"/>
        <v>0</v>
      </c>
      <c r="P217" s="11">
        <f t="shared" si="19"/>
        <v>0</v>
      </c>
    </row>
    <row r="218" spans="1:16" ht="15" hidden="1" customHeight="1">
      <c r="A218" s="44"/>
      <c r="B218" s="5">
        <f t="shared" si="18"/>
        <v>45536</v>
      </c>
      <c r="C218" s="1" t="s">
        <v>533</v>
      </c>
      <c r="D218" s="195"/>
      <c r="E218" s="186"/>
      <c r="F218" s="2"/>
      <c r="G218" s="3">
        <f t="shared" si="20"/>
        <v>0</v>
      </c>
      <c r="H218" s="187"/>
      <c r="I218" s="7"/>
      <c r="J218" s="7">
        <v>1.6500000000000001E-2</v>
      </c>
      <c r="K218" s="7">
        <v>7.5999999999999998E-2</v>
      </c>
      <c r="L218" s="7">
        <v>0</v>
      </c>
      <c r="M218" s="11">
        <f t="shared" si="2"/>
        <v>0</v>
      </c>
      <c r="N218" s="11">
        <f t="shared" si="3"/>
        <v>0</v>
      </c>
      <c r="O218" s="11">
        <f t="shared" si="4"/>
        <v>0</v>
      </c>
      <c r="P218" s="11">
        <f t="shared" si="19"/>
        <v>0</v>
      </c>
    </row>
    <row r="219" spans="1:16" ht="15" hidden="1" customHeight="1">
      <c r="A219" s="44"/>
      <c r="B219" s="5">
        <f t="shared" si="18"/>
        <v>45536</v>
      </c>
      <c r="C219" s="1" t="s">
        <v>533</v>
      </c>
      <c r="D219" s="195"/>
      <c r="E219" s="186"/>
      <c r="F219" s="2"/>
      <c r="G219" s="3">
        <f t="shared" si="20"/>
        <v>0</v>
      </c>
      <c r="H219" s="187"/>
      <c r="I219" s="7"/>
      <c r="J219" s="7">
        <v>1.6500000000000001E-2</v>
      </c>
      <c r="K219" s="7">
        <v>7.5999999999999998E-2</v>
      </c>
      <c r="L219" s="7">
        <v>0</v>
      </c>
      <c r="M219" s="11">
        <f t="shared" si="2"/>
        <v>0</v>
      </c>
      <c r="N219" s="11">
        <f t="shared" si="3"/>
        <v>0</v>
      </c>
      <c r="O219" s="11">
        <f t="shared" si="4"/>
        <v>0</v>
      </c>
      <c r="P219" s="11">
        <f t="shared" si="19"/>
        <v>0</v>
      </c>
    </row>
    <row r="220" spans="1:16" ht="15" hidden="1" customHeight="1">
      <c r="A220" s="44"/>
      <c r="B220" s="5">
        <f t="shared" si="18"/>
        <v>45536</v>
      </c>
      <c r="C220" s="1" t="s">
        <v>533</v>
      </c>
      <c r="D220" s="195"/>
      <c r="E220" s="186"/>
      <c r="F220" s="2"/>
      <c r="G220" s="3">
        <f t="shared" si="20"/>
        <v>0</v>
      </c>
      <c r="H220" s="187"/>
      <c r="I220" s="7"/>
      <c r="J220" s="7">
        <v>1.6500000000000001E-2</v>
      </c>
      <c r="K220" s="7">
        <v>7.5999999999999998E-2</v>
      </c>
      <c r="L220" s="7">
        <v>0</v>
      </c>
      <c r="M220" s="11">
        <f t="shared" si="2"/>
        <v>0</v>
      </c>
      <c r="N220" s="11">
        <f t="shared" si="3"/>
        <v>0</v>
      </c>
      <c r="O220" s="11">
        <f t="shared" si="4"/>
        <v>0</v>
      </c>
      <c r="P220" s="11">
        <f t="shared" si="19"/>
        <v>0</v>
      </c>
    </row>
    <row r="221" spans="1:16" ht="15" hidden="1" customHeight="1">
      <c r="A221" s="44"/>
      <c r="B221" s="5">
        <f t="shared" si="18"/>
        <v>45536</v>
      </c>
      <c r="C221" s="1" t="s">
        <v>533</v>
      </c>
      <c r="D221" s="195"/>
      <c r="E221" s="186"/>
      <c r="F221" s="2"/>
      <c r="G221" s="3">
        <f t="shared" si="20"/>
        <v>0</v>
      </c>
      <c r="H221" s="187"/>
      <c r="I221" s="7"/>
      <c r="J221" s="7">
        <v>1.6500000000000001E-2</v>
      </c>
      <c r="K221" s="7">
        <v>7.5999999999999998E-2</v>
      </c>
      <c r="L221" s="7">
        <v>0</v>
      </c>
      <c r="M221" s="11">
        <f t="shared" si="2"/>
        <v>0</v>
      </c>
      <c r="N221" s="11">
        <f t="shared" si="3"/>
        <v>0</v>
      </c>
      <c r="O221" s="11">
        <f t="shared" si="4"/>
        <v>0</v>
      </c>
      <c r="P221" s="11">
        <f t="shared" si="19"/>
        <v>0</v>
      </c>
    </row>
    <row r="222" spans="1:16" ht="15" hidden="1" customHeight="1">
      <c r="A222" s="44"/>
      <c r="B222" s="5">
        <f t="shared" si="18"/>
        <v>45536</v>
      </c>
      <c r="C222" s="1" t="s">
        <v>533</v>
      </c>
      <c r="D222" s="195"/>
      <c r="E222" s="186"/>
      <c r="F222" s="2"/>
      <c r="G222" s="3">
        <f t="shared" si="20"/>
        <v>0</v>
      </c>
      <c r="H222" s="187"/>
      <c r="I222" s="7"/>
      <c r="J222" s="7">
        <v>1.6500000000000001E-2</v>
      </c>
      <c r="K222" s="7">
        <v>7.5999999999999998E-2</v>
      </c>
      <c r="L222" s="7">
        <v>0</v>
      </c>
      <c r="M222" s="11">
        <f t="shared" si="2"/>
        <v>0</v>
      </c>
      <c r="N222" s="11">
        <f t="shared" si="3"/>
        <v>0</v>
      </c>
      <c r="O222" s="11">
        <f t="shared" si="4"/>
        <v>0</v>
      </c>
      <c r="P222" s="11">
        <f t="shared" si="19"/>
        <v>0</v>
      </c>
    </row>
    <row r="223" spans="1:16" ht="15" hidden="1" customHeight="1">
      <c r="A223" s="44"/>
      <c r="B223" s="5">
        <f t="shared" si="18"/>
        <v>45536</v>
      </c>
      <c r="C223" s="1" t="s">
        <v>533</v>
      </c>
      <c r="D223" s="195"/>
      <c r="E223" s="186"/>
      <c r="F223" s="2"/>
      <c r="G223" s="3">
        <f t="shared" si="20"/>
        <v>0</v>
      </c>
      <c r="H223" s="187"/>
      <c r="I223" s="7"/>
      <c r="J223" s="7">
        <v>1.6500000000000001E-2</v>
      </c>
      <c r="K223" s="7">
        <v>7.5999999999999998E-2</v>
      </c>
      <c r="L223" s="7">
        <v>0</v>
      </c>
      <c r="M223" s="11">
        <f t="shared" si="2"/>
        <v>0</v>
      </c>
      <c r="N223" s="11">
        <f t="shared" si="3"/>
        <v>0</v>
      </c>
      <c r="O223" s="11">
        <f t="shared" si="4"/>
        <v>0</v>
      </c>
      <c r="P223" s="11">
        <f t="shared" si="19"/>
        <v>0</v>
      </c>
    </row>
    <row r="224" spans="1:16" ht="15" hidden="1" customHeight="1">
      <c r="A224" s="44"/>
      <c r="B224" s="5">
        <f t="shared" si="18"/>
        <v>45536</v>
      </c>
      <c r="C224" s="1" t="s">
        <v>533</v>
      </c>
      <c r="D224" s="195"/>
      <c r="E224" s="186"/>
      <c r="F224" s="2"/>
      <c r="G224" s="3">
        <f t="shared" si="20"/>
        <v>0</v>
      </c>
      <c r="H224" s="187"/>
      <c r="I224" s="7"/>
      <c r="J224" s="7">
        <v>1.6500000000000001E-2</v>
      </c>
      <c r="K224" s="7">
        <v>7.5999999999999998E-2</v>
      </c>
      <c r="L224" s="7">
        <v>0</v>
      </c>
      <c r="M224" s="11">
        <f t="shared" si="2"/>
        <v>0</v>
      </c>
      <c r="N224" s="11">
        <f t="shared" si="3"/>
        <v>0</v>
      </c>
      <c r="O224" s="11">
        <f t="shared" si="4"/>
        <v>0</v>
      </c>
      <c r="P224" s="11">
        <f t="shared" si="19"/>
        <v>0</v>
      </c>
    </row>
    <row r="225" spans="1:16" ht="15" hidden="1" customHeight="1">
      <c r="A225" s="44"/>
      <c r="B225" s="5">
        <f t="shared" si="18"/>
        <v>45536</v>
      </c>
      <c r="C225" s="1" t="s">
        <v>533</v>
      </c>
      <c r="D225" s="195"/>
      <c r="E225" s="186"/>
      <c r="F225" s="2"/>
      <c r="G225" s="3">
        <f t="shared" si="20"/>
        <v>0</v>
      </c>
      <c r="H225" s="187"/>
      <c r="I225" s="7"/>
      <c r="J225" s="7">
        <v>1.6500000000000001E-2</v>
      </c>
      <c r="K225" s="7">
        <v>7.5999999999999998E-2</v>
      </c>
      <c r="L225" s="7">
        <v>0</v>
      </c>
      <c r="M225" s="11">
        <f t="shared" si="2"/>
        <v>0</v>
      </c>
      <c r="N225" s="11">
        <f t="shared" si="3"/>
        <v>0</v>
      </c>
      <c r="O225" s="11">
        <f t="shared" si="4"/>
        <v>0</v>
      </c>
      <c r="P225" s="11">
        <f t="shared" si="19"/>
        <v>0</v>
      </c>
    </row>
    <row r="226" spans="1:16" ht="15" hidden="1" customHeight="1">
      <c r="A226" s="44"/>
      <c r="B226" s="5">
        <f t="shared" si="18"/>
        <v>45536</v>
      </c>
      <c r="C226" s="1" t="s">
        <v>533</v>
      </c>
      <c r="D226" s="195"/>
      <c r="E226" s="186"/>
      <c r="F226" s="2"/>
      <c r="G226" s="3">
        <f t="shared" si="20"/>
        <v>0</v>
      </c>
      <c r="H226" s="187"/>
      <c r="I226" s="7"/>
      <c r="J226" s="7">
        <v>1.6500000000000001E-2</v>
      </c>
      <c r="K226" s="7">
        <v>7.5999999999999998E-2</v>
      </c>
      <c r="L226" s="7">
        <v>0</v>
      </c>
      <c r="M226" s="11">
        <f t="shared" si="2"/>
        <v>0</v>
      </c>
      <c r="N226" s="11">
        <f t="shared" si="3"/>
        <v>0</v>
      </c>
      <c r="O226" s="11">
        <f t="shared" si="4"/>
        <v>0</v>
      </c>
      <c r="P226" s="11">
        <f t="shared" si="19"/>
        <v>0</v>
      </c>
    </row>
    <row r="227" spans="1:16" ht="15" hidden="1" customHeight="1">
      <c r="A227" s="44"/>
      <c r="B227" s="5">
        <f t="shared" si="18"/>
        <v>45536</v>
      </c>
      <c r="C227" s="1" t="s">
        <v>533</v>
      </c>
      <c r="D227" s="195"/>
      <c r="E227" s="186"/>
      <c r="F227" s="2"/>
      <c r="G227" s="3">
        <f t="shared" si="20"/>
        <v>0</v>
      </c>
      <c r="H227" s="187"/>
      <c r="I227" s="7"/>
      <c r="J227" s="7">
        <v>1.6500000000000001E-2</v>
      </c>
      <c r="K227" s="7">
        <v>7.5999999999999998E-2</v>
      </c>
      <c r="L227" s="7">
        <v>0</v>
      </c>
      <c r="M227" s="11">
        <f t="shared" si="2"/>
        <v>0</v>
      </c>
      <c r="N227" s="11">
        <f t="shared" si="3"/>
        <v>0</v>
      </c>
      <c r="O227" s="11">
        <f t="shared" si="4"/>
        <v>0</v>
      </c>
      <c r="P227" s="11">
        <f t="shared" si="19"/>
        <v>0</v>
      </c>
    </row>
    <row r="228" spans="1:16" ht="15" hidden="1" customHeight="1">
      <c r="A228" s="44"/>
      <c r="B228" s="5">
        <f t="shared" si="18"/>
        <v>45536</v>
      </c>
      <c r="C228" s="1" t="s">
        <v>533</v>
      </c>
      <c r="D228" s="195"/>
      <c r="E228" s="186"/>
      <c r="F228" s="2"/>
      <c r="G228" s="3">
        <f t="shared" si="20"/>
        <v>0</v>
      </c>
      <c r="H228" s="187"/>
      <c r="I228" s="7"/>
      <c r="J228" s="7">
        <v>1.6500000000000001E-2</v>
      </c>
      <c r="K228" s="7">
        <v>7.5999999999999998E-2</v>
      </c>
      <c r="L228" s="7">
        <v>0</v>
      </c>
      <c r="M228" s="11">
        <f t="shared" si="2"/>
        <v>0</v>
      </c>
      <c r="N228" s="11">
        <f t="shared" si="3"/>
        <v>0</v>
      </c>
      <c r="O228" s="11">
        <f t="shared" si="4"/>
        <v>0</v>
      </c>
      <c r="P228" s="11">
        <f t="shared" si="19"/>
        <v>0</v>
      </c>
    </row>
    <row r="229" spans="1:16" ht="15" hidden="1" customHeight="1">
      <c r="A229" s="44"/>
      <c r="B229" s="5">
        <f t="shared" si="18"/>
        <v>45536</v>
      </c>
      <c r="C229" s="1" t="s">
        <v>533</v>
      </c>
      <c r="D229" s="195"/>
      <c r="E229" s="186"/>
      <c r="F229" s="2"/>
      <c r="G229" s="3">
        <f t="shared" si="20"/>
        <v>0</v>
      </c>
      <c r="H229" s="187"/>
      <c r="I229" s="7"/>
      <c r="J229" s="7">
        <v>1.6500000000000001E-2</v>
      </c>
      <c r="K229" s="7">
        <v>7.5999999999999998E-2</v>
      </c>
      <c r="L229" s="7">
        <v>0</v>
      </c>
      <c r="M229" s="11">
        <f t="shared" si="2"/>
        <v>0</v>
      </c>
      <c r="N229" s="11">
        <f t="shared" si="3"/>
        <v>0</v>
      </c>
      <c r="O229" s="11">
        <f t="shared" si="4"/>
        <v>0</v>
      </c>
      <c r="P229" s="11">
        <f t="shared" si="19"/>
        <v>0</v>
      </c>
    </row>
    <row r="230" spans="1:16" ht="15" hidden="1" customHeight="1">
      <c r="A230" s="44"/>
      <c r="B230" s="5">
        <f t="shared" si="18"/>
        <v>45536</v>
      </c>
      <c r="C230" s="1" t="s">
        <v>533</v>
      </c>
      <c r="D230" s="195"/>
      <c r="E230" s="186"/>
      <c r="F230" s="2"/>
      <c r="G230" s="3">
        <f t="shared" si="20"/>
        <v>0</v>
      </c>
      <c r="H230" s="187"/>
      <c r="I230" s="7"/>
      <c r="J230" s="7">
        <v>1.6500000000000001E-2</v>
      </c>
      <c r="K230" s="7">
        <v>7.5999999999999998E-2</v>
      </c>
      <c r="L230" s="7">
        <v>0</v>
      </c>
      <c r="M230" s="11">
        <f t="shared" si="2"/>
        <v>0</v>
      </c>
      <c r="N230" s="11">
        <f t="shared" si="3"/>
        <v>0</v>
      </c>
      <c r="O230" s="11">
        <f t="shared" si="4"/>
        <v>0</v>
      </c>
      <c r="P230" s="11">
        <f t="shared" si="19"/>
        <v>0</v>
      </c>
    </row>
    <row r="231" spans="1:16" ht="15" hidden="1" customHeight="1">
      <c r="A231" s="44"/>
      <c r="B231" s="5">
        <f t="shared" si="18"/>
        <v>45536</v>
      </c>
      <c r="C231" s="1" t="s">
        <v>533</v>
      </c>
      <c r="D231" s="195"/>
      <c r="E231" s="186"/>
      <c r="F231" s="2"/>
      <c r="G231" s="3">
        <f t="shared" si="20"/>
        <v>0</v>
      </c>
      <c r="H231" s="187"/>
      <c r="I231" s="7"/>
      <c r="J231" s="7">
        <v>1.6500000000000001E-2</v>
      </c>
      <c r="K231" s="7">
        <v>7.5999999999999998E-2</v>
      </c>
      <c r="L231" s="7">
        <v>0</v>
      </c>
      <c r="M231" s="11">
        <f t="shared" si="2"/>
        <v>0</v>
      </c>
      <c r="N231" s="11">
        <f t="shared" si="3"/>
        <v>0</v>
      </c>
      <c r="O231" s="11">
        <f t="shared" si="4"/>
        <v>0</v>
      </c>
      <c r="P231" s="11">
        <f t="shared" si="19"/>
        <v>0</v>
      </c>
    </row>
    <row r="232" spans="1:16" ht="15" hidden="1" customHeight="1">
      <c r="A232" s="44"/>
      <c r="B232" s="5">
        <f t="shared" si="18"/>
        <v>45536</v>
      </c>
      <c r="C232" s="1" t="s">
        <v>533</v>
      </c>
      <c r="D232" s="195"/>
      <c r="E232" s="186"/>
      <c r="F232" s="2"/>
      <c r="G232" s="3">
        <f t="shared" si="20"/>
        <v>0</v>
      </c>
      <c r="H232" s="187"/>
      <c r="I232" s="7"/>
      <c r="J232" s="7">
        <v>1.6500000000000001E-2</v>
      </c>
      <c r="K232" s="7">
        <v>7.5999999999999998E-2</v>
      </c>
      <c r="L232" s="7">
        <v>0</v>
      </c>
      <c r="M232" s="11">
        <f t="shared" si="2"/>
        <v>0</v>
      </c>
      <c r="N232" s="11">
        <f t="shared" si="3"/>
        <v>0</v>
      </c>
      <c r="O232" s="11">
        <f t="shared" si="4"/>
        <v>0</v>
      </c>
      <c r="P232" s="11">
        <f t="shared" si="19"/>
        <v>0</v>
      </c>
    </row>
    <row r="233" spans="1:16" ht="15" hidden="1" customHeight="1">
      <c r="A233" s="44"/>
      <c r="B233" s="5">
        <f t="shared" si="18"/>
        <v>45536</v>
      </c>
      <c r="C233" s="1" t="s">
        <v>533</v>
      </c>
      <c r="D233" s="195"/>
      <c r="E233" s="186"/>
      <c r="F233" s="2"/>
      <c r="G233" s="3">
        <f t="shared" si="20"/>
        <v>0</v>
      </c>
      <c r="H233" s="187"/>
      <c r="I233" s="7"/>
      <c r="J233" s="7">
        <v>1.6500000000000001E-2</v>
      </c>
      <c r="K233" s="7">
        <v>7.5999999999999998E-2</v>
      </c>
      <c r="L233" s="7">
        <v>0</v>
      </c>
      <c r="M233" s="11">
        <f t="shared" si="2"/>
        <v>0</v>
      </c>
      <c r="N233" s="11">
        <f t="shared" si="3"/>
        <v>0</v>
      </c>
      <c r="O233" s="11">
        <f t="shared" si="4"/>
        <v>0</v>
      </c>
      <c r="P233" s="11">
        <f t="shared" si="19"/>
        <v>0</v>
      </c>
    </row>
    <row r="234" spans="1:16" ht="15" hidden="1" customHeight="1">
      <c r="A234" s="44"/>
      <c r="B234" s="5">
        <f t="shared" si="18"/>
        <v>45536</v>
      </c>
      <c r="C234" s="1" t="s">
        <v>533</v>
      </c>
      <c r="D234" s="195"/>
      <c r="E234" s="186"/>
      <c r="F234" s="2"/>
      <c r="G234" s="3">
        <f t="shared" si="20"/>
        <v>0</v>
      </c>
      <c r="H234" s="187"/>
      <c r="I234" s="7"/>
      <c r="J234" s="7">
        <v>1.6500000000000001E-2</v>
      </c>
      <c r="K234" s="7">
        <v>7.5999999999999998E-2</v>
      </c>
      <c r="L234" s="7">
        <v>0</v>
      </c>
      <c r="M234" s="11">
        <f t="shared" si="2"/>
        <v>0</v>
      </c>
      <c r="N234" s="11">
        <f t="shared" si="3"/>
        <v>0</v>
      </c>
      <c r="O234" s="11">
        <f t="shared" si="4"/>
        <v>0</v>
      </c>
      <c r="P234" s="11">
        <f t="shared" si="19"/>
        <v>0</v>
      </c>
    </row>
    <row r="235" spans="1:16" ht="15" hidden="1" customHeight="1">
      <c r="A235" s="44"/>
      <c r="B235" s="5">
        <f t="shared" si="18"/>
        <v>45536</v>
      </c>
      <c r="C235" s="1" t="s">
        <v>533</v>
      </c>
      <c r="D235" s="195"/>
      <c r="E235" s="186"/>
      <c r="F235" s="2"/>
      <c r="G235" s="3">
        <f t="shared" si="20"/>
        <v>0</v>
      </c>
      <c r="H235" s="187"/>
      <c r="I235" s="7"/>
      <c r="J235" s="7">
        <v>1.6500000000000001E-2</v>
      </c>
      <c r="K235" s="7">
        <v>7.5999999999999998E-2</v>
      </c>
      <c r="L235" s="7">
        <v>0</v>
      </c>
      <c r="M235" s="11">
        <f t="shared" si="2"/>
        <v>0</v>
      </c>
      <c r="N235" s="11">
        <f t="shared" si="3"/>
        <v>0</v>
      </c>
      <c r="O235" s="11">
        <f t="shared" si="4"/>
        <v>0</v>
      </c>
      <c r="P235" s="11">
        <f t="shared" si="19"/>
        <v>0</v>
      </c>
    </row>
    <row r="236" spans="1:16" ht="15" hidden="1" customHeight="1">
      <c r="A236" s="44"/>
      <c r="B236" s="5">
        <f t="shared" si="18"/>
        <v>45536</v>
      </c>
      <c r="C236" s="1" t="s">
        <v>533</v>
      </c>
      <c r="D236" s="195"/>
      <c r="E236" s="186"/>
      <c r="F236" s="2"/>
      <c r="G236" s="3">
        <f t="shared" si="20"/>
        <v>0</v>
      </c>
      <c r="H236" s="187"/>
      <c r="I236" s="7"/>
      <c r="J236" s="7">
        <v>1.6500000000000001E-2</v>
      </c>
      <c r="K236" s="7">
        <v>7.5999999999999998E-2</v>
      </c>
      <c r="L236" s="7">
        <v>0</v>
      </c>
      <c r="M236" s="11">
        <f t="shared" si="2"/>
        <v>0</v>
      </c>
      <c r="N236" s="11">
        <f t="shared" si="3"/>
        <v>0</v>
      </c>
      <c r="O236" s="11">
        <f t="shared" si="4"/>
        <v>0</v>
      </c>
      <c r="P236" s="11">
        <f t="shared" si="19"/>
        <v>0</v>
      </c>
    </row>
    <row r="237" spans="1:16" ht="15" hidden="1" customHeight="1">
      <c r="A237" s="44"/>
      <c r="B237" s="5">
        <f t="shared" si="18"/>
        <v>45536</v>
      </c>
      <c r="C237" s="1" t="s">
        <v>533</v>
      </c>
      <c r="D237" s="195"/>
      <c r="E237" s="186"/>
      <c r="F237" s="2"/>
      <c r="G237" s="3">
        <f t="shared" si="20"/>
        <v>0</v>
      </c>
      <c r="H237" s="187"/>
      <c r="I237" s="7"/>
      <c r="J237" s="7">
        <v>1.6500000000000001E-2</v>
      </c>
      <c r="K237" s="7">
        <v>7.5999999999999998E-2</v>
      </c>
      <c r="L237" s="7">
        <v>0</v>
      </c>
      <c r="M237" s="11">
        <f t="shared" si="2"/>
        <v>0</v>
      </c>
      <c r="N237" s="11">
        <f t="shared" si="3"/>
        <v>0</v>
      </c>
      <c r="O237" s="11">
        <f t="shared" si="4"/>
        <v>0</v>
      </c>
      <c r="P237" s="11">
        <f t="shared" si="19"/>
        <v>0</v>
      </c>
    </row>
    <row r="238" spans="1:16" ht="15" hidden="1" customHeight="1">
      <c r="A238" s="44"/>
      <c r="B238" s="5">
        <f t="shared" si="18"/>
        <v>45536</v>
      </c>
      <c r="C238" s="1" t="s">
        <v>533</v>
      </c>
      <c r="D238" s="195"/>
      <c r="E238" s="186"/>
      <c r="F238" s="2"/>
      <c r="G238" s="3">
        <f t="shared" si="20"/>
        <v>0</v>
      </c>
      <c r="H238" s="187"/>
      <c r="I238" s="7"/>
      <c r="J238" s="7">
        <v>1.6500000000000001E-2</v>
      </c>
      <c r="K238" s="7">
        <v>7.5999999999999998E-2</v>
      </c>
      <c r="L238" s="7">
        <v>0</v>
      </c>
      <c r="M238" s="11">
        <f t="shared" si="2"/>
        <v>0</v>
      </c>
      <c r="N238" s="11">
        <f t="shared" si="3"/>
        <v>0</v>
      </c>
      <c r="O238" s="11">
        <f t="shared" si="4"/>
        <v>0</v>
      </c>
      <c r="P238" s="11">
        <f t="shared" si="19"/>
        <v>0</v>
      </c>
    </row>
    <row r="239" spans="1:16" ht="15" hidden="1" customHeight="1">
      <c r="A239" s="44"/>
      <c r="B239" s="5">
        <f t="shared" si="18"/>
        <v>45536</v>
      </c>
      <c r="C239" s="1" t="s">
        <v>533</v>
      </c>
      <c r="D239" s="195"/>
      <c r="E239" s="186"/>
      <c r="F239" s="2"/>
      <c r="G239" s="3">
        <f t="shared" si="20"/>
        <v>0</v>
      </c>
      <c r="H239" s="187"/>
      <c r="I239" s="7"/>
      <c r="J239" s="7">
        <v>1.6500000000000001E-2</v>
      </c>
      <c r="K239" s="7">
        <v>7.5999999999999998E-2</v>
      </c>
      <c r="L239" s="7">
        <v>0</v>
      </c>
      <c r="M239" s="11">
        <f t="shared" si="2"/>
        <v>0</v>
      </c>
      <c r="N239" s="11">
        <f t="shared" si="3"/>
        <v>0</v>
      </c>
      <c r="O239" s="11">
        <f t="shared" si="4"/>
        <v>0</v>
      </c>
      <c r="P239" s="11">
        <f t="shared" si="19"/>
        <v>0</v>
      </c>
    </row>
    <row r="240" spans="1:16" ht="15" hidden="1" customHeight="1">
      <c r="A240" s="44"/>
      <c r="B240" s="5">
        <f t="shared" si="18"/>
        <v>45536</v>
      </c>
      <c r="C240" s="1" t="s">
        <v>533</v>
      </c>
      <c r="D240" s="195"/>
      <c r="E240" s="186"/>
      <c r="F240" s="2"/>
      <c r="G240" s="3">
        <f t="shared" si="20"/>
        <v>0</v>
      </c>
      <c r="H240" s="187"/>
      <c r="I240" s="7"/>
      <c r="J240" s="7">
        <v>1.6500000000000001E-2</v>
      </c>
      <c r="K240" s="7">
        <v>7.5999999999999998E-2</v>
      </c>
      <c r="L240" s="7">
        <v>0</v>
      </c>
      <c r="M240" s="11">
        <f t="shared" si="2"/>
        <v>0</v>
      </c>
      <c r="N240" s="11">
        <f t="shared" si="3"/>
        <v>0</v>
      </c>
      <c r="O240" s="11">
        <f t="shared" si="4"/>
        <v>0</v>
      </c>
      <c r="P240" s="11">
        <f t="shared" si="19"/>
        <v>0</v>
      </c>
    </row>
    <row r="241" spans="1:16" ht="15" hidden="1" customHeight="1">
      <c r="A241" s="44"/>
      <c r="B241" s="5">
        <f t="shared" si="18"/>
        <v>45536</v>
      </c>
      <c r="C241" s="1" t="s">
        <v>533</v>
      </c>
      <c r="D241" s="195"/>
      <c r="E241" s="186"/>
      <c r="F241" s="2"/>
      <c r="G241" s="3">
        <f t="shared" si="20"/>
        <v>0</v>
      </c>
      <c r="H241" s="187"/>
      <c r="I241" s="7"/>
      <c r="J241" s="7">
        <v>1.6500000000000001E-2</v>
      </c>
      <c r="K241" s="7">
        <v>7.5999999999999998E-2</v>
      </c>
      <c r="L241" s="7">
        <v>0</v>
      </c>
      <c r="M241" s="11">
        <f t="shared" si="2"/>
        <v>0</v>
      </c>
      <c r="N241" s="11">
        <f t="shared" si="3"/>
        <v>0</v>
      </c>
      <c r="O241" s="11">
        <f t="shared" si="4"/>
        <v>0</v>
      </c>
      <c r="P241" s="11">
        <f t="shared" si="19"/>
        <v>0</v>
      </c>
    </row>
    <row r="242" spans="1:16" ht="15" hidden="1" customHeight="1">
      <c r="A242" s="44"/>
      <c r="B242" s="5">
        <f t="shared" si="18"/>
        <v>45536</v>
      </c>
      <c r="C242" s="1" t="s">
        <v>533</v>
      </c>
      <c r="D242" s="195"/>
      <c r="E242" s="186"/>
      <c r="F242" s="2"/>
      <c r="G242" s="3">
        <f t="shared" si="20"/>
        <v>0</v>
      </c>
      <c r="H242" s="187"/>
      <c r="I242" s="7"/>
      <c r="J242" s="7">
        <v>1.6500000000000001E-2</v>
      </c>
      <c r="K242" s="7">
        <v>7.5999999999999998E-2</v>
      </c>
      <c r="L242" s="7">
        <v>0</v>
      </c>
      <c r="M242" s="11">
        <f t="shared" si="2"/>
        <v>0</v>
      </c>
      <c r="N242" s="11">
        <f t="shared" si="3"/>
        <v>0</v>
      </c>
      <c r="O242" s="11">
        <f t="shared" si="4"/>
        <v>0</v>
      </c>
      <c r="P242" s="11">
        <f t="shared" si="19"/>
        <v>0</v>
      </c>
    </row>
    <row r="243" spans="1:16" ht="15" hidden="1" customHeight="1">
      <c r="A243" s="44"/>
      <c r="B243" s="5">
        <f t="shared" ref="B243:B249" si="21">B242</f>
        <v>45536</v>
      </c>
      <c r="C243" s="1" t="s">
        <v>533</v>
      </c>
      <c r="D243" s="195"/>
      <c r="E243" s="186"/>
      <c r="F243" s="2"/>
      <c r="G243" s="3">
        <f t="shared" si="20"/>
        <v>0</v>
      </c>
      <c r="H243" s="187"/>
      <c r="I243" s="7"/>
      <c r="J243" s="7">
        <v>1.6500000000000001E-2</v>
      </c>
      <c r="K243" s="7">
        <v>7.5999999999999998E-2</v>
      </c>
      <c r="L243" s="7">
        <v>0</v>
      </c>
      <c r="M243" s="11">
        <f t="shared" si="2"/>
        <v>0</v>
      </c>
      <c r="N243" s="11">
        <f t="shared" si="3"/>
        <v>0</v>
      </c>
      <c r="O243" s="11">
        <f t="shared" si="4"/>
        <v>0</v>
      </c>
      <c r="P243" s="11">
        <f t="shared" si="19"/>
        <v>0</v>
      </c>
    </row>
    <row r="244" spans="1:16" ht="15" hidden="1" customHeight="1">
      <c r="A244" s="44"/>
      <c r="B244" s="5">
        <f t="shared" si="21"/>
        <v>45536</v>
      </c>
      <c r="C244" s="1" t="s">
        <v>533</v>
      </c>
      <c r="D244" s="195"/>
      <c r="E244" s="186"/>
      <c r="F244" s="2"/>
      <c r="G244" s="3">
        <f t="shared" si="20"/>
        <v>0</v>
      </c>
      <c r="H244" s="187"/>
      <c r="I244" s="7"/>
      <c r="J244" s="7">
        <v>1.6500000000000001E-2</v>
      </c>
      <c r="K244" s="7">
        <v>7.5999999999999998E-2</v>
      </c>
      <c r="L244" s="7">
        <v>0</v>
      </c>
      <c r="M244" s="11">
        <f t="shared" si="2"/>
        <v>0</v>
      </c>
      <c r="N244" s="11">
        <f t="shared" si="3"/>
        <v>0</v>
      </c>
      <c r="O244" s="11">
        <f t="shared" si="4"/>
        <v>0</v>
      </c>
      <c r="P244" s="11">
        <f t="shared" si="19"/>
        <v>0</v>
      </c>
    </row>
    <row r="245" spans="1:16" ht="15" hidden="1" customHeight="1">
      <c r="A245" s="44"/>
      <c r="B245" s="5">
        <f t="shared" si="21"/>
        <v>45536</v>
      </c>
      <c r="C245" s="1" t="s">
        <v>533</v>
      </c>
      <c r="D245" s="195"/>
      <c r="E245" s="186"/>
      <c r="F245" s="2"/>
      <c r="G245" s="3">
        <f t="shared" si="20"/>
        <v>0</v>
      </c>
      <c r="H245" s="187"/>
      <c r="I245" s="7"/>
      <c r="J245" s="7">
        <v>1.6500000000000001E-2</v>
      </c>
      <c r="K245" s="7">
        <v>7.5999999999999998E-2</v>
      </c>
      <c r="L245" s="7">
        <v>0</v>
      </c>
      <c r="M245" s="11">
        <f t="shared" si="2"/>
        <v>0</v>
      </c>
      <c r="N245" s="11">
        <f t="shared" si="3"/>
        <v>0</v>
      </c>
      <c r="O245" s="11">
        <f t="shared" si="4"/>
        <v>0</v>
      </c>
      <c r="P245" s="11">
        <f t="shared" si="19"/>
        <v>0</v>
      </c>
    </row>
    <row r="246" spans="1:16" ht="15" hidden="1" customHeight="1">
      <c r="A246" s="44"/>
      <c r="B246" s="5">
        <f t="shared" si="21"/>
        <v>45536</v>
      </c>
      <c r="C246" s="1" t="s">
        <v>533</v>
      </c>
      <c r="D246" s="195"/>
      <c r="E246" s="186"/>
      <c r="F246" s="2"/>
      <c r="G246" s="3">
        <f t="shared" si="20"/>
        <v>0</v>
      </c>
      <c r="H246" s="187"/>
      <c r="I246" s="7"/>
      <c r="J246" s="7">
        <v>1.6500000000000001E-2</v>
      </c>
      <c r="K246" s="7">
        <v>7.5999999999999998E-2</v>
      </c>
      <c r="L246" s="7">
        <v>0</v>
      </c>
      <c r="M246" s="11">
        <f t="shared" si="2"/>
        <v>0</v>
      </c>
      <c r="N246" s="11">
        <f t="shared" si="3"/>
        <v>0</v>
      </c>
      <c r="O246" s="11">
        <f t="shared" si="4"/>
        <v>0</v>
      </c>
      <c r="P246" s="11">
        <f t="shared" si="19"/>
        <v>0</v>
      </c>
    </row>
    <row r="247" spans="1:16" ht="15" hidden="1" customHeight="1">
      <c r="A247" s="44"/>
      <c r="B247" s="5">
        <f t="shared" si="21"/>
        <v>45536</v>
      </c>
      <c r="C247" s="1" t="s">
        <v>533</v>
      </c>
      <c r="D247" s="195"/>
      <c r="E247" s="186"/>
      <c r="F247" s="2"/>
      <c r="G247" s="3">
        <f t="shared" si="15"/>
        <v>0</v>
      </c>
      <c r="H247" s="187"/>
      <c r="I247" s="7"/>
      <c r="J247" s="7">
        <v>1.6500000000000001E-2</v>
      </c>
      <c r="K247" s="7">
        <v>7.5999999999999998E-2</v>
      </c>
      <c r="L247" s="7">
        <v>0</v>
      </c>
      <c r="M247" s="11">
        <f t="shared" si="2"/>
        <v>0</v>
      </c>
      <c r="N247" s="11">
        <f t="shared" si="3"/>
        <v>0</v>
      </c>
      <c r="O247" s="11">
        <f t="shared" si="4"/>
        <v>0</v>
      </c>
      <c r="P247" s="11">
        <f t="shared" si="19"/>
        <v>0</v>
      </c>
    </row>
    <row r="248" spans="1:16" ht="15" hidden="1" customHeight="1">
      <c r="A248" s="44"/>
      <c r="B248" s="5">
        <f t="shared" si="21"/>
        <v>45536</v>
      </c>
      <c r="C248" s="1" t="s">
        <v>533</v>
      </c>
      <c r="D248" s="195"/>
      <c r="E248" s="186"/>
      <c r="F248" s="2"/>
      <c r="G248" s="3">
        <f t="shared" si="15"/>
        <v>0</v>
      </c>
      <c r="H248" s="187"/>
      <c r="I248" s="7"/>
      <c r="J248" s="7">
        <v>1.6500000000000001E-2</v>
      </c>
      <c r="K248" s="7">
        <v>7.5999999999999998E-2</v>
      </c>
      <c r="L248" s="7">
        <v>0</v>
      </c>
      <c r="M248" s="11">
        <f t="shared" si="2"/>
        <v>0</v>
      </c>
      <c r="N248" s="11">
        <f t="shared" si="3"/>
        <v>0</v>
      </c>
      <c r="O248" s="11">
        <f t="shared" si="4"/>
        <v>0</v>
      </c>
      <c r="P248" s="11">
        <f t="shared" si="19"/>
        <v>0</v>
      </c>
    </row>
    <row r="249" spans="1:16" hidden="1">
      <c r="A249" s="44"/>
      <c r="B249" s="5">
        <f t="shared" si="21"/>
        <v>45536</v>
      </c>
      <c r="C249" s="1" t="s">
        <v>533</v>
      </c>
      <c r="D249" s="195"/>
      <c r="E249" s="186"/>
      <c r="F249" s="2"/>
      <c r="G249" s="3">
        <f t="shared" si="15"/>
        <v>0</v>
      </c>
      <c r="H249" s="187"/>
      <c r="I249" s="7"/>
      <c r="J249" s="7">
        <v>1.6500000000000001E-2</v>
      </c>
      <c r="K249" s="7">
        <v>7.5999999999999998E-2</v>
      </c>
      <c r="L249" s="7">
        <v>0</v>
      </c>
      <c r="M249" s="11">
        <f t="shared" si="2"/>
        <v>0</v>
      </c>
      <c r="N249" s="11">
        <f t="shared" si="3"/>
        <v>0</v>
      </c>
      <c r="O249" s="11">
        <f t="shared" si="4"/>
        <v>0</v>
      </c>
      <c r="P249" s="11">
        <f t="shared" si="19"/>
        <v>0</v>
      </c>
    </row>
    <row r="250" spans="1:16">
      <c r="B250" s="5"/>
      <c r="C250" s="1"/>
      <c r="E250" s="1"/>
      <c r="F250" s="2"/>
      <c r="G250" s="4"/>
      <c r="H250" s="4"/>
      <c r="I250" s="7"/>
      <c r="J250" s="7"/>
      <c r="K250" s="7"/>
      <c r="L250" s="7"/>
    </row>
    <row r="251" spans="1:16">
      <c r="E251" s="28">
        <f>SUM(E19:E250)</f>
        <v>44482045.218999997</v>
      </c>
      <c r="F251" s="133"/>
      <c r="G251" s="29">
        <f>SUM(G19:G250)</f>
        <v>107800713.33735414</v>
      </c>
    </row>
    <row r="252" spans="1:16">
      <c r="E252" s="137"/>
      <c r="F252" s="41"/>
    </row>
    <row r="253" spans="1:16" ht="15.75" thickBot="1"/>
    <row r="254" spans="1:16">
      <c r="B254" s="391" t="s">
        <v>586</v>
      </c>
      <c r="C254" s="383"/>
      <c r="D254" s="383"/>
      <c r="E254" s="383"/>
      <c r="F254" s="383"/>
      <c r="G254" s="383"/>
      <c r="H254" s="383"/>
      <c r="I254" s="383"/>
      <c r="J254" s="383"/>
      <c r="K254" s="383"/>
      <c r="L254" s="383"/>
      <c r="M254" s="383"/>
      <c r="N254" s="383"/>
      <c r="O254" s="384"/>
    </row>
    <row r="255" spans="1:16">
      <c r="B255" s="385"/>
      <c r="C255" s="386"/>
      <c r="D255" s="386"/>
      <c r="E255" s="386"/>
      <c r="F255" s="386"/>
      <c r="G255" s="386"/>
      <c r="H255" s="386"/>
      <c r="I255" s="386"/>
      <c r="J255" s="386"/>
      <c r="K255" s="386"/>
      <c r="L255" s="386"/>
      <c r="M255" s="386"/>
      <c r="N255" s="386"/>
      <c r="O255" s="387"/>
    </row>
    <row r="256" spans="1:16">
      <c r="B256" s="385"/>
      <c r="C256" s="386"/>
      <c r="D256" s="386"/>
      <c r="E256" s="386"/>
      <c r="F256" s="386"/>
      <c r="G256" s="386"/>
      <c r="H256" s="386"/>
      <c r="I256" s="386"/>
      <c r="J256" s="386"/>
      <c r="K256" s="386"/>
      <c r="L256" s="386"/>
      <c r="M256" s="386"/>
      <c r="N256" s="386"/>
      <c r="O256" s="387"/>
    </row>
    <row r="257" spans="2:15">
      <c r="B257" s="385"/>
      <c r="C257" s="386"/>
      <c r="D257" s="386"/>
      <c r="E257" s="386"/>
      <c r="F257" s="386"/>
      <c r="G257" s="386"/>
      <c r="H257" s="386"/>
      <c r="I257" s="386"/>
      <c r="J257" s="386"/>
      <c r="K257" s="386"/>
      <c r="L257" s="386"/>
      <c r="M257" s="386"/>
      <c r="N257" s="386"/>
      <c r="O257" s="387"/>
    </row>
    <row r="258" spans="2:15" ht="27" customHeight="1">
      <c r="B258" s="385"/>
      <c r="C258" s="386"/>
      <c r="D258" s="386"/>
      <c r="E258" s="386"/>
      <c r="F258" s="386"/>
      <c r="G258" s="386"/>
      <c r="H258" s="386"/>
      <c r="I258" s="386"/>
      <c r="J258" s="386"/>
      <c r="K258" s="386"/>
      <c r="L258" s="386"/>
      <c r="M258" s="386"/>
      <c r="N258" s="386"/>
      <c r="O258" s="387"/>
    </row>
    <row r="259" spans="2:15" ht="44.25" customHeight="1" thickBot="1">
      <c r="B259" s="388"/>
      <c r="C259" s="389"/>
      <c r="D259" s="389"/>
      <c r="E259" s="389"/>
      <c r="F259" s="389"/>
      <c r="G259" s="389"/>
      <c r="H259" s="389"/>
      <c r="I259" s="389"/>
      <c r="J259" s="389"/>
      <c r="K259" s="389"/>
      <c r="L259" s="389"/>
      <c r="M259" s="389"/>
      <c r="N259" s="389"/>
      <c r="O259" s="390"/>
    </row>
  </sheetData>
  <mergeCells count="3">
    <mergeCell ref="C2:M2"/>
    <mergeCell ref="M17:P17"/>
    <mergeCell ref="B254:O259"/>
  </mergeCells>
  <conditionalFormatting sqref="D1:D1048576">
    <cfRule type="duplicateValues" dxfId="96" priority="1"/>
    <cfRule type="duplicateValues" dxfId="95" priority="2"/>
  </conditionalFormatting>
  <conditionalFormatting sqref="D7 D10">
    <cfRule type="duplicateValues" dxfId="94" priority="3"/>
  </conditionalFormatting>
  <conditionalFormatting sqref="D19:D112">
    <cfRule type="duplicateValues" dxfId="93" priority="5"/>
  </conditionalFormatting>
  <conditionalFormatting sqref="D253:D1048576 D1:D251">
    <cfRule type="duplicateValues" dxfId="92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784D-71C5-4CB5-893A-2BB577B04200}">
  <sheetPr>
    <pageSetUpPr fitToPage="1"/>
  </sheetPr>
  <dimension ref="A2:P259"/>
  <sheetViews>
    <sheetView showGridLines="0" topLeftCell="A18" zoomScale="90" zoomScaleNormal="9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6.425781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3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3" ht="23.25">
      <c r="C3" s="13">
        <v>45566</v>
      </c>
    </row>
    <row r="5" spans="3:13">
      <c r="C5" t="s">
        <v>17</v>
      </c>
      <c r="D5" s="14">
        <f t="shared" ref="D5:D11" ca="1" si="0">SUMIF($C$19:$G$249,$C$5:$C$11,$G$19:$G$249)/SUMIF($C$19:$G$249,$C$5:$C$11,$E$19:$E$249)</f>
        <v>2.3880039872565377</v>
      </c>
    </row>
    <row r="6" spans="3:13">
      <c r="C6" t="s">
        <v>440</v>
      </c>
      <c r="D6" s="14">
        <f t="shared" ca="1" si="0"/>
        <v>2.2037875199999997</v>
      </c>
    </row>
    <row r="7" spans="3:13">
      <c r="C7" t="s">
        <v>491</v>
      </c>
      <c r="D7" s="14">
        <f t="shared" ca="1" si="0"/>
        <v>2.1868063800000002</v>
      </c>
    </row>
    <row r="8" spans="3:13">
      <c r="C8" t="s">
        <v>756</v>
      </c>
      <c r="D8" s="14">
        <f t="shared" ca="1" si="0"/>
        <v>3.4938264494706051</v>
      </c>
      <c r="I8" s="19"/>
    </row>
    <row r="9" spans="3:13">
      <c r="C9" t="s">
        <v>757</v>
      </c>
      <c r="D9" s="14">
        <f t="shared" ca="1" si="0"/>
        <v>3.8868070516450031</v>
      </c>
      <c r="E9" s="14"/>
      <c r="F9" s="32"/>
      <c r="H9" s="137"/>
      <c r="I9" s="19"/>
    </row>
    <row r="10" spans="3:13">
      <c r="C10" t="s">
        <v>534</v>
      </c>
      <c r="D10" s="14" t="e">
        <f t="shared" ca="1" si="0"/>
        <v>#DIV/0!</v>
      </c>
    </row>
    <row r="11" spans="3:13">
      <c r="C11" t="s">
        <v>533</v>
      </c>
      <c r="D11" s="14" t="e">
        <f t="shared" ca="1" si="0"/>
        <v>#DIV/0!</v>
      </c>
    </row>
    <row r="12" spans="3:13">
      <c r="C12" s="30" t="s">
        <v>129</v>
      </c>
      <c r="D12" s="31">
        <f>+G251/E251</f>
        <v>2.4110911345590971</v>
      </c>
    </row>
    <row r="13" spans="3:13">
      <c r="D13" s="19"/>
    </row>
    <row r="14" spans="3:13">
      <c r="D14" s="22"/>
    </row>
    <row r="16" spans="3:13">
      <c r="E16" s="137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 ht="18.75" customHeight="1">
      <c r="A19" s="44"/>
      <c r="B19" s="5">
        <f>C3</f>
        <v>45566</v>
      </c>
      <c r="C19" s="1" t="s">
        <v>17</v>
      </c>
      <c r="D19" s="194" t="s">
        <v>771</v>
      </c>
      <c r="E19" s="1">
        <v>239826</v>
      </c>
      <c r="F19" s="2">
        <v>734042.94</v>
      </c>
      <c r="G19" s="3">
        <f t="shared" ref="G19:G37" si="1">F19-SUM(M19:P19)</f>
        <v>586206.69188399997</v>
      </c>
      <c r="H19" s="202">
        <f>+IF(G19=0,0,G19/E19)</f>
        <v>2.4443000003502537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ref="M19:M249" si="2">+I19*F19</f>
        <v>88085.152799999996</v>
      </c>
      <c r="N19" s="11">
        <f t="shared" ref="N19:N249" si="3">J19*(F19-M19)</f>
        <v>10658.303488799998</v>
      </c>
      <c r="O19" s="11">
        <f t="shared" ref="O19:O249" si="4">K19*(F19-M19)</f>
        <v>49092.791827199988</v>
      </c>
      <c r="P19" s="11">
        <f t="shared" ref="P19:P205" si="5">L19*(F19)</f>
        <v>0</v>
      </c>
    </row>
    <row r="20" spans="1:16">
      <c r="A20" s="44"/>
      <c r="B20" s="5">
        <f>B19</f>
        <v>45566</v>
      </c>
      <c r="C20" s="1" t="s">
        <v>17</v>
      </c>
      <c r="D20" s="194" t="s">
        <v>772</v>
      </c>
      <c r="E20" s="1">
        <v>118856</v>
      </c>
      <c r="F20" s="2">
        <v>341640.31</v>
      </c>
      <c r="G20" s="3">
        <f t="shared" si="1"/>
        <v>272833.951566</v>
      </c>
      <c r="H20" s="202">
        <f t="shared" ref="H20:H83" si="6">+IF(G20=0,0,G20/E20)</f>
        <v>2.2955000300026924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40996.837200000002</v>
      </c>
      <c r="N20" s="11">
        <f t="shared" si="3"/>
        <v>4960.6173011999999</v>
      </c>
      <c r="O20" s="11">
        <f t="shared" si="4"/>
        <v>22848.9039328</v>
      </c>
      <c r="P20" s="11">
        <f t="shared" si="5"/>
        <v>0</v>
      </c>
    </row>
    <row r="21" spans="1:16">
      <c r="A21" s="44"/>
      <c r="B21" s="5">
        <f t="shared" ref="B21:B84" si="7">B20</f>
        <v>45566</v>
      </c>
      <c r="C21" s="1" t="s">
        <v>17</v>
      </c>
      <c r="D21" s="194" t="s">
        <v>773</v>
      </c>
      <c r="E21" s="1">
        <v>25865634</v>
      </c>
      <c r="F21" s="2">
        <v>79167755.060000002</v>
      </c>
      <c r="G21" s="3">
        <f t="shared" si="1"/>
        <v>63223369.190916002</v>
      </c>
      <c r="H21" s="202">
        <f>+IF(G21=0,0,G21/E21)</f>
        <v>2.4443000001823267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9500130.6072000004</v>
      </c>
      <c r="N21" s="11">
        <f t="shared" si="3"/>
        <v>1149515.8034712002</v>
      </c>
      <c r="O21" s="11">
        <f t="shared" si="4"/>
        <v>5294739.4584128</v>
      </c>
      <c r="P21" s="11">
        <f t="shared" si="5"/>
        <v>0</v>
      </c>
    </row>
    <row r="22" spans="1:16">
      <c r="A22" s="44"/>
      <c r="B22" s="5">
        <f t="shared" si="7"/>
        <v>45566</v>
      </c>
      <c r="C22" s="1" t="s">
        <v>17</v>
      </c>
      <c r="D22" s="214" t="s">
        <v>774</v>
      </c>
      <c r="E22" s="1">
        <v>15783993</v>
      </c>
      <c r="F22" s="2">
        <v>45369591.700000003</v>
      </c>
      <c r="G22" s="3">
        <f t="shared" si="1"/>
        <v>36232155.931620002</v>
      </c>
      <c r="H22" s="202">
        <f>+IF(G22=0,0,G22/E22)</f>
        <v>2.2955000000076029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5444351.0039999997</v>
      </c>
      <c r="N22" s="11">
        <f t="shared" si="3"/>
        <v>658766.4714840001</v>
      </c>
      <c r="O22" s="11">
        <f t="shared" si="4"/>
        <v>3034318.2928960002</v>
      </c>
      <c r="P22" s="11">
        <f t="shared" si="5"/>
        <v>0</v>
      </c>
    </row>
    <row r="23" spans="1:16">
      <c r="A23" s="44"/>
      <c r="B23" s="5">
        <f t="shared" si="7"/>
        <v>45566</v>
      </c>
      <c r="C23" s="1" t="s">
        <v>17</v>
      </c>
      <c r="D23" s="195" t="s">
        <v>775</v>
      </c>
      <c r="E23" s="1">
        <v>71642</v>
      </c>
      <c r="F23" s="2">
        <v>219276.91</v>
      </c>
      <c r="G23" s="3">
        <f t="shared" si="1"/>
        <v>175114.54032600002</v>
      </c>
      <c r="H23" s="202">
        <f t="shared" si="6"/>
        <v>2.4442999961754279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26313.229199999998</v>
      </c>
      <c r="N23" s="11">
        <f t="shared" si="3"/>
        <v>3183.9007332000001</v>
      </c>
      <c r="O23" s="11">
        <f t="shared" si="4"/>
        <v>14665.2397408</v>
      </c>
      <c r="P23" s="11">
        <f t="shared" si="5"/>
        <v>0</v>
      </c>
    </row>
    <row r="24" spans="1:16">
      <c r="A24" s="44"/>
      <c r="B24" s="5">
        <f t="shared" si="7"/>
        <v>45566</v>
      </c>
      <c r="C24" s="1" t="s">
        <v>17</v>
      </c>
      <c r="D24" s="194" t="s">
        <v>776</v>
      </c>
      <c r="E24" s="1">
        <v>44027</v>
      </c>
      <c r="F24" s="2">
        <v>126551.44</v>
      </c>
      <c r="G24" s="3">
        <f t="shared" si="1"/>
        <v>101063.97998400001</v>
      </c>
      <c r="H24" s="202">
        <f t="shared" si="6"/>
        <v>2.2955000337065892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15186.1728</v>
      </c>
      <c r="N24" s="11">
        <f t="shared" si="3"/>
        <v>1837.5269088000002</v>
      </c>
      <c r="O24" s="11">
        <f t="shared" si="4"/>
        <v>8463.7603072000002</v>
      </c>
      <c r="P24" s="11">
        <f t="shared" si="5"/>
        <v>0</v>
      </c>
    </row>
    <row r="25" spans="1:16">
      <c r="A25" s="44"/>
      <c r="B25" s="5">
        <f t="shared" si="7"/>
        <v>45566</v>
      </c>
      <c r="C25" s="1" t="s">
        <v>17</v>
      </c>
      <c r="D25" s="194" t="s">
        <v>777</v>
      </c>
      <c r="E25" s="1">
        <v>141898</v>
      </c>
      <c r="F25" s="2">
        <v>410961.56</v>
      </c>
      <c r="G25" s="3">
        <f t="shared" si="1"/>
        <v>346841.28260099998</v>
      </c>
      <c r="H25" s="202">
        <f t="shared" si="6"/>
        <v>2.4443000084638262</v>
      </c>
      <c r="I25" s="200">
        <v>7.0000000000000007E-2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28767.309200000003</v>
      </c>
      <c r="N25" s="11">
        <f t="shared" si="3"/>
        <v>6306.2051382</v>
      </c>
      <c r="O25" s="11">
        <f t="shared" si="4"/>
        <v>29046.763060799996</v>
      </c>
      <c r="P25" s="11">
        <f t="shared" si="5"/>
        <v>0</v>
      </c>
    </row>
    <row r="26" spans="1:16">
      <c r="A26" s="44"/>
      <c r="B26" s="5">
        <f t="shared" si="7"/>
        <v>45566</v>
      </c>
      <c r="C26" s="1" t="s">
        <v>17</v>
      </c>
      <c r="D26" s="194" t="s">
        <v>778</v>
      </c>
      <c r="E26" s="1">
        <v>70323</v>
      </c>
      <c r="F26" s="2">
        <v>191269.23</v>
      </c>
      <c r="G26" s="3">
        <f t="shared" si="1"/>
        <v>161426.44838925</v>
      </c>
      <c r="H26" s="202">
        <f t="shared" si="6"/>
        <v>2.2955000268653216</v>
      </c>
      <c r="I26" s="200">
        <v>7.0000000000000007E-2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13388.846100000002</v>
      </c>
      <c r="N26" s="11">
        <f t="shared" si="3"/>
        <v>2935.0263343500005</v>
      </c>
      <c r="O26" s="11">
        <f t="shared" si="4"/>
        <v>13518.9091764</v>
      </c>
      <c r="P26" s="11">
        <f t="shared" si="5"/>
        <v>0</v>
      </c>
    </row>
    <row r="27" spans="1:16">
      <c r="A27" s="44"/>
      <c r="B27" s="5">
        <f t="shared" si="7"/>
        <v>45566</v>
      </c>
      <c r="C27" s="1" t="s">
        <v>17</v>
      </c>
      <c r="D27" s="194"/>
      <c r="E27" s="1"/>
      <c r="F27" s="2"/>
      <c r="G27" s="3">
        <f t="shared" si="1"/>
        <v>0</v>
      </c>
      <c r="H27" s="202">
        <f t="shared" si="6"/>
        <v>0</v>
      </c>
      <c r="I27" s="200"/>
      <c r="J27" s="7">
        <v>1.6500000000000001E-2</v>
      </c>
      <c r="K27" s="7">
        <v>7.5999999999999998E-2</v>
      </c>
      <c r="L27" s="7">
        <v>0</v>
      </c>
      <c r="M27" s="11">
        <f t="shared" si="2"/>
        <v>0</v>
      </c>
      <c r="N27" s="11">
        <f t="shared" si="3"/>
        <v>0</v>
      </c>
      <c r="O27" s="11">
        <f t="shared" si="4"/>
        <v>0</v>
      </c>
      <c r="P27" s="11">
        <f t="shared" si="5"/>
        <v>0</v>
      </c>
    </row>
    <row r="28" spans="1:16">
      <c r="A28" s="44"/>
      <c r="B28" s="5">
        <f t="shared" si="7"/>
        <v>45566</v>
      </c>
      <c r="C28" s="1" t="s">
        <v>17</v>
      </c>
      <c r="D28" s="194"/>
      <c r="E28" s="1"/>
      <c r="F28" s="2"/>
      <c r="G28" s="3">
        <f t="shared" si="1"/>
        <v>0</v>
      </c>
      <c r="H28" s="202">
        <f t="shared" si="6"/>
        <v>0</v>
      </c>
      <c r="I28" s="200"/>
      <c r="J28" s="7">
        <v>1.6500000000000001E-2</v>
      </c>
      <c r="K28" s="7">
        <v>7.5999999999999998E-2</v>
      </c>
      <c r="L28" s="7">
        <v>0</v>
      </c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spans="1:16">
      <c r="A29" s="44"/>
      <c r="B29" s="5">
        <f t="shared" si="7"/>
        <v>45566</v>
      </c>
      <c r="C29" s="1" t="s">
        <v>17</v>
      </c>
      <c r="D29" s="194"/>
      <c r="E29" s="1"/>
      <c r="F29" s="2"/>
      <c r="G29" s="3">
        <f t="shared" si="1"/>
        <v>0</v>
      </c>
      <c r="H29" s="202">
        <f>+IF(G29=0,0,G29/E29)</f>
        <v>0</v>
      </c>
      <c r="I29" s="200"/>
      <c r="J29" s="7">
        <v>1.6500000000000001E-2</v>
      </c>
      <c r="K29" s="7">
        <v>7.5999999999999998E-2</v>
      </c>
      <c r="L29" s="7">
        <v>0</v>
      </c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spans="1:16">
      <c r="A30" s="44"/>
      <c r="B30" s="5">
        <f t="shared" si="7"/>
        <v>45566</v>
      </c>
      <c r="C30" s="1" t="s">
        <v>17</v>
      </c>
      <c r="D30" s="194"/>
      <c r="E30" s="1"/>
      <c r="F30" s="2"/>
      <c r="G30" s="3">
        <f t="shared" si="1"/>
        <v>0</v>
      </c>
      <c r="H30" s="202">
        <f>+IF(G30=0,0,G30/E30)</f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>
      <c r="A31" s="44"/>
      <c r="B31" s="5">
        <f t="shared" si="7"/>
        <v>45566</v>
      </c>
      <c r="C31" s="1" t="s">
        <v>17</v>
      </c>
      <c r="D31" s="194"/>
      <c r="E31" s="1"/>
      <c r="F31" s="2"/>
      <c r="G31" s="3">
        <f t="shared" si="1"/>
        <v>0</v>
      </c>
      <c r="H31" s="202">
        <f t="shared" si="6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>
      <c r="A32" s="44"/>
      <c r="B32" s="5">
        <f t="shared" si="7"/>
        <v>45566</v>
      </c>
      <c r="C32" s="1" t="s">
        <v>17</v>
      </c>
      <c r="D32" s="194"/>
      <c r="E32" s="1"/>
      <c r="F32" s="2"/>
      <c r="G32" s="3">
        <f t="shared" si="1"/>
        <v>0</v>
      </c>
      <c r="H32" s="202">
        <f t="shared" si="6"/>
        <v>0</v>
      </c>
      <c r="I32" s="200">
        <v>0.12</v>
      </c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>
      <c r="A33" s="44"/>
      <c r="B33" s="5">
        <f t="shared" si="7"/>
        <v>45566</v>
      </c>
      <c r="C33" s="1" t="s">
        <v>440</v>
      </c>
      <c r="D33" s="194" t="s">
        <v>779</v>
      </c>
      <c r="E33" s="1">
        <v>310000</v>
      </c>
      <c r="F33" s="2">
        <v>809472</v>
      </c>
      <c r="G33" s="3">
        <f t="shared" si="1"/>
        <v>683174.13119999995</v>
      </c>
      <c r="H33" s="202">
        <f t="shared" si="6"/>
        <v>2.2037875199999997</v>
      </c>
      <c r="I33" s="200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56663.040000000008</v>
      </c>
      <c r="N33" s="11">
        <f t="shared" si="3"/>
        <v>12421.34784</v>
      </c>
      <c r="O33" s="11">
        <f t="shared" si="4"/>
        <v>57213.480959999994</v>
      </c>
      <c r="P33" s="11">
        <f t="shared" si="5"/>
        <v>0</v>
      </c>
    </row>
    <row r="34" spans="1:16">
      <c r="A34" s="44"/>
      <c r="B34" s="5">
        <f t="shared" si="7"/>
        <v>45566</v>
      </c>
      <c r="C34" s="1" t="s">
        <v>491</v>
      </c>
      <c r="D34" s="194"/>
      <c r="E34" s="185"/>
      <c r="F34" s="213"/>
      <c r="G34" s="3">
        <f t="shared" si="1"/>
        <v>0</v>
      </c>
      <c r="H34" s="202">
        <f t="shared" si="6"/>
        <v>0</v>
      </c>
      <c r="I34" s="200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0</v>
      </c>
      <c r="N34" s="11">
        <f t="shared" si="3"/>
        <v>0</v>
      </c>
      <c r="O34" s="11">
        <f t="shared" si="4"/>
        <v>0</v>
      </c>
      <c r="P34" s="11">
        <f t="shared" si="5"/>
        <v>0</v>
      </c>
    </row>
    <row r="35" spans="1:16">
      <c r="A35" s="44"/>
      <c r="B35" s="5">
        <f t="shared" ref="B35:B36" si="8">B32</f>
        <v>45566</v>
      </c>
      <c r="C35" s="1" t="s">
        <v>491</v>
      </c>
      <c r="D35" s="194"/>
      <c r="E35" s="1"/>
      <c r="F35" s="2"/>
      <c r="G35" s="3">
        <f t="shared" ref="G35:G36" si="9">F35-SUM(M35:P35)</f>
        <v>0</v>
      </c>
      <c r="H35" s="202">
        <f t="shared" si="6"/>
        <v>0</v>
      </c>
      <c r="I35" s="200">
        <v>0.12</v>
      </c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>
      <c r="A36" s="44"/>
      <c r="B36" s="5">
        <f t="shared" si="8"/>
        <v>45566</v>
      </c>
      <c r="C36" s="1" t="s">
        <v>491</v>
      </c>
      <c r="D36" s="195">
        <v>3751</v>
      </c>
      <c r="E36" s="118">
        <v>3720000</v>
      </c>
      <c r="F36" s="2">
        <v>10186476</v>
      </c>
      <c r="G36" s="3">
        <f t="shared" si="9"/>
        <v>8134919.7335999999</v>
      </c>
      <c r="H36" s="202">
        <f t="shared" si="6"/>
        <v>2.1868063800000002</v>
      </c>
      <c r="I36" s="200">
        <v>0.12</v>
      </c>
      <c r="J36" s="7">
        <v>1.6500000000000001E-2</v>
      </c>
      <c r="K36" s="7">
        <v>7.5999999999999998E-2</v>
      </c>
      <c r="L36" s="7">
        <v>0</v>
      </c>
      <c r="M36" s="11">
        <f t="shared" si="2"/>
        <v>1222377.1199999999</v>
      </c>
      <c r="N36" s="11">
        <f t="shared" si="3"/>
        <v>147907.63152000002</v>
      </c>
      <c r="O36" s="11">
        <f t="shared" si="4"/>
        <v>681271.51488000003</v>
      </c>
      <c r="P36" s="11">
        <f t="shared" si="5"/>
        <v>0</v>
      </c>
    </row>
    <row r="37" spans="1:16">
      <c r="A37" s="44"/>
      <c r="B37" s="5">
        <f>B34</f>
        <v>45566</v>
      </c>
      <c r="C37" s="1" t="s">
        <v>756</v>
      </c>
      <c r="D37" s="212" t="s">
        <v>76</v>
      </c>
      <c r="E37" s="118">
        <v>920094.03</v>
      </c>
      <c r="F37" s="2">
        <v>4455739.3600000003</v>
      </c>
      <c r="G37" s="3">
        <f t="shared" si="1"/>
        <v>3214648.8580140006</v>
      </c>
      <c r="H37" s="202">
        <f t="shared" si="6"/>
        <v>3.4938264494706051</v>
      </c>
      <c r="I37" s="200">
        <v>0.20499999999999999</v>
      </c>
      <c r="J37" s="200">
        <v>1.6500000000000001E-2</v>
      </c>
      <c r="K37" s="200">
        <v>7.5999999999999998E-2</v>
      </c>
      <c r="L37" s="200">
        <v>0</v>
      </c>
      <c r="M37" s="11">
        <f t="shared" si="2"/>
        <v>913426.56880000001</v>
      </c>
      <c r="N37" s="11">
        <f t="shared" si="3"/>
        <v>58448.16105480001</v>
      </c>
      <c r="O37" s="11">
        <f t="shared" si="4"/>
        <v>269215.77213120001</v>
      </c>
      <c r="P37" s="11">
        <f t="shared" si="5"/>
        <v>0</v>
      </c>
    </row>
    <row r="38" spans="1:16">
      <c r="A38" s="44"/>
      <c r="B38" s="5">
        <f t="shared" si="7"/>
        <v>45566</v>
      </c>
      <c r="C38" s="1" t="s">
        <v>757</v>
      </c>
      <c r="D38" s="212" t="s">
        <v>35</v>
      </c>
      <c r="E38" s="118">
        <v>120733.85</v>
      </c>
      <c r="F38" s="2">
        <v>650441.54</v>
      </c>
      <c r="G38" s="3">
        <f t="shared" ref="G38:G43" si="10">F38-SUM(M38:P38)</f>
        <v>469269.17955225008</v>
      </c>
      <c r="H38" s="202">
        <f t="shared" si="6"/>
        <v>3.8868070516450031</v>
      </c>
      <c r="I38" s="200">
        <v>0.20499999999999999</v>
      </c>
      <c r="J38" s="200">
        <v>1.6500000000000001E-2</v>
      </c>
      <c r="K38" s="200">
        <v>7.5999999999999998E-2</v>
      </c>
      <c r="L38" s="200">
        <v>0</v>
      </c>
      <c r="M38" s="11">
        <f t="shared" si="2"/>
        <v>133340.51569999999</v>
      </c>
      <c r="N38" s="11">
        <f t="shared" si="3"/>
        <v>8532.1669009500019</v>
      </c>
      <c r="O38" s="11">
        <f t="shared" si="4"/>
        <v>39299.677846800005</v>
      </c>
      <c r="P38" s="11">
        <f t="shared" si="5"/>
        <v>0</v>
      </c>
    </row>
    <row r="39" spans="1:16" hidden="1">
      <c r="A39" s="44"/>
      <c r="B39" s="5">
        <f t="shared" si="7"/>
        <v>45566</v>
      </c>
      <c r="C39" s="1" t="s">
        <v>534</v>
      </c>
      <c r="D39" s="195"/>
      <c r="E39" s="118"/>
      <c r="F39" s="2"/>
      <c r="G39" s="3">
        <f t="shared" si="10"/>
        <v>0</v>
      </c>
      <c r="H39" s="202">
        <f t="shared" si="6"/>
        <v>0</v>
      </c>
      <c r="I39" s="200">
        <v>7.0000000000000007E-2</v>
      </c>
      <c r="J39" s="200">
        <v>1.6500000000000001E-2</v>
      </c>
      <c r="K39" s="200">
        <v>7.5999999999999998E-2</v>
      </c>
      <c r="L39" s="200">
        <v>0</v>
      </c>
      <c r="M39" s="11">
        <f t="shared" si="2"/>
        <v>0</v>
      </c>
      <c r="N39" s="11">
        <f t="shared" si="3"/>
        <v>0</v>
      </c>
      <c r="O39" s="11">
        <f t="shared" si="4"/>
        <v>0</v>
      </c>
      <c r="P39" s="11">
        <f t="shared" si="5"/>
        <v>0</v>
      </c>
    </row>
    <row r="40" spans="1:16" hidden="1">
      <c r="A40" s="44"/>
      <c r="B40" s="5">
        <f t="shared" si="7"/>
        <v>45566</v>
      </c>
      <c r="C40" s="1" t="s">
        <v>534</v>
      </c>
      <c r="D40" s="195"/>
      <c r="E40" s="118"/>
      <c r="F40" s="2"/>
      <c r="G40" s="3">
        <f t="shared" si="10"/>
        <v>0</v>
      </c>
      <c r="H40" s="202">
        <f t="shared" si="6"/>
        <v>0</v>
      </c>
      <c r="I40" s="200">
        <v>7.0000000000000007E-2</v>
      </c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 hidden="1">
      <c r="A41" s="44"/>
      <c r="B41" s="5">
        <f t="shared" si="7"/>
        <v>45566</v>
      </c>
      <c r="C41" s="1" t="s">
        <v>534</v>
      </c>
      <c r="D41" s="195"/>
      <c r="E41" s="118"/>
      <c r="F41" s="2"/>
      <c r="G41" s="3">
        <f t="shared" si="10"/>
        <v>0</v>
      </c>
      <c r="H41" s="202">
        <f t="shared" si="6"/>
        <v>0</v>
      </c>
      <c r="I41" s="200">
        <v>7.0000000000000007E-2</v>
      </c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idden="1">
      <c r="A42" s="44"/>
      <c r="B42" s="5">
        <f t="shared" si="7"/>
        <v>45566</v>
      </c>
      <c r="C42" s="1" t="s">
        <v>534</v>
      </c>
      <c r="D42" s="195"/>
      <c r="E42" s="118"/>
      <c r="F42" s="2"/>
      <c r="G42" s="3">
        <f t="shared" si="10"/>
        <v>0</v>
      </c>
      <c r="H42" s="202">
        <f t="shared" si="6"/>
        <v>0</v>
      </c>
      <c r="I42" s="200">
        <v>7.0000000000000007E-2</v>
      </c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 hidden="1">
      <c r="A43" s="44"/>
      <c r="B43" s="5">
        <f t="shared" si="7"/>
        <v>45566</v>
      </c>
      <c r="C43" s="1" t="s">
        <v>534</v>
      </c>
      <c r="D43" s="195"/>
      <c r="E43" s="118"/>
      <c r="F43" s="2"/>
      <c r="G43" s="3">
        <f t="shared" si="10"/>
        <v>0</v>
      </c>
      <c r="H43" s="202">
        <f t="shared" si="6"/>
        <v>0</v>
      </c>
      <c r="I43" s="200">
        <v>7.0000000000000007E-2</v>
      </c>
      <c r="J43" s="7">
        <v>1.6500000000000001E-2</v>
      </c>
      <c r="K43" s="7">
        <v>7.5999999999999998E-2</v>
      </c>
      <c r="L43" s="7">
        <v>0</v>
      </c>
      <c r="M43" s="11">
        <f t="shared" si="2"/>
        <v>0</v>
      </c>
      <c r="N43" s="11">
        <f t="shared" si="3"/>
        <v>0</v>
      </c>
      <c r="O43" s="11">
        <f t="shared" si="4"/>
        <v>0</v>
      </c>
      <c r="P43" s="11">
        <f t="shared" si="5"/>
        <v>0</v>
      </c>
    </row>
    <row r="44" spans="1:16" hidden="1">
      <c r="A44" s="44"/>
      <c r="B44" s="5">
        <f t="shared" si="7"/>
        <v>45566</v>
      </c>
      <c r="C44" s="1" t="s">
        <v>534</v>
      </c>
      <c r="D44" s="195"/>
      <c r="E44" s="118"/>
      <c r="F44" s="2"/>
      <c r="G44" s="3">
        <f t="shared" ref="G44:G91" si="11">F44-SUM(M44:P44)</f>
        <v>0</v>
      </c>
      <c r="H44" s="202">
        <f t="shared" si="6"/>
        <v>0</v>
      </c>
      <c r="I44" s="200">
        <v>7.0000000000000007E-2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0</v>
      </c>
      <c r="N44" s="11">
        <f t="shared" si="3"/>
        <v>0</v>
      </c>
      <c r="O44" s="11">
        <f t="shared" si="4"/>
        <v>0</v>
      </c>
      <c r="P44" s="11">
        <f t="shared" si="5"/>
        <v>0</v>
      </c>
    </row>
    <row r="45" spans="1:16" hidden="1">
      <c r="A45" s="44"/>
      <c r="B45" s="5">
        <f t="shared" si="7"/>
        <v>45566</v>
      </c>
      <c r="C45" s="1" t="s">
        <v>534</v>
      </c>
      <c r="D45" s="195"/>
      <c r="E45" s="118"/>
      <c r="F45" s="2"/>
      <c r="G45" s="3">
        <f t="shared" si="11"/>
        <v>0</v>
      </c>
      <c r="H45" s="202">
        <f t="shared" si="6"/>
        <v>0</v>
      </c>
      <c r="I45" s="200">
        <v>7.0000000000000007E-2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0</v>
      </c>
      <c r="N45" s="11">
        <f t="shared" si="3"/>
        <v>0</v>
      </c>
      <c r="O45" s="11">
        <f t="shared" si="4"/>
        <v>0</v>
      </c>
      <c r="P45" s="11">
        <f t="shared" si="5"/>
        <v>0</v>
      </c>
    </row>
    <row r="46" spans="1:16" hidden="1">
      <c r="A46" s="44"/>
      <c r="B46" s="5">
        <f t="shared" si="7"/>
        <v>45566</v>
      </c>
      <c r="C46" s="1" t="s">
        <v>534</v>
      </c>
      <c r="D46" s="195"/>
      <c r="E46" s="118"/>
      <c r="F46" s="2"/>
      <c r="G46" s="3">
        <f t="shared" si="11"/>
        <v>0</v>
      </c>
      <c r="H46" s="202">
        <f t="shared" si="6"/>
        <v>0</v>
      </c>
      <c r="I46" s="200">
        <v>7.0000000000000007E-2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0</v>
      </c>
      <c r="N46" s="11">
        <f t="shared" si="3"/>
        <v>0</v>
      </c>
      <c r="O46" s="11">
        <f t="shared" si="4"/>
        <v>0</v>
      </c>
      <c r="P46" s="11">
        <f t="shared" si="5"/>
        <v>0</v>
      </c>
    </row>
    <row r="47" spans="1:16" hidden="1">
      <c r="A47" s="44"/>
      <c r="B47" s="5">
        <f t="shared" si="7"/>
        <v>45566</v>
      </c>
      <c r="C47" s="1" t="s">
        <v>534</v>
      </c>
      <c r="D47" s="195"/>
      <c r="E47" s="118"/>
      <c r="F47" s="2"/>
      <c r="G47" s="3">
        <f t="shared" si="11"/>
        <v>0</v>
      </c>
      <c r="H47" s="202">
        <f t="shared" si="6"/>
        <v>0</v>
      </c>
      <c r="I47" s="200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0</v>
      </c>
      <c r="N47" s="11">
        <f t="shared" si="3"/>
        <v>0</v>
      </c>
      <c r="O47" s="11">
        <f t="shared" si="4"/>
        <v>0</v>
      </c>
      <c r="P47" s="11">
        <f t="shared" si="5"/>
        <v>0</v>
      </c>
    </row>
    <row r="48" spans="1:16" hidden="1">
      <c r="A48" s="44"/>
      <c r="B48" s="5">
        <f t="shared" si="7"/>
        <v>45566</v>
      </c>
      <c r="C48" s="1" t="s">
        <v>534</v>
      </c>
      <c r="D48" s="195"/>
      <c r="E48" s="118"/>
      <c r="F48" s="2"/>
      <c r="G48" s="3">
        <f t="shared" si="11"/>
        <v>0</v>
      </c>
      <c r="H48" s="202">
        <f t="shared" si="6"/>
        <v>0</v>
      </c>
      <c r="I48" s="200">
        <v>7.0000000000000007E-2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0</v>
      </c>
      <c r="N48" s="11">
        <f t="shared" si="3"/>
        <v>0</v>
      </c>
      <c r="O48" s="11">
        <f t="shared" si="4"/>
        <v>0</v>
      </c>
      <c r="P48" s="11">
        <f t="shared" si="5"/>
        <v>0</v>
      </c>
    </row>
    <row r="49" spans="1:16" hidden="1">
      <c r="A49" s="44"/>
      <c r="B49" s="5">
        <f t="shared" si="7"/>
        <v>45566</v>
      </c>
      <c r="C49" s="1" t="s">
        <v>534</v>
      </c>
      <c r="D49" s="195"/>
      <c r="E49" s="118"/>
      <c r="F49" s="2"/>
      <c r="G49" s="3">
        <f t="shared" si="11"/>
        <v>0</v>
      </c>
      <c r="H49" s="202">
        <f t="shared" si="6"/>
        <v>0</v>
      </c>
      <c r="I49" s="200">
        <v>7.0000000000000007E-2</v>
      </c>
      <c r="J49" s="7">
        <v>1.6500000000000001E-2</v>
      </c>
      <c r="K49" s="7">
        <v>7.5999999999999998E-2</v>
      </c>
      <c r="L49" s="7">
        <v>0</v>
      </c>
      <c r="M49" s="11">
        <f t="shared" si="2"/>
        <v>0</v>
      </c>
      <c r="N49" s="11">
        <f t="shared" si="3"/>
        <v>0</v>
      </c>
      <c r="O49" s="11">
        <f t="shared" si="4"/>
        <v>0</v>
      </c>
      <c r="P49" s="11">
        <f t="shared" si="5"/>
        <v>0</v>
      </c>
    </row>
    <row r="50" spans="1:16" hidden="1">
      <c r="A50" s="44"/>
      <c r="B50" s="5">
        <f t="shared" si="7"/>
        <v>45566</v>
      </c>
      <c r="C50" s="1" t="s">
        <v>534</v>
      </c>
      <c r="D50" s="195"/>
      <c r="E50" s="118"/>
      <c r="F50" s="2"/>
      <c r="G50" s="3">
        <f t="shared" si="11"/>
        <v>0</v>
      </c>
      <c r="H50" s="202">
        <f t="shared" si="6"/>
        <v>0</v>
      </c>
      <c r="I50" s="200">
        <v>7.0000000000000007E-2</v>
      </c>
      <c r="J50" s="7">
        <v>1.6500000000000001E-2</v>
      </c>
      <c r="K50" s="7">
        <v>7.5999999999999998E-2</v>
      </c>
      <c r="L50" s="7">
        <v>0</v>
      </c>
      <c r="M50" s="11">
        <f t="shared" si="2"/>
        <v>0</v>
      </c>
      <c r="N50" s="11">
        <f t="shared" si="3"/>
        <v>0</v>
      </c>
      <c r="O50" s="11">
        <f t="shared" si="4"/>
        <v>0</v>
      </c>
      <c r="P50" s="11">
        <f t="shared" si="5"/>
        <v>0</v>
      </c>
    </row>
    <row r="51" spans="1:16" hidden="1">
      <c r="A51" s="44"/>
      <c r="B51" s="5">
        <f t="shared" si="7"/>
        <v>45566</v>
      </c>
      <c r="C51" s="1" t="s">
        <v>534</v>
      </c>
      <c r="D51" s="195"/>
      <c r="E51" s="118"/>
      <c r="F51" s="2"/>
      <c r="G51" s="3">
        <f t="shared" si="11"/>
        <v>0</v>
      </c>
      <c r="H51" s="202">
        <f t="shared" si="6"/>
        <v>0</v>
      </c>
      <c r="I51" s="200">
        <v>7.0000000000000007E-2</v>
      </c>
      <c r="J51" s="7">
        <v>1.6500000000000001E-2</v>
      </c>
      <c r="K51" s="7">
        <v>7.5999999999999998E-2</v>
      </c>
      <c r="L51" s="7">
        <v>0</v>
      </c>
      <c r="M51" s="11">
        <f t="shared" si="2"/>
        <v>0</v>
      </c>
      <c r="N51" s="11">
        <f t="shared" si="3"/>
        <v>0</v>
      </c>
      <c r="O51" s="11">
        <f t="shared" si="4"/>
        <v>0</v>
      </c>
      <c r="P51" s="11">
        <f t="shared" si="5"/>
        <v>0</v>
      </c>
    </row>
    <row r="52" spans="1:16" hidden="1">
      <c r="A52" s="44"/>
      <c r="B52" s="5">
        <f t="shared" si="7"/>
        <v>45566</v>
      </c>
      <c r="C52" s="1" t="s">
        <v>534</v>
      </c>
      <c r="D52" s="195"/>
      <c r="E52" s="118"/>
      <c r="F52" s="2"/>
      <c r="G52" s="3">
        <f t="shared" si="11"/>
        <v>0</v>
      </c>
      <c r="H52" s="202">
        <f t="shared" si="6"/>
        <v>0</v>
      </c>
      <c r="I52" s="200">
        <v>7.0000000000000007E-2</v>
      </c>
      <c r="J52" s="7">
        <v>1.6500000000000001E-2</v>
      </c>
      <c r="K52" s="7">
        <v>7.5999999999999998E-2</v>
      </c>
      <c r="L52" s="7">
        <v>0</v>
      </c>
      <c r="M52" s="11">
        <f t="shared" si="2"/>
        <v>0</v>
      </c>
      <c r="N52" s="11">
        <f t="shared" si="3"/>
        <v>0</v>
      </c>
      <c r="O52" s="11">
        <f t="shared" si="4"/>
        <v>0</v>
      </c>
      <c r="P52" s="11">
        <f t="shared" si="5"/>
        <v>0</v>
      </c>
    </row>
    <row r="53" spans="1:16" hidden="1">
      <c r="A53" s="44"/>
      <c r="B53" s="5">
        <f t="shared" si="7"/>
        <v>45566</v>
      </c>
      <c r="C53" s="1" t="s">
        <v>534</v>
      </c>
      <c r="D53" s="195"/>
      <c r="E53" s="118"/>
      <c r="F53" s="2"/>
      <c r="G53" s="3">
        <f t="shared" si="11"/>
        <v>0</v>
      </c>
      <c r="H53" s="202">
        <f t="shared" si="6"/>
        <v>0</v>
      </c>
      <c r="I53" s="200">
        <v>7.0000000000000007E-2</v>
      </c>
      <c r="J53" s="7">
        <v>1.6500000000000001E-2</v>
      </c>
      <c r="K53" s="7">
        <v>7.5999999999999998E-2</v>
      </c>
      <c r="L53" s="7">
        <v>0</v>
      </c>
      <c r="M53" s="11">
        <f t="shared" si="2"/>
        <v>0</v>
      </c>
      <c r="N53" s="11">
        <f t="shared" si="3"/>
        <v>0</v>
      </c>
      <c r="O53" s="11">
        <f t="shared" si="4"/>
        <v>0</v>
      </c>
      <c r="P53" s="11">
        <f t="shared" si="5"/>
        <v>0</v>
      </c>
    </row>
    <row r="54" spans="1:16" hidden="1">
      <c r="A54" s="44"/>
      <c r="B54" s="5">
        <f t="shared" si="7"/>
        <v>45566</v>
      </c>
      <c r="C54" s="1" t="s">
        <v>534</v>
      </c>
      <c r="D54" s="195"/>
      <c r="E54" s="118"/>
      <c r="F54" s="2"/>
      <c r="G54" s="3">
        <f t="shared" si="11"/>
        <v>0</v>
      </c>
      <c r="H54" s="202">
        <f t="shared" si="6"/>
        <v>0</v>
      </c>
      <c r="I54" s="200">
        <v>7.0000000000000007E-2</v>
      </c>
      <c r="J54" s="7">
        <v>1.6500000000000001E-2</v>
      </c>
      <c r="K54" s="7">
        <v>7.5999999999999998E-2</v>
      </c>
      <c r="L54" s="7">
        <v>0</v>
      </c>
      <c r="M54" s="11">
        <f t="shared" si="2"/>
        <v>0</v>
      </c>
      <c r="N54" s="11">
        <f t="shared" si="3"/>
        <v>0</v>
      </c>
      <c r="O54" s="11">
        <f t="shared" si="4"/>
        <v>0</v>
      </c>
      <c r="P54" s="11">
        <f t="shared" si="5"/>
        <v>0</v>
      </c>
    </row>
    <row r="55" spans="1:16" hidden="1">
      <c r="A55" s="44"/>
      <c r="B55" s="5">
        <f t="shared" si="7"/>
        <v>45566</v>
      </c>
      <c r="C55" s="1" t="s">
        <v>534</v>
      </c>
      <c r="D55" s="195"/>
      <c r="E55" s="118"/>
      <c r="F55" s="2"/>
      <c r="G55" s="3">
        <f t="shared" si="11"/>
        <v>0</v>
      </c>
      <c r="H55" s="202">
        <f t="shared" si="6"/>
        <v>0</v>
      </c>
      <c r="I55" s="200">
        <v>7.0000000000000007E-2</v>
      </c>
      <c r="J55" s="7">
        <v>1.6500000000000001E-2</v>
      </c>
      <c r="K55" s="7">
        <v>7.5999999999999998E-2</v>
      </c>
      <c r="L55" s="7">
        <v>0</v>
      </c>
      <c r="M55" s="11">
        <f t="shared" si="2"/>
        <v>0</v>
      </c>
      <c r="N55" s="11">
        <f t="shared" si="3"/>
        <v>0</v>
      </c>
      <c r="O55" s="11">
        <f t="shared" si="4"/>
        <v>0</v>
      </c>
      <c r="P55" s="11">
        <f t="shared" si="5"/>
        <v>0</v>
      </c>
    </row>
    <row r="56" spans="1:16" hidden="1">
      <c r="A56" s="44"/>
      <c r="B56" s="5">
        <f t="shared" si="7"/>
        <v>45566</v>
      </c>
      <c r="C56" s="1" t="s">
        <v>534</v>
      </c>
      <c r="D56" s="195"/>
      <c r="E56" s="118"/>
      <c r="F56" s="2"/>
      <c r="G56" s="3">
        <f t="shared" si="11"/>
        <v>0</v>
      </c>
      <c r="H56" s="202">
        <f t="shared" si="6"/>
        <v>0</v>
      </c>
      <c r="I56" s="200">
        <v>7.0000000000000007E-2</v>
      </c>
      <c r="J56" s="7">
        <v>1.6500000000000001E-2</v>
      </c>
      <c r="K56" s="7">
        <v>7.5999999999999998E-2</v>
      </c>
      <c r="L56" s="7">
        <v>0</v>
      </c>
      <c r="M56" s="11">
        <f t="shared" si="2"/>
        <v>0</v>
      </c>
      <c r="N56" s="11">
        <f t="shared" si="3"/>
        <v>0</v>
      </c>
      <c r="O56" s="11">
        <f t="shared" si="4"/>
        <v>0</v>
      </c>
      <c r="P56" s="11">
        <f t="shared" si="5"/>
        <v>0</v>
      </c>
    </row>
    <row r="57" spans="1:16" hidden="1">
      <c r="A57" s="44"/>
      <c r="B57" s="5">
        <f t="shared" si="7"/>
        <v>45566</v>
      </c>
      <c r="C57" s="1" t="s">
        <v>534</v>
      </c>
      <c r="D57" s="195"/>
      <c r="E57" s="118"/>
      <c r="F57" s="2"/>
      <c r="G57" s="3">
        <f t="shared" ref="G57:G87" si="12">F57-SUM(M57:P57)</f>
        <v>0</v>
      </c>
      <c r="H57" s="202">
        <f t="shared" si="6"/>
        <v>0</v>
      </c>
      <c r="I57" s="200">
        <v>7.0000000000000007E-2</v>
      </c>
      <c r="J57" s="7">
        <v>1.6500000000000001E-2</v>
      </c>
      <c r="K57" s="7">
        <v>7.5999999999999998E-2</v>
      </c>
      <c r="L57" s="7">
        <v>0</v>
      </c>
      <c r="M57" s="11">
        <f t="shared" si="2"/>
        <v>0</v>
      </c>
      <c r="N57" s="11">
        <f t="shared" si="3"/>
        <v>0</v>
      </c>
      <c r="O57" s="11">
        <f t="shared" si="4"/>
        <v>0</v>
      </c>
      <c r="P57" s="11">
        <f t="shared" si="5"/>
        <v>0</v>
      </c>
    </row>
    <row r="58" spans="1:16" hidden="1">
      <c r="A58" s="44"/>
      <c r="B58" s="5">
        <f t="shared" si="7"/>
        <v>45566</v>
      </c>
      <c r="C58" s="1" t="s">
        <v>534</v>
      </c>
      <c r="D58" s="195"/>
      <c r="E58" s="118"/>
      <c r="F58" s="2"/>
      <c r="G58" s="3">
        <f t="shared" si="12"/>
        <v>0</v>
      </c>
      <c r="H58" s="202">
        <f t="shared" si="6"/>
        <v>0</v>
      </c>
      <c r="I58" s="200">
        <v>7.0000000000000007E-2</v>
      </c>
      <c r="J58" s="7">
        <v>1.6500000000000001E-2</v>
      </c>
      <c r="K58" s="7">
        <v>7.5999999999999998E-2</v>
      </c>
      <c r="L58" s="7">
        <v>0</v>
      </c>
      <c r="M58" s="11">
        <f t="shared" si="2"/>
        <v>0</v>
      </c>
      <c r="N58" s="11">
        <f t="shared" si="3"/>
        <v>0</v>
      </c>
      <c r="O58" s="11">
        <f t="shared" si="4"/>
        <v>0</v>
      </c>
      <c r="P58" s="11">
        <f t="shared" si="5"/>
        <v>0</v>
      </c>
    </row>
    <row r="59" spans="1:16" hidden="1">
      <c r="A59" s="44"/>
      <c r="B59" s="5">
        <f t="shared" si="7"/>
        <v>45566</v>
      </c>
      <c r="C59" s="1" t="s">
        <v>534</v>
      </c>
      <c r="D59" s="195"/>
      <c r="E59" s="118"/>
      <c r="F59" s="2"/>
      <c r="G59" s="3">
        <f t="shared" si="12"/>
        <v>0</v>
      </c>
      <c r="H59" s="202">
        <f t="shared" si="6"/>
        <v>0</v>
      </c>
      <c r="I59" s="200">
        <v>7.0000000000000007E-2</v>
      </c>
      <c r="J59" s="7">
        <v>1.6500000000000001E-2</v>
      </c>
      <c r="K59" s="7">
        <v>7.5999999999999998E-2</v>
      </c>
      <c r="L59" s="7">
        <v>0</v>
      </c>
      <c r="M59" s="11">
        <f t="shared" si="2"/>
        <v>0</v>
      </c>
      <c r="N59" s="11">
        <f t="shared" si="3"/>
        <v>0</v>
      </c>
      <c r="O59" s="11">
        <f t="shared" si="4"/>
        <v>0</v>
      </c>
      <c r="P59" s="11">
        <f t="shared" si="5"/>
        <v>0</v>
      </c>
    </row>
    <row r="60" spans="1:16" hidden="1">
      <c r="A60" s="44"/>
      <c r="B60" s="5">
        <f t="shared" si="7"/>
        <v>45566</v>
      </c>
      <c r="C60" s="1" t="s">
        <v>534</v>
      </c>
      <c r="D60" s="195"/>
      <c r="E60" s="118"/>
      <c r="F60" s="2"/>
      <c r="G60" s="3">
        <f t="shared" si="12"/>
        <v>0</v>
      </c>
      <c r="H60" s="202">
        <f t="shared" si="6"/>
        <v>0</v>
      </c>
      <c r="I60" s="200">
        <v>7.0000000000000007E-2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0</v>
      </c>
      <c r="N60" s="11">
        <f t="shared" si="3"/>
        <v>0</v>
      </c>
      <c r="O60" s="11">
        <f t="shared" si="4"/>
        <v>0</v>
      </c>
      <c r="P60" s="11">
        <f t="shared" si="5"/>
        <v>0</v>
      </c>
    </row>
    <row r="61" spans="1:16" hidden="1">
      <c r="A61" s="44"/>
      <c r="B61" s="5">
        <f t="shared" si="7"/>
        <v>45566</v>
      </c>
      <c r="C61" s="1" t="s">
        <v>534</v>
      </c>
      <c r="D61" s="195"/>
      <c r="E61" s="118"/>
      <c r="F61" s="2"/>
      <c r="G61" s="3">
        <f t="shared" si="12"/>
        <v>0</v>
      </c>
      <c r="H61" s="202">
        <f t="shared" si="6"/>
        <v>0</v>
      </c>
      <c r="I61" s="200">
        <v>7.0000000000000007E-2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0</v>
      </c>
      <c r="N61" s="11">
        <f t="shared" si="3"/>
        <v>0</v>
      </c>
      <c r="O61" s="11">
        <f t="shared" si="4"/>
        <v>0</v>
      </c>
      <c r="P61" s="11">
        <f t="shared" si="5"/>
        <v>0</v>
      </c>
    </row>
    <row r="62" spans="1:16" hidden="1">
      <c r="A62" s="44"/>
      <c r="B62" s="5">
        <f t="shared" si="7"/>
        <v>45566</v>
      </c>
      <c r="C62" s="1" t="s">
        <v>534</v>
      </c>
      <c r="D62" s="195"/>
      <c r="E62" s="118"/>
      <c r="F62" s="2"/>
      <c r="G62" s="3">
        <f t="shared" si="12"/>
        <v>0</v>
      </c>
      <c r="H62" s="202">
        <f t="shared" si="6"/>
        <v>0</v>
      </c>
      <c r="I62" s="200">
        <v>7.0000000000000007E-2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0</v>
      </c>
      <c r="N62" s="11">
        <f t="shared" si="3"/>
        <v>0</v>
      </c>
      <c r="O62" s="11">
        <f t="shared" si="4"/>
        <v>0</v>
      </c>
      <c r="P62" s="11">
        <f t="shared" si="5"/>
        <v>0</v>
      </c>
    </row>
    <row r="63" spans="1:16" hidden="1">
      <c r="A63" s="44"/>
      <c r="B63" s="5">
        <f t="shared" si="7"/>
        <v>45566</v>
      </c>
      <c r="C63" s="1" t="s">
        <v>534</v>
      </c>
      <c r="D63" s="195"/>
      <c r="E63" s="118"/>
      <c r="F63" s="2"/>
      <c r="G63" s="3">
        <f t="shared" si="12"/>
        <v>0</v>
      </c>
      <c r="H63" s="202">
        <f t="shared" si="6"/>
        <v>0</v>
      </c>
      <c r="I63" s="200">
        <v>7.0000000000000007E-2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0</v>
      </c>
      <c r="N63" s="11">
        <f t="shared" si="3"/>
        <v>0</v>
      </c>
      <c r="O63" s="11">
        <f t="shared" si="4"/>
        <v>0</v>
      </c>
      <c r="P63" s="11">
        <f t="shared" si="5"/>
        <v>0</v>
      </c>
    </row>
    <row r="64" spans="1:16" hidden="1">
      <c r="A64" s="44"/>
      <c r="B64" s="5">
        <f>B63</f>
        <v>45566</v>
      </c>
      <c r="C64" s="1" t="s">
        <v>534</v>
      </c>
      <c r="D64" s="210"/>
      <c r="E64" s="207"/>
      <c r="F64" s="208"/>
      <c r="G64" s="209">
        <f t="shared" si="12"/>
        <v>0</v>
      </c>
      <c r="H64" s="211">
        <f t="shared" si="6"/>
        <v>0</v>
      </c>
      <c r="I64" s="200"/>
      <c r="J64" s="7">
        <v>1.6500000000000001E-2</v>
      </c>
      <c r="K64" s="7">
        <v>7.5999999999999998E-2</v>
      </c>
      <c r="L64" s="7">
        <v>0</v>
      </c>
      <c r="M64" s="11">
        <f t="shared" si="2"/>
        <v>0</v>
      </c>
      <c r="N64" s="11">
        <f t="shared" si="3"/>
        <v>0</v>
      </c>
      <c r="O64" s="11">
        <f t="shared" si="4"/>
        <v>0</v>
      </c>
      <c r="P64" s="11">
        <f t="shared" si="5"/>
        <v>0</v>
      </c>
    </row>
    <row r="65" spans="1:16" hidden="1">
      <c r="A65" s="44"/>
      <c r="B65" s="5">
        <f t="shared" si="7"/>
        <v>45566</v>
      </c>
      <c r="C65" s="1" t="s">
        <v>534</v>
      </c>
      <c r="D65" s="195"/>
      <c r="E65" s="118"/>
      <c r="F65" s="2"/>
      <c r="G65" s="3">
        <f t="shared" si="12"/>
        <v>0</v>
      </c>
      <c r="H65" s="202">
        <f t="shared" si="6"/>
        <v>0</v>
      </c>
      <c r="I65" s="200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0</v>
      </c>
      <c r="N65" s="11">
        <f t="shared" si="3"/>
        <v>0</v>
      </c>
      <c r="O65" s="11">
        <f t="shared" si="4"/>
        <v>0</v>
      </c>
      <c r="P65" s="11">
        <f t="shared" si="5"/>
        <v>0</v>
      </c>
    </row>
    <row r="66" spans="1:16" hidden="1">
      <c r="A66" s="44"/>
      <c r="B66" s="5">
        <f t="shared" si="7"/>
        <v>45566</v>
      </c>
      <c r="C66" s="1" t="s">
        <v>534</v>
      </c>
      <c r="D66" s="195"/>
      <c r="E66" s="118"/>
      <c r="F66" s="2"/>
      <c r="G66" s="3">
        <f t="shared" si="12"/>
        <v>0</v>
      </c>
      <c r="H66" s="202">
        <f t="shared" si="6"/>
        <v>0</v>
      </c>
      <c r="I66" s="200">
        <v>7.0000000000000007E-2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0</v>
      </c>
      <c r="N66" s="11">
        <f t="shared" si="3"/>
        <v>0</v>
      </c>
      <c r="O66" s="11">
        <f t="shared" si="4"/>
        <v>0</v>
      </c>
      <c r="P66" s="11">
        <f t="shared" si="5"/>
        <v>0</v>
      </c>
    </row>
    <row r="67" spans="1:16" hidden="1">
      <c r="A67" s="44"/>
      <c r="B67" s="5">
        <f t="shared" si="7"/>
        <v>45566</v>
      </c>
      <c r="C67" s="1" t="s">
        <v>534</v>
      </c>
      <c r="D67" s="195"/>
      <c r="E67" s="118"/>
      <c r="F67" s="2"/>
      <c r="G67" s="3">
        <f t="shared" si="12"/>
        <v>0</v>
      </c>
      <c r="H67" s="202">
        <f t="shared" si="6"/>
        <v>0</v>
      </c>
      <c r="I67" s="200">
        <v>7.0000000000000007E-2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0</v>
      </c>
      <c r="N67" s="11">
        <f t="shared" si="3"/>
        <v>0</v>
      </c>
      <c r="O67" s="11">
        <f t="shared" si="4"/>
        <v>0</v>
      </c>
      <c r="P67" s="11">
        <f t="shared" si="5"/>
        <v>0</v>
      </c>
    </row>
    <row r="68" spans="1:16" hidden="1">
      <c r="A68" s="44"/>
      <c r="B68" s="5">
        <f t="shared" si="7"/>
        <v>45566</v>
      </c>
      <c r="C68" s="1" t="s">
        <v>534</v>
      </c>
      <c r="D68" s="195"/>
      <c r="E68" s="118"/>
      <c r="F68" s="2"/>
      <c r="G68" s="3">
        <f t="shared" si="12"/>
        <v>0</v>
      </c>
      <c r="H68" s="202">
        <f t="shared" si="6"/>
        <v>0</v>
      </c>
      <c r="I68" s="200">
        <v>7.0000000000000007E-2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0</v>
      </c>
      <c r="N68" s="11">
        <f t="shared" si="3"/>
        <v>0</v>
      </c>
      <c r="O68" s="11">
        <f t="shared" si="4"/>
        <v>0</v>
      </c>
      <c r="P68" s="11">
        <f t="shared" si="5"/>
        <v>0</v>
      </c>
    </row>
    <row r="69" spans="1:16" hidden="1">
      <c r="A69" s="44"/>
      <c r="B69" s="5">
        <f t="shared" si="7"/>
        <v>45566</v>
      </c>
      <c r="C69" s="1" t="s">
        <v>534</v>
      </c>
      <c r="D69" s="195"/>
      <c r="E69" s="118"/>
      <c r="F69" s="2"/>
      <c r="G69" s="3">
        <f t="shared" si="12"/>
        <v>0</v>
      </c>
      <c r="H69" s="202">
        <f t="shared" si="6"/>
        <v>0</v>
      </c>
      <c r="I69" s="200">
        <v>7.0000000000000007E-2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0</v>
      </c>
      <c r="N69" s="11">
        <f t="shared" si="3"/>
        <v>0</v>
      </c>
      <c r="O69" s="11">
        <f t="shared" si="4"/>
        <v>0</v>
      </c>
      <c r="P69" s="11">
        <f t="shared" si="5"/>
        <v>0</v>
      </c>
    </row>
    <row r="70" spans="1:16" hidden="1">
      <c r="A70" s="44"/>
      <c r="B70" s="5">
        <f t="shared" si="7"/>
        <v>45566</v>
      </c>
      <c r="C70" s="1" t="s">
        <v>534</v>
      </c>
      <c r="D70" s="195"/>
      <c r="E70" s="118"/>
      <c r="F70" s="2"/>
      <c r="G70" s="3">
        <f t="shared" si="12"/>
        <v>0</v>
      </c>
      <c r="H70" s="202">
        <f t="shared" si="6"/>
        <v>0</v>
      </c>
      <c r="I70" s="200">
        <v>7.0000000000000007E-2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0</v>
      </c>
      <c r="N70" s="11">
        <f t="shared" si="3"/>
        <v>0</v>
      </c>
      <c r="O70" s="11">
        <f t="shared" si="4"/>
        <v>0</v>
      </c>
      <c r="P70" s="11">
        <f t="shared" si="5"/>
        <v>0</v>
      </c>
    </row>
    <row r="71" spans="1:16" hidden="1">
      <c r="A71" s="44"/>
      <c r="B71" s="5">
        <f t="shared" si="7"/>
        <v>45566</v>
      </c>
      <c r="C71" s="1" t="s">
        <v>534</v>
      </c>
      <c r="D71" s="195"/>
      <c r="E71" s="118"/>
      <c r="F71" s="2"/>
      <c r="G71" s="3">
        <f t="shared" si="12"/>
        <v>0</v>
      </c>
      <c r="H71" s="202">
        <f t="shared" si="6"/>
        <v>0</v>
      </c>
      <c r="I71" s="200">
        <v>7.0000000000000007E-2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0</v>
      </c>
      <c r="N71" s="11">
        <f t="shared" si="3"/>
        <v>0</v>
      </c>
      <c r="O71" s="11">
        <f t="shared" si="4"/>
        <v>0</v>
      </c>
      <c r="P71" s="11">
        <f t="shared" si="5"/>
        <v>0</v>
      </c>
    </row>
    <row r="72" spans="1:16" hidden="1">
      <c r="A72" s="44"/>
      <c r="B72" s="5">
        <f t="shared" si="7"/>
        <v>45566</v>
      </c>
      <c r="C72" s="1" t="s">
        <v>534</v>
      </c>
      <c r="D72" s="195"/>
      <c r="E72" s="118"/>
      <c r="F72" s="2"/>
      <c r="G72" s="3">
        <f t="shared" si="12"/>
        <v>0</v>
      </c>
      <c r="H72" s="202">
        <f t="shared" si="6"/>
        <v>0</v>
      </c>
      <c r="I72" s="200">
        <v>7.0000000000000007E-2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0</v>
      </c>
      <c r="N72" s="11">
        <f t="shared" si="3"/>
        <v>0</v>
      </c>
      <c r="O72" s="11">
        <f t="shared" si="4"/>
        <v>0</v>
      </c>
      <c r="P72" s="11">
        <f t="shared" si="5"/>
        <v>0</v>
      </c>
    </row>
    <row r="73" spans="1:16" hidden="1">
      <c r="A73" s="44"/>
      <c r="B73" s="5">
        <f t="shared" si="7"/>
        <v>45566</v>
      </c>
      <c r="C73" s="1" t="s">
        <v>534</v>
      </c>
      <c r="D73" s="195"/>
      <c r="E73" s="118"/>
      <c r="F73" s="2"/>
      <c r="G73" s="3">
        <f t="shared" si="12"/>
        <v>0</v>
      </c>
      <c r="H73" s="202">
        <f t="shared" si="6"/>
        <v>0</v>
      </c>
      <c r="I73" s="200">
        <v>7.0000000000000007E-2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0</v>
      </c>
      <c r="N73" s="11">
        <f t="shared" si="3"/>
        <v>0</v>
      </c>
      <c r="O73" s="11">
        <f t="shared" si="4"/>
        <v>0</v>
      </c>
      <c r="P73" s="11">
        <f t="shared" si="5"/>
        <v>0</v>
      </c>
    </row>
    <row r="74" spans="1:16" hidden="1">
      <c r="A74" s="44"/>
      <c r="B74" s="5">
        <f t="shared" si="7"/>
        <v>45566</v>
      </c>
      <c r="C74" s="1" t="s">
        <v>534</v>
      </c>
      <c r="D74" s="195"/>
      <c r="E74" s="118"/>
      <c r="F74" s="2"/>
      <c r="G74" s="3">
        <f t="shared" si="12"/>
        <v>0</v>
      </c>
      <c r="H74" s="202">
        <f t="shared" si="6"/>
        <v>0</v>
      </c>
      <c r="I74" s="200">
        <v>7.0000000000000007E-2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0</v>
      </c>
      <c r="N74" s="11">
        <f t="shared" si="3"/>
        <v>0</v>
      </c>
      <c r="O74" s="11">
        <f t="shared" si="4"/>
        <v>0</v>
      </c>
      <c r="P74" s="11">
        <f t="shared" si="5"/>
        <v>0</v>
      </c>
    </row>
    <row r="75" spans="1:16" hidden="1">
      <c r="A75" s="44"/>
      <c r="B75" s="5">
        <f t="shared" si="7"/>
        <v>45566</v>
      </c>
      <c r="C75" s="1" t="s">
        <v>534</v>
      </c>
      <c r="D75" s="195"/>
      <c r="E75" s="118"/>
      <c r="F75" s="2"/>
      <c r="G75" s="3">
        <f t="shared" si="12"/>
        <v>0</v>
      </c>
      <c r="H75" s="202">
        <f t="shared" si="6"/>
        <v>0</v>
      </c>
      <c r="I75" s="200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0</v>
      </c>
      <c r="N75" s="11">
        <f t="shared" si="3"/>
        <v>0</v>
      </c>
      <c r="O75" s="11">
        <f t="shared" si="4"/>
        <v>0</v>
      </c>
      <c r="P75" s="11">
        <f t="shared" si="5"/>
        <v>0</v>
      </c>
    </row>
    <row r="76" spans="1:16" hidden="1">
      <c r="A76" s="44"/>
      <c r="B76" s="5">
        <f t="shared" si="7"/>
        <v>45566</v>
      </c>
      <c r="C76" s="1" t="s">
        <v>534</v>
      </c>
      <c r="D76" s="195"/>
      <c r="E76" s="118"/>
      <c r="F76" s="2"/>
      <c r="G76" s="3">
        <f t="shared" si="12"/>
        <v>0</v>
      </c>
      <c r="H76" s="202">
        <f t="shared" si="6"/>
        <v>0</v>
      </c>
      <c r="I76" s="200"/>
      <c r="J76" s="7">
        <v>1.6500000000000001E-2</v>
      </c>
      <c r="K76" s="7">
        <v>7.5999999999999998E-2</v>
      </c>
      <c r="L76" s="7">
        <v>0</v>
      </c>
      <c r="M76" s="11">
        <f t="shared" si="2"/>
        <v>0</v>
      </c>
      <c r="N76" s="11">
        <f t="shared" si="3"/>
        <v>0</v>
      </c>
      <c r="O76" s="11">
        <f t="shared" si="4"/>
        <v>0</v>
      </c>
      <c r="P76" s="11">
        <f t="shared" si="5"/>
        <v>0</v>
      </c>
    </row>
    <row r="77" spans="1:16" hidden="1">
      <c r="A77" s="44"/>
      <c r="B77" s="5">
        <f t="shared" si="7"/>
        <v>45566</v>
      </c>
      <c r="C77" s="1" t="s">
        <v>534</v>
      </c>
      <c r="D77" s="195"/>
      <c r="E77" s="118"/>
      <c r="F77" s="2"/>
      <c r="G77" s="3">
        <f t="shared" si="12"/>
        <v>0</v>
      </c>
      <c r="H77" s="202">
        <f t="shared" si="6"/>
        <v>0</v>
      </c>
      <c r="I77" s="200"/>
      <c r="J77" s="7">
        <v>1.6500000000000001E-2</v>
      </c>
      <c r="K77" s="7">
        <v>7.5999999999999998E-2</v>
      </c>
      <c r="L77" s="7">
        <v>0</v>
      </c>
      <c r="M77" s="11">
        <f t="shared" si="2"/>
        <v>0</v>
      </c>
      <c r="N77" s="11">
        <f t="shared" si="3"/>
        <v>0</v>
      </c>
      <c r="O77" s="11">
        <f t="shared" si="4"/>
        <v>0</v>
      </c>
      <c r="P77" s="11">
        <f t="shared" si="5"/>
        <v>0</v>
      </c>
    </row>
    <row r="78" spans="1:16" hidden="1">
      <c r="A78" s="44"/>
      <c r="B78" s="5">
        <f t="shared" si="7"/>
        <v>45566</v>
      </c>
      <c r="C78" s="1" t="s">
        <v>534</v>
      </c>
      <c r="D78" s="195"/>
      <c r="E78" s="118"/>
      <c r="F78" s="2"/>
      <c r="G78" s="3">
        <f t="shared" si="12"/>
        <v>0</v>
      </c>
      <c r="H78" s="202">
        <f t="shared" si="6"/>
        <v>0</v>
      </c>
      <c r="I78" s="200"/>
      <c r="J78" s="7">
        <v>1.6500000000000001E-2</v>
      </c>
      <c r="K78" s="7">
        <v>7.5999999999999998E-2</v>
      </c>
      <c r="L78" s="7">
        <v>0</v>
      </c>
      <c r="M78" s="11">
        <f t="shared" si="2"/>
        <v>0</v>
      </c>
      <c r="N78" s="11">
        <f t="shared" si="3"/>
        <v>0</v>
      </c>
      <c r="O78" s="11">
        <f t="shared" si="4"/>
        <v>0</v>
      </c>
      <c r="P78" s="11">
        <f t="shared" si="5"/>
        <v>0</v>
      </c>
    </row>
    <row r="79" spans="1:16" hidden="1">
      <c r="A79" s="44"/>
      <c r="B79" s="5">
        <f t="shared" si="7"/>
        <v>45566</v>
      </c>
      <c r="C79" s="1" t="s">
        <v>534</v>
      </c>
      <c r="D79" s="195"/>
      <c r="E79" s="118"/>
      <c r="F79" s="2"/>
      <c r="G79" s="3">
        <f t="shared" si="12"/>
        <v>0</v>
      </c>
      <c r="H79" s="202">
        <f t="shared" si="6"/>
        <v>0</v>
      </c>
      <c r="I79" s="200"/>
      <c r="J79" s="7">
        <v>1.6500000000000001E-2</v>
      </c>
      <c r="K79" s="7">
        <v>7.5999999999999998E-2</v>
      </c>
      <c r="L79" s="7">
        <v>0</v>
      </c>
      <c r="M79" s="11">
        <f t="shared" si="2"/>
        <v>0</v>
      </c>
      <c r="N79" s="11">
        <f t="shared" si="3"/>
        <v>0</v>
      </c>
      <c r="O79" s="11">
        <f t="shared" si="4"/>
        <v>0</v>
      </c>
      <c r="P79" s="11">
        <f t="shared" si="5"/>
        <v>0</v>
      </c>
    </row>
    <row r="80" spans="1:16" hidden="1">
      <c r="A80" s="44"/>
      <c r="B80" s="5">
        <f t="shared" si="7"/>
        <v>45566</v>
      </c>
      <c r="C80" s="1" t="s">
        <v>534</v>
      </c>
      <c r="D80" s="195"/>
      <c r="E80" s="118"/>
      <c r="F80" s="2"/>
      <c r="G80" s="3">
        <f t="shared" si="12"/>
        <v>0</v>
      </c>
      <c r="H80" s="202">
        <f t="shared" si="6"/>
        <v>0</v>
      </c>
      <c r="I80" s="200"/>
      <c r="J80" s="7">
        <v>1.6500000000000001E-2</v>
      </c>
      <c r="K80" s="7">
        <v>7.5999999999999998E-2</v>
      </c>
      <c r="L80" s="7">
        <v>0</v>
      </c>
      <c r="M80" s="11">
        <f t="shared" si="2"/>
        <v>0</v>
      </c>
      <c r="N80" s="11">
        <f t="shared" si="3"/>
        <v>0</v>
      </c>
      <c r="O80" s="11">
        <f t="shared" si="4"/>
        <v>0</v>
      </c>
      <c r="P80" s="11">
        <f t="shared" si="5"/>
        <v>0</v>
      </c>
    </row>
    <row r="81" spans="1:16" hidden="1">
      <c r="A81" s="44"/>
      <c r="B81" s="5">
        <f t="shared" si="7"/>
        <v>45566</v>
      </c>
      <c r="C81" s="1" t="s">
        <v>534</v>
      </c>
      <c r="D81" s="195"/>
      <c r="E81" s="118"/>
      <c r="F81" s="2"/>
      <c r="G81" s="3">
        <f t="shared" si="12"/>
        <v>0</v>
      </c>
      <c r="H81" s="202">
        <f t="shared" si="6"/>
        <v>0</v>
      </c>
      <c r="I81" s="200"/>
      <c r="J81" s="7">
        <v>1.6500000000000001E-2</v>
      </c>
      <c r="K81" s="7">
        <v>7.5999999999999998E-2</v>
      </c>
      <c r="L81" s="7">
        <v>0</v>
      </c>
      <c r="M81" s="11">
        <f t="shared" si="2"/>
        <v>0</v>
      </c>
      <c r="N81" s="11">
        <f t="shared" si="3"/>
        <v>0</v>
      </c>
      <c r="O81" s="11">
        <f t="shared" si="4"/>
        <v>0</v>
      </c>
      <c r="P81" s="11">
        <f t="shared" si="5"/>
        <v>0</v>
      </c>
    </row>
    <row r="82" spans="1:16" hidden="1">
      <c r="A82" s="44"/>
      <c r="B82" s="5">
        <f t="shared" si="7"/>
        <v>45566</v>
      </c>
      <c r="C82" s="1" t="s">
        <v>534</v>
      </c>
      <c r="D82" s="195"/>
      <c r="E82" s="118"/>
      <c r="F82" s="2"/>
      <c r="G82" s="3">
        <f t="shared" si="12"/>
        <v>0</v>
      </c>
      <c r="H82" s="202">
        <f t="shared" si="6"/>
        <v>0</v>
      </c>
      <c r="I82" s="200"/>
      <c r="J82" s="7">
        <v>1.6500000000000001E-2</v>
      </c>
      <c r="K82" s="7">
        <v>7.5999999999999998E-2</v>
      </c>
      <c r="L82" s="7">
        <v>0</v>
      </c>
      <c r="M82" s="11">
        <f t="shared" si="2"/>
        <v>0</v>
      </c>
      <c r="N82" s="11">
        <f t="shared" si="3"/>
        <v>0</v>
      </c>
      <c r="O82" s="11">
        <f t="shared" si="4"/>
        <v>0</v>
      </c>
      <c r="P82" s="11">
        <f t="shared" si="5"/>
        <v>0</v>
      </c>
    </row>
    <row r="83" spans="1:16" hidden="1">
      <c r="A83" s="44"/>
      <c r="B83" s="5">
        <f t="shared" si="7"/>
        <v>45566</v>
      </c>
      <c r="C83" s="1" t="s">
        <v>534</v>
      </c>
      <c r="D83" s="195"/>
      <c r="E83" s="118"/>
      <c r="F83" s="2"/>
      <c r="G83" s="3">
        <f t="shared" si="12"/>
        <v>0</v>
      </c>
      <c r="H83" s="202">
        <f t="shared" si="6"/>
        <v>0</v>
      </c>
      <c r="I83" s="200"/>
      <c r="J83" s="7">
        <v>1.6500000000000001E-2</v>
      </c>
      <c r="K83" s="7">
        <v>7.5999999999999998E-2</v>
      </c>
      <c r="L83" s="7">
        <v>0</v>
      </c>
      <c r="M83" s="11">
        <f t="shared" si="2"/>
        <v>0</v>
      </c>
      <c r="N83" s="11">
        <f t="shared" si="3"/>
        <v>0</v>
      </c>
      <c r="O83" s="11">
        <f t="shared" si="4"/>
        <v>0</v>
      </c>
      <c r="P83" s="11">
        <f t="shared" si="5"/>
        <v>0</v>
      </c>
    </row>
    <row r="84" spans="1:16" hidden="1">
      <c r="A84" s="44"/>
      <c r="B84" s="5">
        <f t="shared" si="7"/>
        <v>45566</v>
      </c>
      <c r="C84" s="1" t="s">
        <v>534</v>
      </c>
      <c r="D84" s="195"/>
      <c r="E84" s="118"/>
      <c r="F84" s="2"/>
      <c r="G84" s="3">
        <f t="shared" si="12"/>
        <v>0</v>
      </c>
      <c r="H84" s="202">
        <f t="shared" ref="H84:H114" si="13">+IF(G84=0,0,G84/E84)</f>
        <v>0</v>
      </c>
      <c r="I84" s="200"/>
      <c r="J84" s="7">
        <v>1.6500000000000001E-2</v>
      </c>
      <c r="K84" s="7">
        <v>7.5999999999999998E-2</v>
      </c>
      <c r="L84" s="7">
        <v>0</v>
      </c>
      <c r="M84" s="11">
        <f t="shared" si="2"/>
        <v>0</v>
      </c>
      <c r="N84" s="11">
        <f t="shared" si="3"/>
        <v>0</v>
      </c>
      <c r="O84" s="11">
        <f t="shared" si="4"/>
        <v>0</v>
      </c>
      <c r="P84" s="11">
        <f t="shared" si="5"/>
        <v>0</v>
      </c>
    </row>
    <row r="85" spans="1:16" hidden="1">
      <c r="A85" s="44"/>
      <c r="B85" s="5">
        <f t="shared" ref="B85:B112" si="14">B84</f>
        <v>45566</v>
      </c>
      <c r="C85" s="1" t="s">
        <v>534</v>
      </c>
      <c r="D85" s="195"/>
      <c r="E85" s="118"/>
      <c r="F85" s="2"/>
      <c r="G85" s="3">
        <f t="shared" si="12"/>
        <v>0</v>
      </c>
      <c r="H85" s="202">
        <f t="shared" si="13"/>
        <v>0</v>
      </c>
      <c r="I85" s="200"/>
      <c r="J85" s="7">
        <v>1.6500000000000001E-2</v>
      </c>
      <c r="K85" s="7">
        <v>7.5999999999999998E-2</v>
      </c>
      <c r="L85" s="7">
        <v>0</v>
      </c>
      <c r="M85" s="11">
        <f t="shared" si="2"/>
        <v>0</v>
      </c>
      <c r="N85" s="11">
        <f t="shared" si="3"/>
        <v>0</v>
      </c>
      <c r="O85" s="11">
        <f t="shared" si="4"/>
        <v>0</v>
      </c>
      <c r="P85" s="11">
        <f t="shared" si="5"/>
        <v>0</v>
      </c>
    </row>
    <row r="86" spans="1:16" hidden="1">
      <c r="A86" s="44"/>
      <c r="B86" s="5">
        <f t="shared" si="14"/>
        <v>45566</v>
      </c>
      <c r="C86" s="1" t="s">
        <v>534</v>
      </c>
      <c r="D86" s="195"/>
      <c r="E86" s="118"/>
      <c r="F86" s="2"/>
      <c r="G86" s="3">
        <f t="shared" si="12"/>
        <v>0</v>
      </c>
      <c r="H86" s="202">
        <f t="shared" si="13"/>
        <v>0</v>
      </c>
      <c r="I86" s="200"/>
      <c r="J86" s="7">
        <v>1.6500000000000001E-2</v>
      </c>
      <c r="K86" s="7">
        <v>7.5999999999999998E-2</v>
      </c>
      <c r="L86" s="7">
        <v>0</v>
      </c>
      <c r="M86" s="11">
        <f t="shared" si="2"/>
        <v>0</v>
      </c>
      <c r="N86" s="11">
        <f t="shared" si="3"/>
        <v>0</v>
      </c>
      <c r="O86" s="11">
        <f t="shared" si="4"/>
        <v>0</v>
      </c>
      <c r="P86" s="11">
        <f t="shared" si="5"/>
        <v>0</v>
      </c>
    </row>
    <row r="87" spans="1:16" hidden="1">
      <c r="A87" s="44"/>
      <c r="B87" s="5">
        <f t="shared" si="14"/>
        <v>45566</v>
      </c>
      <c r="C87" s="1" t="s">
        <v>534</v>
      </c>
      <c r="D87" s="195"/>
      <c r="E87" s="118"/>
      <c r="F87" s="2"/>
      <c r="G87" s="3">
        <f t="shared" si="12"/>
        <v>0</v>
      </c>
      <c r="H87" s="202">
        <f t="shared" si="13"/>
        <v>0</v>
      </c>
      <c r="I87" s="200"/>
      <c r="J87" s="7">
        <v>1.6500000000000001E-2</v>
      </c>
      <c r="K87" s="7">
        <v>7.5999999999999998E-2</v>
      </c>
      <c r="L87" s="7">
        <v>0</v>
      </c>
      <c r="M87" s="11">
        <f t="shared" si="2"/>
        <v>0</v>
      </c>
      <c r="N87" s="11">
        <f t="shared" si="3"/>
        <v>0</v>
      </c>
      <c r="O87" s="11">
        <f t="shared" si="4"/>
        <v>0</v>
      </c>
      <c r="P87" s="11">
        <f t="shared" si="5"/>
        <v>0</v>
      </c>
    </row>
    <row r="88" spans="1:16" hidden="1">
      <c r="A88" s="44"/>
      <c r="B88" s="5">
        <f>B87</f>
        <v>45566</v>
      </c>
      <c r="C88" s="1" t="s">
        <v>534</v>
      </c>
      <c r="D88" s="195"/>
      <c r="E88" s="118"/>
      <c r="F88" s="2"/>
      <c r="G88" s="3">
        <f t="shared" si="11"/>
        <v>0</v>
      </c>
      <c r="H88" s="202">
        <f t="shared" si="13"/>
        <v>0</v>
      </c>
      <c r="I88" s="200"/>
      <c r="J88" s="7">
        <v>1.6500000000000001E-2</v>
      </c>
      <c r="K88" s="7">
        <v>7.5999999999999998E-2</v>
      </c>
      <c r="L88" s="7">
        <v>0</v>
      </c>
      <c r="M88" s="11">
        <f t="shared" si="2"/>
        <v>0</v>
      </c>
      <c r="N88" s="11">
        <f t="shared" si="3"/>
        <v>0</v>
      </c>
      <c r="O88" s="11">
        <f t="shared" si="4"/>
        <v>0</v>
      </c>
      <c r="P88" s="11">
        <f t="shared" si="5"/>
        <v>0</v>
      </c>
    </row>
    <row r="89" spans="1:16" hidden="1">
      <c r="A89" s="44"/>
      <c r="B89" s="5">
        <f t="shared" si="14"/>
        <v>45566</v>
      </c>
      <c r="C89" s="1" t="s">
        <v>534</v>
      </c>
      <c r="D89" s="195"/>
      <c r="E89" s="118"/>
      <c r="F89" s="2"/>
      <c r="G89" s="3">
        <f t="shared" si="11"/>
        <v>0</v>
      </c>
      <c r="H89" s="202">
        <f t="shared" si="13"/>
        <v>0</v>
      </c>
      <c r="I89" s="200"/>
      <c r="J89" s="7">
        <v>1.6500000000000001E-2</v>
      </c>
      <c r="K89" s="7">
        <v>7.5999999999999998E-2</v>
      </c>
      <c r="L89" s="7">
        <v>0</v>
      </c>
      <c r="M89" s="11">
        <f t="shared" si="2"/>
        <v>0</v>
      </c>
      <c r="N89" s="11">
        <f t="shared" si="3"/>
        <v>0</v>
      </c>
      <c r="O89" s="11">
        <f t="shared" si="4"/>
        <v>0</v>
      </c>
      <c r="P89" s="11">
        <f t="shared" si="5"/>
        <v>0</v>
      </c>
    </row>
    <row r="90" spans="1:16" hidden="1">
      <c r="A90" s="44"/>
      <c r="B90" s="5">
        <f t="shared" si="14"/>
        <v>45566</v>
      </c>
      <c r="C90" s="1" t="s">
        <v>534</v>
      </c>
      <c r="D90" s="195"/>
      <c r="E90" s="118"/>
      <c r="F90" s="2"/>
      <c r="G90" s="3">
        <f t="shared" si="11"/>
        <v>0</v>
      </c>
      <c r="H90" s="202">
        <f t="shared" si="13"/>
        <v>0</v>
      </c>
      <c r="I90" s="200"/>
      <c r="J90" s="7">
        <v>1.6500000000000001E-2</v>
      </c>
      <c r="K90" s="7">
        <v>7.5999999999999998E-2</v>
      </c>
      <c r="L90" s="7">
        <v>0</v>
      </c>
      <c r="M90" s="11">
        <f t="shared" si="2"/>
        <v>0</v>
      </c>
      <c r="N90" s="11">
        <f t="shared" si="3"/>
        <v>0</v>
      </c>
      <c r="O90" s="11">
        <f t="shared" si="4"/>
        <v>0</v>
      </c>
      <c r="P90" s="11">
        <f t="shared" si="5"/>
        <v>0</v>
      </c>
    </row>
    <row r="91" spans="1:16" hidden="1">
      <c r="A91" s="44"/>
      <c r="B91" s="5">
        <f t="shared" si="14"/>
        <v>45566</v>
      </c>
      <c r="C91" s="1" t="s">
        <v>534</v>
      </c>
      <c r="D91" s="195"/>
      <c r="E91" s="118"/>
      <c r="F91" s="2"/>
      <c r="G91" s="3">
        <f t="shared" si="11"/>
        <v>0</v>
      </c>
      <c r="H91" s="202">
        <f t="shared" si="13"/>
        <v>0</v>
      </c>
      <c r="I91" s="200"/>
      <c r="J91" s="7">
        <v>1.6500000000000001E-2</v>
      </c>
      <c r="K91" s="7">
        <v>7.5999999999999998E-2</v>
      </c>
      <c r="L91" s="7">
        <v>0</v>
      </c>
      <c r="M91" s="11">
        <f t="shared" si="2"/>
        <v>0</v>
      </c>
      <c r="N91" s="11">
        <f t="shared" si="3"/>
        <v>0</v>
      </c>
      <c r="O91" s="11">
        <f t="shared" si="4"/>
        <v>0</v>
      </c>
      <c r="P91" s="11">
        <f t="shared" si="5"/>
        <v>0</v>
      </c>
    </row>
    <row r="92" spans="1:16" hidden="1">
      <c r="A92" s="44"/>
      <c r="B92" s="5">
        <f t="shared" si="14"/>
        <v>45566</v>
      </c>
      <c r="C92" s="1" t="s">
        <v>534</v>
      </c>
      <c r="D92" s="195"/>
      <c r="E92" s="118"/>
      <c r="F92" s="2"/>
      <c r="G92" s="3">
        <f t="shared" ref="G92:G249" si="15">F92-SUM(M92:P92)</f>
        <v>0</v>
      </c>
      <c r="H92" s="202">
        <f t="shared" si="13"/>
        <v>0</v>
      </c>
      <c r="I92" s="200"/>
      <c r="J92" s="7">
        <v>1.6500000000000001E-2</v>
      </c>
      <c r="K92" s="7">
        <v>7.5999999999999998E-2</v>
      </c>
      <c r="L92" s="7">
        <v>0</v>
      </c>
      <c r="M92" s="11">
        <f t="shared" si="2"/>
        <v>0</v>
      </c>
      <c r="N92" s="11">
        <f t="shared" si="3"/>
        <v>0</v>
      </c>
      <c r="O92" s="11">
        <f t="shared" si="4"/>
        <v>0</v>
      </c>
      <c r="P92" s="11">
        <f t="shared" si="5"/>
        <v>0</v>
      </c>
    </row>
    <row r="93" spans="1:16" hidden="1">
      <c r="A93" s="44"/>
      <c r="B93" s="5">
        <f t="shared" si="14"/>
        <v>45566</v>
      </c>
      <c r="C93" s="1" t="s">
        <v>534</v>
      </c>
      <c r="D93" s="195"/>
      <c r="E93" s="118"/>
      <c r="F93" s="2"/>
      <c r="G93" s="3">
        <f t="shared" si="15"/>
        <v>0</v>
      </c>
      <c r="H93" s="202">
        <f t="shared" si="13"/>
        <v>0</v>
      </c>
      <c r="I93" s="200"/>
      <c r="J93" s="7">
        <v>1.6500000000000001E-2</v>
      </c>
      <c r="K93" s="7">
        <v>7.5999999999999998E-2</v>
      </c>
      <c r="L93" s="7">
        <v>0</v>
      </c>
      <c r="M93" s="11">
        <f t="shared" si="2"/>
        <v>0</v>
      </c>
      <c r="N93" s="11">
        <f t="shared" si="3"/>
        <v>0</v>
      </c>
      <c r="O93" s="11">
        <f t="shared" si="4"/>
        <v>0</v>
      </c>
      <c r="P93" s="11">
        <f t="shared" si="5"/>
        <v>0</v>
      </c>
    </row>
    <row r="94" spans="1:16" hidden="1">
      <c r="A94" s="44"/>
      <c r="B94" s="5">
        <f t="shared" si="14"/>
        <v>45566</v>
      </c>
      <c r="C94" s="1" t="s">
        <v>534</v>
      </c>
      <c r="D94" s="195"/>
      <c r="E94" s="118"/>
      <c r="F94" s="2"/>
      <c r="G94" s="3">
        <f t="shared" si="15"/>
        <v>0</v>
      </c>
      <c r="H94" s="202">
        <f t="shared" si="13"/>
        <v>0</v>
      </c>
      <c r="I94" s="200"/>
      <c r="J94" s="7">
        <v>1.6500000000000001E-2</v>
      </c>
      <c r="K94" s="7">
        <v>7.5999999999999998E-2</v>
      </c>
      <c r="L94" s="7">
        <v>0</v>
      </c>
      <c r="M94" s="11">
        <f t="shared" si="2"/>
        <v>0</v>
      </c>
      <c r="N94" s="11">
        <f t="shared" si="3"/>
        <v>0</v>
      </c>
      <c r="O94" s="11">
        <f t="shared" si="4"/>
        <v>0</v>
      </c>
      <c r="P94" s="11">
        <f t="shared" si="5"/>
        <v>0</v>
      </c>
    </row>
    <row r="95" spans="1:16" hidden="1">
      <c r="A95" s="44"/>
      <c r="B95" s="5">
        <f t="shared" si="14"/>
        <v>45566</v>
      </c>
      <c r="C95" s="1" t="s">
        <v>534</v>
      </c>
      <c r="D95" s="195"/>
      <c r="E95" s="118"/>
      <c r="F95" s="2"/>
      <c r="G95" s="3">
        <f t="shared" si="15"/>
        <v>0</v>
      </c>
      <c r="H95" s="202">
        <f t="shared" si="13"/>
        <v>0</v>
      </c>
      <c r="I95" s="200"/>
      <c r="J95" s="7">
        <v>1.6500000000000001E-2</v>
      </c>
      <c r="K95" s="7">
        <v>7.5999999999999998E-2</v>
      </c>
      <c r="L95" s="7">
        <v>0</v>
      </c>
      <c r="M95" s="11">
        <f t="shared" si="2"/>
        <v>0</v>
      </c>
      <c r="N95" s="11">
        <f t="shared" si="3"/>
        <v>0</v>
      </c>
      <c r="O95" s="11">
        <f t="shared" si="4"/>
        <v>0</v>
      </c>
      <c r="P95" s="11">
        <f t="shared" si="5"/>
        <v>0</v>
      </c>
    </row>
    <row r="96" spans="1:16" hidden="1">
      <c r="A96" s="44"/>
      <c r="B96" s="5">
        <f t="shared" si="14"/>
        <v>45566</v>
      </c>
      <c r="C96" s="1" t="s">
        <v>534</v>
      </c>
      <c r="D96" s="195"/>
      <c r="E96" s="118"/>
      <c r="F96" s="2"/>
      <c r="G96" s="3">
        <f t="shared" si="15"/>
        <v>0</v>
      </c>
      <c r="H96" s="202">
        <f t="shared" si="13"/>
        <v>0</v>
      </c>
      <c r="I96" s="200"/>
      <c r="J96" s="7">
        <v>1.6500000000000001E-2</v>
      </c>
      <c r="K96" s="7">
        <v>7.5999999999999998E-2</v>
      </c>
      <c r="L96" s="7">
        <v>0</v>
      </c>
      <c r="M96" s="11">
        <f t="shared" si="2"/>
        <v>0</v>
      </c>
      <c r="N96" s="11">
        <f t="shared" si="3"/>
        <v>0</v>
      </c>
      <c r="O96" s="11">
        <f t="shared" si="4"/>
        <v>0</v>
      </c>
      <c r="P96" s="11">
        <f t="shared" si="5"/>
        <v>0</v>
      </c>
    </row>
    <row r="97" spans="1:16" hidden="1">
      <c r="A97" s="44"/>
      <c r="B97" s="5">
        <f t="shared" si="14"/>
        <v>45566</v>
      </c>
      <c r="C97" s="1" t="s">
        <v>534</v>
      </c>
      <c r="D97" s="195"/>
      <c r="E97" s="118"/>
      <c r="F97" s="2"/>
      <c r="G97" s="3">
        <f t="shared" si="15"/>
        <v>0</v>
      </c>
      <c r="H97" s="202">
        <f t="shared" si="13"/>
        <v>0</v>
      </c>
      <c r="I97" s="200"/>
      <c r="J97" s="7">
        <v>1.6500000000000001E-2</v>
      </c>
      <c r="K97" s="7">
        <v>7.5999999999999998E-2</v>
      </c>
      <c r="L97" s="7">
        <v>0</v>
      </c>
      <c r="M97" s="11">
        <f t="shared" si="2"/>
        <v>0</v>
      </c>
      <c r="N97" s="11">
        <f t="shared" si="3"/>
        <v>0</v>
      </c>
      <c r="O97" s="11">
        <f t="shared" si="4"/>
        <v>0</v>
      </c>
      <c r="P97" s="11">
        <f t="shared" si="5"/>
        <v>0</v>
      </c>
    </row>
    <row r="98" spans="1:16" hidden="1">
      <c r="A98" s="44"/>
      <c r="B98" s="5">
        <f t="shared" si="14"/>
        <v>45566</v>
      </c>
      <c r="C98" s="1" t="s">
        <v>534</v>
      </c>
      <c r="D98" s="195"/>
      <c r="E98" s="118"/>
      <c r="F98" s="2"/>
      <c r="G98" s="3">
        <f t="shared" si="15"/>
        <v>0</v>
      </c>
      <c r="H98" s="202">
        <f t="shared" si="13"/>
        <v>0</v>
      </c>
      <c r="I98" s="200"/>
      <c r="J98" s="7">
        <v>1.6500000000000001E-2</v>
      </c>
      <c r="K98" s="7">
        <v>7.5999999999999998E-2</v>
      </c>
      <c r="L98" s="7">
        <v>0</v>
      </c>
      <c r="M98" s="11">
        <f t="shared" si="2"/>
        <v>0</v>
      </c>
      <c r="N98" s="11">
        <f t="shared" si="3"/>
        <v>0</v>
      </c>
      <c r="O98" s="11">
        <f t="shared" si="4"/>
        <v>0</v>
      </c>
      <c r="P98" s="11">
        <f t="shared" si="5"/>
        <v>0</v>
      </c>
    </row>
    <row r="99" spans="1:16" hidden="1">
      <c r="A99" s="44"/>
      <c r="B99" s="5">
        <f t="shared" si="14"/>
        <v>45566</v>
      </c>
      <c r="C99" s="1" t="s">
        <v>534</v>
      </c>
      <c r="D99" s="195"/>
      <c r="E99" s="118"/>
      <c r="F99" s="2"/>
      <c r="G99" s="3">
        <f t="shared" si="15"/>
        <v>0</v>
      </c>
      <c r="H99" s="202">
        <f t="shared" si="13"/>
        <v>0</v>
      </c>
      <c r="I99" s="200"/>
      <c r="J99" s="7">
        <v>1.6500000000000001E-2</v>
      </c>
      <c r="K99" s="7">
        <v>7.5999999999999998E-2</v>
      </c>
      <c r="L99" s="7">
        <v>0</v>
      </c>
      <c r="M99" s="11">
        <f>+I99*F99</f>
        <v>0</v>
      </c>
      <c r="N99" s="11">
        <f t="shared" si="3"/>
        <v>0</v>
      </c>
      <c r="O99" s="11">
        <f t="shared" si="4"/>
        <v>0</v>
      </c>
      <c r="P99" s="11">
        <f t="shared" si="5"/>
        <v>0</v>
      </c>
    </row>
    <row r="100" spans="1:16" hidden="1">
      <c r="A100" s="44"/>
      <c r="B100" s="5">
        <f t="shared" si="14"/>
        <v>45566</v>
      </c>
      <c r="C100" s="1" t="s">
        <v>534</v>
      </c>
      <c r="D100" s="195"/>
      <c r="E100" s="118"/>
      <c r="F100" s="2"/>
      <c r="G100" s="3">
        <f t="shared" si="15"/>
        <v>0</v>
      </c>
      <c r="H100" s="202">
        <f t="shared" si="13"/>
        <v>0</v>
      </c>
      <c r="I100" s="200"/>
      <c r="J100" s="7">
        <v>1.6500000000000001E-2</v>
      </c>
      <c r="K100" s="7">
        <v>7.5999999999999998E-2</v>
      </c>
      <c r="L100" s="7">
        <v>0</v>
      </c>
      <c r="M100" s="11">
        <f t="shared" si="2"/>
        <v>0</v>
      </c>
      <c r="N100" s="11">
        <f t="shared" si="3"/>
        <v>0</v>
      </c>
      <c r="O100" s="11">
        <f t="shared" si="4"/>
        <v>0</v>
      </c>
      <c r="P100" s="11">
        <f t="shared" si="5"/>
        <v>0</v>
      </c>
    </row>
    <row r="101" spans="1:16" hidden="1">
      <c r="A101" s="44"/>
      <c r="B101" s="5">
        <f t="shared" si="14"/>
        <v>45566</v>
      </c>
      <c r="C101" s="1" t="s">
        <v>534</v>
      </c>
      <c r="D101" s="195"/>
      <c r="E101" s="118"/>
      <c r="F101" s="2"/>
      <c r="G101" s="3">
        <f t="shared" si="15"/>
        <v>0</v>
      </c>
      <c r="H101" s="202">
        <f t="shared" si="13"/>
        <v>0</v>
      </c>
      <c r="I101" s="200"/>
      <c r="J101" s="7">
        <v>1.6500000000000001E-2</v>
      </c>
      <c r="K101" s="7">
        <v>7.5999999999999998E-2</v>
      </c>
      <c r="L101" s="7">
        <v>0</v>
      </c>
      <c r="M101" s="11">
        <f t="shared" si="2"/>
        <v>0</v>
      </c>
      <c r="N101" s="11">
        <f t="shared" si="3"/>
        <v>0</v>
      </c>
      <c r="O101" s="11">
        <f t="shared" si="4"/>
        <v>0</v>
      </c>
      <c r="P101" s="11">
        <f t="shared" si="5"/>
        <v>0</v>
      </c>
    </row>
    <row r="102" spans="1:16" hidden="1">
      <c r="A102" s="44"/>
      <c r="B102" s="5">
        <f t="shared" si="14"/>
        <v>45566</v>
      </c>
      <c r="C102" s="1" t="s">
        <v>534</v>
      </c>
      <c r="D102" s="195"/>
      <c r="E102" s="118"/>
      <c r="F102" s="2"/>
      <c r="G102" s="3">
        <f t="shared" si="15"/>
        <v>0</v>
      </c>
      <c r="H102" s="202">
        <f t="shared" si="13"/>
        <v>0</v>
      </c>
      <c r="I102" s="200"/>
      <c r="J102" s="7">
        <v>1.6500000000000001E-2</v>
      </c>
      <c r="K102" s="7">
        <v>7.5999999999999998E-2</v>
      </c>
      <c r="L102" s="7">
        <v>0</v>
      </c>
      <c r="M102" s="11">
        <f t="shared" si="2"/>
        <v>0</v>
      </c>
      <c r="N102" s="11">
        <f t="shared" si="3"/>
        <v>0</v>
      </c>
      <c r="O102" s="11">
        <f t="shared" si="4"/>
        <v>0</v>
      </c>
      <c r="P102" s="11">
        <f t="shared" si="5"/>
        <v>0</v>
      </c>
    </row>
    <row r="103" spans="1:16" hidden="1">
      <c r="A103" s="44"/>
      <c r="B103" s="5">
        <f t="shared" si="14"/>
        <v>45566</v>
      </c>
      <c r="C103" s="1" t="s">
        <v>534</v>
      </c>
      <c r="D103" s="195"/>
      <c r="E103" s="118"/>
      <c r="F103" s="2"/>
      <c r="G103" s="3">
        <f t="shared" si="15"/>
        <v>0</v>
      </c>
      <c r="H103" s="202">
        <f t="shared" si="13"/>
        <v>0</v>
      </c>
      <c r="I103" s="200"/>
      <c r="J103" s="7">
        <v>1.6500000000000001E-2</v>
      </c>
      <c r="K103" s="7">
        <v>7.5999999999999998E-2</v>
      </c>
      <c r="L103" s="7">
        <v>0</v>
      </c>
      <c r="M103" s="11">
        <f t="shared" si="2"/>
        <v>0</v>
      </c>
      <c r="N103" s="11">
        <f t="shared" si="3"/>
        <v>0</v>
      </c>
      <c r="O103" s="11">
        <f t="shared" si="4"/>
        <v>0</v>
      </c>
      <c r="P103" s="11">
        <f t="shared" si="5"/>
        <v>0</v>
      </c>
    </row>
    <row r="104" spans="1:16" hidden="1">
      <c r="A104" s="44"/>
      <c r="B104" s="5">
        <f t="shared" si="14"/>
        <v>45566</v>
      </c>
      <c r="C104" s="1" t="s">
        <v>534</v>
      </c>
      <c r="D104" s="195"/>
      <c r="E104" s="118"/>
      <c r="F104" s="2"/>
      <c r="G104" s="3">
        <f t="shared" si="15"/>
        <v>0</v>
      </c>
      <c r="H104" s="202">
        <f t="shared" si="13"/>
        <v>0</v>
      </c>
      <c r="I104" s="200"/>
      <c r="J104" s="7">
        <v>1.6500000000000001E-2</v>
      </c>
      <c r="K104" s="7">
        <v>7.5999999999999998E-2</v>
      </c>
      <c r="L104" s="7">
        <v>0</v>
      </c>
      <c r="M104" s="11">
        <f t="shared" si="2"/>
        <v>0</v>
      </c>
      <c r="N104" s="11">
        <f t="shared" si="3"/>
        <v>0</v>
      </c>
      <c r="O104" s="11">
        <f t="shared" si="4"/>
        <v>0</v>
      </c>
      <c r="P104" s="11">
        <f t="shared" si="5"/>
        <v>0</v>
      </c>
    </row>
    <row r="105" spans="1:16" hidden="1">
      <c r="A105" s="44"/>
      <c r="B105" s="5">
        <f t="shared" si="14"/>
        <v>45566</v>
      </c>
      <c r="C105" s="1" t="s">
        <v>534</v>
      </c>
      <c r="D105" s="195"/>
      <c r="E105" s="118"/>
      <c r="F105" s="2"/>
      <c r="G105" s="3">
        <f t="shared" si="15"/>
        <v>0</v>
      </c>
      <c r="H105" s="202">
        <f t="shared" si="13"/>
        <v>0</v>
      </c>
      <c r="I105" s="200"/>
      <c r="J105" s="7">
        <v>1.6500000000000001E-2</v>
      </c>
      <c r="K105" s="7">
        <v>7.5999999999999998E-2</v>
      </c>
      <c r="L105" s="7">
        <v>0</v>
      </c>
      <c r="M105" s="11">
        <f t="shared" si="2"/>
        <v>0</v>
      </c>
      <c r="N105" s="11">
        <f t="shared" si="3"/>
        <v>0</v>
      </c>
      <c r="O105" s="11">
        <f t="shared" si="4"/>
        <v>0</v>
      </c>
      <c r="P105" s="11">
        <f t="shared" si="5"/>
        <v>0</v>
      </c>
    </row>
    <row r="106" spans="1:16" hidden="1">
      <c r="A106" s="44"/>
      <c r="B106" s="5">
        <f t="shared" si="14"/>
        <v>45566</v>
      </c>
      <c r="C106" s="1" t="s">
        <v>534</v>
      </c>
      <c r="D106" s="195"/>
      <c r="E106" s="118"/>
      <c r="F106" s="2"/>
      <c r="G106" s="3">
        <f t="shared" si="15"/>
        <v>0</v>
      </c>
      <c r="H106" s="202">
        <f t="shared" si="13"/>
        <v>0</v>
      </c>
      <c r="I106" s="200"/>
      <c r="J106" s="7">
        <v>1.6500000000000001E-2</v>
      </c>
      <c r="K106" s="7">
        <v>7.5999999999999998E-2</v>
      </c>
      <c r="L106" s="7">
        <v>0</v>
      </c>
      <c r="M106" s="11">
        <f t="shared" si="2"/>
        <v>0</v>
      </c>
      <c r="N106" s="11">
        <f t="shared" si="3"/>
        <v>0</v>
      </c>
      <c r="O106" s="11">
        <f t="shared" si="4"/>
        <v>0</v>
      </c>
      <c r="P106" s="11">
        <f t="shared" si="5"/>
        <v>0</v>
      </c>
    </row>
    <row r="107" spans="1:16" hidden="1">
      <c r="A107" s="44"/>
      <c r="B107" s="5">
        <f t="shared" si="14"/>
        <v>45566</v>
      </c>
      <c r="C107" s="1" t="s">
        <v>534</v>
      </c>
      <c r="D107" s="195"/>
      <c r="E107" s="118"/>
      <c r="F107" s="2"/>
      <c r="G107" s="3">
        <f t="shared" si="15"/>
        <v>0</v>
      </c>
      <c r="H107" s="202">
        <f t="shared" si="13"/>
        <v>0</v>
      </c>
      <c r="I107" s="200"/>
      <c r="J107" s="7">
        <v>1.6500000000000001E-2</v>
      </c>
      <c r="K107" s="7">
        <v>7.5999999999999998E-2</v>
      </c>
      <c r="L107" s="7">
        <v>0</v>
      </c>
      <c r="M107" s="11">
        <f t="shared" si="2"/>
        <v>0</v>
      </c>
      <c r="N107" s="11">
        <f t="shared" si="3"/>
        <v>0</v>
      </c>
      <c r="O107" s="11">
        <f t="shared" si="4"/>
        <v>0</v>
      </c>
      <c r="P107" s="11">
        <f t="shared" si="5"/>
        <v>0</v>
      </c>
    </row>
    <row r="108" spans="1:16" hidden="1">
      <c r="A108" s="44"/>
      <c r="B108" s="5">
        <f t="shared" si="14"/>
        <v>45566</v>
      </c>
      <c r="C108" s="1" t="s">
        <v>534</v>
      </c>
      <c r="D108" s="195"/>
      <c r="E108" s="118"/>
      <c r="F108" s="2"/>
      <c r="G108" s="3">
        <f t="shared" si="15"/>
        <v>0</v>
      </c>
      <c r="H108" s="202">
        <f t="shared" si="13"/>
        <v>0</v>
      </c>
      <c r="I108" s="200"/>
      <c r="J108" s="7">
        <v>1.6500000000000001E-2</v>
      </c>
      <c r="K108" s="7">
        <v>7.5999999999999998E-2</v>
      </c>
      <c r="L108" s="7">
        <v>0</v>
      </c>
      <c r="M108" s="11">
        <f t="shared" si="2"/>
        <v>0</v>
      </c>
      <c r="N108" s="11">
        <f t="shared" si="3"/>
        <v>0</v>
      </c>
      <c r="O108" s="11">
        <f t="shared" si="4"/>
        <v>0</v>
      </c>
      <c r="P108" s="11">
        <f t="shared" si="5"/>
        <v>0</v>
      </c>
    </row>
    <row r="109" spans="1:16" hidden="1">
      <c r="A109" s="44"/>
      <c r="B109" s="5">
        <f t="shared" si="14"/>
        <v>45566</v>
      </c>
      <c r="C109" s="1" t="s">
        <v>534</v>
      </c>
      <c r="D109" s="195"/>
      <c r="E109" s="118"/>
      <c r="F109" s="2"/>
      <c r="G109" s="3">
        <f t="shared" si="15"/>
        <v>0</v>
      </c>
      <c r="H109" s="202">
        <f t="shared" si="13"/>
        <v>0</v>
      </c>
      <c r="I109" s="200"/>
      <c r="J109" s="7">
        <v>1.6500000000000001E-2</v>
      </c>
      <c r="K109" s="7">
        <v>7.5999999999999998E-2</v>
      </c>
      <c r="L109" s="7">
        <v>0</v>
      </c>
      <c r="M109" s="11">
        <f t="shared" si="2"/>
        <v>0</v>
      </c>
      <c r="N109" s="11">
        <f t="shared" si="3"/>
        <v>0</v>
      </c>
      <c r="O109" s="11">
        <f t="shared" si="4"/>
        <v>0</v>
      </c>
      <c r="P109" s="11">
        <f t="shared" si="5"/>
        <v>0</v>
      </c>
    </row>
    <row r="110" spans="1:16" hidden="1">
      <c r="A110" s="44"/>
      <c r="B110" s="5">
        <f t="shared" si="14"/>
        <v>45566</v>
      </c>
      <c r="C110" s="1" t="s">
        <v>534</v>
      </c>
      <c r="D110" s="195"/>
      <c r="E110" s="118"/>
      <c r="F110" s="2"/>
      <c r="G110" s="3">
        <f t="shared" si="15"/>
        <v>0</v>
      </c>
      <c r="H110" s="202">
        <f t="shared" si="13"/>
        <v>0</v>
      </c>
      <c r="I110" s="200"/>
      <c r="J110" s="7">
        <v>1.6500000000000001E-2</v>
      </c>
      <c r="K110" s="7">
        <v>7.5999999999999998E-2</v>
      </c>
      <c r="L110" s="7">
        <v>0</v>
      </c>
      <c r="M110" s="11">
        <f t="shared" si="2"/>
        <v>0</v>
      </c>
      <c r="N110" s="11">
        <f t="shared" si="3"/>
        <v>0</v>
      </c>
      <c r="O110" s="11">
        <f t="shared" si="4"/>
        <v>0</v>
      </c>
      <c r="P110" s="11">
        <f t="shared" si="5"/>
        <v>0</v>
      </c>
    </row>
    <row r="111" spans="1:16" hidden="1">
      <c r="A111" s="44"/>
      <c r="B111" s="5">
        <f t="shared" si="14"/>
        <v>45566</v>
      </c>
      <c r="C111" s="1" t="s">
        <v>534</v>
      </c>
      <c r="D111" s="195"/>
      <c r="E111" s="118"/>
      <c r="F111" s="2"/>
      <c r="G111" s="3">
        <f t="shared" si="15"/>
        <v>0</v>
      </c>
      <c r="H111" s="202">
        <f t="shared" si="13"/>
        <v>0</v>
      </c>
      <c r="I111" s="200">
        <v>0.12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0</v>
      </c>
      <c r="N111" s="11">
        <f t="shared" si="3"/>
        <v>0</v>
      </c>
      <c r="O111" s="11">
        <f t="shared" si="4"/>
        <v>0</v>
      </c>
      <c r="P111" s="11">
        <f t="shared" si="5"/>
        <v>0</v>
      </c>
    </row>
    <row r="112" spans="1:16" hidden="1">
      <c r="A112" s="44"/>
      <c r="B112" s="5">
        <f t="shared" si="14"/>
        <v>45566</v>
      </c>
      <c r="C112" s="1" t="s">
        <v>689</v>
      </c>
      <c r="D112" s="195"/>
      <c r="E112" s="118"/>
      <c r="F112" s="2"/>
      <c r="G112" s="3">
        <f t="shared" si="15"/>
        <v>0</v>
      </c>
      <c r="H112" s="202">
        <f t="shared" si="13"/>
        <v>0</v>
      </c>
      <c r="I112" s="200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0</v>
      </c>
      <c r="N112" s="11">
        <f t="shared" si="3"/>
        <v>0</v>
      </c>
      <c r="O112" s="11">
        <f t="shared" si="4"/>
        <v>0</v>
      </c>
      <c r="P112" s="11">
        <f t="shared" si="5"/>
        <v>0</v>
      </c>
    </row>
    <row r="113" spans="1:16" ht="15" hidden="1" customHeight="1">
      <c r="A113" s="44"/>
      <c r="B113" s="5">
        <f>B112</f>
        <v>45566</v>
      </c>
      <c r="C113" s="1" t="s">
        <v>533</v>
      </c>
      <c r="D113" s="195"/>
      <c r="E113" s="118"/>
      <c r="F113" s="2"/>
      <c r="G113" s="3">
        <f t="shared" si="15"/>
        <v>0</v>
      </c>
      <c r="H113" s="202">
        <f t="shared" si="13"/>
        <v>0</v>
      </c>
      <c r="I113" s="7">
        <v>7.0000000000000007E-2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0</v>
      </c>
      <c r="N113" s="11">
        <f t="shared" si="3"/>
        <v>0</v>
      </c>
      <c r="O113" s="11">
        <f t="shared" si="4"/>
        <v>0</v>
      </c>
      <c r="P113" s="11">
        <f t="shared" si="5"/>
        <v>0</v>
      </c>
    </row>
    <row r="114" spans="1:16" ht="15" hidden="1" customHeight="1">
      <c r="A114" s="44"/>
      <c r="B114" s="5">
        <f>B113</f>
        <v>45566</v>
      </c>
      <c r="C114" s="1" t="s">
        <v>533</v>
      </c>
      <c r="D114" s="195"/>
      <c r="E114" s="118"/>
      <c r="F114" s="2"/>
      <c r="G114" s="3">
        <f t="shared" si="15"/>
        <v>0</v>
      </c>
      <c r="H114" s="202">
        <f t="shared" si="13"/>
        <v>0</v>
      </c>
      <c r="I114" s="7">
        <v>7.0000000000000007E-2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0</v>
      </c>
      <c r="N114" s="11">
        <f t="shared" si="3"/>
        <v>0</v>
      </c>
      <c r="O114" s="11">
        <f t="shared" si="4"/>
        <v>0</v>
      </c>
      <c r="P114" s="11">
        <f t="shared" si="5"/>
        <v>0</v>
      </c>
    </row>
    <row r="115" spans="1:16" ht="15" customHeight="1">
      <c r="A115" s="44"/>
      <c r="B115" s="5">
        <f t="shared" ref="B115:B178" si="16">B114</f>
        <v>45566</v>
      </c>
      <c r="C115" s="1" t="s">
        <v>533</v>
      </c>
      <c r="D115" s="195">
        <v>4814</v>
      </c>
      <c r="E115" s="186"/>
      <c r="F115" s="2">
        <v>123505.78</v>
      </c>
      <c r="G115" s="3">
        <f t="shared" si="15"/>
        <v>98631.715907999998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14820.693599999999</v>
      </c>
      <c r="N115" s="11">
        <f t="shared" si="3"/>
        <v>1793.3039256000002</v>
      </c>
      <c r="O115" s="11">
        <f t="shared" si="4"/>
        <v>8260.0665663999989</v>
      </c>
      <c r="P115" s="11">
        <f t="shared" si="5"/>
        <v>0</v>
      </c>
    </row>
    <row r="116" spans="1:16" ht="15" customHeight="1">
      <c r="A116" s="44"/>
      <c r="B116" s="5">
        <f t="shared" si="16"/>
        <v>45566</v>
      </c>
      <c r="C116" s="1" t="s">
        <v>533</v>
      </c>
      <c r="D116" s="195">
        <v>4793</v>
      </c>
      <c r="E116" s="186"/>
      <c r="F116" s="2">
        <v>3312.34</v>
      </c>
      <c r="G116" s="3">
        <f t="shared" si="15"/>
        <v>2645.2347239999999</v>
      </c>
      <c r="H116" s="187"/>
      <c r="I116" s="7">
        <v>0.12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397.48079999999999</v>
      </c>
      <c r="N116" s="11">
        <f t="shared" si="3"/>
        <v>48.095176800000004</v>
      </c>
      <c r="O116" s="11">
        <f t="shared" si="4"/>
        <v>221.52929920000003</v>
      </c>
      <c r="P116" s="11">
        <f t="shared" si="5"/>
        <v>0</v>
      </c>
    </row>
    <row r="117" spans="1:16" ht="15" customHeight="1">
      <c r="A117" s="44"/>
      <c r="B117" s="5">
        <f t="shared" si="16"/>
        <v>45566</v>
      </c>
      <c r="C117" s="1" t="s">
        <v>533</v>
      </c>
      <c r="D117" s="195">
        <v>4794</v>
      </c>
      <c r="E117" s="186"/>
      <c r="F117" s="2">
        <v>206602.61</v>
      </c>
      <c r="G117" s="3">
        <f t="shared" si="15"/>
        <v>164992.844346</v>
      </c>
      <c r="H117" s="187"/>
      <c r="I117" s="7">
        <v>0.12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24792.313199999997</v>
      </c>
      <c r="N117" s="11">
        <f t="shared" si="3"/>
        <v>2999.8698971999997</v>
      </c>
      <c r="O117" s="11">
        <f t="shared" si="4"/>
        <v>13817.582556799998</v>
      </c>
      <c r="P117" s="11">
        <f t="shared" si="5"/>
        <v>0</v>
      </c>
    </row>
    <row r="118" spans="1:16" ht="15" customHeight="1">
      <c r="A118" s="44"/>
      <c r="B118" s="5">
        <f t="shared" si="16"/>
        <v>45566</v>
      </c>
      <c r="C118" s="1" t="s">
        <v>533</v>
      </c>
      <c r="D118" s="195">
        <v>4795</v>
      </c>
      <c r="E118" s="186"/>
      <c r="F118" s="2">
        <v>3897.5</v>
      </c>
      <c r="G118" s="3">
        <f t="shared" si="15"/>
        <v>3112.5434999999998</v>
      </c>
      <c r="H118" s="187"/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467.7</v>
      </c>
      <c r="N118" s="11">
        <f t="shared" si="3"/>
        <v>56.591700000000003</v>
      </c>
      <c r="O118" s="11">
        <f t="shared" si="4"/>
        <v>260.66480000000001</v>
      </c>
      <c r="P118" s="11">
        <f t="shared" si="5"/>
        <v>0</v>
      </c>
    </row>
    <row r="119" spans="1:16" ht="15" customHeight="1">
      <c r="A119" s="44"/>
      <c r="B119" s="5">
        <f t="shared" si="16"/>
        <v>45566</v>
      </c>
      <c r="C119" s="1" t="s">
        <v>533</v>
      </c>
      <c r="D119" s="195">
        <v>4796</v>
      </c>
      <c r="E119" s="186"/>
      <c r="F119" s="2">
        <v>107381.59</v>
      </c>
      <c r="G119" s="3">
        <f t="shared" si="15"/>
        <v>85754.937773999991</v>
      </c>
      <c r="H119" s="187"/>
      <c r="I119" s="7">
        <v>0.12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12885.790799999999</v>
      </c>
      <c r="N119" s="11">
        <f t="shared" si="3"/>
        <v>1559.1806867999999</v>
      </c>
      <c r="O119" s="11">
        <f t="shared" si="4"/>
        <v>7181.6807391999992</v>
      </c>
      <c r="P119" s="11">
        <f t="shared" si="5"/>
        <v>0</v>
      </c>
    </row>
    <row r="120" spans="1:16" ht="15" customHeight="1">
      <c r="A120" s="44"/>
      <c r="B120" s="5">
        <f t="shared" si="16"/>
        <v>45566</v>
      </c>
      <c r="C120" s="1" t="s">
        <v>533</v>
      </c>
      <c r="D120" s="195">
        <v>4797</v>
      </c>
      <c r="E120" s="186"/>
      <c r="F120" s="2">
        <v>3409.99</v>
      </c>
      <c r="G120" s="3">
        <f t="shared" si="15"/>
        <v>2723.218014</v>
      </c>
      <c r="H120" s="187"/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409.19879999999995</v>
      </c>
      <c r="N120" s="11">
        <f t="shared" si="3"/>
        <v>49.513054799999999</v>
      </c>
      <c r="O120" s="11">
        <f t="shared" si="4"/>
        <v>228.06013119999997</v>
      </c>
      <c r="P120" s="11">
        <f t="shared" si="5"/>
        <v>0</v>
      </c>
    </row>
    <row r="121" spans="1:16" ht="15" customHeight="1">
      <c r="A121" s="44"/>
      <c r="B121" s="5">
        <f t="shared" si="16"/>
        <v>45566</v>
      </c>
      <c r="C121" s="1" t="s">
        <v>533</v>
      </c>
      <c r="D121" s="195">
        <v>4798</v>
      </c>
      <c r="E121" s="186"/>
      <c r="F121" s="2">
        <v>104836.96</v>
      </c>
      <c r="G121" s="3">
        <f t="shared" si="15"/>
        <v>83722.796256000001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12580.4352</v>
      </c>
      <c r="N121" s="11">
        <f t="shared" si="3"/>
        <v>1522.2326592000004</v>
      </c>
      <c r="O121" s="11">
        <f t="shared" si="4"/>
        <v>7011.4958848000006</v>
      </c>
      <c r="P121" s="11">
        <f t="shared" si="5"/>
        <v>0</v>
      </c>
    </row>
    <row r="122" spans="1:16" ht="15" customHeight="1">
      <c r="A122" s="44"/>
      <c r="B122" s="5">
        <f t="shared" si="16"/>
        <v>45566</v>
      </c>
      <c r="C122" s="1" t="s">
        <v>533</v>
      </c>
      <c r="D122" s="195">
        <v>4799</v>
      </c>
      <c r="E122" s="186"/>
      <c r="F122" s="2">
        <v>3334.17</v>
      </c>
      <c r="G122" s="3">
        <f t="shared" si="15"/>
        <v>2662.6681619999999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400.10039999999998</v>
      </c>
      <c r="N122" s="11">
        <f t="shared" si="3"/>
        <v>48.412148400000007</v>
      </c>
      <c r="O122" s="11">
        <f t="shared" si="4"/>
        <v>222.98928960000001</v>
      </c>
      <c r="P122" s="11">
        <f t="shared" si="5"/>
        <v>0</v>
      </c>
    </row>
    <row r="123" spans="1:16" ht="15" customHeight="1">
      <c r="A123" s="44"/>
      <c r="B123" s="5">
        <f t="shared" si="16"/>
        <v>45566</v>
      </c>
      <c r="C123" s="1" t="s">
        <v>533</v>
      </c>
      <c r="D123" s="195">
        <v>4800</v>
      </c>
      <c r="E123" s="186"/>
      <c r="F123" s="2">
        <v>52013.97</v>
      </c>
      <c r="G123" s="3">
        <f t="shared" si="15"/>
        <v>41538.356442000004</v>
      </c>
      <c r="H123" s="187"/>
      <c r="I123" s="7">
        <v>0.12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6241.6764000000003</v>
      </c>
      <c r="N123" s="11">
        <f t="shared" si="3"/>
        <v>755.24284440000008</v>
      </c>
      <c r="O123" s="11">
        <f t="shared" si="4"/>
        <v>3478.6943136000004</v>
      </c>
      <c r="P123" s="11">
        <f t="shared" si="5"/>
        <v>0</v>
      </c>
    </row>
    <row r="124" spans="1:16" ht="15" customHeight="1">
      <c r="A124" s="44"/>
      <c r="B124" s="5">
        <f t="shared" si="16"/>
        <v>45566</v>
      </c>
      <c r="C124" s="1" t="s">
        <v>533</v>
      </c>
      <c r="D124" s="195">
        <v>4801</v>
      </c>
      <c r="E124" s="186"/>
      <c r="F124" s="2">
        <v>1626.29</v>
      </c>
      <c r="G124" s="3">
        <f t="shared" si="15"/>
        <v>1298.7551939999998</v>
      </c>
      <c r="H124" s="187"/>
      <c r="I124" s="7">
        <v>0.12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195.15479999999999</v>
      </c>
      <c r="N124" s="11">
        <f t="shared" si="3"/>
        <v>23.613730799999999</v>
      </c>
      <c r="O124" s="11">
        <f t="shared" si="4"/>
        <v>108.7662752</v>
      </c>
      <c r="P124" s="11">
        <f t="shared" si="5"/>
        <v>0</v>
      </c>
    </row>
    <row r="125" spans="1:16" ht="15" customHeight="1">
      <c r="A125" s="44"/>
      <c r="B125" s="5">
        <f t="shared" si="16"/>
        <v>45566</v>
      </c>
      <c r="C125" s="1" t="s">
        <v>533</v>
      </c>
      <c r="D125" s="195">
        <v>4802</v>
      </c>
      <c r="E125" s="186"/>
      <c r="F125" s="2">
        <v>26013.45</v>
      </c>
      <c r="G125" s="3">
        <f t="shared" si="15"/>
        <v>20774.34117</v>
      </c>
      <c r="H125" s="187"/>
      <c r="I125" s="7">
        <v>0.12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3121.614</v>
      </c>
      <c r="N125" s="11">
        <f t="shared" si="3"/>
        <v>377.71529400000003</v>
      </c>
      <c r="O125" s="11">
        <f t="shared" si="4"/>
        <v>1739.779536</v>
      </c>
      <c r="P125" s="11">
        <f t="shared" si="5"/>
        <v>0</v>
      </c>
    </row>
    <row r="126" spans="1:16" ht="15" customHeight="1">
      <c r="A126" s="44"/>
      <c r="B126" s="5">
        <f t="shared" si="16"/>
        <v>45566</v>
      </c>
      <c r="C126" s="1" t="s">
        <v>533</v>
      </c>
      <c r="D126" s="195">
        <v>4803</v>
      </c>
      <c r="E126" s="186"/>
      <c r="F126" s="2">
        <v>852.47</v>
      </c>
      <c r="G126" s="3">
        <f t="shared" si="15"/>
        <v>680.78254200000003</v>
      </c>
      <c r="H126" s="187"/>
      <c r="I126" s="7">
        <v>0.12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102.29640000000001</v>
      </c>
      <c r="N126" s="11">
        <f t="shared" si="3"/>
        <v>12.377864400000002</v>
      </c>
      <c r="O126" s="11">
        <f t="shared" si="4"/>
        <v>57.013193600000001</v>
      </c>
      <c r="P126" s="11">
        <f t="shared" si="5"/>
        <v>0</v>
      </c>
    </row>
    <row r="127" spans="1:16" ht="15" customHeight="1">
      <c r="A127" s="44"/>
      <c r="B127" s="5">
        <f t="shared" si="16"/>
        <v>45566</v>
      </c>
      <c r="C127" s="1" t="s">
        <v>533</v>
      </c>
      <c r="D127" s="195">
        <v>4804</v>
      </c>
      <c r="E127" s="186"/>
      <c r="F127" s="2">
        <v>35382.35</v>
      </c>
      <c r="G127" s="3">
        <f t="shared" si="15"/>
        <v>28256.344709999998</v>
      </c>
      <c r="H127" s="187"/>
      <c r="I127" s="7">
        <v>0.12</v>
      </c>
      <c r="J127" s="7">
        <v>1.6500000000000001E-2</v>
      </c>
      <c r="K127" s="7">
        <v>7.5999999999999998E-2</v>
      </c>
      <c r="L127" s="7">
        <v>0</v>
      </c>
      <c r="M127" s="11">
        <f t="shared" si="2"/>
        <v>4245.8819999999996</v>
      </c>
      <c r="N127" s="11">
        <f t="shared" si="3"/>
        <v>513.75172200000009</v>
      </c>
      <c r="O127" s="11">
        <f t="shared" si="4"/>
        <v>2366.371568</v>
      </c>
      <c r="P127" s="11">
        <f t="shared" si="5"/>
        <v>0</v>
      </c>
    </row>
    <row r="128" spans="1:16" ht="15" customHeight="1">
      <c r="A128" s="44"/>
      <c r="B128" s="5">
        <f t="shared" si="16"/>
        <v>45566</v>
      </c>
      <c r="C128" s="1" t="s">
        <v>533</v>
      </c>
      <c r="D128" s="195">
        <v>4805</v>
      </c>
      <c r="E128" s="186"/>
      <c r="F128" s="2">
        <v>1136.6400000000001</v>
      </c>
      <c r="G128" s="3">
        <f t="shared" si="15"/>
        <v>907.72070400000007</v>
      </c>
      <c r="H128" s="187"/>
      <c r="I128" s="7">
        <v>0.12</v>
      </c>
      <c r="J128" s="7">
        <v>1.6500000000000001E-2</v>
      </c>
      <c r="K128" s="7">
        <v>7.5999999999999998E-2</v>
      </c>
      <c r="L128" s="7">
        <v>0</v>
      </c>
      <c r="M128" s="11">
        <f t="shared" si="2"/>
        <v>136.39680000000001</v>
      </c>
      <c r="N128" s="11">
        <f t="shared" si="3"/>
        <v>16.504012800000002</v>
      </c>
      <c r="O128" s="11">
        <f t="shared" si="4"/>
        <v>76.018483200000006</v>
      </c>
      <c r="P128" s="11">
        <f t="shared" si="5"/>
        <v>0</v>
      </c>
    </row>
    <row r="129" spans="1:16" ht="15" customHeight="1">
      <c r="A129" s="44"/>
      <c r="B129" s="5">
        <f t="shared" si="16"/>
        <v>45566</v>
      </c>
      <c r="C129" s="1" t="s">
        <v>533</v>
      </c>
      <c r="D129" s="195">
        <v>4806</v>
      </c>
      <c r="E129" s="186"/>
      <c r="F129" s="2">
        <v>124936.84</v>
      </c>
      <c r="G129" s="3">
        <f t="shared" si="15"/>
        <v>99774.560423999996</v>
      </c>
      <c r="H129" s="187"/>
      <c r="I129" s="7">
        <v>0.12</v>
      </c>
      <c r="J129" s="7">
        <v>1.6500000000000001E-2</v>
      </c>
      <c r="K129" s="7">
        <v>7.5999999999999998E-2</v>
      </c>
      <c r="L129" s="7">
        <v>0</v>
      </c>
      <c r="M129" s="11">
        <f t="shared" si="2"/>
        <v>14992.4208</v>
      </c>
      <c r="N129" s="11">
        <f t="shared" si="3"/>
        <v>1814.0829168000002</v>
      </c>
      <c r="O129" s="11">
        <f t="shared" si="4"/>
        <v>8355.7758592000009</v>
      </c>
      <c r="P129" s="11">
        <f t="shared" si="5"/>
        <v>0</v>
      </c>
    </row>
    <row r="130" spans="1:16" ht="15" customHeight="1">
      <c r="A130" s="44"/>
      <c r="B130" s="5">
        <f t="shared" si="16"/>
        <v>45566</v>
      </c>
      <c r="C130" s="1" t="s">
        <v>533</v>
      </c>
      <c r="D130" s="195">
        <v>4807</v>
      </c>
      <c r="E130" s="186"/>
      <c r="F130" s="2">
        <v>3848.7</v>
      </c>
      <c r="G130" s="3">
        <f t="shared" si="15"/>
        <v>3073.5718200000001</v>
      </c>
      <c r="H130" s="187"/>
      <c r="I130" s="7">
        <v>0.12</v>
      </c>
      <c r="J130" s="7">
        <v>1.6500000000000001E-2</v>
      </c>
      <c r="K130" s="7">
        <v>7.5999999999999998E-2</v>
      </c>
      <c r="L130" s="7">
        <v>0</v>
      </c>
      <c r="M130" s="11">
        <f t="shared" si="2"/>
        <v>461.84399999999994</v>
      </c>
      <c r="N130" s="11">
        <f t="shared" si="3"/>
        <v>55.883124000000002</v>
      </c>
      <c r="O130" s="11">
        <f t="shared" si="4"/>
        <v>257.40105599999998</v>
      </c>
      <c r="P130" s="11">
        <f t="shared" si="5"/>
        <v>0</v>
      </c>
    </row>
    <row r="131" spans="1:16" ht="15" customHeight="1">
      <c r="A131" s="44"/>
      <c r="B131" s="5">
        <f t="shared" si="16"/>
        <v>45566</v>
      </c>
      <c r="C131" s="1" t="s">
        <v>533</v>
      </c>
      <c r="D131" s="195">
        <v>18095</v>
      </c>
      <c r="E131" s="186"/>
      <c r="F131" s="2">
        <v>2460.89</v>
      </c>
      <c r="G131" s="3">
        <f t="shared" si="15"/>
        <v>2076.92963775</v>
      </c>
      <c r="H131" s="187"/>
      <c r="I131" s="7">
        <v>7.0000000000000007E-2</v>
      </c>
      <c r="J131" s="7">
        <v>1.6500000000000001E-2</v>
      </c>
      <c r="K131" s="7">
        <v>7.5999999999999998E-2</v>
      </c>
      <c r="L131" s="7">
        <v>0</v>
      </c>
      <c r="M131" s="11">
        <f t="shared" si="2"/>
        <v>172.26230000000001</v>
      </c>
      <c r="N131" s="11">
        <f t="shared" si="3"/>
        <v>37.762357049999999</v>
      </c>
      <c r="O131" s="11">
        <f t="shared" si="4"/>
        <v>173.9357052</v>
      </c>
      <c r="P131" s="11">
        <f t="shared" si="5"/>
        <v>0</v>
      </c>
    </row>
    <row r="132" spans="1:16" ht="15" customHeight="1">
      <c r="A132" s="44"/>
      <c r="B132" s="5">
        <f t="shared" si="16"/>
        <v>45566</v>
      </c>
      <c r="C132" s="1" t="s">
        <v>533</v>
      </c>
      <c r="D132" s="195">
        <v>18104</v>
      </c>
      <c r="E132" s="186"/>
      <c r="F132" s="2">
        <v>39.78</v>
      </c>
      <c r="G132" s="3">
        <f t="shared" si="15"/>
        <v>33.573325500000003</v>
      </c>
      <c r="H132" s="187"/>
      <c r="I132" s="7">
        <v>7.0000000000000007E-2</v>
      </c>
      <c r="J132" s="7">
        <v>1.6500000000000001E-2</v>
      </c>
      <c r="K132" s="7">
        <v>7.5999999999999998E-2</v>
      </c>
      <c r="L132" s="7">
        <v>0</v>
      </c>
      <c r="M132" s="11">
        <f t="shared" si="2"/>
        <v>2.7846000000000002</v>
      </c>
      <c r="N132" s="11">
        <f t="shared" si="3"/>
        <v>0.61042410000000014</v>
      </c>
      <c r="O132" s="11">
        <f t="shared" si="4"/>
        <v>2.8116504</v>
      </c>
      <c r="P132" s="11">
        <f t="shared" si="5"/>
        <v>0</v>
      </c>
    </row>
    <row r="133" spans="1:16" ht="15" customHeight="1">
      <c r="A133" s="44"/>
      <c r="B133" s="5">
        <f t="shared" si="16"/>
        <v>45566</v>
      </c>
      <c r="C133" s="1" t="s">
        <v>533</v>
      </c>
      <c r="D133" s="195">
        <v>18105</v>
      </c>
      <c r="E133" s="186"/>
      <c r="F133" s="2">
        <v>4069.94</v>
      </c>
      <c r="G133" s="3">
        <f t="shared" si="15"/>
        <v>3434.9276115000002</v>
      </c>
      <c r="H133" s="187"/>
      <c r="I133" s="7">
        <v>7.0000000000000007E-2</v>
      </c>
      <c r="J133" s="7">
        <v>1.6500000000000001E-2</v>
      </c>
      <c r="K133" s="7">
        <v>7.5999999999999998E-2</v>
      </c>
      <c r="L133" s="7">
        <v>0</v>
      </c>
      <c r="M133" s="11">
        <f t="shared" si="2"/>
        <v>284.89580000000001</v>
      </c>
      <c r="N133" s="11">
        <f t="shared" si="3"/>
        <v>62.453229300000011</v>
      </c>
      <c r="O133" s="11">
        <f t="shared" si="4"/>
        <v>287.6633592</v>
      </c>
      <c r="P133" s="11">
        <f t="shared" si="5"/>
        <v>0</v>
      </c>
    </row>
    <row r="134" spans="1:16" ht="15" customHeight="1">
      <c r="A134" s="44"/>
      <c r="B134" s="5">
        <f t="shared" si="16"/>
        <v>45566</v>
      </c>
      <c r="C134" s="1" t="s">
        <v>533</v>
      </c>
      <c r="D134" s="195">
        <v>18106</v>
      </c>
      <c r="E134" s="186"/>
      <c r="F134" s="2">
        <v>47.1</v>
      </c>
      <c r="G134" s="3">
        <f t="shared" si="15"/>
        <v>39.751222499999997</v>
      </c>
      <c r="H134" s="187"/>
      <c r="I134" s="7">
        <v>7.0000000000000007E-2</v>
      </c>
      <c r="J134" s="7">
        <v>1.6500000000000001E-2</v>
      </c>
      <c r="K134" s="7">
        <v>7.5999999999999998E-2</v>
      </c>
      <c r="L134" s="7">
        <v>0</v>
      </c>
      <c r="M134" s="11">
        <f t="shared" si="2"/>
        <v>3.2970000000000006</v>
      </c>
      <c r="N134" s="11">
        <f t="shared" si="3"/>
        <v>0.72274949999999993</v>
      </c>
      <c r="O134" s="11">
        <f t="shared" si="4"/>
        <v>3.3290279999999997</v>
      </c>
      <c r="P134" s="11">
        <f t="shared" si="5"/>
        <v>0</v>
      </c>
    </row>
    <row r="135" spans="1:16" ht="15" customHeight="1">
      <c r="A135" s="44"/>
      <c r="B135" s="5">
        <f t="shared" si="16"/>
        <v>45566</v>
      </c>
      <c r="C135" s="1" t="s">
        <v>533</v>
      </c>
      <c r="D135" s="195">
        <v>18107</v>
      </c>
      <c r="E135" s="186"/>
      <c r="F135" s="2">
        <v>14576.05</v>
      </c>
      <c r="G135" s="3">
        <f t="shared" si="15"/>
        <v>12301.821798749999</v>
      </c>
      <c r="H135" s="187"/>
      <c r="I135" s="7">
        <v>7.0000000000000007E-2</v>
      </c>
      <c r="J135" s="7">
        <v>1.6500000000000001E-2</v>
      </c>
      <c r="K135" s="7">
        <v>7.5999999999999998E-2</v>
      </c>
      <c r="L135" s="7">
        <v>0</v>
      </c>
      <c r="M135" s="11">
        <f t="shared" si="2"/>
        <v>1020.3235000000001</v>
      </c>
      <c r="N135" s="11">
        <f t="shared" si="3"/>
        <v>223.66948725</v>
      </c>
      <c r="O135" s="11">
        <f t="shared" si="4"/>
        <v>1030.2352139999998</v>
      </c>
      <c r="P135" s="11">
        <f t="shared" si="5"/>
        <v>0</v>
      </c>
    </row>
    <row r="136" spans="1:16" ht="15" customHeight="1">
      <c r="A136" s="44"/>
      <c r="B136" s="5">
        <f t="shared" si="16"/>
        <v>45566</v>
      </c>
      <c r="C136" s="1" t="s">
        <v>533</v>
      </c>
      <c r="D136" s="195">
        <v>18108</v>
      </c>
      <c r="E136" s="186"/>
      <c r="F136" s="2">
        <v>1071.0999999999999</v>
      </c>
      <c r="G136" s="3">
        <f t="shared" si="15"/>
        <v>903.98162249999996</v>
      </c>
      <c r="H136" s="187"/>
      <c r="I136" s="7">
        <v>7.0000000000000007E-2</v>
      </c>
      <c r="J136" s="7">
        <v>1.6500000000000001E-2</v>
      </c>
      <c r="K136" s="7">
        <v>7.5999999999999998E-2</v>
      </c>
      <c r="L136" s="7">
        <v>0</v>
      </c>
      <c r="M136" s="11">
        <f t="shared" si="2"/>
        <v>74.977000000000004</v>
      </c>
      <c r="N136" s="11">
        <f t="shared" si="3"/>
        <v>16.4360295</v>
      </c>
      <c r="O136" s="11">
        <f t="shared" si="4"/>
        <v>75.705347999999987</v>
      </c>
      <c r="P136" s="11">
        <f t="shared" si="5"/>
        <v>0</v>
      </c>
    </row>
    <row r="137" spans="1:16" ht="15" customHeight="1">
      <c r="A137" s="44"/>
      <c r="B137" s="5">
        <f t="shared" si="16"/>
        <v>45566</v>
      </c>
      <c r="C137" s="1" t="s">
        <v>533</v>
      </c>
      <c r="D137" s="195">
        <v>18109</v>
      </c>
      <c r="E137" s="186"/>
      <c r="F137" s="2">
        <v>14232.21</v>
      </c>
      <c r="G137" s="3">
        <f t="shared" si="15"/>
        <v>12011.629434749999</v>
      </c>
      <c r="H137" s="187"/>
      <c r="I137" s="7">
        <v>7.0000000000000007E-2</v>
      </c>
      <c r="J137" s="7">
        <v>1.6500000000000001E-2</v>
      </c>
      <c r="K137" s="7">
        <v>7.5999999999999998E-2</v>
      </c>
      <c r="L137" s="7">
        <v>0</v>
      </c>
      <c r="M137" s="11">
        <f t="shared" si="2"/>
        <v>996.25470000000007</v>
      </c>
      <c r="N137" s="11">
        <f t="shared" si="3"/>
        <v>218.39326245000001</v>
      </c>
      <c r="O137" s="11">
        <f t="shared" si="4"/>
        <v>1005.9326027999999</v>
      </c>
      <c r="P137" s="11">
        <f t="shared" si="5"/>
        <v>0</v>
      </c>
    </row>
    <row r="138" spans="1:16" ht="15" customHeight="1">
      <c r="A138" s="44"/>
      <c r="B138" s="5">
        <f t="shared" si="16"/>
        <v>45566</v>
      </c>
      <c r="C138" s="1" t="s">
        <v>533</v>
      </c>
      <c r="D138" s="195">
        <v>18110</v>
      </c>
      <c r="E138" s="186"/>
      <c r="F138" s="2">
        <v>1041.46</v>
      </c>
      <c r="G138" s="3">
        <f t="shared" si="15"/>
        <v>878.96620350000001</v>
      </c>
      <c r="H138" s="187"/>
      <c r="I138" s="7">
        <v>7.0000000000000007E-2</v>
      </c>
      <c r="J138" s="7">
        <v>1.6500000000000001E-2</v>
      </c>
      <c r="K138" s="7">
        <v>7.5999999999999998E-2</v>
      </c>
      <c r="L138" s="7">
        <v>0</v>
      </c>
      <c r="M138" s="11">
        <f t="shared" si="2"/>
        <v>72.902200000000008</v>
      </c>
      <c r="N138" s="11">
        <f t="shared" si="3"/>
        <v>15.981203700000002</v>
      </c>
      <c r="O138" s="11">
        <f t="shared" si="4"/>
        <v>73.6103928</v>
      </c>
      <c r="P138" s="11">
        <f t="shared" si="5"/>
        <v>0</v>
      </c>
    </row>
    <row r="139" spans="1:16" ht="15" customHeight="1">
      <c r="A139" s="44"/>
      <c r="B139" s="5">
        <f t="shared" si="16"/>
        <v>45566</v>
      </c>
      <c r="C139" s="1" t="s">
        <v>533</v>
      </c>
      <c r="D139" s="195">
        <v>18111</v>
      </c>
      <c r="E139" s="186"/>
      <c r="F139" s="2">
        <v>7076.63</v>
      </c>
      <c r="G139" s="3">
        <f t="shared" si="15"/>
        <v>5972.4988042499999</v>
      </c>
      <c r="H139" s="187"/>
      <c r="I139" s="7">
        <v>7.0000000000000007E-2</v>
      </c>
      <c r="J139" s="7">
        <v>1.6500000000000001E-2</v>
      </c>
      <c r="K139" s="7">
        <v>7.5999999999999998E-2</v>
      </c>
      <c r="L139" s="7">
        <v>0</v>
      </c>
      <c r="M139" s="11">
        <f t="shared" si="2"/>
        <v>495.36410000000006</v>
      </c>
      <c r="N139" s="11">
        <f t="shared" si="3"/>
        <v>108.59088735000002</v>
      </c>
      <c r="O139" s="11">
        <f t="shared" si="4"/>
        <v>500.17620840000001</v>
      </c>
      <c r="P139" s="11">
        <f t="shared" si="5"/>
        <v>0</v>
      </c>
    </row>
    <row r="140" spans="1:16" ht="15" customHeight="1">
      <c r="A140" s="44"/>
      <c r="B140" s="5">
        <f t="shared" si="16"/>
        <v>45566</v>
      </c>
      <c r="C140" s="1" t="s">
        <v>533</v>
      </c>
      <c r="D140" s="195">
        <v>18120</v>
      </c>
      <c r="E140" s="186"/>
      <c r="F140" s="2">
        <v>530.22</v>
      </c>
      <c r="G140" s="3">
        <f t="shared" si="15"/>
        <v>447.49242450000003</v>
      </c>
      <c r="H140" s="187"/>
      <c r="I140" s="7">
        <v>7.0000000000000007E-2</v>
      </c>
      <c r="J140" s="7">
        <v>1.6500000000000001E-2</v>
      </c>
      <c r="K140" s="7">
        <v>7.5999999999999998E-2</v>
      </c>
      <c r="L140" s="7">
        <v>0</v>
      </c>
      <c r="M140" s="11">
        <f t="shared" si="2"/>
        <v>37.115400000000008</v>
      </c>
      <c r="N140" s="11">
        <f t="shared" si="3"/>
        <v>8.1362259000000012</v>
      </c>
      <c r="O140" s="11">
        <f t="shared" si="4"/>
        <v>37.4759496</v>
      </c>
      <c r="P140" s="11">
        <f t="shared" si="5"/>
        <v>0</v>
      </c>
    </row>
    <row r="141" spans="1:16" ht="15" customHeight="1">
      <c r="A141" s="44"/>
      <c r="B141" s="5">
        <f t="shared" si="16"/>
        <v>45566</v>
      </c>
      <c r="C141" s="1" t="s">
        <v>533</v>
      </c>
      <c r="D141" s="195">
        <v>18121</v>
      </c>
      <c r="E141" s="186"/>
      <c r="F141" s="2">
        <v>3519.83</v>
      </c>
      <c r="G141" s="3">
        <f t="shared" si="15"/>
        <v>2970.6485242499998</v>
      </c>
      <c r="H141" s="187"/>
      <c r="I141" s="7">
        <v>7.0000000000000007E-2</v>
      </c>
      <c r="J141" s="7">
        <v>1.6500000000000001E-2</v>
      </c>
      <c r="K141" s="7">
        <v>7.5999999999999998E-2</v>
      </c>
      <c r="L141" s="7">
        <v>0</v>
      </c>
      <c r="M141" s="11">
        <f t="shared" si="2"/>
        <v>246.38810000000001</v>
      </c>
      <c r="N141" s="11">
        <f t="shared" si="3"/>
        <v>54.011791350000003</v>
      </c>
      <c r="O141" s="11">
        <f t="shared" si="4"/>
        <v>248.78158439999999</v>
      </c>
      <c r="P141" s="11">
        <f t="shared" si="5"/>
        <v>0</v>
      </c>
    </row>
    <row r="142" spans="1:16" ht="15" customHeight="1">
      <c r="A142" s="44"/>
      <c r="B142" s="5">
        <f t="shared" si="16"/>
        <v>45566</v>
      </c>
      <c r="C142" s="1" t="s">
        <v>533</v>
      </c>
      <c r="D142" s="195">
        <v>18122</v>
      </c>
      <c r="E142" s="186"/>
      <c r="F142" s="2">
        <v>267.77999999999997</v>
      </c>
      <c r="G142" s="3">
        <f t="shared" si="15"/>
        <v>225.99962549999998</v>
      </c>
      <c r="H142" s="187"/>
      <c r="I142" s="7">
        <v>7.0000000000000007E-2</v>
      </c>
      <c r="J142" s="7">
        <v>1.6500000000000001E-2</v>
      </c>
      <c r="K142" s="7">
        <v>7.5999999999999998E-2</v>
      </c>
      <c r="L142" s="7">
        <v>0</v>
      </c>
      <c r="M142" s="11">
        <f t="shared" si="2"/>
        <v>18.744599999999998</v>
      </c>
      <c r="N142" s="11">
        <f t="shared" si="3"/>
        <v>4.1090840999999996</v>
      </c>
      <c r="O142" s="11">
        <f t="shared" si="4"/>
        <v>18.926690399999998</v>
      </c>
      <c r="P142" s="11">
        <f t="shared" si="5"/>
        <v>0</v>
      </c>
    </row>
    <row r="143" spans="1:16" ht="15" customHeight="1">
      <c r="A143" s="44"/>
      <c r="B143" s="5">
        <f t="shared" si="16"/>
        <v>45566</v>
      </c>
      <c r="C143" s="1" t="s">
        <v>533</v>
      </c>
      <c r="D143" s="195">
        <v>18123</v>
      </c>
      <c r="E143" s="186"/>
      <c r="F143" s="2">
        <v>4788.6499999999996</v>
      </c>
      <c r="G143" s="3">
        <f t="shared" si="15"/>
        <v>4041.5008837499995</v>
      </c>
      <c r="H143" s="187"/>
      <c r="I143" s="7">
        <v>7.0000000000000007E-2</v>
      </c>
      <c r="J143" s="7">
        <v>1.6500000000000001E-2</v>
      </c>
      <c r="K143" s="7">
        <v>7.5999999999999998E-2</v>
      </c>
      <c r="L143" s="7">
        <v>0</v>
      </c>
      <c r="M143" s="11">
        <f t="shared" si="2"/>
        <v>335.20550000000003</v>
      </c>
      <c r="N143" s="11">
        <f t="shared" si="3"/>
        <v>73.481834249999991</v>
      </c>
      <c r="O143" s="11">
        <f t="shared" si="4"/>
        <v>338.46178199999997</v>
      </c>
      <c r="P143" s="11">
        <f t="shared" si="5"/>
        <v>0</v>
      </c>
    </row>
    <row r="144" spans="1:16" ht="15" customHeight="1">
      <c r="A144" s="44"/>
      <c r="B144" s="5">
        <f t="shared" si="16"/>
        <v>45566</v>
      </c>
      <c r="C144" s="1" t="s">
        <v>533</v>
      </c>
      <c r="D144" s="195">
        <v>18124</v>
      </c>
      <c r="E144" s="186"/>
      <c r="F144" s="2">
        <v>357.03</v>
      </c>
      <c r="G144" s="3">
        <f t="shared" si="15"/>
        <v>301.32439424999995</v>
      </c>
      <c r="H144" s="187"/>
      <c r="I144" s="7">
        <v>7.0000000000000007E-2</v>
      </c>
      <c r="J144" s="7">
        <v>1.6500000000000001E-2</v>
      </c>
      <c r="K144" s="7">
        <v>7.5999999999999998E-2</v>
      </c>
      <c r="L144" s="7">
        <v>0</v>
      </c>
      <c r="M144" s="11">
        <f t="shared" si="2"/>
        <v>24.992100000000001</v>
      </c>
      <c r="N144" s="11">
        <f t="shared" si="3"/>
        <v>5.4786253499999997</v>
      </c>
      <c r="O144" s="11">
        <f t="shared" si="4"/>
        <v>25.234880399999998</v>
      </c>
      <c r="P144" s="11">
        <f t="shared" si="5"/>
        <v>0</v>
      </c>
    </row>
    <row r="145" spans="1:16" ht="15" customHeight="1">
      <c r="A145" s="44"/>
      <c r="B145" s="5">
        <f t="shared" si="16"/>
        <v>45566</v>
      </c>
      <c r="C145" s="1" t="s">
        <v>533</v>
      </c>
      <c r="D145" s="195">
        <v>18125</v>
      </c>
      <c r="E145" s="186"/>
      <c r="F145" s="2">
        <v>17107.18</v>
      </c>
      <c r="G145" s="3">
        <f t="shared" si="15"/>
        <v>14438.032240500001</v>
      </c>
      <c r="H145" s="187"/>
      <c r="I145" s="7">
        <v>7.0000000000000007E-2</v>
      </c>
      <c r="J145" s="7">
        <v>1.6500000000000001E-2</v>
      </c>
      <c r="K145" s="7">
        <v>7.5999999999999998E-2</v>
      </c>
      <c r="L145" s="7">
        <v>0</v>
      </c>
      <c r="M145" s="11">
        <f t="shared" si="2"/>
        <v>1197.5026</v>
      </c>
      <c r="N145" s="11">
        <f t="shared" si="3"/>
        <v>262.50967710000003</v>
      </c>
      <c r="O145" s="11">
        <f t="shared" si="4"/>
        <v>1209.1354824</v>
      </c>
      <c r="P145" s="11">
        <f t="shared" si="5"/>
        <v>0</v>
      </c>
    </row>
    <row r="146" spans="1:16" ht="15" customHeight="1">
      <c r="A146" s="44"/>
      <c r="B146" s="5">
        <f t="shared" si="16"/>
        <v>45566</v>
      </c>
      <c r="C146" s="1" t="s">
        <v>533</v>
      </c>
      <c r="D146" s="195">
        <v>18126</v>
      </c>
      <c r="E146" s="186"/>
      <c r="F146" s="2">
        <v>1195.3399999999999</v>
      </c>
      <c r="G146" s="3">
        <f t="shared" si="15"/>
        <v>1008.8370765</v>
      </c>
      <c r="H146" s="187"/>
      <c r="I146" s="7">
        <v>7.0000000000000007E-2</v>
      </c>
      <c r="J146" s="7">
        <v>1.6500000000000001E-2</v>
      </c>
      <c r="K146" s="7">
        <v>7.5999999999999998E-2</v>
      </c>
      <c r="L146" s="7">
        <v>0</v>
      </c>
      <c r="M146" s="11">
        <f t="shared" si="2"/>
        <v>83.6738</v>
      </c>
      <c r="N146" s="11">
        <f t="shared" si="3"/>
        <v>18.3424923</v>
      </c>
      <c r="O146" s="11">
        <f t="shared" si="4"/>
        <v>84.486631199999991</v>
      </c>
      <c r="P146" s="11">
        <f t="shared" si="5"/>
        <v>0</v>
      </c>
    </row>
    <row r="147" spans="1:16" ht="15" hidden="1" customHeight="1">
      <c r="A147" s="44"/>
      <c r="B147" s="5">
        <f t="shared" si="16"/>
        <v>45566</v>
      </c>
      <c r="C147" s="1" t="s">
        <v>533</v>
      </c>
      <c r="D147" s="195"/>
      <c r="E147" s="186"/>
      <c r="F147" s="2"/>
      <c r="G147" s="3">
        <f t="shared" si="15"/>
        <v>0</v>
      </c>
      <c r="H147" s="187"/>
      <c r="I147" s="7">
        <v>7.0000000000000007E-2</v>
      </c>
      <c r="J147" s="7">
        <v>1.6500000000000001E-2</v>
      </c>
      <c r="K147" s="7">
        <v>7.5999999999999998E-2</v>
      </c>
      <c r="L147" s="7">
        <v>0</v>
      </c>
      <c r="M147" s="11">
        <f t="shared" si="2"/>
        <v>0</v>
      </c>
      <c r="N147" s="11">
        <f t="shared" si="3"/>
        <v>0</v>
      </c>
      <c r="O147" s="11">
        <f t="shared" si="4"/>
        <v>0</v>
      </c>
      <c r="P147" s="11">
        <f t="shared" si="5"/>
        <v>0</v>
      </c>
    </row>
    <row r="148" spans="1:16" ht="15" hidden="1" customHeight="1">
      <c r="A148" s="44"/>
      <c r="B148" s="5">
        <f t="shared" si="16"/>
        <v>45566</v>
      </c>
      <c r="C148" s="1" t="s">
        <v>533</v>
      </c>
      <c r="D148" s="195"/>
      <c r="E148" s="186"/>
      <c r="F148" s="2"/>
      <c r="G148" s="3">
        <f t="shared" si="15"/>
        <v>0</v>
      </c>
      <c r="H148" s="187"/>
      <c r="I148" s="7">
        <v>7.0000000000000007E-2</v>
      </c>
      <c r="J148" s="7">
        <v>1.6500000000000001E-2</v>
      </c>
      <c r="K148" s="7">
        <v>7.5999999999999998E-2</v>
      </c>
      <c r="L148" s="7">
        <v>0</v>
      </c>
      <c r="M148" s="11">
        <f t="shared" si="2"/>
        <v>0</v>
      </c>
      <c r="N148" s="11">
        <f t="shared" si="3"/>
        <v>0</v>
      </c>
      <c r="O148" s="11">
        <f t="shared" si="4"/>
        <v>0</v>
      </c>
      <c r="P148" s="11">
        <f t="shared" si="5"/>
        <v>0</v>
      </c>
    </row>
    <row r="149" spans="1:16" ht="15" hidden="1" customHeight="1">
      <c r="A149" s="44"/>
      <c r="B149" s="5">
        <f t="shared" si="16"/>
        <v>45566</v>
      </c>
      <c r="C149" s="1" t="s">
        <v>533</v>
      </c>
      <c r="D149" s="195"/>
      <c r="E149" s="186"/>
      <c r="F149" s="2"/>
      <c r="G149" s="3">
        <f t="shared" si="15"/>
        <v>0</v>
      </c>
      <c r="H149" s="187"/>
      <c r="I149" s="7">
        <v>7.0000000000000007E-2</v>
      </c>
      <c r="J149" s="7">
        <v>1.6500000000000001E-2</v>
      </c>
      <c r="K149" s="7">
        <v>7.5999999999999998E-2</v>
      </c>
      <c r="L149" s="7">
        <v>0</v>
      </c>
      <c r="M149" s="11">
        <f t="shared" si="2"/>
        <v>0</v>
      </c>
      <c r="N149" s="11">
        <f t="shared" si="3"/>
        <v>0</v>
      </c>
      <c r="O149" s="11">
        <f t="shared" si="4"/>
        <v>0</v>
      </c>
      <c r="P149" s="11">
        <f t="shared" si="5"/>
        <v>0</v>
      </c>
    </row>
    <row r="150" spans="1:16" ht="15" hidden="1" customHeight="1">
      <c r="A150" s="44"/>
      <c r="B150" s="5">
        <f t="shared" si="16"/>
        <v>45566</v>
      </c>
      <c r="C150" s="1" t="s">
        <v>533</v>
      </c>
      <c r="D150" s="195"/>
      <c r="E150" s="186"/>
      <c r="F150" s="2"/>
      <c r="G150" s="3">
        <f t="shared" si="15"/>
        <v>0</v>
      </c>
      <c r="H150" s="187"/>
      <c r="I150" s="7">
        <v>7.0000000000000007E-2</v>
      </c>
      <c r="J150" s="7">
        <v>1.6500000000000001E-2</v>
      </c>
      <c r="K150" s="7">
        <v>7.5999999999999998E-2</v>
      </c>
      <c r="L150" s="7">
        <v>0</v>
      </c>
      <c r="M150" s="11">
        <f t="shared" si="2"/>
        <v>0</v>
      </c>
      <c r="N150" s="11">
        <f t="shared" si="3"/>
        <v>0</v>
      </c>
      <c r="O150" s="11">
        <f t="shared" si="4"/>
        <v>0</v>
      </c>
      <c r="P150" s="11">
        <f t="shared" si="5"/>
        <v>0</v>
      </c>
    </row>
    <row r="151" spans="1:16" ht="15" hidden="1" customHeight="1">
      <c r="A151" s="44"/>
      <c r="B151" s="5">
        <f t="shared" si="16"/>
        <v>45566</v>
      </c>
      <c r="C151" s="1" t="s">
        <v>533</v>
      </c>
      <c r="D151" s="195"/>
      <c r="E151" s="186"/>
      <c r="F151" s="2"/>
      <c r="G151" s="3">
        <f t="shared" si="15"/>
        <v>0</v>
      </c>
      <c r="H151" s="187"/>
      <c r="I151" s="7">
        <v>7.0000000000000007E-2</v>
      </c>
      <c r="J151" s="7">
        <v>1.6500000000000001E-2</v>
      </c>
      <c r="K151" s="7">
        <v>7.5999999999999998E-2</v>
      </c>
      <c r="L151" s="7">
        <v>0</v>
      </c>
      <c r="M151" s="11">
        <f t="shared" si="2"/>
        <v>0</v>
      </c>
      <c r="N151" s="11">
        <f t="shared" si="3"/>
        <v>0</v>
      </c>
      <c r="O151" s="11">
        <f t="shared" si="4"/>
        <v>0</v>
      </c>
      <c r="P151" s="11">
        <f t="shared" si="5"/>
        <v>0</v>
      </c>
    </row>
    <row r="152" spans="1:16" ht="15" hidden="1" customHeight="1">
      <c r="A152" s="44"/>
      <c r="B152" s="5">
        <f t="shared" si="16"/>
        <v>45566</v>
      </c>
      <c r="C152" s="1" t="s">
        <v>533</v>
      </c>
      <c r="D152" s="195"/>
      <c r="E152" s="186"/>
      <c r="F152" s="2"/>
      <c r="G152" s="3">
        <f t="shared" si="15"/>
        <v>0</v>
      </c>
      <c r="H152" s="187"/>
      <c r="I152" s="7">
        <v>7.0000000000000007E-2</v>
      </c>
      <c r="J152" s="7">
        <v>1.6500000000000001E-2</v>
      </c>
      <c r="K152" s="7">
        <v>7.5999999999999998E-2</v>
      </c>
      <c r="L152" s="7">
        <v>0</v>
      </c>
      <c r="M152" s="11">
        <f t="shared" si="2"/>
        <v>0</v>
      </c>
      <c r="N152" s="11">
        <f t="shared" si="3"/>
        <v>0</v>
      </c>
      <c r="O152" s="11">
        <f t="shared" si="4"/>
        <v>0</v>
      </c>
      <c r="P152" s="11">
        <f t="shared" si="5"/>
        <v>0</v>
      </c>
    </row>
    <row r="153" spans="1:16" ht="15" hidden="1" customHeight="1">
      <c r="A153" s="44"/>
      <c r="B153" s="5">
        <f t="shared" si="16"/>
        <v>45566</v>
      </c>
      <c r="C153" s="1" t="s">
        <v>533</v>
      </c>
      <c r="D153" s="195"/>
      <c r="E153" s="186"/>
      <c r="F153" s="2"/>
      <c r="G153" s="3">
        <f t="shared" si="15"/>
        <v>0</v>
      </c>
      <c r="H153" s="187"/>
      <c r="I153" s="7">
        <v>7.0000000000000007E-2</v>
      </c>
      <c r="J153" s="7">
        <v>1.6500000000000001E-2</v>
      </c>
      <c r="K153" s="7">
        <v>7.5999999999999998E-2</v>
      </c>
      <c r="L153" s="7">
        <v>0</v>
      </c>
      <c r="M153" s="11">
        <f t="shared" si="2"/>
        <v>0</v>
      </c>
      <c r="N153" s="11">
        <f t="shared" si="3"/>
        <v>0</v>
      </c>
      <c r="O153" s="11">
        <f t="shared" si="4"/>
        <v>0</v>
      </c>
      <c r="P153" s="11">
        <f t="shared" si="5"/>
        <v>0</v>
      </c>
    </row>
    <row r="154" spans="1:16" ht="15" hidden="1" customHeight="1">
      <c r="A154" s="44"/>
      <c r="B154" s="5">
        <f t="shared" si="16"/>
        <v>45566</v>
      </c>
      <c r="C154" s="1" t="s">
        <v>533</v>
      </c>
      <c r="D154" s="195"/>
      <c r="E154" s="186"/>
      <c r="F154" s="2"/>
      <c r="G154" s="3">
        <f t="shared" si="15"/>
        <v>0</v>
      </c>
      <c r="H154" s="187"/>
      <c r="I154" s="7">
        <v>7.0000000000000007E-2</v>
      </c>
      <c r="J154" s="7">
        <v>1.6500000000000001E-2</v>
      </c>
      <c r="K154" s="7">
        <v>7.5999999999999998E-2</v>
      </c>
      <c r="L154" s="7">
        <v>0</v>
      </c>
      <c r="M154" s="11">
        <f t="shared" si="2"/>
        <v>0</v>
      </c>
      <c r="N154" s="11">
        <f t="shared" si="3"/>
        <v>0</v>
      </c>
      <c r="O154" s="11">
        <f t="shared" si="4"/>
        <v>0</v>
      </c>
      <c r="P154" s="11">
        <f t="shared" si="5"/>
        <v>0</v>
      </c>
    </row>
    <row r="155" spans="1:16" ht="15" hidden="1" customHeight="1">
      <c r="A155" s="44"/>
      <c r="B155" s="5">
        <f t="shared" si="16"/>
        <v>45566</v>
      </c>
      <c r="C155" s="1" t="s">
        <v>533</v>
      </c>
      <c r="D155" s="195"/>
      <c r="E155" s="186"/>
      <c r="F155" s="2"/>
      <c r="G155" s="3">
        <f t="shared" si="15"/>
        <v>0</v>
      </c>
      <c r="H155" s="187"/>
      <c r="I155" s="7">
        <v>7.0000000000000007E-2</v>
      </c>
      <c r="J155" s="7">
        <v>1.6500000000000001E-2</v>
      </c>
      <c r="K155" s="7">
        <v>7.5999999999999998E-2</v>
      </c>
      <c r="L155" s="7">
        <v>0</v>
      </c>
      <c r="M155" s="11">
        <f t="shared" si="2"/>
        <v>0</v>
      </c>
      <c r="N155" s="11">
        <f t="shared" si="3"/>
        <v>0</v>
      </c>
      <c r="O155" s="11">
        <f t="shared" si="4"/>
        <v>0</v>
      </c>
      <c r="P155" s="11">
        <f t="shared" si="5"/>
        <v>0</v>
      </c>
    </row>
    <row r="156" spans="1:16" ht="15" hidden="1" customHeight="1">
      <c r="A156" s="44"/>
      <c r="B156" s="5">
        <f t="shared" si="16"/>
        <v>45566</v>
      </c>
      <c r="C156" s="1" t="s">
        <v>533</v>
      </c>
      <c r="D156" s="195"/>
      <c r="E156" s="186"/>
      <c r="F156" s="2"/>
      <c r="G156" s="3">
        <f t="shared" si="15"/>
        <v>0</v>
      </c>
      <c r="H156" s="187"/>
      <c r="I156" s="7">
        <v>7.0000000000000007E-2</v>
      </c>
      <c r="J156" s="7">
        <v>1.6500000000000001E-2</v>
      </c>
      <c r="K156" s="7">
        <v>7.5999999999999998E-2</v>
      </c>
      <c r="L156" s="7">
        <v>0</v>
      </c>
      <c r="M156" s="11">
        <f t="shared" si="2"/>
        <v>0</v>
      </c>
      <c r="N156" s="11">
        <f t="shared" si="3"/>
        <v>0</v>
      </c>
      <c r="O156" s="11">
        <f t="shared" si="4"/>
        <v>0</v>
      </c>
      <c r="P156" s="11">
        <f t="shared" si="5"/>
        <v>0</v>
      </c>
    </row>
    <row r="157" spans="1:16" ht="15" hidden="1" customHeight="1">
      <c r="A157" s="44"/>
      <c r="B157" s="5">
        <f t="shared" si="16"/>
        <v>45566</v>
      </c>
      <c r="C157" s="1" t="s">
        <v>533</v>
      </c>
      <c r="D157" s="195"/>
      <c r="E157" s="186"/>
      <c r="F157" s="2"/>
      <c r="G157" s="3">
        <f t="shared" si="15"/>
        <v>0</v>
      </c>
      <c r="H157" s="187"/>
      <c r="I157" s="7">
        <v>7.0000000000000007E-2</v>
      </c>
      <c r="J157" s="7">
        <v>1.6500000000000001E-2</v>
      </c>
      <c r="K157" s="7">
        <v>7.5999999999999998E-2</v>
      </c>
      <c r="L157" s="7">
        <v>0</v>
      </c>
      <c r="M157" s="11">
        <f t="shared" si="2"/>
        <v>0</v>
      </c>
      <c r="N157" s="11">
        <f t="shared" si="3"/>
        <v>0</v>
      </c>
      <c r="O157" s="11">
        <f t="shared" si="4"/>
        <v>0</v>
      </c>
      <c r="P157" s="11">
        <f t="shared" si="5"/>
        <v>0</v>
      </c>
    </row>
    <row r="158" spans="1:16" ht="15" hidden="1" customHeight="1">
      <c r="A158" s="44"/>
      <c r="B158" s="5">
        <f t="shared" si="16"/>
        <v>45566</v>
      </c>
      <c r="C158" s="1" t="s">
        <v>533</v>
      </c>
      <c r="D158" s="195"/>
      <c r="E158" s="186"/>
      <c r="F158" s="2"/>
      <c r="G158" s="3">
        <f t="shared" si="15"/>
        <v>0</v>
      </c>
      <c r="H158" s="187"/>
      <c r="I158" s="7">
        <v>7.0000000000000007E-2</v>
      </c>
      <c r="J158" s="7">
        <v>1.6500000000000001E-2</v>
      </c>
      <c r="K158" s="7">
        <v>7.5999999999999998E-2</v>
      </c>
      <c r="L158" s="7">
        <v>0</v>
      </c>
      <c r="M158" s="11">
        <f t="shared" si="2"/>
        <v>0</v>
      </c>
      <c r="N158" s="11">
        <f t="shared" si="3"/>
        <v>0</v>
      </c>
      <c r="O158" s="11">
        <f t="shared" si="4"/>
        <v>0</v>
      </c>
      <c r="P158" s="11">
        <f t="shared" si="5"/>
        <v>0</v>
      </c>
    </row>
    <row r="159" spans="1:16" ht="15" hidden="1" customHeight="1">
      <c r="A159" s="44"/>
      <c r="B159" s="5">
        <f t="shared" si="16"/>
        <v>45566</v>
      </c>
      <c r="C159" s="1" t="s">
        <v>533</v>
      </c>
      <c r="D159" s="195"/>
      <c r="E159" s="186"/>
      <c r="F159" s="2"/>
      <c r="G159" s="3">
        <f t="shared" si="15"/>
        <v>0</v>
      </c>
      <c r="H159" s="187"/>
      <c r="I159" s="7">
        <v>7.0000000000000007E-2</v>
      </c>
      <c r="J159" s="7">
        <v>1.6500000000000001E-2</v>
      </c>
      <c r="K159" s="7">
        <v>7.5999999999999998E-2</v>
      </c>
      <c r="L159" s="7">
        <v>0</v>
      </c>
      <c r="M159" s="11">
        <f t="shared" si="2"/>
        <v>0</v>
      </c>
      <c r="N159" s="11">
        <f t="shared" si="3"/>
        <v>0</v>
      </c>
      <c r="O159" s="11">
        <f t="shared" si="4"/>
        <v>0</v>
      </c>
      <c r="P159" s="11">
        <f t="shared" si="5"/>
        <v>0</v>
      </c>
    </row>
    <row r="160" spans="1:16" ht="15" hidden="1" customHeight="1">
      <c r="A160" s="44"/>
      <c r="B160" s="5">
        <f t="shared" si="16"/>
        <v>45566</v>
      </c>
      <c r="C160" s="1" t="s">
        <v>533</v>
      </c>
      <c r="D160" s="195"/>
      <c r="E160" s="186"/>
      <c r="F160" s="2"/>
      <c r="G160" s="3">
        <f t="shared" si="15"/>
        <v>0</v>
      </c>
      <c r="H160" s="187"/>
      <c r="I160" s="7">
        <v>7.0000000000000007E-2</v>
      </c>
      <c r="J160" s="7">
        <v>1.6500000000000001E-2</v>
      </c>
      <c r="K160" s="7">
        <v>7.5999999999999998E-2</v>
      </c>
      <c r="L160" s="7">
        <v>0</v>
      </c>
      <c r="M160" s="11">
        <f t="shared" si="2"/>
        <v>0</v>
      </c>
      <c r="N160" s="11">
        <f t="shared" si="3"/>
        <v>0</v>
      </c>
      <c r="O160" s="11">
        <f t="shared" si="4"/>
        <v>0</v>
      </c>
      <c r="P160" s="11">
        <f t="shared" si="5"/>
        <v>0</v>
      </c>
    </row>
    <row r="161" spans="1:16" ht="15" hidden="1" customHeight="1">
      <c r="A161" s="44"/>
      <c r="B161" s="5">
        <f t="shared" si="16"/>
        <v>45566</v>
      </c>
      <c r="C161" s="1" t="s">
        <v>533</v>
      </c>
      <c r="D161" s="195"/>
      <c r="E161" s="186"/>
      <c r="F161" s="2"/>
      <c r="G161" s="3">
        <f t="shared" si="15"/>
        <v>0</v>
      </c>
      <c r="H161" s="187"/>
      <c r="I161" s="7">
        <v>7.0000000000000007E-2</v>
      </c>
      <c r="J161" s="7">
        <v>1.6500000000000001E-2</v>
      </c>
      <c r="K161" s="7">
        <v>7.5999999999999998E-2</v>
      </c>
      <c r="L161" s="7">
        <v>0</v>
      </c>
      <c r="M161" s="11">
        <f t="shared" si="2"/>
        <v>0</v>
      </c>
      <c r="N161" s="11">
        <f t="shared" si="3"/>
        <v>0</v>
      </c>
      <c r="O161" s="11">
        <f t="shared" si="4"/>
        <v>0</v>
      </c>
      <c r="P161" s="11">
        <f t="shared" si="5"/>
        <v>0</v>
      </c>
    </row>
    <row r="162" spans="1:16" ht="15" hidden="1" customHeight="1">
      <c r="A162" s="44"/>
      <c r="B162" s="5">
        <f t="shared" si="16"/>
        <v>45566</v>
      </c>
      <c r="C162" s="1" t="s">
        <v>533</v>
      </c>
      <c r="D162" s="195"/>
      <c r="E162" s="186"/>
      <c r="F162" s="2"/>
      <c r="G162" s="3">
        <f t="shared" si="15"/>
        <v>0</v>
      </c>
      <c r="H162" s="187"/>
      <c r="I162" s="7">
        <v>7.0000000000000007E-2</v>
      </c>
      <c r="J162" s="7">
        <v>1.6500000000000001E-2</v>
      </c>
      <c r="K162" s="7">
        <v>7.5999999999999998E-2</v>
      </c>
      <c r="L162" s="7">
        <v>0</v>
      </c>
      <c r="M162" s="11">
        <f t="shared" si="2"/>
        <v>0</v>
      </c>
      <c r="N162" s="11">
        <f t="shared" si="3"/>
        <v>0</v>
      </c>
      <c r="O162" s="11">
        <f t="shared" si="4"/>
        <v>0</v>
      </c>
      <c r="P162" s="11">
        <f t="shared" si="5"/>
        <v>0</v>
      </c>
    </row>
    <row r="163" spans="1:16" ht="15" hidden="1" customHeight="1">
      <c r="A163" s="44"/>
      <c r="B163" s="5">
        <f t="shared" si="16"/>
        <v>45566</v>
      </c>
      <c r="C163" s="1" t="s">
        <v>533</v>
      </c>
      <c r="D163" s="195"/>
      <c r="E163" s="186"/>
      <c r="F163" s="2"/>
      <c r="G163" s="3">
        <f t="shared" si="15"/>
        <v>0</v>
      </c>
      <c r="H163" s="187"/>
      <c r="I163" s="7">
        <v>0.12</v>
      </c>
      <c r="J163" s="7">
        <v>1.6500000000000001E-2</v>
      </c>
      <c r="K163" s="7">
        <v>7.5999999999999998E-2</v>
      </c>
      <c r="L163" s="7">
        <v>0</v>
      </c>
      <c r="M163" s="11">
        <f t="shared" si="2"/>
        <v>0</v>
      </c>
      <c r="N163" s="11">
        <f t="shared" si="3"/>
        <v>0</v>
      </c>
      <c r="O163" s="11">
        <f t="shared" si="4"/>
        <v>0</v>
      </c>
      <c r="P163" s="11">
        <f t="shared" si="5"/>
        <v>0</v>
      </c>
    </row>
    <row r="164" spans="1:16" ht="15" hidden="1" customHeight="1">
      <c r="A164" s="44"/>
      <c r="B164" s="5">
        <f t="shared" si="16"/>
        <v>45566</v>
      </c>
      <c r="C164" s="1" t="s">
        <v>533</v>
      </c>
      <c r="D164" s="195"/>
      <c r="E164" s="186"/>
      <c r="F164" s="2"/>
      <c r="G164" s="3">
        <f t="shared" si="15"/>
        <v>0</v>
      </c>
      <c r="H164" s="187"/>
      <c r="I164" s="7">
        <v>0.12</v>
      </c>
      <c r="J164" s="7">
        <v>1.6500000000000001E-2</v>
      </c>
      <c r="K164" s="7">
        <v>7.5999999999999998E-2</v>
      </c>
      <c r="L164" s="7">
        <v>0</v>
      </c>
      <c r="M164" s="11">
        <f t="shared" si="2"/>
        <v>0</v>
      </c>
      <c r="N164" s="11">
        <f t="shared" si="3"/>
        <v>0</v>
      </c>
      <c r="O164" s="11">
        <f t="shared" si="4"/>
        <v>0</v>
      </c>
      <c r="P164" s="11">
        <f t="shared" si="5"/>
        <v>0</v>
      </c>
    </row>
    <row r="165" spans="1:16" ht="15" hidden="1" customHeight="1">
      <c r="A165" s="44"/>
      <c r="B165" s="5">
        <f t="shared" si="16"/>
        <v>45566</v>
      </c>
      <c r="C165" s="1" t="s">
        <v>533</v>
      </c>
      <c r="D165" s="195"/>
      <c r="E165" s="186"/>
      <c r="F165" s="2"/>
      <c r="G165" s="3">
        <f t="shared" si="15"/>
        <v>0</v>
      </c>
      <c r="H165" s="187"/>
      <c r="I165" s="7">
        <v>0.12</v>
      </c>
      <c r="J165" s="7">
        <v>1.6500000000000001E-2</v>
      </c>
      <c r="K165" s="7">
        <v>7.5999999999999998E-2</v>
      </c>
      <c r="L165" s="7">
        <v>0</v>
      </c>
      <c r="M165" s="11">
        <f t="shared" si="2"/>
        <v>0</v>
      </c>
      <c r="N165" s="11">
        <f t="shared" si="3"/>
        <v>0</v>
      </c>
      <c r="O165" s="11">
        <f t="shared" si="4"/>
        <v>0</v>
      </c>
      <c r="P165" s="11">
        <f t="shared" si="5"/>
        <v>0</v>
      </c>
    </row>
    <row r="166" spans="1:16" ht="15" hidden="1" customHeight="1">
      <c r="A166" s="44"/>
      <c r="B166" s="5">
        <f t="shared" si="16"/>
        <v>45566</v>
      </c>
      <c r="C166" s="1" t="s">
        <v>533</v>
      </c>
      <c r="D166" s="195"/>
      <c r="E166" s="186"/>
      <c r="F166" s="2"/>
      <c r="G166" s="3">
        <f t="shared" si="15"/>
        <v>0</v>
      </c>
      <c r="H166" s="187"/>
      <c r="I166" s="7">
        <v>0.12</v>
      </c>
      <c r="J166" s="7">
        <v>1.6500000000000001E-2</v>
      </c>
      <c r="K166" s="7">
        <v>7.5999999999999998E-2</v>
      </c>
      <c r="L166" s="7">
        <v>0</v>
      </c>
      <c r="M166" s="11">
        <f t="shared" si="2"/>
        <v>0</v>
      </c>
      <c r="N166" s="11">
        <f t="shared" si="3"/>
        <v>0</v>
      </c>
      <c r="O166" s="11">
        <f t="shared" si="4"/>
        <v>0</v>
      </c>
      <c r="P166" s="11">
        <f t="shared" si="5"/>
        <v>0</v>
      </c>
    </row>
    <row r="167" spans="1:16" ht="15" hidden="1" customHeight="1">
      <c r="A167" s="44"/>
      <c r="B167" s="5">
        <f t="shared" si="16"/>
        <v>45566</v>
      </c>
      <c r="C167" s="1" t="s">
        <v>533</v>
      </c>
      <c r="D167" s="195"/>
      <c r="E167" s="186"/>
      <c r="F167" s="2"/>
      <c r="G167" s="3">
        <f t="shared" si="15"/>
        <v>0</v>
      </c>
      <c r="H167" s="187"/>
      <c r="I167" s="7">
        <v>0.12</v>
      </c>
      <c r="J167" s="7">
        <v>1.6500000000000001E-2</v>
      </c>
      <c r="K167" s="7">
        <v>7.5999999999999998E-2</v>
      </c>
      <c r="L167" s="7">
        <v>0</v>
      </c>
      <c r="M167" s="11">
        <f t="shared" si="2"/>
        <v>0</v>
      </c>
      <c r="N167" s="11">
        <f t="shared" si="3"/>
        <v>0</v>
      </c>
      <c r="O167" s="11">
        <f t="shared" si="4"/>
        <v>0</v>
      </c>
      <c r="P167" s="11">
        <f t="shared" si="5"/>
        <v>0</v>
      </c>
    </row>
    <row r="168" spans="1:16" ht="15" hidden="1" customHeight="1">
      <c r="A168" s="44"/>
      <c r="B168" s="5">
        <f t="shared" si="16"/>
        <v>45566</v>
      </c>
      <c r="C168" s="1" t="s">
        <v>533</v>
      </c>
      <c r="D168" s="195"/>
      <c r="E168" s="186"/>
      <c r="F168" s="2"/>
      <c r="G168" s="3">
        <f t="shared" si="15"/>
        <v>0</v>
      </c>
      <c r="H168" s="187"/>
      <c r="I168" s="7">
        <v>0.12</v>
      </c>
      <c r="J168" s="7">
        <v>1.6500000000000001E-2</v>
      </c>
      <c r="K168" s="7">
        <v>7.5999999999999998E-2</v>
      </c>
      <c r="L168" s="7">
        <v>0</v>
      </c>
      <c r="M168" s="11">
        <f t="shared" si="2"/>
        <v>0</v>
      </c>
      <c r="N168" s="11">
        <f t="shared" si="3"/>
        <v>0</v>
      </c>
      <c r="O168" s="11">
        <f t="shared" si="4"/>
        <v>0</v>
      </c>
      <c r="P168" s="11">
        <f t="shared" si="5"/>
        <v>0</v>
      </c>
    </row>
    <row r="169" spans="1:16" ht="15" hidden="1" customHeight="1">
      <c r="A169" s="44"/>
      <c r="B169" s="5">
        <f t="shared" si="16"/>
        <v>45566</v>
      </c>
      <c r="C169" s="1" t="s">
        <v>533</v>
      </c>
      <c r="D169" s="195"/>
      <c r="E169" s="186"/>
      <c r="F169" s="2"/>
      <c r="G169" s="3">
        <f t="shared" si="15"/>
        <v>0</v>
      </c>
      <c r="H169" s="187"/>
      <c r="I169" s="7">
        <v>0.12</v>
      </c>
      <c r="J169" s="7">
        <v>1.6500000000000001E-2</v>
      </c>
      <c r="K169" s="7">
        <v>7.5999999999999998E-2</v>
      </c>
      <c r="L169" s="7">
        <v>0</v>
      </c>
      <c r="M169" s="11">
        <f t="shared" si="2"/>
        <v>0</v>
      </c>
      <c r="N169" s="11">
        <f t="shared" si="3"/>
        <v>0</v>
      </c>
      <c r="O169" s="11">
        <f t="shared" si="4"/>
        <v>0</v>
      </c>
      <c r="P169" s="11">
        <f t="shared" si="5"/>
        <v>0</v>
      </c>
    </row>
    <row r="170" spans="1:16" ht="15" hidden="1" customHeight="1">
      <c r="A170" s="44"/>
      <c r="B170" s="5">
        <f t="shared" si="16"/>
        <v>45566</v>
      </c>
      <c r="C170" s="1" t="s">
        <v>533</v>
      </c>
      <c r="D170" s="195"/>
      <c r="E170" s="186"/>
      <c r="F170" s="2"/>
      <c r="G170" s="3">
        <f t="shared" si="15"/>
        <v>0</v>
      </c>
      <c r="H170" s="187"/>
      <c r="I170" s="7">
        <v>0.12</v>
      </c>
      <c r="J170" s="7">
        <v>1.6500000000000001E-2</v>
      </c>
      <c r="K170" s="7">
        <v>7.5999999999999998E-2</v>
      </c>
      <c r="L170" s="7">
        <v>0</v>
      </c>
      <c r="M170" s="11">
        <f t="shared" si="2"/>
        <v>0</v>
      </c>
      <c r="N170" s="11">
        <f t="shared" si="3"/>
        <v>0</v>
      </c>
      <c r="O170" s="11">
        <f t="shared" si="4"/>
        <v>0</v>
      </c>
      <c r="P170" s="11">
        <f t="shared" si="5"/>
        <v>0</v>
      </c>
    </row>
    <row r="171" spans="1:16" ht="15" hidden="1" customHeight="1">
      <c r="A171" s="44"/>
      <c r="B171" s="5">
        <f t="shared" si="16"/>
        <v>45566</v>
      </c>
      <c r="C171" s="1" t="s">
        <v>533</v>
      </c>
      <c r="D171" s="195"/>
      <c r="E171" s="186"/>
      <c r="F171" s="2"/>
      <c r="G171" s="3">
        <f>F171-SUM(M171:P171)</f>
        <v>0</v>
      </c>
      <c r="H171" s="187"/>
      <c r="I171" s="7">
        <v>0.12</v>
      </c>
      <c r="J171" s="7">
        <v>1.6500000000000001E-2</v>
      </c>
      <c r="K171" s="7">
        <v>7.5999999999999998E-2</v>
      </c>
      <c r="L171" s="7">
        <v>0</v>
      </c>
      <c r="M171" s="11">
        <f>+I171*F171</f>
        <v>0</v>
      </c>
      <c r="N171" s="11">
        <f>J171*(F171-M171)</f>
        <v>0</v>
      </c>
      <c r="O171" s="11">
        <f>K171*(F171-M171)</f>
        <v>0</v>
      </c>
      <c r="P171" s="11">
        <f>L171*(F171)</f>
        <v>0</v>
      </c>
    </row>
    <row r="172" spans="1:16" ht="15" hidden="1" customHeight="1">
      <c r="A172" s="44"/>
      <c r="B172" s="5">
        <f t="shared" si="16"/>
        <v>45566</v>
      </c>
      <c r="C172" s="1" t="s">
        <v>533</v>
      </c>
      <c r="D172" s="195"/>
      <c r="E172" s="186"/>
      <c r="F172" s="2"/>
      <c r="G172" s="3">
        <f>F172-SUM(M172:P172)</f>
        <v>0</v>
      </c>
      <c r="H172" s="187"/>
      <c r="I172" s="7">
        <v>0.12</v>
      </c>
      <c r="J172" s="7">
        <v>1.6500000000000001E-2</v>
      </c>
      <c r="K172" s="7">
        <v>7.5999999999999998E-2</v>
      </c>
      <c r="L172" s="7">
        <v>0</v>
      </c>
      <c r="M172" s="11">
        <f>+I172*F172</f>
        <v>0</v>
      </c>
      <c r="N172" s="11">
        <f>J172*(F172-M172)</f>
        <v>0</v>
      </c>
      <c r="O172" s="11">
        <f>K172*(F172-M172)</f>
        <v>0</v>
      </c>
      <c r="P172" s="11">
        <f>L172*(F172)</f>
        <v>0</v>
      </c>
    </row>
    <row r="173" spans="1:16" ht="15" hidden="1" customHeight="1">
      <c r="A173" s="44"/>
      <c r="B173" s="5">
        <f t="shared" si="16"/>
        <v>45566</v>
      </c>
      <c r="C173" s="1" t="s">
        <v>533</v>
      </c>
      <c r="D173" s="195"/>
      <c r="E173" s="186"/>
      <c r="F173" s="2"/>
      <c r="G173" s="3">
        <f t="shared" si="15"/>
        <v>0</v>
      </c>
      <c r="H173" s="187"/>
      <c r="I173" s="7">
        <v>0.12</v>
      </c>
      <c r="J173" s="7">
        <v>1.6500000000000001E-2</v>
      </c>
      <c r="K173" s="7">
        <v>7.5999999999999998E-2</v>
      </c>
      <c r="L173" s="7">
        <v>0</v>
      </c>
      <c r="M173" s="11">
        <f t="shared" si="2"/>
        <v>0</v>
      </c>
      <c r="N173" s="11">
        <f t="shared" si="3"/>
        <v>0</v>
      </c>
      <c r="O173" s="11">
        <f t="shared" si="4"/>
        <v>0</v>
      </c>
      <c r="P173" s="11">
        <f t="shared" si="5"/>
        <v>0</v>
      </c>
    </row>
    <row r="174" spans="1:16" ht="15" hidden="1" customHeight="1">
      <c r="A174" s="44"/>
      <c r="B174" s="5">
        <f t="shared" si="16"/>
        <v>45566</v>
      </c>
      <c r="C174" s="1" t="s">
        <v>533</v>
      </c>
      <c r="D174" s="195"/>
      <c r="E174" s="186"/>
      <c r="F174" s="2"/>
      <c r="G174" s="3">
        <f t="shared" si="15"/>
        <v>0</v>
      </c>
      <c r="H174" s="187"/>
      <c r="I174" s="7">
        <v>0.12</v>
      </c>
      <c r="J174" s="7">
        <v>1.6500000000000001E-2</v>
      </c>
      <c r="K174" s="7">
        <v>7.5999999999999998E-2</v>
      </c>
      <c r="L174" s="7">
        <v>0</v>
      </c>
      <c r="M174" s="11">
        <f t="shared" si="2"/>
        <v>0</v>
      </c>
      <c r="N174" s="11">
        <f t="shared" si="3"/>
        <v>0</v>
      </c>
      <c r="O174" s="11">
        <f t="shared" si="4"/>
        <v>0</v>
      </c>
      <c r="P174" s="11">
        <f t="shared" si="5"/>
        <v>0</v>
      </c>
    </row>
    <row r="175" spans="1:16" ht="15" hidden="1" customHeight="1">
      <c r="A175" s="44"/>
      <c r="B175" s="5">
        <f t="shared" si="16"/>
        <v>45566</v>
      </c>
      <c r="C175" s="1" t="s">
        <v>533</v>
      </c>
      <c r="D175" s="195"/>
      <c r="E175" s="186"/>
      <c r="F175" s="2"/>
      <c r="G175" s="3">
        <f t="shared" si="15"/>
        <v>0</v>
      </c>
      <c r="H175" s="187"/>
      <c r="I175" s="7">
        <v>0.12</v>
      </c>
      <c r="J175" s="7">
        <v>1.6500000000000001E-2</v>
      </c>
      <c r="K175" s="7">
        <v>7.5999999999999998E-2</v>
      </c>
      <c r="L175" s="7">
        <v>0</v>
      </c>
      <c r="M175" s="11">
        <f t="shared" si="2"/>
        <v>0</v>
      </c>
      <c r="N175" s="11">
        <f t="shared" si="3"/>
        <v>0</v>
      </c>
      <c r="O175" s="11">
        <f t="shared" si="4"/>
        <v>0</v>
      </c>
      <c r="P175" s="11">
        <f t="shared" si="5"/>
        <v>0</v>
      </c>
    </row>
    <row r="176" spans="1:16" ht="15" hidden="1" customHeight="1">
      <c r="A176" s="44"/>
      <c r="B176" s="5">
        <f t="shared" si="16"/>
        <v>45566</v>
      </c>
      <c r="C176" s="1" t="s">
        <v>533</v>
      </c>
      <c r="D176" s="195"/>
      <c r="E176" s="186"/>
      <c r="F176" s="2"/>
      <c r="G176" s="3">
        <f t="shared" si="15"/>
        <v>0</v>
      </c>
      <c r="H176" s="187"/>
      <c r="I176" s="7">
        <v>0.12</v>
      </c>
      <c r="J176" s="7">
        <v>1.6500000000000001E-2</v>
      </c>
      <c r="K176" s="7">
        <v>7.5999999999999998E-2</v>
      </c>
      <c r="L176" s="7">
        <v>0</v>
      </c>
      <c r="M176" s="11">
        <f t="shared" si="2"/>
        <v>0</v>
      </c>
      <c r="N176" s="11">
        <f t="shared" si="3"/>
        <v>0</v>
      </c>
      <c r="O176" s="11">
        <f t="shared" si="4"/>
        <v>0</v>
      </c>
      <c r="P176" s="11">
        <f t="shared" si="5"/>
        <v>0</v>
      </c>
    </row>
    <row r="177" spans="1:16" ht="15" hidden="1" customHeight="1">
      <c r="A177" s="44"/>
      <c r="B177" s="5">
        <f t="shared" si="16"/>
        <v>45566</v>
      </c>
      <c r="C177" s="1" t="s">
        <v>533</v>
      </c>
      <c r="D177" s="195"/>
      <c r="E177" s="186"/>
      <c r="F177" s="2"/>
      <c r="G177" s="3">
        <f t="shared" si="15"/>
        <v>0</v>
      </c>
      <c r="H177" s="187"/>
      <c r="I177" s="7">
        <v>0.12</v>
      </c>
      <c r="J177" s="7">
        <v>1.6500000000000001E-2</v>
      </c>
      <c r="K177" s="7">
        <v>7.5999999999999998E-2</v>
      </c>
      <c r="L177" s="7">
        <v>0</v>
      </c>
      <c r="M177" s="11">
        <f t="shared" si="2"/>
        <v>0</v>
      </c>
      <c r="N177" s="11">
        <f t="shared" si="3"/>
        <v>0</v>
      </c>
      <c r="O177" s="11">
        <f t="shared" si="4"/>
        <v>0</v>
      </c>
      <c r="P177" s="11">
        <f t="shared" si="5"/>
        <v>0</v>
      </c>
    </row>
    <row r="178" spans="1:16" ht="15" hidden="1" customHeight="1">
      <c r="A178" s="44"/>
      <c r="B178" s="5">
        <f t="shared" si="16"/>
        <v>45566</v>
      </c>
      <c r="C178" s="1" t="s">
        <v>533</v>
      </c>
      <c r="D178" s="195"/>
      <c r="E178" s="186"/>
      <c r="F178" s="2"/>
      <c r="G178" s="3">
        <f t="shared" si="15"/>
        <v>0</v>
      </c>
      <c r="H178" s="187"/>
      <c r="I178" s="7">
        <v>0.12</v>
      </c>
      <c r="J178" s="7">
        <v>1.6500000000000001E-2</v>
      </c>
      <c r="K178" s="7">
        <v>7.5999999999999998E-2</v>
      </c>
      <c r="L178" s="7">
        <v>0</v>
      </c>
      <c r="M178" s="11">
        <f t="shared" si="2"/>
        <v>0</v>
      </c>
      <c r="N178" s="11">
        <f t="shared" si="3"/>
        <v>0</v>
      </c>
      <c r="O178" s="11">
        <f t="shared" si="4"/>
        <v>0</v>
      </c>
      <c r="P178" s="11">
        <f t="shared" si="5"/>
        <v>0</v>
      </c>
    </row>
    <row r="179" spans="1:16" ht="15" hidden="1" customHeight="1">
      <c r="A179" s="44"/>
      <c r="B179" s="5">
        <f t="shared" ref="B179:B242" si="17">B178</f>
        <v>45566</v>
      </c>
      <c r="C179" s="1" t="s">
        <v>533</v>
      </c>
      <c r="D179" s="195"/>
      <c r="E179" s="186"/>
      <c r="F179" s="2"/>
      <c r="G179" s="3">
        <f t="shared" si="15"/>
        <v>0</v>
      </c>
      <c r="H179" s="187"/>
      <c r="I179" s="7">
        <v>0.12</v>
      </c>
      <c r="J179" s="7">
        <v>1.6500000000000001E-2</v>
      </c>
      <c r="K179" s="7">
        <v>7.5999999999999998E-2</v>
      </c>
      <c r="L179" s="7">
        <v>0</v>
      </c>
      <c r="M179" s="11">
        <f t="shared" si="2"/>
        <v>0</v>
      </c>
      <c r="N179" s="11">
        <f t="shared" si="3"/>
        <v>0</v>
      </c>
      <c r="O179" s="11">
        <f t="shared" si="4"/>
        <v>0</v>
      </c>
      <c r="P179" s="11">
        <f t="shared" si="5"/>
        <v>0</v>
      </c>
    </row>
    <row r="180" spans="1:16" ht="15" hidden="1" customHeight="1">
      <c r="A180" s="44"/>
      <c r="B180" s="5">
        <f t="shared" si="17"/>
        <v>45566</v>
      </c>
      <c r="C180" s="1" t="s">
        <v>533</v>
      </c>
      <c r="D180" s="195"/>
      <c r="E180" s="186"/>
      <c r="F180" s="2"/>
      <c r="G180" s="3">
        <f t="shared" si="15"/>
        <v>0</v>
      </c>
      <c r="H180" s="187"/>
      <c r="I180" s="7">
        <v>0.12</v>
      </c>
      <c r="J180" s="7">
        <v>1.6500000000000001E-2</v>
      </c>
      <c r="K180" s="7">
        <v>7.5999999999999998E-2</v>
      </c>
      <c r="L180" s="7">
        <v>0</v>
      </c>
      <c r="M180" s="11">
        <f t="shared" si="2"/>
        <v>0</v>
      </c>
      <c r="N180" s="11">
        <f t="shared" si="3"/>
        <v>0</v>
      </c>
      <c r="O180" s="11">
        <f t="shared" si="4"/>
        <v>0</v>
      </c>
      <c r="P180" s="11">
        <f t="shared" si="5"/>
        <v>0</v>
      </c>
    </row>
    <row r="181" spans="1:16" ht="15" hidden="1" customHeight="1">
      <c r="A181" s="44"/>
      <c r="B181" s="5">
        <f t="shared" si="17"/>
        <v>45566</v>
      </c>
      <c r="C181" s="1" t="s">
        <v>533</v>
      </c>
      <c r="D181" s="195"/>
      <c r="E181" s="186"/>
      <c r="F181" s="2"/>
      <c r="G181" s="3">
        <f t="shared" si="15"/>
        <v>0</v>
      </c>
      <c r="H181" s="187"/>
      <c r="I181" s="7">
        <v>7.0000000000000007E-2</v>
      </c>
      <c r="J181" s="7">
        <v>1.6500000000000001E-2</v>
      </c>
      <c r="K181" s="7">
        <v>7.5999999999999998E-2</v>
      </c>
      <c r="L181" s="7">
        <v>0</v>
      </c>
      <c r="M181" s="11">
        <f t="shared" si="2"/>
        <v>0</v>
      </c>
      <c r="N181" s="11">
        <f t="shared" si="3"/>
        <v>0</v>
      </c>
      <c r="O181" s="11">
        <f t="shared" si="4"/>
        <v>0</v>
      </c>
      <c r="P181" s="11">
        <f t="shared" si="5"/>
        <v>0</v>
      </c>
    </row>
    <row r="182" spans="1:16" ht="15" hidden="1" customHeight="1">
      <c r="A182" s="44"/>
      <c r="B182" s="5">
        <f t="shared" si="17"/>
        <v>45566</v>
      </c>
      <c r="C182" s="1" t="s">
        <v>533</v>
      </c>
      <c r="D182" s="195"/>
      <c r="E182" s="186"/>
      <c r="F182" s="2"/>
      <c r="G182" s="3">
        <f t="shared" si="15"/>
        <v>0</v>
      </c>
      <c r="H182" s="187"/>
      <c r="I182" s="7">
        <v>7.0000000000000007E-2</v>
      </c>
      <c r="J182" s="7">
        <v>1.6500000000000001E-2</v>
      </c>
      <c r="K182" s="7">
        <v>7.5999999999999998E-2</v>
      </c>
      <c r="L182" s="7">
        <v>0</v>
      </c>
      <c r="M182" s="11">
        <f t="shared" si="2"/>
        <v>0</v>
      </c>
      <c r="N182" s="11">
        <f t="shared" si="3"/>
        <v>0</v>
      </c>
      <c r="O182" s="11">
        <f t="shared" si="4"/>
        <v>0</v>
      </c>
      <c r="P182" s="11">
        <f t="shared" si="5"/>
        <v>0</v>
      </c>
    </row>
    <row r="183" spans="1:16" ht="15" hidden="1" customHeight="1">
      <c r="A183" s="44"/>
      <c r="B183" s="5">
        <f t="shared" si="17"/>
        <v>45566</v>
      </c>
      <c r="C183" s="1" t="s">
        <v>533</v>
      </c>
      <c r="D183" s="195"/>
      <c r="E183" s="186"/>
      <c r="F183" s="2"/>
      <c r="G183" s="3">
        <f t="shared" si="15"/>
        <v>0</v>
      </c>
      <c r="H183" s="187"/>
      <c r="I183" s="7">
        <v>7.0000000000000007E-2</v>
      </c>
      <c r="J183" s="7">
        <v>1.6500000000000001E-2</v>
      </c>
      <c r="K183" s="7">
        <v>7.5999999999999998E-2</v>
      </c>
      <c r="L183" s="7">
        <v>0</v>
      </c>
      <c r="M183" s="11">
        <f t="shared" si="2"/>
        <v>0</v>
      </c>
      <c r="N183" s="11">
        <f t="shared" si="3"/>
        <v>0</v>
      </c>
      <c r="O183" s="11">
        <f t="shared" si="4"/>
        <v>0</v>
      </c>
      <c r="P183" s="11">
        <f t="shared" si="5"/>
        <v>0</v>
      </c>
    </row>
    <row r="184" spans="1:16" ht="15" hidden="1" customHeight="1">
      <c r="A184" s="44"/>
      <c r="B184" s="5">
        <f t="shared" si="17"/>
        <v>45566</v>
      </c>
      <c r="C184" s="1" t="s">
        <v>533</v>
      </c>
      <c r="D184" s="195"/>
      <c r="E184" s="186"/>
      <c r="F184" s="2"/>
      <c r="G184" s="3">
        <f t="shared" si="15"/>
        <v>0</v>
      </c>
      <c r="H184" s="187"/>
      <c r="I184" s="7">
        <v>7.0000000000000007E-2</v>
      </c>
      <c r="J184" s="7">
        <v>1.6500000000000001E-2</v>
      </c>
      <c r="K184" s="7">
        <v>7.5999999999999998E-2</v>
      </c>
      <c r="L184" s="7">
        <v>0</v>
      </c>
      <c r="M184" s="11">
        <f t="shared" si="2"/>
        <v>0</v>
      </c>
      <c r="N184" s="11">
        <f t="shared" si="3"/>
        <v>0</v>
      </c>
      <c r="O184" s="11">
        <f t="shared" si="4"/>
        <v>0</v>
      </c>
      <c r="P184" s="11">
        <f t="shared" si="5"/>
        <v>0</v>
      </c>
    </row>
    <row r="185" spans="1:16" ht="15" hidden="1" customHeight="1">
      <c r="A185" s="44"/>
      <c r="B185" s="5">
        <f t="shared" si="17"/>
        <v>45566</v>
      </c>
      <c r="C185" s="1" t="s">
        <v>533</v>
      </c>
      <c r="D185" s="195"/>
      <c r="E185" s="186"/>
      <c r="F185" s="2"/>
      <c r="G185" s="3">
        <f t="shared" si="15"/>
        <v>0</v>
      </c>
      <c r="H185" s="187"/>
      <c r="I185" s="7">
        <v>7.0000000000000007E-2</v>
      </c>
      <c r="J185" s="7">
        <v>1.6500000000000001E-2</v>
      </c>
      <c r="K185" s="7">
        <v>7.5999999999999998E-2</v>
      </c>
      <c r="L185" s="7">
        <v>0</v>
      </c>
      <c r="M185" s="11">
        <f t="shared" si="2"/>
        <v>0</v>
      </c>
      <c r="N185" s="11">
        <f t="shared" si="3"/>
        <v>0</v>
      </c>
      <c r="O185" s="11">
        <f t="shared" si="4"/>
        <v>0</v>
      </c>
      <c r="P185" s="11">
        <f t="shared" si="5"/>
        <v>0</v>
      </c>
    </row>
    <row r="186" spans="1:16" ht="15" hidden="1" customHeight="1">
      <c r="A186" s="44"/>
      <c r="B186" s="5">
        <f t="shared" si="17"/>
        <v>45566</v>
      </c>
      <c r="C186" s="1" t="s">
        <v>533</v>
      </c>
      <c r="D186" s="195"/>
      <c r="E186" s="186"/>
      <c r="F186" s="2"/>
      <c r="G186" s="3">
        <f t="shared" si="15"/>
        <v>0</v>
      </c>
      <c r="H186" s="187"/>
      <c r="I186" s="7">
        <v>7.0000000000000007E-2</v>
      </c>
      <c r="J186" s="7">
        <v>1.6500000000000001E-2</v>
      </c>
      <c r="K186" s="7">
        <v>7.5999999999999998E-2</v>
      </c>
      <c r="L186" s="7">
        <v>0</v>
      </c>
      <c r="M186" s="11">
        <f t="shared" si="2"/>
        <v>0</v>
      </c>
      <c r="N186" s="11">
        <f t="shared" si="3"/>
        <v>0</v>
      </c>
      <c r="O186" s="11">
        <f t="shared" si="4"/>
        <v>0</v>
      </c>
      <c r="P186" s="11">
        <f t="shared" si="5"/>
        <v>0</v>
      </c>
    </row>
    <row r="187" spans="1:16" ht="15" hidden="1" customHeight="1">
      <c r="A187" s="44"/>
      <c r="B187" s="5">
        <f t="shared" si="17"/>
        <v>45566</v>
      </c>
      <c r="C187" s="1" t="s">
        <v>533</v>
      </c>
      <c r="D187" s="195"/>
      <c r="E187" s="186"/>
      <c r="F187" s="2"/>
      <c r="G187" s="3">
        <f t="shared" si="15"/>
        <v>0</v>
      </c>
      <c r="H187" s="187"/>
      <c r="I187" s="7">
        <v>7.0000000000000007E-2</v>
      </c>
      <c r="J187" s="7">
        <v>1.6500000000000001E-2</v>
      </c>
      <c r="K187" s="7">
        <v>7.5999999999999998E-2</v>
      </c>
      <c r="L187" s="7">
        <v>0</v>
      </c>
      <c r="M187" s="11">
        <f t="shared" si="2"/>
        <v>0</v>
      </c>
      <c r="N187" s="11">
        <f t="shared" si="3"/>
        <v>0</v>
      </c>
      <c r="O187" s="11">
        <f t="shared" si="4"/>
        <v>0</v>
      </c>
      <c r="P187" s="11">
        <f t="shared" si="5"/>
        <v>0</v>
      </c>
    </row>
    <row r="188" spans="1:16" ht="15" hidden="1" customHeight="1">
      <c r="A188" s="44"/>
      <c r="B188" s="5">
        <f t="shared" si="17"/>
        <v>45566</v>
      </c>
      <c r="C188" s="1" t="s">
        <v>533</v>
      </c>
      <c r="D188" s="195"/>
      <c r="E188" s="186"/>
      <c r="F188" s="2"/>
      <c r="G188" s="3">
        <f t="shared" si="15"/>
        <v>0</v>
      </c>
      <c r="H188" s="187"/>
      <c r="I188" s="7">
        <v>7.0000000000000007E-2</v>
      </c>
      <c r="J188" s="7">
        <v>1.6500000000000001E-2</v>
      </c>
      <c r="K188" s="7">
        <v>7.5999999999999998E-2</v>
      </c>
      <c r="L188" s="7">
        <v>0</v>
      </c>
      <c r="M188" s="11">
        <f t="shared" si="2"/>
        <v>0</v>
      </c>
      <c r="N188" s="11">
        <f t="shared" si="3"/>
        <v>0</v>
      </c>
      <c r="O188" s="11">
        <f t="shared" si="4"/>
        <v>0</v>
      </c>
      <c r="P188" s="11">
        <f t="shared" si="5"/>
        <v>0</v>
      </c>
    </row>
    <row r="189" spans="1:16" ht="15" hidden="1" customHeight="1">
      <c r="A189" s="44"/>
      <c r="B189" s="5">
        <f t="shared" si="17"/>
        <v>45566</v>
      </c>
      <c r="C189" s="1" t="s">
        <v>533</v>
      </c>
      <c r="D189" s="195"/>
      <c r="E189" s="186"/>
      <c r="F189" s="2"/>
      <c r="G189" s="3">
        <f t="shared" si="15"/>
        <v>0</v>
      </c>
      <c r="H189" s="187"/>
      <c r="I189" s="7">
        <v>7.0000000000000007E-2</v>
      </c>
      <c r="J189" s="7">
        <v>1.6500000000000001E-2</v>
      </c>
      <c r="K189" s="7">
        <v>7.5999999999999998E-2</v>
      </c>
      <c r="L189" s="7">
        <v>0</v>
      </c>
      <c r="M189" s="11">
        <f t="shared" si="2"/>
        <v>0</v>
      </c>
      <c r="N189" s="11">
        <f t="shared" si="3"/>
        <v>0</v>
      </c>
      <c r="O189" s="11">
        <f t="shared" si="4"/>
        <v>0</v>
      </c>
      <c r="P189" s="11">
        <f t="shared" si="5"/>
        <v>0</v>
      </c>
    </row>
    <row r="190" spans="1:16" ht="15" hidden="1" customHeight="1">
      <c r="A190" s="44"/>
      <c r="B190" s="5">
        <f t="shared" si="17"/>
        <v>45566</v>
      </c>
      <c r="C190" s="1" t="s">
        <v>533</v>
      </c>
      <c r="D190" s="195"/>
      <c r="E190" s="186"/>
      <c r="F190" s="2"/>
      <c r="G190" s="3">
        <f t="shared" si="15"/>
        <v>0</v>
      </c>
      <c r="H190" s="187"/>
      <c r="I190" s="7">
        <v>7.0000000000000007E-2</v>
      </c>
      <c r="J190" s="7">
        <v>1.6500000000000001E-2</v>
      </c>
      <c r="K190" s="7">
        <v>7.5999999999999998E-2</v>
      </c>
      <c r="L190" s="7">
        <v>0</v>
      </c>
      <c r="M190" s="11">
        <f t="shared" si="2"/>
        <v>0</v>
      </c>
      <c r="N190" s="11">
        <f t="shared" si="3"/>
        <v>0</v>
      </c>
      <c r="O190" s="11">
        <f t="shared" si="4"/>
        <v>0</v>
      </c>
      <c r="P190" s="11">
        <f t="shared" si="5"/>
        <v>0</v>
      </c>
    </row>
    <row r="191" spans="1:16" ht="15" hidden="1" customHeight="1">
      <c r="A191" s="44"/>
      <c r="B191" s="5">
        <f t="shared" si="17"/>
        <v>45566</v>
      </c>
      <c r="C191" s="1" t="s">
        <v>533</v>
      </c>
      <c r="D191" s="195"/>
      <c r="E191" s="186"/>
      <c r="F191" s="2"/>
      <c r="G191" s="3">
        <f t="shared" si="15"/>
        <v>0</v>
      </c>
      <c r="H191" s="187"/>
      <c r="I191" s="7">
        <v>7.0000000000000007E-2</v>
      </c>
      <c r="J191" s="7">
        <v>1.6500000000000001E-2</v>
      </c>
      <c r="K191" s="7">
        <v>7.5999999999999998E-2</v>
      </c>
      <c r="L191" s="7">
        <v>0</v>
      </c>
      <c r="M191" s="11">
        <f t="shared" si="2"/>
        <v>0</v>
      </c>
      <c r="N191" s="11">
        <f t="shared" si="3"/>
        <v>0</v>
      </c>
      <c r="O191" s="11">
        <f t="shared" si="4"/>
        <v>0</v>
      </c>
      <c r="P191" s="11">
        <f t="shared" si="5"/>
        <v>0</v>
      </c>
    </row>
    <row r="192" spans="1:16" ht="15" hidden="1" customHeight="1">
      <c r="A192" s="44"/>
      <c r="B192" s="5">
        <f t="shared" si="17"/>
        <v>45566</v>
      </c>
      <c r="C192" s="1" t="s">
        <v>533</v>
      </c>
      <c r="D192" s="195"/>
      <c r="E192" s="186"/>
      <c r="F192" s="2"/>
      <c r="G192" s="3">
        <f t="shared" si="15"/>
        <v>0</v>
      </c>
      <c r="H192" s="187"/>
      <c r="I192" s="7">
        <v>7.0000000000000007E-2</v>
      </c>
      <c r="J192" s="7">
        <v>1.6500000000000001E-2</v>
      </c>
      <c r="K192" s="7">
        <v>7.5999999999999998E-2</v>
      </c>
      <c r="L192" s="7">
        <v>0</v>
      </c>
      <c r="M192" s="11">
        <f t="shared" si="2"/>
        <v>0</v>
      </c>
      <c r="N192" s="11">
        <f t="shared" si="3"/>
        <v>0</v>
      </c>
      <c r="O192" s="11">
        <f t="shared" si="4"/>
        <v>0</v>
      </c>
      <c r="P192" s="11">
        <f t="shared" si="5"/>
        <v>0</v>
      </c>
    </row>
    <row r="193" spans="1:16" ht="15" hidden="1" customHeight="1">
      <c r="A193" s="44"/>
      <c r="B193" s="5">
        <f t="shared" si="17"/>
        <v>45566</v>
      </c>
      <c r="C193" s="1" t="s">
        <v>533</v>
      </c>
      <c r="D193" s="195"/>
      <c r="E193" s="186"/>
      <c r="F193" s="2"/>
      <c r="G193" s="3">
        <f t="shared" si="15"/>
        <v>0</v>
      </c>
      <c r="H193" s="187"/>
      <c r="I193" s="7">
        <v>7.0000000000000007E-2</v>
      </c>
      <c r="J193" s="7">
        <v>1.6500000000000001E-2</v>
      </c>
      <c r="K193" s="7">
        <v>7.5999999999999998E-2</v>
      </c>
      <c r="L193" s="7">
        <v>0</v>
      </c>
      <c r="M193" s="11">
        <f t="shared" si="2"/>
        <v>0</v>
      </c>
      <c r="N193" s="11">
        <f t="shared" si="3"/>
        <v>0</v>
      </c>
      <c r="O193" s="11">
        <f t="shared" si="4"/>
        <v>0</v>
      </c>
      <c r="P193" s="11">
        <f t="shared" si="5"/>
        <v>0</v>
      </c>
    </row>
    <row r="194" spans="1:16" ht="15" hidden="1" customHeight="1">
      <c r="A194" s="44"/>
      <c r="B194" s="5">
        <f t="shared" si="17"/>
        <v>45566</v>
      </c>
      <c r="C194" s="1" t="s">
        <v>533</v>
      </c>
      <c r="D194" s="195"/>
      <c r="E194" s="186"/>
      <c r="F194" s="2"/>
      <c r="G194" s="3">
        <f t="shared" si="15"/>
        <v>0</v>
      </c>
      <c r="H194" s="187"/>
      <c r="I194" s="7">
        <v>7.0000000000000007E-2</v>
      </c>
      <c r="J194" s="7">
        <v>1.6500000000000001E-2</v>
      </c>
      <c r="K194" s="7">
        <v>7.5999999999999998E-2</v>
      </c>
      <c r="L194" s="7">
        <v>0</v>
      </c>
      <c r="M194" s="11">
        <f t="shared" si="2"/>
        <v>0</v>
      </c>
      <c r="N194" s="11">
        <f t="shared" si="3"/>
        <v>0</v>
      </c>
      <c r="O194" s="11">
        <f t="shared" si="4"/>
        <v>0</v>
      </c>
      <c r="P194" s="11">
        <f t="shared" si="5"/>
        <v>0</v>
      </c>
    </row>
    <row r="195" spans="1:16" ht="15" hidden="1" customHeight="1">
      <c r="A195" s="44"/>
      <c r="B195" s="5">
        <f t="shared" si="17"/>
        <v>45566</v>
      </c>
      <c r="C195" s="1" t="s">
        <v>533</v>
      </c>
      <c r="D195" s="195"/>
      <c r="E195" s="186"/>
      <c r="F195" s="2"/>
      <c r="G195" s="3">
        <f t="shared" si="15"/>
        <v>0</v>
      </c>
      <c r="H195" s="187"/>
      <c r="I195" s="7">
        <v>7.0000000000000007E-2</v>
      </c>
      <c r="J195" s="7">
        <v>1.6500000000000001E-2</v>
      </c>
      <c r="K195" s="7">
        <v>7.5999999999999998E-2</v>
      </c>
      <c r="L195" s="7">
        <v>0</v>
      </c>
      <c r="M195" s="11">
        <f t="shared" si="2"/>
        <v>0</v>
      </c>
      <c r="N195" s="11">
        <f t="shared" si="3"/>
        <v>0</v>
      </c>
      <c r="O195" s="11">
        <f t="shared" si="4"/>
        <v>0</v>
      </c>
      <c r="P195" s="11">
        <f t="shared" si="5"/>
        <v>0</v>
      </c>
    </row>
    <row r="196" spans="1:16" ht="15" hidden="1" customHeight="1">
      <c r="A196" s="44"/>
      <c r="B196" s="5">
        <f t="shared" si="17"/>
        <v>45566</v>
      </c>
      <c r="C196" s="1" t="s">
        <v>533</v>
      </c>
      <c r="D196" s="195"/>
      <c r="E196" s="186"/>
      <c r="F196" s="2"/>
      <c r="G196" s="3">
        <f t="shared" si="15"/>
        <v>0</v>
      </c>
      <c r="H196" s="187"/>
      <c r="I196" s="7">
        <v>7.0000000000000007E-2</v>
      </c>
      <c r="J196" s="7">
        <v>1.6500000000000001E-2</v>
      </c>
      <c r="K196" s="7">
        <v>7.5999999999999998E-2</v>
      </c>
      <c r="L196" s="7">
        <v>0</v>
      </c>
      <c r="M196" s="11">
        <f t="shared" si="2"/>
        <v>0</v>
      </c>
      <c r="N196" s="11">
        <f t="shared" si="3"/>
        <v>0</v>
      </c>
      <c r="O196" s="11">
        <f t="shared" si="4"/>
        <v>0</v>
      </c>
      <c r="P196" s="11">
        <f t="shared" si="5"/>
        <v>0</v>
      </c>
    </row>
    <row r="197" spans="1:16" ht="15" hidden="1" customHeight="1">
      <c r="A197" s="44"/>
      <c r="B197" s="5">
        <f t="shared" si="17"/>
        <v>45566</v>
      </c>
      <c r="C197" s="1" t="s">
        <v>533</v>
      </c>
      <c r="D197" s="195"/>
      <c r="E197" s="186"/>
      <c r="F197" s="2"/>
      <c r="G197" s="3">
        <f t="shared" si="15"/>
        <v>0</v>
      </c>
      <c r="H197" s="187"/>
      <c r="I197" s="7">
        <v>7.0000000000000007E-2</v>
      </c>
      <c r="J197" s="7">
        <v>1.6500000000000001E-2</v>
      </c>
      <c r="K197" s="7">
        <v>7.5999999999999998E-2</v>
      </c>
      <c r="L197" s="7">
        <v>0</v>
      </c>
      <c r="M197" s="11">
        <f t="shared" si="2"/>
        <v>0</v>
      </c>
      <c r="N197" s="11">
        <f t="shared" si="3"/>
        <v>0</v>
      </c>
      <c r="O197" s="11">
        <f t="shared" si="4"/>
        <v>0</v>
      </c>
      <c r="P197" s="11">
        <f t="shared" si="5"/>
        <v>0</v>
      </c>
    </row>
    <row r="198" spans="1:16" ht="15" hidden="1" customHeight="1">
      <c r="A198" s="44"/>
      <c r="B198" s="5">
        <f t="shared" si="17"/>
        <v>45566</v>
      </c>
      <c r="C198" s="1" t="s">
        <v>533</v>
      </c>
      <c r="D198" s="195"/>
      <c r="E198" s="186"/>
      <c r="F198" s="2"/>
      <c r="G198" s="3">
        <f t="shared" si="15"/>
        <v>0</v>
      </c>
      <c r="H198" s="187"/>
      <c r="I198" s="7">
        <v>7.0000000000000007E-2</v>
      </c>
      <c r="J198" s="7">
        <v>1.6500000000000001E-2</v>
      </c>
      <c r="K198" s="7">
        <v>7.5999999999999998E-2</v>
      </c>
      <c r="L198" s="7">
        <v>0</v>
      </c>
      <c r="M198" s="11">
        <f t="shared" si="2"/>
        <v>0</v>
      </c>
      <c r="N198" s="11">
        <f t="shared" si="3"/>
        <v>0</v>
      </c>
      <c r="O198" s="11">
        <f t="shared" si="4"/>
        <v>0</v>
      </c>
      <c r="P198" s="11">
        <f t="shared" si="5"/>
        <v>0</v>
      </c>
    </row>
    <row r="199" spans="1:16" ht="15" hidden="1" customHeight="1">
      <c r="A199" s="44"/>
      <c r="B199" s="5">
        <f t="shared" si="17"/>
        <v>45566</v>
      </c>
      <c r="C199" s="1" t="s">
        <v>533</v>
      </c>
      <c r="D199" s="195"/>
      <c r="E199" s="186"/>
      <c r="F199" s="2"/>
      <c r="G199" s="3">
        <f t="shared" si="15"/>
        <v>0</v>
      </c>
      <c r="H199" s="187"/>
      <c r="I199" s="7">
        <v>7.0000000000000007E-2</v>
      </c>
      <c r="J199" s="7">
        <v>1.6500000000000001E-2</v>
      </c>
      <c r="K199" s="7">
        <v>7.5999999999999998E-2</v>
      </c>
      <c r="L199" s="7">
        <v>0</v>
      </c>
      <c r="M199" s="11">
        <f t="shared" si="2"/>
        <v>0</v>
      </c>
      <c r="N199" s="11">
        <f t="shared" si="3"/>
        <v>0</v>
      </c>
      <c r="O199" s="11">
        <f t="shared" si="4"/>
        <v>0</v>
      </c>
      <c r="P199" s="11">
        <f t="shared" si="5"/>
        <v>0</v>
      </c>
    </row>
    <row r="200" spans="1:16" ht="15" hidden="1" customHeight="1">
      <c r="A200" s="44"/>
      <c r="B200" s="5">
        <f t="shared" si="17"/>
        <v>45566</v>
      </c>
      <c r="C200" s="1" t="s">
        <v>533</v>
      </c>
      <c r="D200" s="195"/>
      <c r="E200" s="186"/>
      <c r="F200" s="2"/>
      <c r="G200" s="3">
        <f t="shared" si="15"/>
        <v>0</v>
      </c>
      <c r="H200" s="187"/>
      <c r="I200" s="7">
        <v>7.0000000000000007E-2</v>
      </c>
      <c r="J200" s="7">
        <v>1.6500000000000001E-2</v>
      </c>
      <c r="K200" s="7">
        <v>7.5999999999999998E-2</v>
      </c>
      <c r="L200" s="7">
        <v>0</v>
      </c>
      <c r="M200" s="11">
        <f t="shared" si="2"/>
        <v>0</v>
      </c>
      <c r="N200" s="11">
        <f t="shared" si="3"/>
        <v>0</v>
      </c>
      <c r="O200" s="11">
        <f t="shared" si="4"/>
        <v>0</v>
      </c>
      <c r="P200" s="11">
        <f t="shared" si="5"/>
        <v>0</v>
      </c>
    </row>
    <row r="201" spans="1:16" ht="15" hidden="1" customHeight="1">
      <c r="A201" s="44"/>
      <c r="B201" s="5">
        <f t="shared" si="17"/>
        <v>45566</v>
      </c>
      <c r="C201" s="1" t="s">
        <v>533</v>
      </c>
      <c r="D201" s="195"/>
      <c r="E201" s="186"/>
      <c r="F201" s="2"/>
      <c r="G201" s="3">
        <f t="shared" si="15"/>
        <v>0</v>
      </c>
      <c r="H201" s="187"/>
      <c r="I201" s="7">
        <v>7.0000000000000007E-2</v>
      </c>
      <c r="J201" s="7">
        <v>1.6500000000000001E-2</v>
      </c>
      <c r="K201" s="7">
        <v>7.5999999999999998E-2</v>
      </c>
      <c r="L201" s="7">
        <v>0</v>
      </c>
      <c r="M201" s="11">
        <f t="shared" si="2"/>
        <v>0</v>
      </c>
      <c r="N201" s="11">
        <f t="shared" si="3"/>
        <v>0</v>
      </c>
      <c r="O201" s="11">
        <f t="shared" si="4"/>
        <v>0</v>
      </c>
      <c r="P201" s="11">
        <f t="shared" si="5"/>
        <v>0</v>
      </c>
    </row>
    <row r="202" spans="1:16" ht="15" hidden="1" customHeight="1">
      <c r="A202" s="44"/>
      <c r="B202" s="5">
        <f t="shared" si="17"/>
        <v>45566</v>
      </c>
      <c r="C202" s="1" t="s">
        <v>533</v>
      </c>
      <c r="D202" s="195"/>
      <c r="E202" s="186"/>
      <c r="F202" s="2"/>
      <c r="G202" s="3">
        <f t="shared" si="15"/>
        <v>0</v>
      </c>
      <c r="H202" s="187"/>
      <c r="I202" s="7">
        <v>7.0000000000000007E-2</v>
      </c>
      <c r="J202" s="7">
        <v>1.6500000000000001E-2</v>
      </c>
      <c r="K202" s="7">
        <v>7.5999999999999998E-2</v>
      </c>
      <c r="L202" s="7">
        <v>0</v>
      </c>
      <c r="M202" s="11">
        <f t="shared" si="2"/>
        <v>0</v>
      </c>
      <c r="N202" s="11">
        <f t="shared" si="3"/>
        <v>0</v>
      </c>
      <c r="O202" s="11">
        <f t="shared" si="4"/>
        <v>0</v>
      </c>
      <c r="P202" s="11">
        <f t="shared" si="5"/>
        <v>0</v>
      </c>
    </row>
    <row r="203" spans="1:16" ht="15" hidden="1" customHeight="1">
      <c r="A203" s="44"/>
      <c r="B203" s="5">
        <f t="shared" si="17"/>
        <v>45566</v>
      </c>
      <c r="C203" s="1" t="s">
        <v>533</v>
      </c>
      <c r="D203" s="195"/>
      <c r="E203" s="186"/>
      <c r="F203" s="2"/>
      <c r="G203" s="3">
        <f t="shared" si="15"/>
        <v>0</v>
      </c>
      <c r="H203" s="187"/>
      <c r="I203" s="7">
        <v>7.0000000000000007E-2</v>
      </c>
      <c r="J203" s="7">
        <v>1.6500000000000001E-2</v>
      </c>
      <c r="K203" s="7">
        <v>7.5999999999999998E-2</v>
      </c>
      <c r="L203" s="7">
        <v>0</v>
      </c>
      <c r="M203" s="11">
        <f t="shared" si="2"/>
        <v>0</v>
      </c>
      <c r="N203" s="11">
        <f t="shared" si="3"/>
        <v>0</v>
      </c>
      <c r="O203" s="11">
        <f t="shared" si="4"/>
        <v>0</v>
      </c>
      <c r="P203" s="11">
        <f t="shared" si="5"/>
        <v>0</v>
      </c>
    </row>
    <row r="204" spans="1:16" ht="15" hidden="1" customHeight="1">
      <c r="A204" s="44"/>
      <c r="B204" s="5">
        <f t="shared" si="17"/>
        <v>45566</v>
      </c>
      <c r="C204" s="1" t="s">
        <v>533</v>
      </c>
      <c r="D204" s="195"/>
      <c r="E204" s="186"/>
      <c r="F204" s="2"/>
      <c r="G204" s="3">
        <f t="shared" si="15"/>
        <v>0</v>
      </c>
      <c r="H204" s="187"/>
      <c r="I204" s="7">
        <v>7.0000000000000007E-2</v>
      </c>
      <c r="J204" s="7">
        <v>1.6500000000000001E-2</v>
      </c>
      <c r="K204" s="7">
        <v>7.5999999999999998E-2</v>
      </c>
      <c r="L204" s="7">
        <v>0</v>
      </c>
      <c r="M204" s="11">
        <f t="shared" si="2"/>
        <v>0</v>
      </c>
      <c r="N204" s="11">
        <f t="shared" si="3"/>
        <v>0</v>
      </c>
      <c r="O204" s="11">
        <f t="shared" si="4"/>
        <v>0</v>
      </c>
      <c r="P204" s="11">
        <f t="shared" si="5"/>
        <v>0</v>
      </c>
    </row>
    <row r="205" spans="1:16" ht="15" hidden="1" customHeight="1">
      <c r="A205" s="44"/>
      <c r="B205" s="5">
        <f t="shared" si="17"/>
        <v>45566</v>
      </c>
      <c r="C205" s="1" t="s">
        <v>533</v>
      </c>
      <c r="D205" s="195"/>
      <c r="E205" s="186"/>
      <c r="F205" s="2"/>
      <c r="G205" s="3">
        <f t="shared" si="15"/>
        <v>0</v>
      </c>
      <c r="H205" s="187"/>
      <c r="I205" s="7"/>
      <c r="J205" s="7">
        <v>1.6500000000000001E-2</v>
      </c>
      <c r="K205" s="7">
        <v>7.5999999999999998E-2</v>
      </c>
      <c r="L205" s="7">
        <v>0</v>
      </c>
      <c r="M205" s="11">
        <f t="shared" si="2"/>
        <v>0</v>
      </c>
      <c r="N205" s="11">
        <f t="shared" si="3"/>
        <v>0</v>
      </c>
      <c r="O205" s="11">
        <f t="shared" si="4"/>
        <v>0</v>
      </c>
      <c r="P205" s="11">
        <f t="shared" si="5"/>
        <v>0</v>
      </c>
    </row>
    <row r="206" spans="1:16" ht="15" hidden="1" customHeight="1">
      <c r="A206" s="44"/>
      <c r="B206" s="5">
        <f t="shared" si="17"/>
        <v>45566</v>
      </c>
      <c r="C206" s="1" t="s">
        <v>533</v>
      </c>
      <c r="D206" s="195"/>
      <c r="E206" s="186"/>
      <c r="F206" s="2"/>
      <c r="G206" s="3">
        <f t="shared" si="15"/>
        <v>0</v>
      </c>
      <c r="H206" s="187"/>
      <c r="I206" s="7"/>
      <c r="J206" s="7">
        <v>1.6500000000000001E-2</v>
      </c>
      <c r="K206" s="7">
        <v>7.5999999999999998E-2</v>
      </c>
      <c r="L206" s="7">
        <v>0</v>
      </c>
      <c r="M206" s="11">
        <f t="shared" si="2"/>
        <v>0</v>
      </c>
      <c r="N206" s="11">
        <f t="shared" si="3"/>
        <v>0</v>
      </c>
      <c r="O206" s="11">
        <f t="shared" si="4"/>
        <v>0</v>
      </c>
      <c r="P206" s="11">
        <f t="shared" ref="P206:P249" si="18">L206*(F206)</f>
        <v>0</v>
      </c>
    </row>
    <row r="207" spans="1:16" ht="15" hidden="1" customHeight="1">
      <c r="A207" s="44"/>
      <c r="B207" s="5">
        <f t="shared" si="17"/>
        <v>45566</v>
      </c>
      <c r="C207" s="1" t="s">
        <v>533</v>
      </c>
      <c r="D207" s="195"/>
      <c r="E207" s="186"/>
      <c r="F207" s="2"/>
      <c r="G207" s="3">
        <f t="shared" si="15"/>
        <v>0</v>
      </c>
      <c r="H207" s="187"/>
      <c r="I207" s="7"/>
      <c r="J207" s="7">
        <v>1.6500000000000001E-2</v>
      </c>
      <c r="K207" s="7">
        <v>7.5999999999999998E-2</v>
      </c>
      <c r="L207" s="7">
        <v>0</v>
      </c>
      <c r="M207" s="11">
        <f t="shared" si="2"/>
        <v>0</v>
      </c>
      <c r="N207" s="11">
        <f t="shared" si="3"/>
        <v>0</v>
      </c>
      <c r="O207" s="11">
        <f t="shared" si="4"/>
        <v>0</v>
      </c>
      <c r="P207" s="11">
        <f t="shared" si="18"/>
        <v>0</v>
      </c>
    </row>
    <row r="208" spans="1:16" ht="15" hidden="1" customHeight="1">
      <c r="A208" s="44"/>
      <c r="B208" s="5">
        <f t="shared" si="17"/>
        <v>45566</v>
      </c>
      <c r="C208" s="1" t="s">
        <v>533</v>
      </c>
      <c r="D208" s="195"/>
      <c r="E208" s="186"/>
      <c r="F208" s="2"/>
      <c r="G208" s="3">
        <f t="shared" ref="G208:G246" si="19">F208-SUM(M208:P208)</f>
        <v>0</v>
      </c>
      <c r="H208" s="187"/>
      <c r="I208" s="7"/>
      <c r="J208" s="7">
        <v>1.6500000000000001E-2</v>
      </c>
      <c r="K208" s="7">
        <v>7.5999999999999998E-2</v>
      </c>
      <c r="L208" s="7">
        <v>0</v>
      </c>
      <c r="M208" s="11">
        <f t="shared" si="2"/>
        <v>0</v>
      </c>
      <c r="N208" s="11">
        <f t="shared" si="3"/>
        <v>0</v>
      </c>
      <c r="O208" s="11">
        <f t="shared" si="4"/>
        <v>0</v>
      </c>
      <c r="P208" s="11">
        <f t="shared" si="18"/>
        <v>0</v>
      </c>
    </row>
    <row r="209" spans="1:16" ht="15" hidden="1" customHeight="1">
      <c r="A209" s="44"/>
      <c r="B209" s="5">
        <f t="shared" si="17"/>
        <v>45566</v>
      </c>
      <c r="C209" s="1" t="s">
        <v>533</v>
      </c>
      <c r="D209" s="195"/>
      <c r="E209" s="186"/>
      <c r="F209" s="2"/>
      <c r="G209" s="3">
        <f t="shared" si="19"/>
        <v>0</v>
      </c>
      <c r="H209" s="187"/>
      <c r="I209" s="7"/>
      <c r="J209" s="7">
        <v>1.6500000000000001E-2</v>
      </c>
      <c r="K209" s="7">
        <v>7.5999999999999998E-2</v>
      </c>
      <c r="L209" s="7">
        <v>0</v>
      </c>
      <c r="M209" s="11">
        <f t="shared" si="2"/>
        <v>0</v>
      </c>
      <c r="N209" s="11">
        <f t="shared" si="3"/>
        <v>0</v>
      </c>
      <c r="O209" s="11">
        <f t="shared" si="4"/>
        <v>0</v>
      </c>
      <c r="P209" s="11">
        <f t="shared" si="18"/>
        <v>0</v>
      </c>
    </row>
    <row r="210" spans="1:16" ht="15" hidden="1" customHeight="1">
      <c r="A210" s="44"/>
      <c r="B210" s="5">
        <f t="shared" si="17"/>
        <v>45566</v>
      </c>
      <c r="C210" s="1" t="s">
        <v>533</v>
      </c>
      <c r="D210" s="195"/>
      <c r="E210" s="186"/>
      <c r="F210" s="2"/>
      <c r="G210" s="3">
        <f t="shared" si="19"/>
        <v>0</v>
      </c>
      <c r="H210" s="187"/>
      <c r="I210" s="7"/>
      <c r="J210" s="7">
        <v>1.6500000000000001E-2</v>
      </c>
      <c r="K210" s="7">
        <v>7.5999999999999998E-2</v>
      </c>
      <c r="L210" s="7">
        <v>0</v>
      </c>
      <c r="M210" s="11">
        <f t="shared" si="2"/>
        <v>0</v>
      </c>
      <c r="N210" s="11">
        <f t="shared" si="3"/>
        <v>0</v>
      </c>
      <c r="O210" s="11">
        <f t="shared" si="4"/>
        <v>0</v>
      </c>
      <c r="P210" s="11">
        <f t="shared" si="18"/>
        <v>0</v>
      </c>
    </row>
    <row r="211" spans="1:16" ht="15" hidden="1" customHeight="1">
      <c r="A211" s="44"/>
      <c r="B211" s="5">
        <f t="shared" si="17"/>
        <v>45566</v>
      </c>
      <c r="C211" s="1" t="s">
        <v>533</v>
      </c>
      <c r="D211" s="195"/>
      <c r="E211" s="186"/>
      <c r="F211" s="2"/>
      <c r="G211" s="3">
        <f t="shared" si="19"/>
        <v>0</v>
      </c>
      <c r="H211" s="187"/>
      <c r="I211" s="7"/>
      <c r="J211" s="7">
        <v>1.6500000000000001E-2</v>
      </c>
      <c r="K211" s="7">
        <v>7.5999999999999998E-2</v>
      </c>
      <c r="L211" s="7">
        <v>0</v>
      </c>
      <c r="M211" s="11">
        <f t="shared" si="2"/>
        <v>0</v>
      </c>
      <c r="N211" s="11">
        <f t="shared" si="3"/>
        <v>0</v>
      </c>
      <c r="O211" s="11">
        <f t="shared" si="4"/>
        <v>0</v>
      </c>
      <c r="P211" s="11">
        <f t="shared" si="18"/>
        <v>0</v>
      </c>
    </row>
    <row r="212" spans="1:16" ht="15" hidden="1" customHeight="1">
      <c r="A212" s="44"/>
      <c r="B212" s="5">
        <f t="shared" si="17"/>
        <v>45566</v>
      </c>
      <c r="C212" s="1" t="s">
        <v>533</v>
      </c>
      <c r="D212" s="195"/>
      <c r="E212" s="186"/>
      <c r="F212" s="2"/>
      <c r="G212" s="3">
        <f t="shared" si="19"/>
        <v>0</v>
      </c>
      <c r="H212" s="187"/>
      <c r="I212" s="7"/>
      <c r="J212" s="7">
        <v>1.6500000000000001E-2</v>
      </c>
      <c r="K212" s="7">
        <v>7.5999999999999998E-2</v>
      </c>
      <c r="L212" s="7">
        <v>0</v>
      </c>
      <c r="M212" s="11">
        <f t="shared" si="2"/>
        <v>0</v>
      </c>
      <c r="N212" s="11">
        <f t="shared" si="3"/>
        <v>0</v>
      </c>
      <c r="O212" s="11">
        <f t="shared" si="4"/>
        <v>0</v>
      </c>
      <c r="P212" s="11">
        <f t="shared" si="18"/>
        <v>0</v>
      </c>
    </row>
    <row r="213" spans="1:16" ht="15" hidden="1" customHeight="1">
      <c r="A213" s="44"/>
      <c r="B213" s="5">
        <f t="shared" si="17"/>
        <v>45566</v>
      </c>
      <c r="C213" s="1" t="s">
        <v>533</v>
      </c>
      <c r="D213" s="195"/>
      <c r="E213" s="186"/>
      <c r="F213" s="2"/>
      <c r="G213" s="3">
        <f t="shared" si="19"/>
        <v>0</v>
      </c>
      <c r="H213" s="187"/>
      <c r="I213" s="7"/>
      <c r="J213" s="7">
        <v>1.6500000000000001E-2</v>
      </c>
      <c r="K213" s="7">
        <v>7.5999999999999998E-2</v>
      </c>
      <c r="L213" s="7">
        <v>0</v>
      </c>
      <c r="M213" s="11">
        <f t="shared" si="2"/>
        <v>0</v>
      </c>
      <c r="N213" s="11">
        <f t="shared" si="3"/>
        <v>0</v>
      </c>
      <c r="O213" s="11">
        <f t="shared" si="4"/>
        <v>0</v>
      </c>
      <c r="P213" s="11">
        <f t="shared" si="18"/>
        <v>0</v>
      </c>
    </row>
    <row r="214" spans="1:16" ht="15" hidden="1" customHeight="1">
      <c r="A214" s="44"/>
      <c r="B214" s="5">
        <f t="shared" si="17"/>
        <v>45566</v>
      </c>
      <c r="C214" s="1" t="s">
        <v>533</v>
      </c>
      <c r="D214" s="195"/>
      <c r="E214" s="186"/>
      <c r="F214" s="2"/>
      <c r="G214" s="3">
        <f t="shared" si="19"/>
        <v>0</v>
      </c>
      <c r="H214" s="187"/>
      <c r="I214" s="7"/>
      <c r="J214" s="7">
        <v>1.6500000000000001E-2</v>
      </c>
      <c r="K214" s="7">
        <v>7.5999999999999998E-2</v>
      </c>
      <c r="L214" s="7">
        <v>0</v>
      </c>
      <c r="M214" s="11">
        <f t="shared" si="2"/>
        <v>0</v>
      </c>
      <c r="N214" s="11">
        <f t="shared" si="3"/>
        <v>0</v>
      </c>
      <c r="O214" s="11">
        <f t="shared" si="4"/>
        <v>0</v>
      </c>
      <c r="P214" s="11">
        <f t="shared" si="18"/>
        <v>0</v>
      </c>
    </row>
    <row r="215" spans="1:16" ht="15" hidden="1" customHeight="1">
      <c r="A215" s="44"/>
      <c r="B215" s="5">
        <f t="shared" si="17"/>
        <v>45566</v>
      </c>
      <c r="C215" s="1" t="s">
        <v>533</v>
      </c>
      <c r="D215" s="195"/>
      <c r="E215" s="186"/>
      <c r="F215" s="2"/>
      <c r="G215" s="3">
        <f t="shared" si="19"/>
        <v>0</v>
      </c>
      <c r="H215" s="187"/>
      <c r="I215" s="7"/>
      <c r="J215" s="7">
        <v>1.6500000000000001E-2</v>
      </c>
      <c r="K215" s="7">
        <v>7.5999999999999998E-2</v>
      </c>
      <c r="L215" s="7">
        <v>0</v>
      </c>
      <c r="M215" s="11">
        <f t="shared" si="2"/>
        <v>0</v>
      </c>
      <c r="N215" s="11">
        <f t="shared" si="3"/>
        <v>0</v>
      </c>
      <c r="O215" s="11">
        <f t="shared" si="4"/>
        <v>0</v>
      </c>
      <c r="P215" s="11">
        <f t="shared" si="18"/>
        <v>0</v>
      </c>
    </row>
    <row r="216" spans="1:16" ht="15" hidden="1" customHeight="1">
      <c r="A216" s="44"/>
      <c r="B216" s="5">
        <f t="shared" si="17"/>
        <v>45566</v>
      </c>
      <c r="C216" s="1" t="s">
        <v>533</v>
      </c>
      <c r="D216" s="195"/>
      <c r="E216" s="186"/>
      <c r="F216" s="2"/>
      <c r="G216" s="3">
        <f t="shared" si="19"/>
        <v>0</v>
      </c>
      <c r="H216" s="187"/>
      <c r="I216" s="7"/>
      <c r="J216" s="7">
        <v>1.6500000000000001E-2</v>
      </c>
      <c r="K216" s="7">
        <v>7.5999999999999998E-2</v>
      </c>
      <c r="L216" s="7">
        <v>0</v>
      </c>
      <c r="M216" s="11">
        <f t="shared" si="2"/>
        <v>0</v>
      </c>
      <c r="N216" s="11">
        <f t="shared" si="3"/>
        <v>0</v>
      </c>
      <c r="O216" s="11">
        <f t="shared" si="4"/>
        <v>0</v>
      </c>
      <c r="P216" s="11">
        <f t="shared" si="18"/>
        <v>0</v>
      </c>
    </row>
    <row r="217" spans="1:16" ht="15" hidden="1" customHeight="1">
      <c r="A217" s="44"/>
      <c r="B217" s="5">
        <f t="shared" si="17"/>
        <v>45566</v>
      </c>
      <c r="C217" s="1" t="s">
        <v>533</v>
      </c>
      <c r="D217" s="195"/>
      <c r="E217" s="186"/>
      <c r="F217" s="2"/>
      <c r="G217" s="3">
        <f t="shared" si="19"/>
        <v>0</v>
      </c>
      <c r="H217" s="187"/>
      <c r="I217" s="7"/>
      <c r="J217" s="7">
        <v>1.6500000000000001E-2</v>
      </c>
      <c r="K217" s="7">
        <v>7.5999999999999998E-2</v>
      </c>
      <c r="L217" s="7">
        <v>0</v>
      </c>
      <c r="M217" s="11">
        <f t="shared" si="2"/>
        <v>0</v>
      </c>
      <c r="N217" s="11">
        <f t="shared" si="3"/>
        <v>0</v>
      </c>
      <c r="O217" s="11">
        <f t="shared" si="4"/>
        <v>0</v>
      </c>
      <c r="P217" s="11">
        <f t="shared" si="18"/>
        <v>0</v>
      </c>
    </row>
    <row r="218" spans="1:16" ht="15" hidden="1" customHeight="1">
      <c r="A218" s="44"/>
      <c r="B218" s="5">
        <f t="shared" si="17"/>
        <v>45566</v>
      </c>
      <c r="C218" s="1" t="s">
        <v>533</v>
      </c>
      <c r="D218" s="195"/>
      <c r="E218" s="186"/>
      <c r="F218" s="2"/>
      <c r="G218" s="3">
        <f t="shared" si="19"/>
        <v>0</v>
      </c>
      <c r="H218" s="187"/>
      <c r="I218" s="7"/>
      <c r="J218" s="7">
        <v>1.6500000000000001E-2</v>
      </c>
      <c r="K218" s="7">
        <v>7.5999999999999998E-2</v>
      </c>
      <c r="L218" s="7">
        <v>0</v>
      </c>
      <c r="M218" s="11">
        <f t="shared" si="2"/>
        <v>0</v>
      </c>
      <c r="N218" s="11">
        <f t="shared" si="3"/>
        <v>0</v>
      </c>
      <c r="O218" s="11">
        <f t="shared" si="4"/>
        <v>0</v>
      </c>
      <c r="P218" s="11">
        <f t="shared" si="18"/>
        <v>0</v>
      </c>
    </row>
    <row r="219" spans="1:16" ht="15" hidden="1" customHeight="1">
      <c r="A219" s="44"/>
      <c r="B219" s="5">
        <f t="shared" si="17"/>
        <v>45566</v>
      </c>
      <c r="C219" s="1" t="s">
        <v>533</v>
      </c>
      <c r="D219" s="195"/>
      <c r="E219" s="186"/>
      <c r="F219" s="2"/>
      <c r="G219" s="3">
        <f t="shared" si="19"/>
        <v>0</v>
      </c>
      <c r="H219" s="187"/>
      <c r="I219" s="7"/>
      <c r="J219" s="7">
        <v>1.6500000000000001E-2</v>
      </c>
      <c r="K219" s="7">
        <v>7.5999999999999998E-2</v>
      </c>
      <c r="L219" s="7">
        <v>0</v>
      </c>
      <c r="M219" s="11">
        <f t="shared" si="2"/>
        <v>0</v>
      </c>
      <c r="N219" s="11">
        <f t="shared" si="3"/>
        <v>0</v>
      </c>
      <c r="O219" s="11">
        <f t="shared" si="4"/>
        <v>0</v>
      </c>
      <c r="P219" s="11">
        <f t="shared" si="18"/>
        <v>0</v>
      </c>
    </row>
    <row r="220" spans="1:16" ht="15" hidden="1" customHeight="1">
      <c r="A220" s="44"/>
      <c r="B220" s="5">
        <f t="shared" si="17"/>
        <v>45566</v>
      </c>
      <c r="C220" s="1" t="s">
        <v>533</v>
      </c>
      <c r="D220" s="195"/>
      <c r="E220" s="186"/>
      <c r="F220" s="2"/>
      <c r="G220" s="3">
        <f t="shared" si="19"/>
        <v>0</v>
      </c>
      <c r="H220" s="187"/>
      <c r="I220" s="7"/>
      <c r="J220" s="7">
        <v>1.6500000000000001E-2</v>
      </c>
      <c r="K220" s="7">
        <v>7.5999999999999998E-2</v>
      </c>
      <c r="L220" s="7">
        <v>0</v>
      </c>
      <c r="M220" s="11">
        <f t="shared" si="2"/>
        <v>0</v>
      </c>
      <c r="N220" s="11">
        <f t="shared" si="3"/>
        <v>0</v>
      </c>
      <c r="O220" s="11">
        <f t="shared" si="4"/>
        <v>0</v>
      </c>
      <c r="P220" s="11">
        <f t="shared" si="18"/>
        <v>0</v>
      </c>
    </row>
    <row r="221" spans="1:16" ht="15" hidden="1" customHeight="1">
      <c r="A221" s="44"/>
      <c r="B221" s="5">
        <f t="shared" si="17"/>
        <v>45566</v>
      </c>
      <c r="C221" s="1" t="s">
        <v>533</v>
      </c>
      <c r="D221" s="195"/>
      <c r="E221" s="186"/>
      <c r="F221" s="2"/>
      <c r="G221" s="3">
        <f t="shared" si="19"/>
        <v>0</v>
      </c>
      <c r="H221" s="187"/>
      <c r="I221" s="7"/>
      <c r="J221" s="7">
        <v>1.6500000000000001E-2</v>
      </c>
      <c r="K221" s="7">
        <v>7.5999999999999998E-2</v>
      </c>
      <c r="L221" s="7">
        <v>0</v>
      </c>
      <c r="M221" s="11">
        <f t="shared" si="2"/>
        <v>0</v>
      </c>
      <c r="N221" s="11">
        <f t="shared" si="3"/>
        <v>0</v>
      </c>
      <c r="O221" s="11">
        <f t="shared" si="4"/>
        <v>0</v>
      </c>
      <c r="P221" s="11">
        <f t="shared" si="18"/>
        <v>0</v>
      </c>
    </row>
    <row r="222" spans="1:16" ht="15" hidden="1" customHeight="1">
      <c r="A222" s="44"/>
      <c r="B222" s="5">
        <f t="shared" si="17"/>
        <v>45566</v>
      </c>
      <c r="C222" s="1" t="s">
        <v>533</v>
      </c>
      <c r="D222" s="195"/>
      <c r="E222" s="186"/>
      <c r="F222" s="2"/>
      <c r="G222" s="3">
        <f t="shared" si="19"/>
        <v>0</v>
      </c>
      <c r="H222" s="187"/>
      <c r="I222" s="7"/>
      <c r="J222" s="7">
        <v>1.6500000000000001E-2</v>
      </c>
      <c r="K222" s="7">
        <v>7.5999999999999998E-2</v>
      </c>
      <c r="L222" s="7">
        <v>0</v>
      </c>
      <c r="M222" s="11">
        <f t="shared" si="2"/>
        <v>0</v>
      </c>
      <c r="N222" s="11">
        <f t="shared" si="3"/>
        <v>0</v>
      </c>
      <c r="O222" s="11">
        <f t="shared" si="4"/>
        <v>0</v>
      </c>
      <c r="P222" s="11">
        <f t="shared" si="18"/>
        <v>0</v>
      </c>
    </row>
    <row r="223" spans="1:16" ht="15" hidden="1" customHeight="1">
      <c r="A223" s="44"/>
      <c r="B223" s="5">
        <f t="shared" si="17"/>
        <v>45566</v>
      </c>
      <c r="C223" s="1" t="s">
        <v>533</v>
      </c>
      <c r="D223" s="195"/>
      <c r="E223" s="186"/>
      <c r="F223" s="2"/>
      <c r="G223" s="3">
        <f t="shared" si="19"/>
        <v>0</v>
      </c>
      <c r="H223" s="187"/>
      <c r="I223" s="7"/>
      <c r="J223" s="7">
        <v>1.6500000000000001E-2</v>
      </c>
      <c r="K223" s="7">
        <v>7.5999999999999998E-2</v>
      </c>
      <c r="L223" s="7">
        <v>0</v>
      </c>
      <c r="M223" s="11">
        <f t="shared" si="2"/>
        <v>0</v>
      </c>
      <c r="N223" s="11">
        <f t="shared" si="3"/>
        <v>0</v>
      </c>
      <c r="O223" s="11">
        <f t="shared" si="4"/>
        <v>0</v>
      </c>
      <c r="P223" s="11">
        <f t="shared" si="18"/>
        <v>0</v>
      </c>
    </row>
    <row r="224" spans="1:16" ht="15" hidden="1" customHeight="1">
      <c r="A224" s="44"/>
      <c r="B224" s="5">
        <f t="shared" si="17"/>
        <v>45566</v>
      </c>
      <c r="C224" s="1" t="s">
        <v>533</v>
      </c>
      <c r="D224" s="195"/>
      <c r="E224" s="186"/>
      <c r="F224" s="2"/>
      <c r="G224" s="3">
        <f t="shared" si="19"/>
        <v>0</v>
      </c>
      <c r="H224" s="187"/>
      <c r="I224" s="7"/>
      <c r="J224" s="7">
        <v>1.6500000000000001E-2</v>
      </c>
      <c r="K224" s="7">
        <v>7.5999999999999998E-2</v>
      </c>
      <c r="L224" s="7">
        <v>0</v>
      </c>
      <c r="M224" s="11">
        <f t="shared" si="2"/>
        <v>0</v>
      </c>
      <c r="N224" s="11">
        <f t="shared" si="3"/>
        <v>0</v>
      </c>
      <c r="O224" s="11">
        <f t="shared" si="4"/>
        <v>0</v>
      </c>
      <c r="P224" s="11">
        <f t="shared" si="18"/>
        <v>0</v>
      </c>
    </row>
    <row r="225" spans="1:16" ht="15" hidden="1" customHeight="1">
      <c r="A225" s="44"/>
      <c r="B225" s="5">
        <f t="shared" si="17"/>
        <v>45566</v>
      </c>
      <c r="C225" s="1" t="s">
        <v>533</v>
      </c>
      <c r="D225" s="195"/>
      <c r="E225" s="186"/>
      <c r="F225" s="2"/>
      <c r="G225" s="3">
        <f t="shared" si="19"/>
        <v>0</v>
      </c>
      <c r="H225" s="187"/>
      <c r="I225" s="7"/>
      <c r="J225" s="7">
        <v>1.6500000000000001E-2</v>
      </c>
      <c r="K225" s="7">
        <v>7.5999999999999998E-2</v>
      </c>
      <c r="L225" s="7">
        <v>0</v>
      </c>
      <c r="M225" s="11">
        <f t="shared" si="2"/>
        <v>0</v>
      </c>
      <c r="N225" s="11">
        <f t="shared" si="3"/>
        <v>0</v>
      </c>
      <c r="O225" s="11">
        <f t="shared" si="4"/>
        <v>0</v>
      </c>
      <c r="P225" s="11">
        <f t="shared" si="18"/>
        <v>0</v>
      </c>
    </row>
    <row r="226" spans="1:16" ht="15" hidden="1" customHeight="1">
      <c r="A226" s="44"/>
      <c r="B226" s="5">
        <f t="shared" si="17"/>
        <v>45566</v>
      </c>
      <c r="C226" s="1" t="s">
        <v>533</v>
      </c>
      <c r="D226" s="195"/>
      <c r="E226" s="186"/>
      <c r="F226" s="2"/>
      <c r="G226" s="3">
        <f t="shared" si="19"/>
        <v>0</v>
      </c>
      <c r="H226" s="187"/>
      <c r="I226" s="7"/>
      <c r="J226" s="7">
        <v>1.6500000000000001E-2</v>
      </c>
      <c r="K226" s="7">
        <v>7.5999999999999998E-2</v>
      </c>
      <c r="L226" s="7">
        <v>0</v>
      </c>
      <c r="M226" s="11">
        <f t="shared" si="2"/>
        <v>0</v>
      </c>
      <c r="N226" s="11">
        <f t="shared" si="3"/>
        <v>0</v>
      </c>
      <c r="O226" s="11">
        <f t="shared" si="4"/>
        <v>0</v>
      </c>
      <c r="P226" s="11">
        <f t="shared" si="18"/>
        <v>0</v>
      </c>
    </row>
    <row r="227" spans="1:16" ht="15" hidden="1" customHeight="1">
      <c r="A227" s="44"/>
      <c r="B227" s="5">
        <f t="shared" si="17"/>
        <v>45566</v>
      </c>
      <c r="C227" s="1" t="s">
        <v>533</v>
      </c>
      <c r="D227" s="195"/>
      <c r="E227" s="186"/>
      <c r="F227" s="2"/>
      <c r="G227" s="3">
        <f t="shared" si="19"/>
        <v>0</v>
      </c>
      <c r="H227" s="187"/>
      <c r="I227" s="7"/>
      <c r="J227" s="7">
        <v>1.6500000000000001E-2</v>
      </c>
      <c r="K227" s="7">
        <v>7.5999999999999998E-2</v>
      </c>
      <c r="L227" s="7">
        <v>0</v>
      </c>
      <c r="M227" s="11">
        <f t="shared" si="2"/>
        <v>0</v>
      </c>
      <c r="N227" s="11">
        <f t="shared" si="3"/>
        <v>0</v>
      </c>
      <c r="O227" s="11">
        <f t="shared" si="4"/>
        <v>0</v>
      </c>
      <c r="P227" s="11">
        <f t="shared" si="18"/>
        <v>0</v>
      </c>
    </row>
    <row r="228" spans="1:16" ht="15" hidden="1" customHeight="1">
      <c r="A228" s="44"/>
      <c r="B228" s="5">
        <f t="shared" si="17"/>
        <v>45566</v>
      </c>
      <c r="C228" s="1" t="s">
        <v>533</v>
      </c>
      <c r="D228" s="195"/>
      <c r="E228" s="186"/>
      <c r="F228" s="2"/>
      <c r="G228" s="3">
        <f t="shared" si="19"/>
        <v>0</v>
      </c>
      <c r="H228" s="187"/>
      <c r="I228" s="7"/>
      <c r="J228" s="7">
        <v>1.6500000000000001E-2</v>
      </c>
      <c r="K228" s="7">
        <v>7.5999999999999998E-2</v>
      </c>
      <c r="L228" s="7">
        <v>0</v>
      </c>
      <c r="M228" s="11">
        <f t="shared" si="2"/>
        <v>0</v>
      </c>
      <c r="N228" s="11">
        <f t="shared" si="3"/>
        <v>0</v>
      </c>
      <c r="O228" s="11">
        <f t="shared" si="4"/>
        <v>0</v>
      </c>
      <c r="P228" s="11">
        <f t="shared" si="18"/>
        <v>0</v>
      </c>
    </row>
    <row r="229" spans="1:16" ht="15" hidden="1" customHeight="1">
      <c r="A229" s="44"/>
      <c r="B229" s="5">
        <f t="shared" si="17"/>
        <v>45566</v>
      </c>
      <c r="C229" s="1" t="s">
        <v>533</v>
      </c>
      <c r="D229" s="195"/>
      <c r="E229" s="186"/>
      <c r="F229" s="2"/>
      <c r="G229" s="3">
        <f t="shared" si="19"/>
        <v>0</v>
      </c>
      <c r="H229" s="187"/>
      <c r="I229" s="7"/>
      <c r="J229" s="7">
        <v>1.6500000000000001E-2</v>
      </c>
      <c r="K229" s="7">
        <v>7.5999999999999998E-2</v>
      </c>
      <c r="L229" s="7">
        <v>0</v>
      </c>
      <c r="M229" s="11">
        <f t="shared" si="2"/>
        <v>0</v>
      </c>
      <c r="N229" s="11">
        <f t="shared" si="3"/>
        <v>0</v>
      </c>
      <c r="O229" s="11">
        <f t="shared" si="4"/>
        <v>0</v>
      </c>
      <c r="P229" s="11">
        <f t="shared" si="18"/>
        <v>0</v>
      </c>
    </row>
    <row r="230" spans="1:16" ht="15" hidden="1" customHeight="1">
      <c r="A230" s="44"/>
      <c r="B230" s="5">
        <f t="shared" si="17"/>
        <v>45566</v>
      </c>
      <c r="C230" s="1" t="s">
        <v>533</v>
      </c>
      <c r="D230" s="195"/>
      <c r="E230" s="186"/>
      <c r="F230" s="2"/>
      <c r="G230" s="3">
        <f t="shared" si="19"/>
        <v>0</v>
      </c>
      <c r="H230" s="187"/>
      <c r="I230" s="7"/>
      <c r="J230" s="7">
        <v>1.6500000000000001E-2</v>
      </c>
      <c r="K230" s="7">
        <v>7.5999999999999998E-2</v>
      </c>
      <c r="L230" s="7">
        <v>0</v>
      </c>
      <c r="M230" s="11">
        <f t="shared" si="2"/>
        <v>0</v>
      </c>
      <c r="N230" s="11">
        <f t="shared" si="3"/>
        <v>0</v>
      </c>
      <c r="O230" s="11">
        <f t="shared" si="4"/>
        <v>0</v>
      </c>
      <c r="P230" s="11">
        <f t="shared" si="18"/>
        <v>0</v>
      </c>
    </row>
    <row r="231" spans="1:16" ht="15" hidden="1" customHeight="1">
      <c r="A231" s="44"/>
      <c r="B231" s="5">
        <f t="shared" si="17"/>
        <v>45566</v>
      </c>
      <c r="C231" s="1" t="s">
        <v>533</v>
      </c>
      <c r="D231" s="195"/>
      <c r="E231" s="186"/>
      <c r="F231" s="2"/>
      <c r="G231" s="3">
        <f t="shared" si="19"/>
        <v>0</v>
      </c>
      <c r="H231" s="187"/>
      <c r="I231" s="7"/>
      <c r="J231" s="7">
        <v>1.6500000000000001E-2</v>
      </c>
      <c r="K231" s="7">
        <v>7.5999999999999998E-2</v>
      </c>
      <c r="L231" s="7">
        <v>0</v>
      </c>
      <c r="M231" s="11">
        <f t="shared" si="2"/>
        <v>0</v>
      </c>
      <c r="N231" s="11">
        <f t="shared" si="3"/>
        <v>0</v>
      </c>
      <c r="O231" s="11">
        <f t="shared" si="4"/>
        <v>0</v>
      </c>
      <c r="P231" s="11">
        <f t="shared" si="18"/>
        <v>0</v>
      </c>
    </row>
    <row r="232" spans="1:16" ht="15" hidden="1" customHeight="1">
      <c r="A232" s="44"/>
      <c r="B232" s="5">
        <f t="shared" si="17"/>
        <v>45566</v>
      </c>
      <c r="C232" s="1" t="s">
        <v>533</v>
      </c>
      <c r="D232" s="195"/>
      <c r="E232" s="186"/>
      <c r="F232" s="2"/>
      <c r="G232" s="3">
        <f t="shared" si="19"/>
        <v>0</v>
      </c>
      <c r="H232" s="187"/>
      <c r="I232" s="7"/>
      <c r="J232" s="7">
        <v>1.6500000000000001E-2</v>
      </c>
      <c r="K232" s="7">
        <v>7.5999999999999998E-2</v>
      </c>
      <c r="L232" s="7">
        <v>0</v>
      </c>
      <c r="M232" s="11">
        <f t="shared" si="2"/>
        <v>0</v>
      </c>
      <c r="N232" s="11">
        <f t="shared" si="3"/>
        <v>0</v>
      </c>
      <c r="O232" s="11">
        <f t="shared" si="4"/>
        <v>0</v>
      </c>
      <c r="P232" s="11">
        <f t="shared" si="18"/>
        <v>0</v>
      </c>
    </row>
    <row r="233" spans="1:16" ht="15" hidden="1" customHeight="1">
      <c r="A233" s="44"/>
      <c r="B233" s="5">
        <f t="shared" si="17"/>
        <v>45566</v>
      </c>
      <c r="C233" s="1" t="s">
        <v>533</v>
      </c>
      <c r="D233" s="195"/>
      <c r="E233" s="186"/>
      <c r="F233" s="2"/>
      <c r="G233" s="3">
        <f t="shared" si="19"/>
        <v>0</v>
      </c>
      <c r="H233" s="187"/>
      <c r="I233" s="7"/>
      <c r="J233" s="7">
        <v>1.6500000000000001E-2</v>
      </c>
      <c r="K233" s="7">
        <v>7.5999999999999998E-2</v>
      </c>
      <c r="L233" s="7">
        <v>0</v>
      </c>
      <c r="M233" s="11">
        <f t="shared" si="2"/>
        <v>0</v>
      </c>
      <c r="N233" s="11">
        <f t="shared" si="3"/>
        <v>0</v>
      </c>
      <c r="O233" s="11">
        <f t="shared" si="4"/>
        <v>0</v>
      </c>
      <c r="P233" s="11">
        <f t="shared" si="18"/>
        <v>0</v>
      </c>
    </row>
    <row r="234" spans="1:16" ht="15" hidden="1" customHeight="1">
      <c r="A234" s="44"/>
      <c r="B234" s="5">
        <f t="shared" si="17"/>
        <v>45566</v>
      </c>
      <c r="C234" s="1" t="s">
        <v>533</v>
      </c>
      <c r="D234" s="195"/>
      <c r="E234" s="186"/>
      <c r="F234" s="2"/>
      <c r="G234" s="3">
        <f t="shared" si="19"/>
        <v>0</v>
      </c>
      <c r="H234" s="187"/>
      <c r="I234" s="7"/>
      <c r="J234" s="7">
        <v>1.6500000000000001E-2</v>
      </c>
      <c r="K234" s="7">
        <v>7.5999999999999998E-2</v>
      </c>
      <c r="L234" s="7">
        <v>0</v>
      </c>
      <c r="M234" s="11">
        <f t="shared" si="2"/>
        <v>0</v>
      </c>
      <c r="N234" s="11">
        <f t="shared" si="3"/>
        <v>0</v>
      </c>
      <c r="O234" s="11">
        <f t="shared" si="4"/>
        <v>0</v>
      </c>
      <c r="P234" s="11">
        <f t="shared" si="18"/>
        <v>0</v>
      </c>
    </row>
    <row r="235" spans="1:16" ht="15" hidden="1" customHeight="1">
      <c r="A235" s="44"/>
      <c r="B235" s="5">
        <f t="shared" si="17"/>
        <v>45566</v>
      </c>
      <c r="C235" s="1" t="s">
        <v>533</v>
      </c>
      <c r="D235" s="195"/>
      <c r="E235" s="186"/>
      <c r="F235" s="2"/>
      <c r="G235" s="3">
        <f t="shared" si="19"/>
        <v>0</v>
      </c>
      <c r="H235" s="187"/>
      <c r="I235" s="7"/>
      <c r="J235" s="7">
        <v>1.6500000000000001E-2</v>
      </c>
      <c r="K235" s="7">
        <v>7.5999999999999998E-2</v>
      </c>
      <c r="L235" s="7">
        <v>0</v>
      </c>
      <c r="M235" s="11">
        <f t="shared" si="2"/>
        <v>0</v>
      </c>
      <c r="N235" s="11">
        <f t="shared" si="3"/>
        <v>0</v>
      </c>
      <c r="O235" s="11">
        <f t="shared" si="4"/>
        <v>0</v>
      </c>
      <c r="P235" s="11">
        <f t="shared" si="18"/>
        <v>0</v>
      </c>
    </row>
    <row r="236" spans="1:16" ht="15" hidden="1" customHeight="1">
      <c r="A236" s="44"/>
      <c r="B236" s="5">
        <f t="shared" si="17"/>
        <v>45566</v>
      </c>
      <c r="C236" s="1" t="s">
        <v>533</v>
      </c>
      <c r="D236" s="195"/>
      <c r="E236" s="186"/>
      <c r="F236" s="2"/>
      <c r="G236" s="3">
        <f t="shared" si="19"/>
        <v>0</v>
      </c>
      <c r="H236" s="187"/>
      <c r="I236" s="7"/>
      <c r="J236" s="7">
        <v>1.6500000000000001E-2</v>
      </c>
      <c r="K236" s="7">
        <v>7.5999999999999998E-2</v>
      </c>
      <c r="L236" s="7">
        <v>0</v>
      </c>
      <c r="M236" s="11">
        <f t="shared" si="2"/>
        <v>0</v>
      </c>
      <c r="N236" s="11">
        <f t="shared" si="3"/>
        <v>0</v>
      </c>
      <c r="O236" s="11">
        <f t="shared" si="4"/>
        <v>0</v>
      </c>
      <c r="P236" s="11">
        <f t="shared" si="18"/>
        <v>0</v>
      </c>
    </row>
    <row r="237" spans="1:16" ht="15" hidden="1" customHeight="1">
      <c r="A237" s="44"/>
      <c r="B237" s="5">
        <f t="shared" si="17"/>
        <v>45566</v>
      </c>
      <c r="C237" s="1" t="s">
        <v>533</v>
      </c>
      <c r="D237" s="195"/>
      <c r="E237" s="186"/>
      <c r="F237" s="2"/>
      <c r="G237" s="3">
        <f t="shared" si="19"/>
        <v>0</v>
      </c>
      <c r="H237" s="187"/>
      <c r="I237" s="7"/>
      <c r="J237" s="7">
        <v>1.6500000000000001E-2</v>
      </c>
      <c r="K237" s="7">
        <v>7.5999999999999998E-2</v>
      </c>
      <c r="L237" s="7">
        <v>0</v>
      </c>
      <c r="M237" s="11">
        <f t="shared" si="2"/>
        <v>0</v>
      </c>
      <c r="N237" s="11">
        <f t="shared" si="3"/>
        <v>0</v>
      </c>
      <c r="O237" s="11">
        <f t="shared" si="4"/>
        <v>0</v>
      </c>
      <c r="P237" s="11">
        <f t="shared" si="18"/>
        <v>0</v>
      </c>
    </row>
    <row r="238" spans="1:16" ht="15" hidden="1" customHeight="1">
      <c r="A238" s="44"/>
      <c r="B238" s="5">
        <f t="shared" si="17"/>
        <v>45566</v>
      </c>
      <c r="C238" s="1" t="s">
        <v>533</v>
      </c>
      <c r="D238" s="195"/>
      <c r="E238" s="186"/>
      <c r="F238" s="2"/>
      <c r="G238" s="3">
        <f t="shared" si="19"/>
        <v>0</v>
      </c>
      <c r="H238" s="187"/>
      <c r="I238" s="7"/>
      <c r="J238" s="7">
        <v>1.6500000000000001E-2</v>
      </c>
      <c r="K238" s="7">
        <v>7.5999999999999998E-2</v>
      </c>
      <c r="L238" s="7">
        <v>0</v>
      </c>
      <c r="M238" s="11">
        <f t="shared" si="2"/>
        <v>0</v>
      </c>
      <c r="N238" s="11">
        <f t="shared" si="3"/>
        <v>0</v>
      </c>
      <c r="O238" s="11">
        <f t="shared" si="4"/>
        <v>0</v>
      </c>
      <c r="P238" s="11">
        <f t="shared" si="18"/>
        <v>0</v>
      </c>
    </row>
    <row r="239" spans="1:16" ht="15" hidden="1" customHeight="1">
      <c r="A239" s="44"/>
      <c r="B239" s="5">
        <f t="shared" si="17"/>
        <v>45566</v>
      </c>
      <c r="C239" s="1" t="s">
        <v>533</v>
      </c>
      <c r="D239" s="195"/>
      <c r="E239" s="186"/>
      <c r="F239" s="2"/>
      <c r="G239" s="3">
        <f t="shared" si="19"/>
        <v>0</v>
      </c>
      <c r="H239" s="187"/>
      <c r="I239" s="7"/>
      <c r="J239" s="7">
        <v>1.6500000000000001E-2</v>
      </c>
      <c r="K239" s="7">
        <v>7.5999999999999998E-2</v>
      </c>
      <c r="L239" s="7">
        <v>0</v>
      </c>
      <c r="M239" s="11">
        <f t="shared" si="2"/>
        <v>0</v>
      </c>
      <c r="N239" s="11">
        <f t="shared" si="3"/>
        <v>0</v>
      </c>
      <c r="O239" s="11">
        <f t="shared" si="4"/>
        <v>0</v>
      </c>
      <c r="P239" s="11">
        <f t="shared" si="18"/>
        <v>0</v>
      </c>
    </row>
    <row r="240" spans="1:16" ht="15" hidden="1" customHeight="1">
      <c r="A240" s="44"/>
      <c r="B240" s="5">
        <f t="shared" si="17"/>
        <v>45566</v>
      </c>
      <c r="C240" s="1" t="s">
        <v>533</v>
      </c>
      <c r="D240" s="195"/>
      <c r="E240" s="186"/>
      <c r="F240" s="2"/>
      <c r="G240" s="3">
        <f t="shared" si="19"/>
        <v>0</v>
      </c>
      <c r="H240" s="187"/>
      <c r="I240" s="7"/>
      <c r="J240" s="7">
        <v>1.6500000000000001E-2</v>
      </c>
      <c r="K240" s="7">
        <v>7.5999999999999998E-2</v>
      </c>
      <c r="L240" s="7">
        <v>0</v>
      </c>
      <c r="M240" s="11">
        <f t="shared" si="2"/>
        <v>0</v>
      </c>
      <c r="N240" s="11">
        <f t="shared" si="3"/>
        <v>0</v>
      </c>
      <c r="O240" s="11">
        <f t="shared" si="4"/>
        <v>0</v>
      </c>
      <c r="P240" s="11">
        <f t="shared" si="18"/>
        <v>0</v>
      </c>
    </row>
    <row r="241" spans="1:16" ht="15" hidden="1" customHeight="1">
      <c r="A241" s="44"/>
      <c r="B241" s="5">
        <f t="shared" si="17"/>
        <v>45566</v>
      </c>
      <c r="C241" s="1" t="s">
        <v>533</v>
      </c>
      <c r="D241" s="195"/>
      <c r="E241" s="186"/>
      <c r="F241" s="2"/>
      <c r="G241" s="3">
        <f t="shared" si="19"/>
        <v>0</v>
      </c>
      <c r="H241" s="187"/>
      <c r="I241" s="7"/>
      <c r="J241" s="7">
        <v>1.6500000000000001E-2</v>
      </c>
      <c r="K241" s="7">
        <v>7.5999999999999998E-2</v>
      </c>
      <c r="L241" s="7">
        <v>0</v>
      </c>
      <c r="M241" s="11">
        <f t="shared" si="2"/>
        <v>0</v>
      </c>
      <c r="N241" s="11">
        <f t="shared" si="3"/>
        <v>0</v>
      </c>
      <c r="O241" s="11">
        <f t="shared" si="4"/>
        <v>0</v>
      </c>
      <c r="P241" s="11">
        <f t="shared" si="18"/>
        <v>0</v>
      </c>
    </row>
    <row r="242" spans="1:16" ht="15" hidden="1" customHeight="1">
      <c r="A242" s="44"/>
      <c r="B242" s="5">
        <f t="shared" si="17"/>
        <v>45566</v>
      </c>
      <c r="C242" s="1" t="s">
        <v>533</v>
      </c>
      <c r="D242" s="195"/>
      <c r="E242" s="186"/>
      <c r="F242" s="2"/>
      <c r="G242" s="3">
        <f t="shared" si="19"/>
        <v>0</v>
      </c>
      <c r="H242" s="187"/>
      <c r="I242" s="7"/>
      <c r="J242" s="7">
        <v>1.6500000000000001E-2</v>
      </c>
      <c r="K242" s="7">
        <v>7.5999999999999998E-2</v>
      </c>
      <c r="L242" s="7">
        <v>0</v>
      </c>
      <c r="M242" s="11">
        <f t="shared" si="2"/>
        <v>0</v>
      </c>
      <c r="N242" s="11">
        <f t="shared" si="3"/>
        <v>0</v>
      </c>
      <c r="O242" s="11">
        <f t="shared" si="4"/>
        <v>0</v>
      </c>
      <c r="P242" s="11">
        <f t="shared" si="18"/>
        <v>0</v>
      </c>
    </row>
    <row r="243" spans="1:16" ht="15" hidden="1" customHeight="1">
      <c r="A243" s="44"/>
      <c r="B243" s="5">
        <f t="shared" ref="B243:B249" si="20">B242</f>
        <v>45566</v>
      </c>
      <c r="C243" s="1" t="s">
        <v>533</v>
      </c>
      <c r="D243" s="195"/>
      <c r="E243" s="186"/>
      <c r="F243" s="2"/>
      <c r="G243" s="3">
        <f t="shared" si="19"/>
        <v>0</v>
      </c>
      <c r="H243" s="187"/>
      <c r="I243" s="7"/>
      <c r="J243" s="7">
        <v>1.6500000000000001E-2</v>
      </c>
      <c r="K243" s="7">
        <v>7.5999999999999998E-2</v>
      </c>
      <c r="L243" s="7">
        <v>0</v>
      </c>
      <c r="M243" s="11">
        <f t="shared" si="2"/>
        <v>0</v>
      </c>
      <c r="N243" s="11">
        <f t="shared" si="3"/>
        <v>0</v>
      </c>
      <c r="O243" s="11">
        <f t="shared" si="4"/>
        <v>0</v>
      </c>
      <c r="P243" s="11">
        <f t="shared" si="18"/>
        <v>0</v>
      </c>
    </row>
    <row r="244" spans="1:16" ht="15" hidden="1" customHeight="1">
      <c r="A244" s="44"/>
      <c r="B244" s="5">
        <f t="shared" si="20"/>
        <v>45566</v>
      </c>
      <c r="C244" s="1" t="s">
        <v>533</v>
      </c>
      <c r="D244" s="195"/>
      <c r="E244" s="186"/>
      <c r="F244" s="2"/>
      <c r="G244" s="3">
        <f t="shared" si="19"/>
        <v>0</v>
      </c>
      <c r="H244" s="187"/>
      <c r="I244" s="7"/>
      <c r="J244" s="7">
        <v>1.6500000000000001E-2</v>
      </c>
      <c r="K244" s="7">
        <v>7.5999999999999998E-2</v>
      </c>
      <c r="L244" s="7">
        <v>0</v>
      </c>
      <c r="M244" s="11">
        <f t="shared" si="2"/>
        <v>0</v>
      </c>
      <c r="N244" s="11">
        <f t="shared" si="3"/>
        <v>0</v>
      </c>
      <c r="O244" s="11">
        <f t="shared" si="4"/>
        <v>0</v>
      </c>
      <c r="P244" s="11">
        <f t="shared" si="18"/>
        <v>0</v>
      </c>
    </row>
    <row r="245" spans="1:16" ht="15" hidden="1" customHeight="1">
      <c r="A245" s="44"/>
      <c r="B245" s="5">
        <f t="shared" si="20"/>
        <v>45566</v>
      </c>
      <c r="C245" s="1" t="s">
        <v>533</v>
      </c>
      <c r="D245" s="195"/>
      <c r="E245" s="186"/>
      <c r="F245" s="2"/>
      <c r="G245" s="3">
        <f t="shared" si="19"/>
        <v>0</v>
      </c>
      <c r="H245" s="187"/>
      <c r="I245" s="7"/>
      <c r="J245" s="7">
        <v>1.6500000000000001E-2</v>
      </c>
      <c r="K245" s="7">
        <v>7.5999999999999998E-2</v>
      </c>
      <c r="L245" s="7">
        <v>0</v>
      </c>
      <c r="M245" s="11">
        <f t="shared" si="2"/>
        <v>0</v>
      </c>
      <c r="N245" s="11">
        <f t="shared" si="3"/>
        <v>0</v>
      </c>
      <c r="O245" s="11">
        <f t="shared" si="4"/>
        <v>0</v>
      </c>
      <c r="P245" s="11">
        <f t="shared" si="18"/>
        <v>0</v>
      </c>
    </row>
    <row r="246" spans="1:16" ht="15" hidden="1" customHeight="1">
      <c r="A246" s="44"/>
      <c r="B246" s="5">
        <f t="shared" si="20"/>
        <v>45566</v>
      </c>
      <c r="C246" s="1" t="s">
        <v>533</v>
      </c>
      <c r="D246" s="195"/>
      <c r="E246" s="186"/>
      <c r="F246" s="2"/>
      <c r="G246" s="3">
        <f t="shared" si="19"/>
        <v>0</v>
      </c>
      <c r="H246" s="187"/>
      <c r="I246" s="7"/>
      <c r="J246" s="7">
        <v>1.6500000000000001E-2</v>
      </c>
      <c r="K246" s="7">
        <v>7.5999999999999998E-2</v>
      </c>
      <c r="L246" s="7">
        <v>0</v>
      </c>
      <c r="M246" s="11">
        <f t="shared" si="2"/>
        <v>0</v>
      </c>
      <c r="N246" s="11">
        <f t="shared" si="3"/>
        <v>0</v>
      </c>
      <c r="O246" s="11">
        <f t="shared" si="4"/>
        <v>0</v>
      </c>
      <c r="P246" s="11">
        <f t="shared" si="18"/>
        <v>0</v>
      </c>
    </row>
    <row r="247" spans="1:16" ht="15" hidden="1" customHeight="1">
      <c r="A247" s="44"/>
      <c r="B247" s="5">
        <f t="shared" si="20"/>
        <v>45566</v>
      </c>
      <c r="C247" s="1" t="s">
        <v>533</v>
      </c>
      <c r="D247" s="195"/>
      <c r="E247" s="186"/>
      <c r="F247" s="2"/>
      <c r="G247" s="3">
        <f t="shared" si="15"/>
        <v>0</v>
      </c>
      <c r="H247" s="187"/>
      <c r="I247" s="7"/>
      <c r="J247" s="7">
        <v>1.6500000000000001E-2</v>
      </c>
      <c r="K247" s="7">
        <v>7.5999999999999998E-2</v>
      </c>
      <c r="L247" s="7">
        <v>0</v>
      </c>
      <c r="M247" s="11">
        <f t="shared" si="2"/>
        <v>0</v>
      </c>
      <c r="N247" s="11">
        <f t="shared" si="3"/>
        <v>0</v>
      </c>
      <c r="O247" s="11">
        <f t="shared" si="4"/>
        <v>0</v>
      </c>
      <c r="P247" s="11">
        <f t="shared" si="18"/>
        <v>0</v>
      </c>
    </row>
    <row r="248" spans="1:16" ht="15" hidden="1" customHeight="1">
      <c r="A248" s="44"/>
      <c r="B248" s="5">
        <f t="shared" si="20"/>
        <v>45566</v>
      </c>
      <c r="C248" s="1" t="s">
        <v>533</v>
      </c>
      <c r="D248" s="195"/>
      <c r="E248" s="186"/>
      <c r="F248" s="2"/>
      <c r="G248" s="3">
        <f t="shared" si="15"/>
        <v>0</v>
      </c>
      <c r="H248" s="187"/>
      <c r="I248" s="7"/>
      <c r="J248" s="7">
        <v>1.6500000000000001E-2</v>
      </c>
      <c r="K248" s="7">
        <v>7.5999999999999998E-2</v>
      </c>
      <c r="L248" s="7">
        <v>0</v>
      </c>
      <c r="M248" s="11">
        <f t="shared" si="2"/>
        <v>0</v>
      </c>
      <c r="N248" s="11">
        <f t="shared" si="3"/>
        <v>0</v>
      </c>
      <c r="O248" s="11">
        <f t="shared" si="4"/>
        <v>0</v>
      </c>
      <c r="P248" s="11">
        <f t="shared" si="18"/>
        <v>0</v>
      </c>
    </row>
    <row r="249" spans="1:16" hidden="1">
      <c r="A249" s="44"/>
      <c r="B249" s="5">
        <f t="shared" si="20"/>
        <v>45566</v>
      </c>
      <c r="C249" s="1" t="s">
        <v>533</v>
      </c>
      <c r="D249" s="195"/>
      <c r="E249" s="186"/>
      <c r="F249" s="2"/>
      <c r="G249" s="3">
        <f t="shared" si="15"/>
        <v>0</v>
      </c>
      <c r="H249" s="187"/>
      <c r="I249" s="7"/>
      <c r="J249" s="7">
        <v>1.6500000000000001E-2</v>
      </c>
      <c r="K249" s="7">
        <v>7.5999999999999998E-2</v>
      </c>
      <c r="L249" s="7">
        <v>0</v>
      </c>
      <c r="M249" s="11">
        <f t="shared" si="2"/>
        <v>0</v>
      </c>
      <c r="N249" s="11">
        <f t="shared" si="3"/>
        <v>0</v>
      </c>
      <c r="O249" s="11">
        <f t="shared" si="4"/>
        <v>0</v>
      </c>
      <c r="P249" s="11">
        <f t="shared" si="18"/>
        <v>0</v>
      </c>
    </row>
    <row r="250" spans="1:16">
      <c r="B250" s="5"/>
      <c r="C250" s="1"/>
      <c r="E250" s="1"/>
      <c r="F250" s="2"/>
      <c r="G250" s="4"/>
      <c r="H250" s="4"/>
      <c r="I250" s="7"/>
      <c r="J250" s="7"/>
      <c r="K250" s="7"/>
      <c r="L250" s="7"/>
    </row>
    <row r="251" spans="1:16">
      <c r="E251" s="28">
        <f>SUM(E19:E250)</f>
        <v>47407026.880000003</v>
      </c>
      <c r="F251" s="133"/>
      <c r="G251" s="29">
        <f>SUM(G19:G250)</f>
        <v>114302662.22617282</v>
      </c>
    </row>
    <row r="252" spans="1:16">
      <c r="E252" s="137"/>
      <c r="F252" s="41"/>
    </row>
    <row r="253" spans="1:16" ht="15.75" thickBot="1"/>
    <row r="254" spans="1:16">
      <c r="B254" s="391" t="s">
        <v>586</v>
      </c>
      <c r="C254" s="383"/>
      <c r="D254" s="383"/>
      <c r="E254" s="383"/>
      <c r="F254" s="383"/>
      <c r="G254" s="383"/>
      <c r="H254" s="383"/>
      <c r="I254" s="383"/>
      <c r="J254" s="383"/>
      <c r="K254" s="383"/>
      <c r="L254" s="383"/>
      <c r="M254" s="383"/>
      <c r="N254" s="383"/>
      <c r="O254" s="384"/>
    </row>
    <row r="255" spans="1:16">
      <c r="B255" s="385"/>
      <c r="C255" s="386"/>
      <c r="D255" s="386"/>
      <c r="E255" s="386"/>
      <c r="F255" s="386"/>
      <c r="G255" s="386"/>
      <c r="H255" s="386"/>
      <c r="I255" s="386"/>
      <c r="J255" s="386"/>
      <c r="K255" s="386"/>
      <c r="L255" s="386"/>
      <c r="M255" s="386"/>
      <c r="N255" s="386"/>
      <c r="O255" s="387"/>
    </row>
    <row r="256" spans="1:16">
      <c r="B256" s="385"/>
      <c r="C256" s="386"/>
      <c r="D256" s="386"/>
      <c r="E256" s="386"/>
      <c r="F256" s="386"/>
      <c r="G256" s="386"/>
      <c r="H256" s="386"/>
      <c r="I256" s="386"/>
      <c r="J256" s="386"/>
      <c r="K256" s="386"/>
      <c r="L256" s="386"/>
      <c r="M256" s="386"/>
      <c r="N256" s="386"/>
      <c r="O256" s="387"/>
    </row>
    <row r="257" spans="2:15">
      <c r="B257" s="385"/>
      <c r="C257" s="386"/>
      <c r="D257" s="386"/>
      <c r="E257" s="386"/>
      <c r="F257" s="386"/>
      <c r="G257" s="386"/>
      <c r="H257" s="386"/>
      <c r="I257" s="386"/>
      <c r="J257" s="386"/>
      <c r="K257" s="386"/>
      <c r="L257" s="386"/>
      <c r="M257" s="386"/>
      <c r="N257" s="386"/>
      <c r="O257" s="387"/>
    </row>
    <row r="258" spans="2:15" ht="27" customHeight="1">
      <c r="B258" s="385"/>
      <c r="C258" s="386"/>
      <c r="D258" s="386"/>
      <c r="E258" s="386"/>
      <c r="F258" s="386"/>
      <c r="G258" s="386"/>
      <c r="H258" s="386"/>
      <c r="I258" s="386"/>
      <c r="J258" s="386"/>
      <c r="K258" s="386"/>
      <c r="L258" s="386"/>
      <c r="M258" s="386"/>
      <c r="N258" s="386"/>
      <c r="O258" s="387"/>
    </row>
    <row r="259" spans="2:15" ht="44.25" customHeight="1" thickBot="1">
      <c r="B259" s="388"/>
      <c r="C259" s="389"/>
      <c r="D259" s="389"/>
      <c r="E259" s="389"/>
      <c r="F259" s="389"/>
      <c r="G259" s="389"/>
      <c r="H259" s="389"/>
      <c r="I259" s="389"/>
      <c r="J259" s="389"/>
      <c r="K259" s="389"/>
      <c r="L259" s="389"/>
      <c r="M259" s="389"/>
      <c r="N259" s="389"/>
      <c r="O259" s="390"/>
    </row>
  </sheetData>
  <mergeCells count="3">
    <mergeCell ref="C2:M2"/>
    <mergeCell ref="M17:P17"/>
    <mergeCell ref="B254:O259"/>
  </mergeCells>
  <conditionalFormatting sqref="D1:D1048576">
    <cfRule type="duplicateValues" dxfId="91" priority="1"/>
    <cfRule type="duplicateValues" dxfId="90" priority="2"/>
  </conditionalFormatting>
  <conditionalFormatting sqref="D7 D10">
    <cfRule type="duplicateValues" dxfId="89" priority="3"/>
  </conditionalFormatting>
  <conditionalFormatting sqref="D19:D112">
    <cfRule type="duplicateValues" dxfId="88" priority="5"/>
  </conditionalFormatting>
  <conditionalFormatting sqref="D253:D1048576 D1:D251">
    <cfRule type="duplicateValues" dxfId="87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FCF6-D3B4-4289-B0CD-DCC0946403B1}">
  <sheetPr>
    <pageSetUpPr fitToPage="1"/>
  </sheetPr>
  <dimension ref="A2:P186"/>
  <sheetViews>
    <sheetView showGridLines="0" topLeftCell="A12" zoomScale="90" zoomScaleNormal="90" workbookViewId="0">
      <selection activeCell="E41" sqref="E41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3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3" ht="23.25">
      <c r="C3" s="13">
        <v>45597</v>
      </c>
    </row>
    <row r="5" spans="3:13">
      <c r="C5" t="s">
        <v>17</v>
      </c>
      <c r="D5" s="14">
        <f t="shared" ref="D5:D11" ca="1" si="0">SUMIF($C$19:$G$176,$C$5:$C$11,$G$19:$G$176)/SUMIF($C$19:$G$176,$C$5:$C$11,$E$19:$E$176)</f>
        <v>2.3652782534760957</v>
      </c>
    </row>
    <row r="6" spans="3:13">
      <c r="C6" t="s">
        <v>440</v>
      </c>
      <c r="D6" s="14">
        <f t="shared" ca="1" si="0"/>
        <v>2.1766959225</v>
      </c>
    </row>
    <row r="7" spans="3:13">
      <c r="C7" t="s">
        <v>491</v>
      </c>
      <c r="D7" s="14">
        <f t="shared" ca="1" si="0"/>
        <v>2.1579769207479993</v>
      </c>
    </row>
    <row r="8" spans="3:13">
      <c r="C8" t="s">
        <v>756</v>
      </c>
      <c r="D8" s="14">
        <f t="shared" ca="1" si="0"/>
        <v>3.4667716167935363</v>
      </c>
      <c r="I8" s="19"/>
    </row>
    <row r="9" spans="3:13">
      <c r="C9" t="s">
        <v>757</v>
      </c>
      <c r="D9" s="14">
        <f t="shared" ca="1" si="0"/>
        <v>3.8598243810691386</v>
      </c>
      <c r="E9" s="14"/>
      <c r="F9" s="32"/>
      <c r="H9" s="137"/>
      <c r="I9" s="19"/>
    </row>
    <row r="10" spans="3:13">
      <c r="C10" t="s">
        <v>534</v>
      </c>
      <c r="D10" s="14" t="e">
        <f t="shared" ca="1" si="0"/>
        <v>#DIV/0!</v>
      </c>
    </row>
    <row r="11" spans="3:13">
      <c r="C11" t="s">
        <v>533</v>
      </c>
      <c r="D11" s="14" t="e">
        <f t="shared" ca="1" si="0"/>
        <v>#DIV/0!</v>
      </c>
    </row>
    <row r="12" spans="3:13">
      <c r="C12" s="30" t="s">
        <v>129</v>
      </c>
      <c r="D12" s="31">
        <f>+G178/E178</f>
        <v>2.3925991608408261</v>
      </c>
    </row>
    <row r="13" spans="3:13">
      <c r="D13" s="19"/>
    </row>
    <row r="14" spans="3:13">
      <c r="D14" s="22"/>
    </row>
    <row r="16" spans="3:13">
      <c r="E16" s="137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 ht="18.75" customHeight="1">
      <c r="A19" s="44"/>
      <c r="B19" s="5">
        <f>C3</f>
        <v>45597</v>
      </c>
      <c r="C19" s="1" t="s">
        <v>17</v>
      </c>
      <c r="D19" s="194" t="s">
        <v>780</v>
      </c>
      <c r="E19" s="1">
        <v>10913705</v>
      </c>
      <c r="F19" s="2">
        <v>33107365.050000001</v>
      </c>
      <c r="G19" s="3">
        <f t="shared" ref="G19:G37" si="1">F19-SUM(M19:P19)</f>
        <v>26439541.72893</v>
      </c>
      <c r="H19" s="202">
        <f>+IF(G19=0,0,G19/E19)</f>
        <v>2.4225999996270744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ref="M19:M176" si="2">+I19*F19</f>
        <v>3972883.8059999999</v>
      </c>
      <c r="N19" s="11">
        <f t="shared" ref="N19:N176" si="3">J19*(F19-M19)</f>
        <v>480718.94052600005</v>
      </c>
      <c r="O19" s="11">
        <f t="shared" ref="O19:O176" si="4">K19*(F19-M19)</f>
        <v>2214220.574544</v>
      </c>
      <c r="P19" s="11">
        <f t="shared" ref="P19:P132" si="5">L19*(F19)</f>
        <v>0</v>
      </c>
    </row>
    <row r="20" spans="1:16">
      <c r="A20" s="44"/>
      <c r="B20" s="5">
        <f>B19</f>
        <v>45597</v>
      </c>
      <c r="C20" s="1" t="s">
        <v>17</v>
      </c>
      <c r="D20" s="194" t="s">
        <v>781</v>
      </c>
      <c r="E20" s="1">
        <v>20431</v>
      </c>
      <c r="F20" s="2">
        <v>58228.1</v>
      </c>
      <c r="G20" s="3">
        <f t="shared" si="1"/>
        <v>46500.960659999997</v>
      </c>
      <c r="H20" s="202">
        <f t="shared" ref="H20:H38" si="6">+IF(G20=0,0,G20/E20)</f>
        <v>2.2760002280847731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6987.3719999999994</v>
      </c>
      <c r="N20" s="11">
        <f t="shared" si="3"/>
        <v>845.47201200000006</v>
      </c>
      <c r="O20" s="11">
        <f t="shared" si="4"/>
        <v>3894.2953280000002</v>
      </c>
      <c r="P20" s="11">
        <f t="shared" si="5"/>
        <v>0</v>
      </c>
    </row>
    <row r="21" spans="1:16">
      <c r="A21" s="44"/>
      <c r="B21" s="5">
        <f t="shared" ref="B21:B38" si="7">B20</f>
        <v>45597</v>
      </c>
      <c r="C21" s="1" t="s">
        <v>17</v>
      </c>
      <c r="D21" s="194" t="s">
        <v>782</v>
      </c>
      <c r="E21" s="1">
        <v>6551</v>
      </c>
      <c r="F21" s="2">
        <v>26324.31</v>
      </c>
      <c r="G21" s="3">
        <f t="shared" si="1"/>
        <v>22217.059532250001</v>
      </c>
      <c r="H21" s="202">
        <f>+IF(G21=0,0,G21/E21)</f>
        <v>3.3913997148908566</v>
      </c>
      <c r="I21" s="200">
        <v>7.0000000000000007E-2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1842.7017000000003</v>
      </c>
      <c r="N21" s="11">
        <f t="shared" si="3"/>
        <v>403.94653695</v>
      </c>
      <c r="O21" s="11">
        <f t="shared" si="4"/>
        <v>1860.6022307999999</v>
      </c>
      <c r="P21" s="11">
        <f t="shared" si="5"/>
        <v>0</v>
      </c>
    </row>
    <row r="22" spans="1:16">
      <c r="A22" s="44"/>
      <c r="B22" s="5">
        <f t="shared" si="7"/>
        <v>45597</v>
      </c>
      <c r="C22" s="1" t="s">
        <v>17</v>
      </c>
      <c r="D22" s="214" t="s">
        <v>783</v>
      </c>
      <c r="E22" s="1">
        <v>7127720</v>
      </c>
      <c r="F22" s="2">
        <v>20313912.75</v>
      </c>
      <c r="G22" s="3">
        <f t="shared" si="1"/>
        <v>16222690.722150002</v>
      </c>
      <c r="H22" s="202">
        <f>+IF(G22=0,0,G22/E22)</f>
        <v>2.2760000003016394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2437669.5299999998</v>
      </c>
      <c r="N22" s="11">
        <f t="shared" si="3"/>
        <v>294958.01312999998</v>
      </c>
      <c r="O22" s="11">
        <f t="shared" si="4"/>
        <v>1358594.4847199998</v>
      </c>
      <c r="P22" s="11">
        <f t="shared" si="5"/>
        <v>0</v>
      </c>
    </row>
    <row r="23" spans="1:16">
      <c r="A23" s="44"/>
      <c r="B23" s="5">
        <f t="shared" si="7"/>
        <v>45597</v>
      </c>
      <c r="C23" s="1" t="s">
        <v>17</v>
      </c>
      <c r="D23" s="195" t="s">
        <v>784</v>
      </c>
      <c r="E23" s="1">
        <v>14307998</v>
      </c>
      <c r="F23" s="2">
        <v>41070595.630000003</v>
      </c>
      <c r="G23" s="3">
        <f t="shared" si="1"/>
        <v>34662555.946829252</v>
      </c>
      <c r="H23" s="202">
        <f t="shared" si="6"/>
        <v>2.4225999994429168</v>
      </c>
      <c r="I23" s="200">
        <v>7.0000000000000007E-2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2874941.6941000004</v>
      </c>
      <c r="N23" s="11">
        <f t="shared" si="3"/>
        <v>630228.28994235012</v>
      </c>
      <c r="O23" s="11">
        <f t="shared" si="4"/>
        <v>2902869.6991284001</v>
      </c>
      <c r="P23" s="11">
        <f t="shared" si="5"/>
        <v>0</v>
      </c>
    </row>
    <row r="24" spans="1:16">
      <c r="A24" s="44"/>
      <c r="B24" s="5">
        <f t="shared" si="7"/>
        <v>45597</v>
      </c>
      <c r="C24" s="1" t="s">
        <v>17</v>
      </c>
      <c r="D24" s="194" t="s">
        <v>785</v>
      </c>
      <c r="E24" s="1">
        <v>44410</v>
      </c>
      <c r="F24" s="2">
        <v>134720.35</v>
      </c>
      <c r="G24" s="3">
        <f t="shared" si="1"/>
        <v>107587.67151</v>
      </c>
      <c r="H24" s="202">
        <f t="shared" si="6"/>
        <v>2.4226001240711552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16166.442000000001</v>
      </c>
      <c r="N24" s="11">
        <f t="shared" si="3"/>
        <v>1956.1394820000003</v>
      </c>
      <c r="O24" s="11">
        <f t="shared" si="4"/>
        <v>9010.0970080000006</v>
      </c>
      <c r="P24" s="11">
        <f t="shared" si="5"/>
        <v>0</v>
      </c>
    </row>
    <row r="25" spans="1:16">
      <c r="A25" s="44"/>
      <c r="B25" s="5">
        <f t="shared" si="7"/>
        <v>45597</v>
      </c>
      <c r="C25" s="1" t="s">
        <v>17</v>
      </c>
      <c r="D25" s="194" t="s">
        <v>786</v>
      </c>
      <c r="E25" s="1">
        <v>10003</v>
      </c>
      <c r="F25" s="2">
        <v>28508.43</v>
      </c>
      <c r="G25" s="3">
        <f t="shared" si="1"/>
        <v>22766.832198</v>
      </c>
      <c r="H25" s="202">
        <f t="shared" si="6"/>
        <v>2.2760004196740979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3421.0115999999998</v>
      </c>
      <c r="N25" s="11">
        <f t="shared" si="3"/>
        <v>413.94240360000003</v>
      </c>
      <c r="O25" s="11">
        <f t="shared" si="4"/>
        <v>1906.6437984000002</v>
      </c>
      <c r="P25" s="11">
        <f t="shared" si="5"/>
        <v>0</v>
      </c>
    </row>
    <row r="26" spans="1:16">
      <c r="A26" s="44"/>
      <c r="B26" s="5">
        <f t="shared" si="7"/>
        <v>45597</v>
      </c>
      <c r="C26" s="1" t="s">
        <v>17</v>
      </c>
      <c r="D26" s="196" t="s">
        <v>787</v>
      </c>
      <c r="E26" s="1">
        <v>28047</v>
      </c>
      <c r="F26" s="2">
        <v>85082.22</v>
      </c>
      <c r="G26" s="3">
        <f t="shared" si="1"/>
        <v>67946.660892</v>
      </c>
      <c r="H26" s="202">
        <f t="shared" si="6"/>
        <v>2.4225999533639961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10209.866399999999</v>
      </c>
      <c r="N26" s="11">
        <f t="shared" si="3"/>
        <v>1235.3938344000001</v>
      </c>
      <c r="O26" s="11">
        <f t="shared" si="4"/>
        <v>5690.2988735999998</v>
      </c>
      <c r="P26" s="11">
        <f t="shared" si="5"/>
        <v>0</v>
      </c>
    </row>
    <row r="27" spans="1:16">
      <c r="A27" s="44"/>
      <c r="B27" s="5">
        <f t="shared" si="7"/>
        <v>45597</v>
      </c>
      <c r="C27" s="1" t="s">
        <v>17</v>
      </c>
      <c r="D27" s="194" t="s">
        <v>788</v>
      </c>
      <c r="E27" s="1">
        <v>9157438</v>
      </c>
      <c r="F27" s="2">
        <v>24695433.98</v>
      </c>
      <c r="G27" s="3">
        <f t="shared" si="1"/>
        <v>20842328.8932705</v>
      </c>
      <c r="H27" s="202">
        <f t="shared" si="6"/>
        <v>2.276000000575543</v>
      </c>
      <c r="I27" s="200">
        <v>7.0000000000000007E-2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1728680.3786000002</v>
      </c>
      <c r="N27" s="11">
        <f t="shared" si="3"/>
        <v>378951.43442310003</v>
      </c>
      <c r="O27" s="11">
        <f t="shared" si="4"/>
        <v>1745473.2737063998</v>
      </c>
      <c r="P27" s="11">
        <f t="shared" si="5"/>
        <v>0</v>
      </c>
    </row>
    <row r="28" spans="1:16" hidden="1">
      <c r="A28" s="44"/>
      <c r="B28" s="5">
        <f t="shared" si="7"/>
        <v>45597</v>
      </c>
      <c r="C28" s="1" t="s">
        <v>17</v>
      </c>
      <c r="D28" s="194"/>
      <c r="E28" s="1"/>
      <c r="F28" s="2"/>
      <c r="G28" s="3">
        <f t="shared" si="1"/>
        <v>0</v>
      </c>
      <c r="H28" s="202">
        <f t="shared" si="6"/>
        <v>0</v>
      </c>
      <c r="I28" s="200"/>
      <c r="J28" s="7">
        <v>1.6500000000000001E-2</v>
      </c>
      <c r="K28" s="7">
        <v>7.5999999999999998E-2</v>
      </c>
      <c r="L28" s="7">
        <v>0</v>
      </c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spans="1:16" hidden="1">
      <c r="A29" s="44"/>
      <c r="B29" s="5">
        <f t="shared" si="7"/>
        <v>45597</v>
      </c>
      <c r="C29" s="1" t="s">
        <v>17</v>
      </c>
      <c r="D29" s="194"/>
      <c r="E29" s="1"/>
      <c r="F29" s="2"/>
      <c r="G29" s="3">
        <f t="shared" si="1"/>
        <v>0</v>
      </c>
      <c r="H29" s="202">
        <f>+IF(G29=0,0,G29/E29)</f>
        <v>0</v>
      </c>
      <c r="I29" s="200"/>
      <c r="J29" s="7">
        <v>1.6500000000000001E-2</v>
      </c>
      <c r="K29" s="7">
        <v>7.5999999999999998E-2</v>
      </c>
      <c r="L29" s="7">
        <v>0</v>
      </c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spans="1:16" hidden="1">
      <c r="A30" s="44"/>
      <c r="B30" s="5">
        <f t="shared" si="7"/>
        <v>45597</v>
      </c>
      <c r="C30" s="1" t="s">
        <v>17</v>
      </c>
      <c r="D30" s="194"/>
      <c r="E30" s="1"/>
      <c r="F30" s="2"/>
      <c r="G30" s="3">
        <f t="shared" si="1"/>
        <v>0</v>
      </c>
      <c r="H30" s="202">
        <f>+IF(G30=0,0,G30/E30)</f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45597</v>
      </c>
      <c r="C31" s="1" t="s">
        <v>17</v>
      </c>
      <c r="D31" s="194"/>
      <c r="E31" s="1"/>
      <c r="F31" s="2"/>
      <c r="G31" s="3">
        <f t="shared" si="1"/>
        <v>0</v>
      </c>
      <c r="H31" s="202">
        <f t="shared" si="6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45597</v>
      </c>
      <c r="C32" s="1" t="s">
        <v>17</v>
      </c>
      <c r="D32" s="194"/>
      <c r="E32" s="1"/>
      <c r="F32" s="2"/>
      <c r="G32" s="3">
        <f t="shared" si="1"/>
        <v>0</v>
      </c>
      <c r="H32" s="202">
        <f t="shared" si="6"/>
        <v>0</v>
      </c>
      <c r="I32" s="200"/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>
      <c r="A33" s="44"/>
      <c r="B33" s="5">
        <f t="shared" si="7"/>
        <v>45597</v>
      </c>
      <c r="C33" s="1" t="s">
        <v>440</v>
      </c>
      <c r="D33" s="194" t="s">
        <v>794</v>
      </c>
      <c r="E33" s="1">
        <v>300000</v>
      </c>
      <c r="F33" s="2">
        <v>773730</v>
      </c>
      <c r="G33" s="3">
        <f t="shared" si="1"/>
        <v>653008.77674999996</v>
      </c>
      <c r="H33" s="202">
        <f t="shared" si="6"/>
        <v>2.1766959225</v>
      </c>
      <c r="I33" s="7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54161.100000000006</v>
      </c>
      <c r="N33" s="11">
        <f t="shared" si="3"/>
        <v>11872.886850000001</v>
      </c>
      <c r="O33" s="11">
        <f t="shared" si="4"/>
        <v>54687.236400000002</v>
      </c>
      <c r="P33" s="11">
        <f t="shared" si="5"/>
        <v>0</v>
      </c>
    </row>
    <row r="34" spans="1:16">
      <c r="A34" s="44"/>
      <c r="B34" s="5">
        <f t="shared" si="7"/>
        <v>45597</v>
      </c>
      <c r="C34" s="1" t="s">
        <v>491</v>
      </c>
      <c r="D34" s="194" t="s">
        <v>789</v>
      </c>
      <c r="E34" s="185">
        <v>3630003</v>
      </c>
      <c r="F34" s="2">
        <v>9808994.1099999994</v>
      </c>
      <c r="G34" s="3">
        <f t="shared" si="1"/>
        <v>7833462.696246</v>
      </c>
      <c r="H34" s="202">
        <f>+IF(G34=0,0,G34/E34)</f>
        <v>2.1579769207479993</v>
      </c>
      <c r="I34" s="7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1177079.2932</v>
      </c>
      <c r="N34" s="11">
        <f t="shared" si="3"/>
        <v>142426.59447720001</v>
      </c>
      <c r="O34" s="11">
        <f t="shared" si="4"/>
        <v>656025.52607679996</v>
      </c>
      <c r="P34" s="11">
        <f t="shared" si="5"/>
        <v>0</v>
      </c>
    </row>
    <row r="35" spans="1:16" hidden="1">
      <c r="A35" s="44"/>
      <c r="B35" s="5">
        <f t="shared" ref="B35:B36" si="8">B32</f>
        <v>45597</v>
      </c>
      <c r="C35" s="1" t="s">
        <v>491</v>
      </c>
      <c r="D35" s="194"/>
      <c r="E35" s="1"/>
      <c r="F35" s="2"/>
      <c r="G35" s="3">
        <f t="shared" ref="G35:G36" si="9">F35-SUM(M35:P35)</f>
        <v>0</v>
      </c>
      <c r="H35" s="202">
        <f t="shared" si="6"/>
        <v>0</v>
      </c>
      <c r="I35" s="7"/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 hidden="1">
      <c r="A36" s="44"/>
      <c r="B36" s="5">
        <f t="shared" si="8"/>
        <v>45597</v>
      </c>
      <c r="C36" s="1" t="s">
        <v>491</v>
      </c>
      <c r="D36" s="195"/>
      <c r="E36" s="118"/>
      <c r="F36" s="2"/>
      <c r="G36" s="3">
        <f t="shared" si="9"/>
        <v>0</v>
      </c>
      <c r="H36" s="202">
        <f t="shared" si="6"/>
        <v>0</v>
      </c>
      <c r="I36" s="7"/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>
      <c r="A37" s="44"/>
      <c r="B37" s="5">
        <f>B34</f>
        <v>45597</v>
      </c>
      <c r="C37" s="1" t="s">
        <v>756</v>
      </c>
      <c r="D37" s="195" t="s">
        <v>156</v>
      </c>
      <c r="E37" s="118">
        <v>894859.11</v>
      </c>
      <c r="F37" s="2">
        <v>4299977.01</v>
      </c>
      <c r="G37" s="3">
        <f t="shared" si="1"/>
        <v>3102272.1635771249</v>
      </c>
      <c r="H37" s="202">
        <f t="shared" si="6"/>
        <v>3.4667716167935363</v>
      </c>
      <c r="I37" s="7">
        <v>0.20499999999999999</v>
      </c>
      <c r="J37" s="200">
        <v>1.6500000000000001E-2</v>
      </c>
      <c r="K37" s="200">
        <v>7.5999999999999998E-2</v>
      </c>
      <c r="L37" s="200">
        <v>0</v>
      </c>
      <c r="M37" s="11">
        <f t="shared" si="2"/>
        <v>881495.28704999993</v>
      </c>
      <c r="N37" s="11">
        <f t="shared" si="3"/>
        <v>56404.948428675001</v>
      </c>
      <c r="O37" s="11">
        <f t="shared" si="4"/>
        <v>259804.61094419999</v>
      </c>
      <c r="P37" s="11">
        <f t="shared" si="5"/>
        <v>0</v>
      </c>
    </row>
    <row r="38" spans="1:16">
      <c r="A38" s="44"/>
      <c r="B38" s="5">
        <f t="shared" si="7"/>
        <v>45597</v>
      </c>
      <c r="C38" s="1" t="s">
        <v>757</v>
      </c>
      <c r="D38" s="212" t="s">
        <v>793</v>
      </c>
      <c r="E38" s="118">
        <v>118873.94</v>
      </c>
      <c r="F38" s="2">
        <v>635975.57999999996</v>
      </c>
      <c r="G38" s="3">
        <f t="shared" ref="G38" si="10">F38-SUM(M38:P38)</f>
        <v>458832.53188574995</v>
      </c>
      <c r="H38" s="202">
        <f t="shared" si="6"/>
        <v>3.8598243810691386</v>
      </c>
      <c r="I38" s="7">
        <v>0.20499999999999999</v>
      </c>
      <c r="J38" s="200">
        <v>1.6500000000000001E-2</v>
      </c>
      <c r="K38" s="200">
        <v>7.5999999999999998E-2</v>
      </c>
      <c r="L38" s="200">
        <v>0</v>
      </c>
      <c r="M38" s="11">
        <f t="shared" si="2"/>
        <v>130374.99389999999</v>
      </c>
      <c r="N38" s="11">
        <f t="shared" si="3"/>
        <v>8342.4096706500004</v>
      </c>
      <c r="O38" s="11">
        <f t="shared" si="4"/>
        <v>38425.644543599992</v>
      </c>
      <c r="P38" s="11">
        <f t="shared" si="5"/>
        <v>0</v>
      </c>
    </row>
    <row r="39" spans="1:16">
      <c r="A39" s="44"/>
      <c r="B39" s="5">
        <f>B38</f>
        <v>45597</v>
      </c>
      <c r="C39" s="1" t="s">
        <v>792</v>
      </c>
      <c r="D39" s="195" t="s">
        <v>790</v>
      </c>
      <c r="E39" s="186"/>
      <c r="F39" s="2">
        <v>198600</v>
      </c>
      <c r="G39" s="3">
        <f t="shared" ref="G39:G176" si="11">F39-SUM(M39:P39)</f>
        <v>180229.5</v>
      </c>
      <c r="H39" s="187"/>
      <c r="I39" s="193">
        <v>0</v>
      </c>
      <c r="J39" s="7">
        <v>1.6500000000000001E-2</v>
      </c>
      <c r="K39" s="7">
        <v>7.5999999999999998E-2</v>
      </c>
      <c r="L39" s="7">
        <v>0</v>
      </c>
      <c r="M39" s="11">
        <f t="shared" si="2"/>
        <v>0</v>
      </c>
      <c r="N39" s="11">
        <f t="shared" si="3"/>
        <v>3276.9</v>
      </c>
      <c r="O39" s="11">
        <f t="shared" si="4"/>
        <v>15093.6</v>
      </c>
      <c r="P39" s="11">
        <f t="shared" si="5"/>
        <v>0</v>
      </c>
    </row>
    <row r="40" spans="1:16" ht="15" hidden="1" customHeight="1">
      <c r="A40" s="44"/>
      <c r="B40" s="5">
        <f>B39</f>
        <v>45597</v>
      </c>
      <c r="C40" s="1" t="s">
        <v>533</v>
      </c>
      <c r="D40" s="195"/>
      <c r="E40" s="118"/>
      <c r="F40" s="2"/>
      <c r="G40" s="3">
        <f t="shared" si="11"/>
        <v>0</v>
      </c>
      <c r="H40" s="202">
        <f t="shared" ref="H40:H41" si="12">+IF(G40=0,0,G40/E40)</f>
        <v>0</v>
      </c>
      <c r="I40" s="7"/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 ht="15" hidden="1" customHeight="1">
      <c r="A41" s="44"/>
      <c r="B41" s="5">
        <f>B40</f>
        <v>45597</v>
      </c>
      <c r="C41" s="1" t="s">
        <v>533</v>
      </c>
      <c r="D41" s="195"/>
      <c r="E41" s="118"/>
      <c r="F41" s="2"/>
      <c r="G41" s="3">
        <f t="shared" si="11"/>
        <v>0</v>
      </c>
      <c r="H41" s="202">
        <f t="shared" si="12"/>
        <v>0</v>
      </c>
      <c r="I41" s="7"/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t="15" customHeight="1">
      <c r="A42" s="44"/>
      <c r="B42" s="5">
        <f t="shared" ref="B42:B105" si="13">B41</f>
        <v>45597</v>
      </c>
      <c r="C42" s="1" t="s">
        <v>533</v>
      </c>
      <c r="D42" s="195">
        <v>4981</v>
      </c>
      <c r="E42" s="186"/>
      <c r="F42" s="2">
        <v>144142.57</v>
      </c>
      <c r="G42" s="3">
        <f t="shared" si="11"/>
        <v>115112.256402</v>
      </c>
      <c r="H42" s="187"/>
      <c r="I42" s="7">
        <v>0.12</v>
      </c>
      <c r="J42" s="7">
        <v>1.6500000000000001E-2</v>
      </c>
      <c r="K42" s="7">
        <v>7.5999999999999998E-2</v>
      </c>
      <c r="L42" s="7">
        <v>0</v>
      </c>
      <c r="M42" s="11">
        <f t="shared" si="2"/>
        <v>17297.108400000001</v>
      </c>
      <c r="N42" s="11">
        <f t="shared" si="3"/>
        <v>2092.9501164000003</v>
      </c>
      <c r="O42" s="11">
        <f t="shared" si="4"/>
        <v>9640.2550816000003</v>
      </c>
      <c r="P42" s="11">
        <f t="shared" si="5"/>
        <v>0</v>
      </c>
    </row>
    <row r="43" spans="1:16" ht="15" customHeight="1">
      <c r="A43" s="44"/>
      <c r="B43" s="5">
        <f t="shared" si="13"/>
        <v>45597</v>
      </c>
      <c r="C43" s="1" t="s">
        <v>533</v>
      </c>
      <c r="D43" s="195">
        <v>4982</v>
      </c>
      <c r="E43" s="186"/>
      <c r="F43" s="2">
        <v>213923.24</v>
      </c>
      <c r="G43" s="3">
        <f t="shared" si="11"/>
        <v>170839.099464</v>
      </c>
      <c r="H43" s="187"/>
      <c r="I43" s="7">
        <v>0.12</v>
      </c>
      <c r="J43" s="7">
        <v>1.6500000000000001E-2</v>
      </c>
      <c r="K43" s="7">
        <v>7.5999999999999998E-2</v>
      </c>
      <c r="L43" s="7">
        <v>0</v>
      </c>
      <c r="M43" s="11">
        <f t="shared" si="2"/>
        <v>25670.788799999998</v>
      </c>
      <c r="N43" s="11">
        <f t="shared" si="3"/>
        <v>3106.1654447999999</v>
      </c>
      <c r="O43" s="11">
        <f t="shared" si="4"/>
        <v>14307.186291199998</v>
      </c>
      <c r="P43" s="11">
        <f t="shared" si="5"/>
        <v>0</v>
      </c>
    </row>
    <row r="44" spans="1:16" ht="15" customHeight="1">
      <c r="A44" s="44"/>
      <c r="B44" s="5">
        <f t="shared" si="13"/>
        <v>45597</v>
      </c>
      <c r="C44" s="1" t="s">
        <v>533</v>
      </c>
      <c r="D44" s="195">
        <v>4984</v>
      </c>
      <c r="E44" s="186"/>
      <c r="F44" s="2">
        <v>116186.85</v>
      </c>
      <c r="G44" s="3">
        <f t="shared" si="11"/>
        <v>92786.818410000007</v>
      </c>
      <c r="H44" s="187"/>
      <c r="I44" s="7">
        <v>0.12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13942.422</v>
      </c>
      <c r="N44" s="11">
        <f t="shared" si="3"/>
        <v>1687.033062</v>
      </c>
      <c r="O44" s="11">
        <f t="shared" si="4"/>
        <v>7770.5765279999996</v>
      </c>
      <c r="P44" s="11">
        <f t="shared" si="5"/>
        <v>0</v>
      </c>
    </row>
    <row r="45" spans="1:16" ht="15" customHeight="1">
      <c r="A45" s="44"/>
      <c r="B45" s="5">
        <f t="shared" si="13"/>
        <v>45597</v>
      </c>
      <c r="C45" s="1" t="s">
        <v>533</v>
      </c>
      <c r="D45" s="195">
        <v>4985</v>
      </c>
      <c r="E45" s="186"/>
      <c r="F45" s="2">
        <v>114635.56</v>
      </c>
      <c r="G45" s="3">
        <f t="shared" si="11"/>
        <v>91547.958215999999</v>
      </c>
      <c r="H45" s="187"/>
      <c r="I45" s="7">
        <v>0.12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13756.267199999998</v>
      </c>
      <c r="N45" s="11">
        <f t="shared" si="3"/>
        <v>1664.5083311999999</v>
      </c>
      <c r="O45" s="11">
        <f t="shared" si="4"/>
        <v>7666.8262527999996</v>
      </c>
      <c r="P45" s="11">
        <f t="shared" si="5"/>
        <v>0</v>
      </c>
    </row>
    <row r="46" spans="1:16" ht="15" customHeight="1">
      <c r="A46" s="44"/>
      <c r="B46" s="5">
        <f t="shared" si="13"/>
        <v>45597</v>
      </c>
      <c r="C46" s="1" t="s">
        <v>533</v>
      </c>
      <c r="D46" s="195">
        <v>4986</v>
      </c>
      <c r="E46" s="186"/>
      <c r="F46" s="2">
        <v>55893.57</v>
      </c>
      <c r="G46" s="3">
        <f t="shared" si="11"/>
        <v>44636.605001999997</v>
      </c>
      <c r="H46" s="187"/>
      <c r="I46" s="7">
        <v>0.12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6707.2284</v>
      </c>
      <c r="N46" s="11">
        <f t="shared" si="3"/>
        <v>811.57463640000003</v>
      </c>
      <c r="O46" s="11">
        <f t="shared" si="4"/>
        <v>3738.1619615999998</v>
      </c>
      <c r="P46" s="11">
        <f t="shared" si="5"/>
        <v>0</v>
      </c>
    </row>
    <row r="47" spans="1:16" ht="15" customHeight="1">
      <c r="A47" s="44"/>
      <c r="B47" s="5">
        <f t="shared" si="13"/>
        <v>45597</v>
      </c>
      <c r="C47" s="1" t="s">
        <v>533</v>
      </c>
      <c r="D47" s="195">
        <v>4987</v>
      </c>
      <c r="E47" s="186"/>
      <c r="F47" s="2">
        <v>29069.97</v>
      </c>
      <c r="G47" s="3">
        <f t="shared" si="11"/>
        <v>23215.278042000002</v>
      </c>
      <c r="H47" s="187"/>
      <c r="I47" s="7">
        <v>0.12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3488.3964000000001</v>
      </c>
      <c r="N47" s="11">
        <f t="shared" si="3"/>
        <v>422.09596440000001</v>
      </c>
      <c r="O47" s="11">
        <f t="shared" si="4"/>
        <v>1944.1995935999998</v>
      </c>
      <c r="P47" s="11">
        <f t="shared" si="5"/>
        <v>0</v>
      </c>
    </row>
    <row r="48" spans="1:16" ht="15" customHeight="1">
      <c r="A48" s="44"/>
      <c r="B48" s="5">
        <f t="shared" si="13"/>
        <v>45597</v>
      </c>
      <c r="C48" s="1" t="s">
        <v>533</v>
      </c>
      <c r="D48" s="195">
        <v>4983</v>
      </c>
      <c r="E48" s="186"/>
      <c r="F48" s="2">
        <v>38991.43</v>
      </c>
      <c r="G48" s="3">
        <f t="shared" si="11"/>
        <v>31138.555998</v>
      </c>
      <c r="H48" s="187"/>
      <c r="I48" s="7">
        <v>0.12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4678.9715999999999</v>
      </c>
      <c r="N48" s="11">
        <f t="shared" si="3"/>
        <v>566.15556360000005</v>
      </c>
      <c r="O48" s="11">
        <f t="shared" si="4"/>
        <v>2607.7468384000003</v>
      </c>
      <c r="P48" s="11">
        <f t="shared" si="5"/>
        <v>0</v>
      </c>
    </row>
    <row r="49" spans="1:16" ht="15" customHeight="1">
      <c r="A49" s="44"/>
      <c r="B49" s="5">
        <f t="shared" si="13"/>
        <v>45597</v>
      </c>
      <c r="C49" s="1" t="s">
        <v>533</v>
      </c>
      <c r="D49" s="195">
        <v>4988</v>
      </c>
      <c r="E49" s="186"/>
      <c r="F49" s="2">
        <v>139689</v>
      </c>
      <c r="G49" s="3">
        <f t="shared" si="11"/>
        <v>111555.6354</v>
      </c>
      <c r="H49" s="187"/>
      <c r="I49" s="7">
        <v>0.12</v>
      </c>
      <c r="J49" s="7">
        <v>1.6500000000000001E-2</v>
      </c>
      <c r="K49" s="7">
        <v>7.5999999999999998E-2</v>
      </c>
      <c r="L49" s="7">
        <v>0</v>
      </c>
      <c r="M49" s="11">
        <f t="shared" si="2"/>
        <v>16762.68</v>
      </c>
      <c r="N49" s="11">
        <f t="shared" si="3"/>
        <v>2028.2842800000003</v>
      </c>
      <c r="O49" s="11">
        <f t="shared" si="4"/>
        <v>9342.4003200000006</v>
      </c>
      <c r="P49" s="11">
        <f t="shared" si="5"/>
        <v>0</v>
      </c>
    </row>
    <row r="50" spans="1:16" ht="15" customHeight="1">
      <c r="A50" s="44"/>
      <c r="B50" s="5">
        <f t="shared" si="13"/>
        <v>45597</v>
      </c>
      <c r="C50" s="1" t="s">
        <v>533</v>
      </c>
      <c r="D50" s="195">
        <v>18634</v>
      </c>
      <c r="E50" s="186"/>
      <c r="F50" s="2">
        <v>2709.37</v>
      </c>
      <c r="G50" s="3">
        <f t="shared" si="11"/>
        <v>2286.64054575</v>
      </c>
      <c r="H50" s="187"/>
      <c r="I50" s="7">
        <v>7.0000000000000007E-2</v>
      </c>
      <c r="J50" s="7">
        <v>1.6500000000000001E-2</v>
      </c>
      <c r="K50" s="7">
        <v>7.5999999999999998E-2</v>
      </c>
      <c r="L50" s="7">
        <v>0</v>
      </c>
      <c r="M50" s="11">
        <f t="shared" si="2"/>
        <v>189.6559</v>
      </c>
      <c r="N50" s="11">
        <f t="shared" si="3"/>
        <v>41.575282649999998</v>
      </c>
      <c r="O50" s="11">
        <f t="shared" si="4"/>
        <v>191.49827159999998</v>
      </c>
      <c r="P50" s="11">
        <f t="shared" si="5"/>
        <v>0</v>
      </c>
    </row>
    <row r="51" spans="1:16" ht="15" customHeight="1">
      <c r="A51" s="44"/>
      <c r="B51" s="5">
        <f t="shared" si="13"/>
        <v>45597</v>
      </c>
      <c r="C51" s="1" t="s">
        <v>533</v>
      </c>
      <c r="D51" s="195">
        <v>18635</v>
      </c>
      <c r="E51" s="186"/>
      <c r="F51" s="2">
        <v>4013.1</v>
      </c>
      <c r="G51" s="3">
        <f t="shared" si="11"/>
        <v>3386.9560725000001</v>
      </c>
      <c r="H51" s="187"/>
      <c r="I51" s="7">
        <v>7.0000000000000007E-2</v>
      </c>
      <c r="J51" s="7">
        <v>1.6500000000000001E-2</v>
      </c>
      <c r="K51" s="7">
        <v>7.5999999999999998E-2</v>
      </c>
      <c r="L51" s="7">
        <v>0</v>
      </c>
      <c r="M51" s="11">
        <f t="shared" si="2"/>
        <v>280.91700000000003</v>
      </c>
      <c r="N51" s="11">
        <f t="shared" si="3"/>
        <v>61.581019500000004</v>
      </c>
      <c r="O51" s="11">
        <f t="shared" si="4"/>
        <v>283.64590800000002</v>
      </c>
      <c r="P51" s="11">
        <f t="shared" si="5"/>
        <v>0</v>
      </c>
    </row>
    <row r="52" spans="1:16" ht="15" customHeight="1">
      <c r="A52" s="44"/>
      <c r="B52" s="5">
        <f t="shared" si="13"/>
        <v>45597</v>
      </c>
      <c r="C52" s="1" t="s">
        <v>533</v>
      </c>
      <c r="D52" s="195">
        <v>18636</v>
      </c>
      <c r="E52" s="186"/>
      <c r="F52" s="2">
        <v>14207.84</v>
      </c>
      <c r="G52" s="3">
        <f t="shared" si="11"/>
        <v>11991.061764</v>
      </c>
      <c r="H52" s="187"/>
      <c r="I52" s="7">
        <v>7.0000000000000007E-2</v>
      </c>
      <c r="J52" s="7">
        <v>1.6500000000000001E-2</v>
      </c>
      <c r="K52" s="7">
        <v>7.5999999999999998E-2</v>
      </c>
      <c r="L52" s="7">
        <v>0</v>
      </c>
      <c r="M52" s="11">
        <f t="shared" si="2"/>
        <v>994.54880000000014</v>
      </c>
      <c r="N52" s="11">
        <f t="shared" si="3"/>
        <v>218.01930480000001</v>
      </c>
      <c r="O52" s="11">
        <f t="shared" si="4"/>
        <v>1004.2101312</v>
      </c>
      <c r="P52" s="11">
        <f t="shared" si="5"/>
        <v>0</v>
      </c>
    </row>
    <row r="53" spans="1:16" ht="15" customHeight="1">
      <c r="A53" s="44"/>
      <c r="B53" s="5">
        <f t="shared" si="13"/>
        <v>45597</v>
      </c>
      <c r="C53" s="1" t="s">
        <v>533</v>
      </c>
      <c r="D53" s="195">
        <v>18637</v>
      </c>
      <c r="E53" s="186"/>
      <c r="F53" s="2">
        <v>14021.13</v>
      </c>
      <c r="G53" s="3">
        <f t="shared" si="11"/>
        <v>11833.48319175</v>
      </c>
      <c r="H53" s="187"/>
      <c r="I53" s="7">
        <v>7.0000000000000007E-2</v>
      </c>
      <c r="J53" s="7">
        <v>1.6500000000000001E-2</v>
      </c>
      <c r="K53" s="7">
        <v>7.5999999999999998E-2</v>
      </c>
      <c r="L53" s="7">
        <v>0</v>
      </c>
      <c r="M53" s="11">
        <f t="shared" si="2"/>
        <v>981.47910000000002</v>
      </c>
      <c r="N53" s="11">
        <f t="shared" si="3"/>
        <v>215.15423984999998</v>
      </c>
      <c r="O53" s="11">
        <f t="shared" si="4"/>
        <v>991.01346839999985</v>
      </c>
      <c r="P53" s="11">
        <f t="shared" si="5"/>
        <v>0</v>
      </c>
    </row>
    <row r="54" spans="1:16" ht="15" customHeight="1">
      <c r="A54" s="44"/>
      <c r="B54" s="5">
        <f t="shared" si="13"/>
        <v>45597</v>
      </c>
      <c r="C54" s="1" t="s">
        <v>533</v>
      </c>
      <c r="D54" s="195">
        <v>18638</v>
      </c>
      <c r="E54" s="186"/>
      <c r="F54" s="2">
        <v>6836.76</v>
      </c>
      <c r="G54" s="3">
        <f t="shared" si="11"/>
        <v>5770.054521</v>
      </c>
      <c r="H54" s="187"/>
      <c r="I54" s="7">
        <v>7.0000000000000007E-2</v>
      </c>
      <c r="J54" s="7">
        <v>1.6500000000000001E-2</v>
      </c>
      <c r="K54" s="7">
        <v>7.5999999999999998E-2</v>
      </c>
      <c r="L54" s="7">
        <v>0</v>
      </c>
      <c r="M54" s="11">
        <f t="shared" si="2"/>
        <v>478.57320000000004</v>
      </c>
      <c r="N54" s="11">
        <f t="shared" si="3"/>
        <v>104.91008220000001</v>
      </c>
      <c r="O54" s="11">
        <f t="shared" si="4"/>
        <v>483.22219680000001</v>
      </c>
      <c r="P54" s="11">
        <f t="shared" si="5"/>
        <v>0</v>
      </c>
    </row>
    <row r="55" spans="1:16" ht="15" customHeight="1">
      <c r="A55" s="44"/>
      <c r="B55" s="5">
        <f t="shared" si="13"/>
        <v>45597</v>
      </c>
      <c r="C55" s="1" t="s">
        <v>533</v>
      </c>
      <c r="D55" s="195">
        <v>18639</v>
      </c>
      <c r="E55" s="186"/>
      <c r="F55" s="2">
        <v>3552.07</v>
      </c>
      <c r="G55" s="3">
        <f t="shared" si="11"/>
        <v>2997.8582782500002</v>
      </c>
      <c r="H55" s="187"/>
      <c r="I55" s="7">
        <v>7.0000000000000007E-2</v>
      </c>
      <c r="J55" s="7">
        <v>1.6500000000000001E-2</v>
      </c>
      <c r="K55" s="7">
        <v>7.5999999999999998E-2</v>
      </c>
      <c r="L55" s="7">
        <v>0</v>
      </c>
      <c r="M55" s="11">
        <f t="shared" si="2"/>
        <v>248.64490000000004</v>
      </c>
      <c r="N55" s="11">
        <f t="shared" si="3"/>
        <v>54.506514150000001</v>
      </c>
      <c r="O55" s="11">
        <f t="shared" si="4"/>
        <v>251.06030759999999</v>
      </c>
      <c r="P55" s="11">
        <f t="shared" si="5"/>
        <v>0</v>
      </c>
    </row>
    <row r="56" spans="1:16" ht="15" customHeight="1">
      <c r="A56" s="44"/>
      <c r="B56" s="5">
        <f t="shared" si="13"/>
        <v>45597</v>
      </c>
      <c r="C56" s="1" t="s">
        <v>533</v>
      </c>
      <c r="D56" s="195">
        <v>18644</v>
      </c>
      <c r="E56" s="186"/>
      <c r="F56" s="2">
        <v>4766.0200000000004</v>
      </c>
      <c r="G56" s="3">
        <f t="shared" si="11"/>
        <v>4022.4017295000003</v>
      </c>
      <c r="H56" s="187"/>
      <c r="I56" s="7">
        <v>7.0000000000000007E-2</v>
      </c>
      <c r="J56" s="7">
        <v>1.6500000000000001E-2</v>
      </c>
      <c r="K56" s="7">
        <v>7.5999999999999998E-2</v>
      </c>
      <c r="L56" s="7">
        <v>0</v>
      </c>
      <c r="M56" s="11">
        <f t="shared" si="2"/>
        <v>333.62140000000005</v>
      </c>
      <c r="N56" s="11">
        <f t="shared" si="3"/>
        <v>73.134576900000013</v>
      </c>
      <c r="O56" s="11">
        <f t="shared" si="4"/>
        <v>336.86229360000004</v>
      </c>
      <c r="P56" s="11">
        <f t="shared" si="5"/>
        <v>0</v>
      </c>
    </row>
    <row r="57" spans="1:16" ht="15" customHeight="1">
      <c r="A57" s="44"/>
      <c r="B57" s="5">
        <f t="shared" si="13"/>
        <v>45597</v>
      </c>
      <c r="C57" s="1" t="s">
        <v>533</v>
      </c>
      <c r="D57" s="195">
        <v>18645</v>
      </c>
      <c r="E57" s="186"/>
      <c r="F57" s="2">
        <v>17118.46</v>
      </c>
      <c r="G57" s="3">
        <f t="shared" si="11"/>
        <v>14447.552278499999</v>
      </c>
      <c r="H57" s="187"/>
      <c r="I57" s="7">
        <v>7.0000000000000007E-2</v>
      </c>
      <c r="J57" s="7">
        <v>1.6500000000000001E-2</v>
      </c>
      <c r="K57" s="7">
        <v>7.5999999999999998E-2</v>
      </c>
      <c r="L57" s="7">
        <v>0</v>
      </c>
      <c r="M57" s="11">
        <f t="shared" si="2"/>
        <v>1198.2922000000001</v>
      </c>
      <c r="N57" s="11">
        <f t="shared" si="3"/>
        <v>262.6827687</v>
      </c>
      <c r="O57" s="11">
        <f t="shared" si="4"/>
        <v>1209.9327527999999</v>
      </c>
      <c r="P57" s="11">
        <f t="shared" si="5"/>
        <v>0</v>
      </c>
    </row>
    <row r="58" spans="1:16" ht="15" hidden="1" customHeight="1">
      <c r="A58" s="44"/>
      <c r="B58" s="5">
        <f t="shared" si="13"/>
        <v>45597</v>
      </c>
      <c r="C58" s="1" t="s">
        <v>533</v>
      </c>
      <c r="D58" s="195"/>
      <c r="E58" s="186"/>
      <c r="F58" s="2"/>
      <c r="G58" s="3">
        <f t="shared" si="11"/>
        <v>0</v>
      </c>
      <c r="H58" s="187"/>
      <c r="I58" s="7"/>
      <c r="J58" s="7">
        <v>1.6500000000000001E-2</v>
      </c>
      <c r="K58" s="7">
        <v>7.5999999999999998E-2</v>
      </c>
      <c r="L58" s="7">
        <v>0</v>
      </c>
      <c r="M58" s="11">
        <f t="shared" si="2"/>
        <v>0</v>
      </c>
      <c r="N58" s="11">
        <f t="shared" si="3"/>
        <v>0</v>
      </c>
      <c r="O58" s="11">
        <f t="shared" si="4"/>
        <v>0</v>
      </c>
      <c r="P58" s="11">
        <f t="shared" si="5"/>
        <v>0</v>
      </c>
    </row>
    <row r="59" spans="1:16" ht="15" hidden="1" customHeight="1">
      <c r="A59" s="44"/>
      <c r="B59" s="5">
        <f t="shared" si="13"/>
        <v>45597</v>
      </c>
      <c r="C59" s="1" t="s">
        <v>533</v>
      </c>
      <c r="D59" s="195"/>
      <c r="E59" s="186"/>
      <c r="F59" s="2"/>
      <c r="G59" s="3">
        <f t="shared" si="11"/>
        <v>0</v>
      </c>
      <c r="H59" s="187"/>
      <c r="I59" s="7"/>
      <c r="J59" s="7">
        <v>1.6500000000000001E-2</v>
      </c>
      <c r="K59" s="7">
        <v>7.5999999999999998E-2</v>
      </c>
      <c r="L59" s="7">
        <v>0</v>
      </c>
      <c r="M59" s="11">
        <f t="shared" si="2"/>
        <v>0</v>
      </c>
      <c r="N59" s="11">
        <f t="shared" si="3"/>
        <v>0</v>
      </c>
      <c r="O59" s="11">
        <f t="shared" si="4"/>
        <v>0</v>
      </c>
      <c r="P59" s="11">
        <f t="shared" si="5"/>
        <v>0</v>
      </c>
    </row>
    <row r="60" spans="1:16" ht="15" hidden="1" customHeight="1">
      <c r="A60" s="44"/>
      <c r="B60" s="5">
        <f t="shared" si="13"/>
        <v>45597</v>
      </c>
      <c r="C60" s="1" t="s">
        <v>533</v>
      </c>
      <c r="D60" s="195"/>
      <c r="E60" s="186"/>
      <c r="F60" s="2"/>
      <c r="G60" s="3">
        <f t="shared" si="11"/>
        <v>0</v>
      </c>
      <c r="H60" s="187"/>
      <c r="I60" s="7"/>
      <c r="J60" s="7">
        <v>1.6500000000000001E-2</v>
      </c>
      <c r="K60" s="7">
        <v>7.5999999999999998E-2</v>
      </c>
      <c r="L60" s="7">
        <v>0</v>
      </c>
      <c r="M60" s="11">
        <f t="shared" si="2"/>
        <v>0</v>
      </c>
      <c r="N60" s="11">
        <f t="shared" si="3"/>
        <v>0</v>
      </c>
      <c r="O60" s="11">
        <f t="shared" si="4"/>
        <v>0</v>
      </c>
      <c r="P60" s="11">
        <f t="shared" si="5"/>
        <v>0</v>
      </c>
    </row>
    <row r="61" spans="1:16" ht="15" hidden="1" customHeight="1">
      <c r="A61" s="44"/>
      <c r="B61" s="5">
        <f t="shared" si="13"/>
        <v>45597</v>
      </c>
      <c r="C61" s="1" t="s">
        <v>533</v>
      </c>
      <c r="D61" s="195"/>
      <c r="E61" s="186"/>
      <c r="F61" s="2"/>
      <c r="G61" s="3">
        <f t="shared" si="11"/>
        <v>0</v>
      </c>
      <c r="H61" s="187"/>
      <c r="I61" s="7"/>
      <c r="J61" s="7">
        <v>1.6500000000000001E-2</v>
      </c>
      <c r="K61" s="7">
        <v>7.5999999999999998E-2</v>
      </c>
      <c r="L61" s="7">
        <v>0</v>
      </c>
      <c r="M61" s="11">
        <f t="shared" si="2"/>
        <v>0</v>
      </c>
      <c r="N61" s="11">
        <f t="shared" si="3"/>
        <v>0</v>
      </c>
      <c r="O61" s="11">
        <f t="shared" si="4"/>
        <v>0</v>
      </c>
      <c r="P61" s="11">
        <f t="shared" si="5"/>
        <v>0</v>
      </c>
    </row>
    <row r="62" spans="1:16" ht="15" hidden="1" customHeight="1">
      <c r="A62" s="44"/>
      <c r="B62" s="5">
        <f t="shared" si="13"/>
        <v>45597</v>
      </c>
      <c r="C62" s="1" t="s">
        <v>533</v>
      </c>
      <c r="D62" s="195"/>
      <c r="E62" s="186"/>
      <c r="F62" s="2"/>
      <c r="G62" s="3">
        <f t="shared" si="11"/>
        <v>0</v>
      </c>
      <c r="H62" s="187"/>
      <c r="I62" s="7"/>
      <c r="J62" s="7">
        <v>1.6500000000000001E-2</v>
      </c>
      <c r="K62" s="7">
        <v>7.5999999999999998E-2</v>
      </c>
      <c r="L62" s="7">
        <v>0</v>
      </c>
      <c r="M62" s="11">
        <f t="shared" si="2"/>
        <v>0</v>
      </c>
      <c r="N62" s="11">
        <f t="shared" si="3"/>
        <v>0</v>
      </c>
      <c r="O62" s="11">
        <f t="shared" si="4"/>
        <v>0</v>
      </c>
      <c r="P62" s="11">
        <f t="shared" si="5"/>
        <v>0</v>
      </c>
    </row>
    <row r="63" spans="1:16" ht="15" hidden="1" customHeight="1">
      <c r="A63" s="44"/>
      <c r="B63" s="5">
        <f t="shared" si="13"/>
        <v>45597</v>
      </c>
      <c r="C63" s="1" t="s">
        <v>533</v>
      </c>
      <c r="D63" s="195"/>
      <c r="E63" s="186"/>
      <c r="F63" s="2"/>
      <c r="G63" s="3">
        <f t="shared" si="11"/>
        <v>0</v>
      </c>
      <c r="H63" s="187"/>
      <c r="I63" s="7"/>
      <c r="J63" s="7">
        <v>1.6500000000000001E-2</v>
      </c>
      <c r="K63" s="7">
        <v>7.5999999999999998E-2</v>
      </c>
      <c r="L63" s="7">
        <v>0</v>
      </c>
      <c r="M63" s="11">
        <f t="shared" si="2"/>
        <v>0</v>
      </c>
      <c r="N63" s="11">
        <f t="shared" si="3"/>
        <v>0</v>
      </c>
      <c r="O63" s="11">
        <f t="shared" si="4"/>
        <v>0</v>
      </c>
      <c r="P63" s="11">
        <f t="shared" si="5"/>
        <v>0</v>
      </c>
    </row>
    <row r="64" spans="1:16" ht="15" hidden="1" customHeight="1">
      <c r="A64" s="44"/>
      <c r="B64" s="5">
        <f t="shared" si="13"/>
        <v>45597</v>
      </c>
      <c r="C64" s="1" t="s">
        <v>533</v>
      </c>
      <c r="D64" s="195"/>
      <c r="E64" s="186"/>
      <c r="F64" s="2"/>
      <c r="G64" s="3">
        <f t="shared" si="11"/>
        <v>0</v>
      </c>
      <c r="H64" s="187"/>
      <c r="I64" s="7"/>
      <c r="J64" s="7">
        <v>1.6500000000000001E-2</v>
      </c>
      <c r="K64" s="7">
        <v>7.5999999999999998E-2</v>
      </c>
      <c r="L64" s="7">
        <v>0</v>
      </c>
      <c r="M64" s="11">
        <f t="shared" si="2"/>
        <v>0</v>
      </c>
      <c r="N64" s="11">
        <f t="shared" si="3"/>
        <v>0</v>
      </c>
      <c r="O64" s="11">
        <f t="shared" si="4"/>
        <v>0</v>
      </c>
      <c r="P64" s="11">
        <f t="shared" si="5"/>
        <v>0</v>
      </c>
    </row>
    <row r="65" spans="1:16" ht="15" hidden="1" customHeight="1">
      <c r="A65" s="44"/>
      <c r="B65" s="5">
        <f t="shared" si="13"/>
        <v>45597</v>
      </c>
      <c r="C65" s="1" t="s">
        <v>533</v>
      </c>
      <c r="D65" s="195"/>
      <c r="E65" s="186"/>
      <c r="F65" s="2"/>
      <c r="G65" s="3">
        <f t="shared" si="11"/>
        <v>0</v>
      </c>
      <c r="H65" s="187"/>
      <c r="I65" s="7"/>
      <c r="J65" s="7">
        <v>1.6500000000000001E-2</v>
      </c>
      <c r="K65" s="7">
        <v>7.5999999999999998E-2</v>
      </c>
      <c r="L65" s="7">
        <v>0</v>
      </c>
      <c r="M65" s="11">
        <f t="shared" si="2"/>
        <v>0</v>
      </c>
      <c r="N65" s="11">
        <f t="shared" si="3"/>
        <v>0</v>
      </c>
      <c r="O65" s="11">
        <f t="shared" si="4"/>
        <v>0</v>
      </c>
      <c r="P65" s="11">
        <f t="shared" si="5"/>
        <v>0</v>
      </c>
    </row>
    <row r="66" spans="1:16" ht="15" hidden="1" customHeight="1">
      <c r="A66" s="44"/>
      <c r="B66" s="5">
        <f t="shared" si="13"/>
        <v>45597</v>
      </c>
      <c r="C66" s="1" t="s">
        <v>533</v>
      </c>
      <c r="D66" s="195"/>
      <c r="E66" s="186"/>
      <c r="F66" s="2"/>
      <c r="G66" s="3">
        <f t="shared" si="11"/>
        <v>0</v>
      </c>
      <c r="H66" s="187"/>
      <c r="I66" s="7"/>
      <c r="J66" s="7">
        <v>1.6500000000000001E-2</v>
      </c>
      <c r="K66" s="7">
        <v>7.5999999999999998E-2</v>
      </c>
      <c r="L66" s="7">
        <v>0</v>
      </c>
      <c r="M66" s="11">
        <f t="shared" si="2"/>
        <v>0</v>
      </c>
      <c r="N66" s="11">
        <f t="shared" si="3"/>
        <v>0</v>
      </c>
      <c r="O66" s="11">
        <f t="shared" si="4"/>
        <v>0</v>
      </c>
      <c r="P66" s="11">
        <f t="shared" si="5"/>
        <v>0</v>
      </c>
    </row>
    <row r="67" spans="1:16" ht="15" hidden="1" customHeight="1">
      <c r="A67" s="44"/>
      <c r="B67" s="5">
        <f t="shared" si="13"/>
        <v>45597</v>
      </c>
      <c r="C67" s="1" t="s">
        <v>533</v>
      </c>
      <c r="D67" s="195"/>
      <c r="E67" s="186"/>
      <c r="F67" s="2"/>
      <c r="G67" s="3">
        <f t="shared" si="11"/>
        <v>0</v>
      </c>
      <c r="H67" s="187"/>
      <c r="I67" s="7"/>
      <c r="J67" s="7">
        <v>1.6500000000000001E-2</v>
      </c>
      <c r="K67" s="7">
        <v>7.5999999999999998E-2</v>
      </c>
      <c r="L67" s="7">
        <v>0</v>
      </c>
      <c r="M67" s="11">
        <f t="shared" si="2"/>
        <v>0</v>
      </c>
      <c r="N67" s="11">
        <f t="shared" si="3"/>
        <v>0</v>
      </c>
      <c r="O67" s="11">
        <f t="shared" si="4"/>
        <v>0</v>
      </c>
      <c r="P67" s="11">
        <f t="shared" si="5"/>
        <v>0</v>
      </c>
    </row>
    <row r="68" spans="1:16" ht="15" hidden="1" customHeight="1">
      <c r="A68" s="44"/>
      <c r="B68" s="5">
        <f t="shared" si="13"/>
        <v>45597</v>
      </c>
      <c r="C68" s="1" t="s">
        <v>533</v>
      </c>
      <c r="D68" s="195"/>
      <c r="E68" s="186"/>
      <c r="F68" s="2"/>
      <c r="G68" s="3">
        <f t="shared" si="11"/>
        <v>0</v>
      </c>
      <c r="H68" s="187"/>
      <c r="I68" s="7"/>
      <c r="J68" s="7">
        <v>1.6500000000000001E-2</v>
      </c>
      <c r="K68" s="7">
        <v>7.5999999999999998E-2</v>
      </c>
      <c r="L68" s="7">
        <v>0</v>
      </c>
      <c r="M68" s="11">
        <f t="shared" si="2"/>
        <v>0</v>
      </c>
      <c r="N68" s="11">
        <f t="shared" si="3"/>
        <v>0</v>
      </c>
      <c r="O68" s="11">
        <f t="shared" si="4"/>
        <v>0</v>
      </c>
      <c r="P68" s="11">
        <f t="shared" si="5"/>
        <v>0</v>
      </c>
    </row>
    <row r="69" spans="1:16" ht="15" hidden="1" customHeight="1">
      <c r="A69" s="44"/>
      <c r="B69" s="5">
        <f t="shared" si="13"/>
        <v>45597</v>
      </c>
      <c r="C69" s="1" t="s">
        <v>533</v>
      </c>
      <c r="D69" s="195"/>
      <c r="E69" s="186"/>
      <c r="F69" s="2"/>
      <c r="G69" s="3">
        <f t="shared" si="11"/>
        <v>0</v>
      </c>
      <c r="H69" s="187"/>
      <c r="I69" s="7"/>
      <c r="J69" s="7">
        <v>1.6500000000000001E-2</v>
      </c>
      <c r="K69" s="7">
        <v>7.5999999999999998E-2</v>
      </c>
      <c r="L69" s="7">
        <v>0</v>
      </c>
      <c r="M69" s="11">
        <f t="shared" si="2"/>
        <v>0</v>
      </c>
      <c r="N69" s="11">
        <f t="shared" si="3"/>
        <v>0</v>
      </c>
      <c r="O69" s="11">
        <f t="shared" si="4"/>
        <v>0</v>
      </c>
      <c r="P69" s="11">
        <f t="shared" si="5"/>
        <v>0</v>
      </c>
    </row>
    <row r="70" spans="1:16" ht="15" hidden="1" customHeight="1">
      <c r="A70" s="44"/>
      <c r="B70" s="5">
        <f t="shared" si="13"/>
        <v>45597</v>
      </c>
      <c r="C70" s="1" t="s">
        <v>533</v>
      </c>
      <c r="D70" s="195"/>
      <c r="E70" s="186"/>
      <c r="F70" s="2"/>
      <c r="G70" s="3">
        <f t="shared" si="11"/>
        <v>0</v>
      </c>
      <c r="H70" s="187"/>
      <c r="I70" s="7"/>
      <c r="J70" s="7">
        <v>1.6500000000000001E-2</v>
      </c>
      <c r="K70" s="7">
        <v>7.5999999999999998E-2</v>
      </c>
      <c r="L70" s="7">
        <v>0</v>
      </c>
      <c r="M70" s="11">
        <f t="shared" si="2"/>
        <v>0</v>
      </c>
      <c r="N70" s="11">
        <f t="shared" si="3"/>
        <v>0</v>
      </c>
      <c r="O70" s="11">
        <f t="shared" si="4"/>
        <v>0</v>
      </c>
      <c r="P70" s="11">
        <f t="shared" si="5"/>
        <v>0</v>
      </c>
    </row>
    <row r="71" spans="1:16" ht="15" hidden="1" customHeight="1">
      <c r="A71" s="44"/>
      <c r="B71" s="5">
        <f t="shared" si="13"/>
        <v>45597</v>
      </c>
      <c r="C71" s="1" t="s">
        <v>533</v>
      </c>
      <c r="D71" s="195"/>
      <c r="E71" s="186"/>
      <c r="F71" s="2"/>
      <c r="G71" s="3">
        <f t="shared" si="11"/>
        <v>0</v>
      </c>
      <c r="H71" s="187"/>
      <c r="I71" s="7"/>
      <c r="J71" s="7">
        <v>1.6500000000000001E-2</v>
      </c>
      <c r="K71" s="7">
        <v>7.5999999999999998E-2</v>
      </c>
      <c r="L71" s="7">
        <v>0</v>
      </c>
      <c r="M71" s="11">
        <f t="shared" si="2"/>
        <v>0</v>
      </c>
      <c r="N71" s="11">
        <f t="shared" si="3"/>
        <v>0</v>
      </c>
      <c r="O71" s="11">
        <f t="shared" si="4"/>
        <v>0</v>
      </c>
      <c r="P71" s="11">
        <f t="shared" si="5"/>
        <v>0</v>
      </c>
    </row>
    <row r="72" spans="1:16" ht="15" hidden="1" customHeight="1">
      <c r="A72" s="44"/>
      <c r="B72" s="5">
        <f t="shared" si="13"/>
        <v>45597</v>
      </c>
      <c r="C72" s="1" t="s">
        <v>533</v>
      </c>
      <c r="D72" s="195"/>
      <c r="E72" s="186"/>
      <c r="F72" s="2"/>
      <c r="G72" s="3">
        <f t="shared" si="11"/>
        <v>0</v>
      </c>
      <c r="H72" s="187"/>
      <c r="I72" s="7"/>
      <c r="J72" s="7">
        <v>1.6500000000000001E-2</v>
      </c>
      <c r="K72" s="7">
        <v>7.5999999999999998E-2</v>
      </c>
      <c r="L72" s="7">
        <v>0</v>
      </c>
      <c r="M72" s="11">
        <f t="shared" si="2"/>
        <v>0</v>
      </c>
      <c r="N72" s="11">
        <f t="shared" si="3"/>
        <v>0</v>
      </c>
      <c r="O72" s="11">
        <f t="shared" si="4"/>
        <v>0</v>
      </c>
      <c r="P72" s="11">
        <f t="shared" si="5"/>
        <v>0</v>
      </c>
    </row>
    <row r="73" spans="1:16" ht="15" hidden="1" customHeight="1">
      <c r="A73" s="44"/>
      <c r="B73" s="5">
        <f t="shared" si="13"/>
        <v>45597</v>
      </c>
      <c r="C73" s="1" t="s">
        <v>533</v>
      </c>
      <c r="D73" s="195"/>
      <c r="E73" s="186"/>
      <c r="F73" s="2"/>
      <c r="G73" s="3">
        <f t="shared" si="11"/>
        <v>0</v>
      </c>
      <c r="H73" s="187"/>
      <c r="I73" s="7"/>
      <c r="J73" s="7">
        <v>1.6500000000000001E-2</v>
      </c>
      <c r="K73" s="7">
        <v>7.5999999999999998E-2</v>
      </c>
      <c r="L73" s="7">
        <v>0</v>
      </c>
      <c r="M73" s="11">
        <f t="shared" si="2"/>
        <v>0</v>
      </c>
      <c r="N73" s="11">
        <f t="shared" si="3"/>
        <v>0</v>
      </c>
      <c r="O73" s="11">
        <f t="shared" si="4"/>
        <v>0</v>
      </c>
      <c r="P73" s="11">
        <f t="shared" si="5"/>
        <v>0</v>
      </c>
    </row>
    <row r="74" spans="1:16" ht="15" hidden="1" customHeight="1">
      <c r="A74" s="44"/>
      <c r="B74" s="5">
        <f t="shared" si="13"/>
        <v>45597</v>
      </c>
      <c r="C74" s="1" t="s">
        <v>533</v>
      </c>
      <c r="D74" s="195"/>
      <c r="E74" s="186"/>
      <c r="F74" s="2"/>
      <c r="G74" s="3">
        <f t="shared" si="11"/>
        <v>0</v>
      </c>
      <c r="H74" s="187"/>
      <c r="I74" s="7"/>
      <c r="J74" s="7">
        <v>1.6500000000000001E-2</v>
      </c>
      <c r="K74" s="7">
        <v>7.5999999999999998E-2</v>
      </c>
      <c r="L74" s="7">
        <v>0</v>
      </c>
      <c r="M74" s="11">
        <f t="shared" si="2"/>
        <v>0</v>
      </c>
      <c r="N74" s="11">
        <f t="shared" si="3"/>
        <v>0</v>
      </c>
      <c r="O74" s="11">
        <f t="shared" si="4"/>
        <v>0</v>
      </c>
      <c r="P74" s="11">
        <f t="shared" si="5"/>
        <v>0</v>
      </c>
    </row>
    <row r="75" spans="1:16" ht="15" hidden="1" customHeight="1">
      <c r="A75" s="44"/>
      <c r="B75" s="5">
        <f t="shared" si="13"/>
        <v>45597</v>
      </c>
      <c r="C75" s="1" t="s">
        <v>533</v>
      </c>
      <c r="D75" s="195"/>
      <c r="E75" s="186"/>
      <c r="F75" s="2"/>
      <c r="G75" s="3">
        <f t="shared" si="11"/>
        <v>0</v>
      </c>
      <c r="H75" s="187"/>
      <c r="I75" s="7"/>
      <c r="J75" s="7">
        <v>1.6500000000000001E-2</v>
      </c>
      <c r="K75" s="7">
        <v>7.5999999999999998E-2</v>
      </c>
      <c r="L75" s="7">
        <v>0</v>
      </c>
      <c r="M75" s="11">
        <f t="shared" si="2"/>
        <v>0</v>
      </c>
      <c r="N75" s="11">
        <f t="shared" si="3"/>
        <v>0</v>
      </c>
      <c r="O75" s="11">
        <f t="shared" si="4"/>
        <v>0</v>
      </c>
      <c r="P75" s="11">
        <f t="shared" si="5"/>
        <v>0</v>
      </c>
    </row>
    <row r="76" spans="1:16" ht="15" hidden="1" customHeight="1">
      <c r="A76" s="44"/>
      <c r="B76" s="5">
        <f t="shared" si="13"/>
        <v>45597</v>
      </c>
      <c r="C76" s="1" t="s">
        <v>533</v>
      </c>
      <c r="D76" s="195"/>
      <c r="E76" s="186"/>
      <c r="F76" s="2"/>
      <c r="G76" s="3">
        <f t="shared" si="11"/>
        <v>0</v>
      </c>
      <c r="H76" s="187"/>
      <c r="I76" s="7"/>
      <c r="J76" s="7">
        <v>1.6500000000000001E-2</v>
      </c>
      <c r="K76" s="7">
        <v>7.5999999999999998E-2</v>
      </c>
      <c r="L76" s="7">
        <v>0</v>
      </c>
      <c r="M76" s="11">
        <f t="shared" si="2"/>
        <v>0</v>
      </c>
      <c r="N76" s="11">
        <f t="shared" si="3"/>
        <v>0</v>
      </c>
      <c r="O76" s="11">
        <f t="shared" si="4"/>
        <v>0</v>
      </c>
      <c r="P76" s="11">
        <f t="shared" si="5"/>
        <v>0</v>
      </c>
    </row>
    <row r="77" spans="1:16" ht="15" hidden="1" customHeight="1">
      <c r="A77" s="44"/>
      <c r="B77" s="5">
        <f t="shared" si="13"/>
        <v>45597</v>
      </c>
      <c r="C77" s="1" t="s">
        <v>533</v>
      </c>
      <c r="D77" s="195"/>
      <c r="E77" s="186"/>
      <c r="F77" s="2"/>
      <c r="G77" s="3">
        <f t="shared" si="11"/>
        <v>0</v>
      </c>
      <c r="H77" s="187"/>
      <c r="I77" s="7"/>
      <c r="J77" s="7">
        <v>1.6500000000000001E-2</v>
      </c>
      <c r="K77" s="7">
        <v>7.5999999999999998E-2</v>
      </c>
      <c r="L77" s="7">
        <v>0</v>
      </c>
      <c r="M77" s="11">
        <f t="shared" si="2"/>
        <v>0</v>
      </c>
      <c r="N77" s="11">
        <f t="shared" si="3"/>
        <v>0</v>
      </c>
      <c r="O77" s="11">
        <f t="shared" si="4"/>
        <v>0</v>
      </c>
      <c r="P77" s="11">
        <f t="shared" si="5"/>
        <v>0</v>
      </c>
    </row>
    <row r="78" spans="1:16" ht="15" hidden="1" customHeight="1">
      <c r="A78" s="44"/>
      <c r="B78" s="5">
        <f t="shared" si="13"/>
        <v>45597</v>
      </c>
      <c r="C78" s="1" t="s">
        <v>533</v>
      </c>
      <c r="D78" s="195"/>
      <c r="E78" s="186"/>
      <c r="F78" s="2"/>
      <c r="G78" s="3">
        <f t="shared" si="11"/>
        <v>0</v>
      </c>
      <c r="H78" s="187"/>
      <c r="I78" s="7"/>
      <c r="J78" s="7">
        <v>1.6500000000000001E-2</v>
      </c>
      <c r="K78" s="7">
        <v>7.5999999999999998E-2</v>
      </c>
      <c r="L78" s="7">
        <v>0</v>
      </c>
      <c r="M78" s="11">
        <f t="shared" si="2"/>
        <v>0</v>
      </c>
      <c r="N78" s="11">
        <f t="shared" si="3"/>
        <v>0</v>
      </c>
      <c r="O78" s="11">
        <f t="shared" si="4"/>
        <v>0</v>
      </c>
      <c r="P78" s="11">
        <f t="shared" si="5"/>
        <v>0</v>
      </c>
    </row>
    <row r="79" spans="1:16" ht="15" hidden="1" customHeight="1">
      <c r="A79" s="44"/>
      <c r="B79" s="5">
        <f t="shared" si="13"/>
        <v>45597</v>
      </c>
      <c r="C79" s="1" t="s">
        <v>533</v>
      </c>
      <c r="D79" s="195"/>
      <c r="E79" s="186"/>
      <c r="F79" s="2"/>
      <c r="G79" s="3">
        <f t="shared" si="11"/>
        <v>0</v>
      </c>
      <c r="H79" s="187"/>
      <c r="I79" s="7"/>
      <c r="J79" s="7">
        <v>1.6500000000000001E-2</v>
      </c>
      <c r="K79" s="7">
        <v>7.5999999999999998E-2</v>
      </c>
      <c r="L79" s="7">
        <v>0</v>
      </c>
      <c r="M79" s="11">
        <f t="shared" si="2"/>
        <v>0</v>
      </c>
      <c r="N79" s="11">
        <f t="shared" si="3"/>
        <v>0</v>
      </c>
      <c r="O79" s="11">
        <f t="shared" si="4"/>
        <v>0</v>
      </c>
      <c r="P79" s="11">
        <f t="shared" si="5"/>
        <v>0</v>
      </c>
    </row>
    <row r="80" spans="1:16" ht="15" hidden="1" customHeight="1">
      <c r="A80" s="44"/>
      <c r="B80" s="5">
        <f t="shared" si="13"/>
        <v>45597</v>
      </c>
      <c r="C80" s="1" t="s">
        <v>533</v>
      </c>
      <c r="D80" s="195"/>
      <c r="E80" s="186"/>
      <c r="F80" s="2"/>
      <c r="G80" s="3">
        <f t="shared" si="11"/>
        <v>0</v>
      </c>
      <c r="H80" s="187"/>
      <c r="I80" s="7"/>
      <c r="J80" s="7">
        <v>1.6500000000000001E-2</v>
      </c>
      <c r="K80" s="7">
        <v>7.5999999999999998E-2</v>
      </c>
      <c r="L80" s="7">
        <v>0</v>
      </c>
      <c r="M80" s="11">
        <f t="shared" si="2"/>
        <v>0</v>
      </c>
      <c r="N80" s="11">
        <f t="shared" si="3"/>
        <v>0</v>
      </c>
      <c r="O80" s="11">
        <f t="shared" si="4"/>
        <v>0</v>
      </c>
      <c r="P80" s="11">
        <f t="shared" si="5"/>
        <v>0</v>
      </c>
    </row>
    <row r="81" spans="1:16" ht="15" hidden="1" customHeight="1">
      <c r="A81" s="44"/>
      <c r="B81" s="5">
        <f t="shared" si="13"/>
        <v>45597</v>
      </c>
      <c r="C81" s="1" t="s">
        <v>533</v>
      </c>
      <c r="D81" s="195"/>
      <c r="E81" s="186"/>
      <c r="F81" s="2"/>
      <c r="G81" s="3">
        <f t="shared" si="11"/>
        <v>0</v>
      </c>
      <c r="H81" s="187"/>
      <c r="I81" s="7"/>
      <c r="J81" s="7">
        <v>1.6500000000000001E-2</v>
      </c>
      <c r="K81" s="7">
        <v>7.5999999999999998E-2</v>
      </c>
      <c r="L81" s="7">
        <v>0</v>
      </c>
      <c r="M81" s="11">
        <f t="shared" si="2"/>
        <v>0</v>
      </c>
      <c r="N81" s="11">
        <f t="shared" si="3"/>
        <v>0</v>
      </c>
      <c r="O81" s="11">
        <f t="shared" si="4"/>
        <v>0</v>
      </c>
      <c r="P81" s="11">
        <f t="shared" si="5"/>
        <v>0</v>
      </c>
    </row>
    <row r="82" spans="1:16" ht="15" hidden="1" customHeight="1">
      <c r="A82" s="44"/>
      <c r="B82" s="5">
        <f t="shared" si="13"/>
        <v>45597</v>
      </c>
      <c r="C82" s="1" t="s">
        <v>533</v>
      </c>
      <c r="D82" s="195"/>
      <c r="E82" s="186"/>
      <c r="F82" s="2"/>
      <c r="G82" s="3">
        <f t="shared" si="11"/>
        <v>0</v>
      </c>
      <c r="H82" s="187"/>
      <c r="I82" s="7"/>
      <c r="J82" s="7">
        <v>1.6500000000000001E-2</v>
      </c>
      <c r="K82" s="7">
        <v>7.5999999999999998E-2</v>
      </c>
      <c r="L82" s="7">
        <v>0</v>
      </c>
      <c r="M82" s="11">
        <f t="shared" si="2"/>
        <v>0</v>
      </c>
      <c r="N82" s="11">
        <f t="shared" si="3"/>
        <v>0</v>
      </c>
      <c r="O82" s="11">
        <f t="shared" si="4"/>
        <v>0</v>
      </c>
      <c r="P82" s="11">
        <f t="shared" si="5"/>
        <v>0</v>
      </c>
    </row>
    <row r="83" spans="1:16" ht="15" hidden="1" customHeight="1">
      <c r="A83" s="44"/>
      <c r="B83" s="5">
        <f t="shared" si="13"/>
        <v>45597</v>
      </c>
      <c r="C83" s="1" t="s">
        <v>533</v>
      </c>
      <c r="D83" s="195"/>
      <c r="E83" s="186"/>
      <c r="F83" s="2"/>
      <c r="G83" s="3">
        <f t="shared" si="11"/>
        <v>0</v>
      </c>
      <c r="H83" s="187"/>
      <c r="I83" s="7"/>
      <c r="J83" s="7">
        <v>1.6500000000000001E-2</v>
      </c>
      <c r="K83" s="7">
        <v>7.5999999999999998E-2</v>
      </c>
      <c r="L83" s="7">
        <v>0</v>
      </c>
      <c r="M83" s="11">
        <f t="shared" si="2"/>
        <v>0</v>
      </c>
      <c r="N83" s="11">
        <f t="shared" si="3"/>
        <v>0</v>
      </c>
      <c r="O83" s="11">
        <f t="shared" si="4"/>
        <v>0</v>
      </c>
      <c r="P83" s="11">
        <f t="shared" si="5"/>
        <v>0</v>
      </c>
    </row>
    <row r="84" spans="1:16" ht="15" hidden="1" customHeight="1">
      <c r="A84" s="44"/>
      <c r="B84" s="5">
        <f t="shared" si="13"/>
        <v>45597</v>
      </c>
      <c r="C84" s="1" t="s">
        <v>533</v>
      </c>
      <c r="D84" s="195"/>
      <c r="E84" s="186"/>
      <c r="F84" s="2"/>
      <c r="G84" s="3">
        <f t="shared" si="11"/>
        <v>0</v>
      </c>
      <c r="H84" s="187"/>
      <c r="I84" s="7"/>
      <c r="J84" s="7">
        <v>1.6500000000000001E-2</v>
      </c>
      <c r="K84" s="7">
        <v>7.5999999999999998E-2</v>
      </c>
      <c r="L84" s="7">
        <v>0</v>
      </c>
      <c r="M84" s="11">
        <f t="shared" si="2"/>
        <v>0</v>
      </c>
      <c r="N84" s="11">
        <f t="shared" si="3"/>
        <v>0</v>
      </c>
      <c r="O84" s="11">
        <f t="shared" si="4"/>
        <v>0</v>
      </c>
      <c r="P84" s="11">
        <f t="shared" si="5"/>
        <v>0</v>
      </c>
    </row>
    <row r="85" spans="1:16" ht="15" hidden="1" customHeight="1">
      <c r="A85" s="44"/>
      <c r="B85" s="5">
        <f t="shared" si="13"/>
        <v>45597</v>
      </c>
      <c r="C85" s="1" t="s">
        <v>533</v>
      </c>
      <c r="D85" s="195"/>
      <c r="E85" s="186"/>
      <c r="F85" s="2"/>
      <c r="G85" s="3">
        <f t="shared" si="11"/>
        <v>0</v>
      </c>
      <c r="H85" s="187"/>
      <c r="I85" s="7"/>
      <c r="J85" s="7">
        <v>1.6500000000000001E-2</v>
      </c>
      <c r="K85" s="7">
        <v>7.5999999999999998E-2</v>
      </c>
      <c r="L85" s="7">
        <v>0</v>
      </c>
      <c r="M85" s="11">
        <f t="shared" si="2"/>
        <v>0</v>
      </c>
      <c r="N85" s="11">
        <f t="shared" si="3"/>
        <v>0</v>
      </c>
      <c r="O85" s="11">
        <f t="shared" si="4"/>
        <v>0</v>
      </c>
      <c r="P85" s="11">
        <f t="shared" si="5"/>
        <v>0</v>
      </c>
    </row>
    <row r="86" spans="1:16" ht="15" hidden="1" customHeight="1">
      <c r="A86" s="44"/>
      <c r="B86" s="5">
        <f t="shared" si="13"/>
        <v>45597</v>
      </c>
      <c r="C86" s="1" t="s">
        <v>533</v>
      </c>
      <c r="D86" s="195"/>
      <c r="E86" s="186"/>
      <c r="F86" s="2"/>
      <c r="G86" s="3">
        <f t="shared" si="11"/>
        <v>0</v>
      </c>
      <c r="H86" s="187"/>
      <c r="I86" s="7"/>
      <c r="J86" s="7">
        <v>1.6500000000000001E-2</v>
      </c>
      <c r="K86" s="7">
        <v>7.5999999999999998E-2</v>
      </c>
      <c r="L86" s="7">
        <v>0</v>
      </c>
      <c r="M86" s="11">
        <f t="shared" si="2"/>
        <v>0</v>
      </c>
      <c r="N86" s="11">
        <f t="shared" si="3"/>
        <v>0</v>
      </c>
      <c r="O86" s="11">
        <f t="shared" si="4"/>
        <v>0</v>
      </c>
      <c r="P86" s="11">
        <f t="shared" si="5"/>
        <v>0</v>
      </c>
    </row>
    <row r="87" spans="1:16" ht="15" hidden="1" customHeight="1">
      <c r="A87" s="44"/>
      <c r="B87" s="5">
        <f t="shared" si="13"/>
        <v>45597</v>
      </c>
      <c r="C87" s="1" t="s">
        <v>533</v>
      </c>
      <c r="D87" s="195"/>
      <c r="E87" s="186"/>
      <c r="F87" s="2"/>
      <c r="G87" s="3">
        <f t="shared" si="11"/>
        <v>0</v>
      </c>
      <c r="H87" s="187"/>
      <c r="I87" s="7"/>
      <c r="J87" s="7">
        <v>1.6500000000000001E-2</v>
      </c>
      <c r="K87" s="7">
        <v>7.5999999999999998E-2</v>
      </c>
      <c r="L87" s="7">
        <v>0</v>
      </c>
      <c r="M87" s="11">
        <f t="shared" si="2"/>
        <v>0</v>
      </c>
      <c r="N87" s="11">
        <f t="shared" si="3"/>
        <v>0</v>
      </c>
      <c r="O87" s="11">
        <f t="shared" si="4"/>
        <v>0</v>
      </c>
      <c r="P87" s="11">
        <f t="shared" si="5"/>
        <v>0</v>
      </c>
    </row>
    <row r="88" spans="1:16" ht="15" hidden="1" customHeight="1">
      <c r="A88" s="44"/>
      <c r="B88" s="5">
        <f t="shared" si="13"/>
        <v>45597</v>
      </c>
      <c r="C88" s="1" t="s">
        <v>533</v>
      </c>
      <c r="D88" s="195"/>
      <c r="E88" s="186"/>
      <c r="F88" s="2"/>
      <c r="G88" s="3">
        <f t="shared" si="11"/>
        <v>0</v>
      </c>
      <c r="H88" s="187"/>
      <c r="I88" s="7"/>
      <c r="J88" s="7">
        <v>1.6500000000000001E-2</v>
      </c>
      <c r="K88" s="7">
        <v>7.5999999999999998E-2</v>
      </c>
      <c r="L88" s="7">
        <v>0</v>
      </c>
      <c r="M88" s="11">
        <f t="shared" si="2"/>
        <v>0</v>
      </c>
      <c r="N88" s="11">
        <f t="shared" si="3"/>
        <v>0</v>
      </c>
      <c r="O88" s="11">
        <f t="shared" si="4"/>
        <v>0</v>
      </c>
      <c r="P88" s="11">
        <f t="shared" si="5"/>
        <v>0</v>
      </c>
    </row>
    <row r="89" spans="1:16" ht="15" hidden="1" customHeight="1">
      <c r="A89" s="44"/>
      <c r="B89" s="5">
        <f t="shared" si="13"/>
        <v>45597</v>
      </c>
      <c r="C89" s="1" t="s">
        <v>533</v>
      </c>
      <c r="D89" s="195"/>
      <c r="E89" s="186"/>
      <c r="F89" s="2"/>
      <c r="G89" s="3">
        <f t="shared" si="11"/>
        <v>0</v>
      </c>
      <c r="H89" s="187"/>
      <c r="I89" s="7"/>
      <c r="J89" s="7">
        <v>1.6500000000000001E-2</v>
      </c>
      <c r="K89" s="7">
        <v>7.5999999999999998E-2</v>
      </c>
      <c r="L89" s="7">
        <v>0</v>
      </c>
      <c r="M89" s="11">
        <f t="shared" si="2"/>
        <v>0</v>
      </c>
      <c r="N89" s="11">
        <f t="shared" si="3"/>
        <v>0</v>
      </c>
      <c r="O89" s="11">
        <f t="shared" si="4"/>
        <v>0</v>
      </c>
      <c r="P89" s="11">
        <f t="shared" si="5"/>
        <v>0</v>
      </c>
    </row>
    <row r="90" spans="1:16" ht="15" hidden="1" customHeight="1">
      <c r="A90" s="44"/>
      <c r="B90" s="5">
        <f t="shared" si="13"/>
        <v>45597</v>
      </c>
      <c r="C90" s="1" t="s">
        <v>533</v>
      </c>
      <c r="D90" s="195"/>
      <c r="E90" s="186"/>
      <c r="F90" s="2"/>
      <c r="G90" s="3">
        <f t="shared" si="11"/>
        <v>0</v>
      </c>
      <c r="H90" s="187"/>
      <c r="I90" s="7"/>
      <c r="J90" s="7">
        <v>1.6500000000000001E-2</v>
      </c>
      <c r="K90" s="7">
        <v>7.5999999999999998E-2</v>
      </c>
      <c r="L90" s="7">
        <v>0</v>
      </c>
      <c r="M90" s="11">
        <f t="shared" si="2"/>
        <v>0</v>
      </c>
      <c r="N90" s="11">
        <f t="shared" si="3"/>
        <v>0</v>
      </c>
      <c r="O90" s="11">
        <f t="shared" si="4"/>
        <v>0</v>
      </c>
      <c r="P90" s="11">
        <f t="shared" si="5"/>
        <v>0</v>
      </c>
    </row>
    <row r="91" spans="1:16" ht="15" hidden="1" customHeight="1">
      <c r="A91" s="44"/>
      <c r="B91" s="5">
        <f t="shared" si="13"/>
        <v>45597</v>
      </c>
      <c r="C91" s="1" t="s">
        <v>533</v>
      </c>
      <c r="D91" s="195"/>
      <c r="E91" s="186"/>
      <c r="F91" s="2"/>
      <c r="G91" s="3">
        <f t="shared" si="11"/>
        <v>0</v>
      </c>
      <c r="H91" s="187"/>
      <c r="I91" s="7"/>
      <c r="J91" s="7">
        <v>1.6500000000000001E-2</v>
      </c>
      <c r="K91" s="7">
        <v>7.5999999999999998E-2</v>
      </c>
      <c r="L91" s="7">
        <v>0</v>
      </c>
      <c r="M91" s="11">
        <f t="shared" si="2"/>
        <v>0</v>
      </c>
      <c r="N91" s="11">
        <f t="shared" si="3"/>
        <v>0</v>
      </c>
      <c r="O91" s="11">
        <f t="shared" si="4"/>
        <v>0</v>
      </c>
      <c r="P91" s="11">
        <f t="shared" si="5"/>
        <v>0</v>
      </c>
    </row>
    <row r="92" spans="1:16" ht="15" hidden="1" customHeight="1">
      <c r="A92" s="44"/>
      <c r="B92" s="5">
        <f t="shared" si="13"/>
        <v>45597</v>
      </c>
      <c r="C92" s="1" t="s">
        <v>533</v>
      </c>
      <c r="D92" s="195"/>
      <c r="E92" s="186"/>
      <c r="F92" s="2"/>
      <c r="G92" s="3">
        <f t="shared" si="11"/>
        <v>0</v>
      </c>
      <c r="H92" s="187"/>
      <c r="I92" s="7"/>
      <c r="J92" s="7">
        <v>1.6500000000000001E-2</v>
      </c>
      <c r="K92" s="7">
        <v>7.5999999999999998E-2</v>
      </c>
      <c r="L92" s="7">
        <v>0</v>
      </c>
      <c r="M92" s="11">
        <f t="shared" si="2"/>
        <v>0</v>
      </c>
      <c r="N92" s="11">
        <f t="shared" si="3"/>
        <v>0</v>
      </c>
      <c r="O92" s="11">
        <f t="shared" si="4"/>
        <v>0</v>
      </c>
      <c r="P92" s="11">
        <f t="shared" si="5"/>
        <v>0</v>
      </c>
    </row>
    <row r="93" spans="1:16" ht="15" hidden="1" customHeight="1">
      <c r="A93" s="44"/>
      <c r="B93" s="5">
        <f t="shared" si="13"/>
        <v>45597</v>
      </c>
      <c r="C93" s="1" t="s">
        <v>533</v>
      </c>
      <c r="D93" s="195"/>
      <c r="E93" s="186"/>
      <c r="F93" s="2"/>
      <c r="G93" s="3">
        <f t="shared" si="11"/>
        <v>0</v>
      </c>
      <c r="H93" s="187"/>
      <c r="I93" s="7"/>
      <c r="J93" s="7">
        <v>1.6500000000000001E-2</v>
      </c>
      <c r="K93" s="7">
        <v>7.5999999999999998E-2</v>
      </c>
      <c r="L93" s="7">
        <v>0</v>
      </c>
      <c r="M93" s="11">
        <f t="shared" si="2"/>
        <v>0</v>
      </c>
      <c r="N93" s="11">
        <f t="shared" si="3"/>
        <v>0</v>
      </c>
      <c r="O93" s="11">
        <f t="shared" si="4"/>
        <v>0</v>
      </c>
      <c r="P93" s="11">
        <f t="shared" si="5"/>
        <v>0</v>
      </c>
    </row>
    <row r="94" spans="1:16" ht="15" hidden="1" customHeight="1">
      <c r="A94" s="44"/>
      <c r="B94" s="5">
        <f t="shared" si="13"/>
        <v>45597</v>
      </c>
      <c r="C94" s="1" t="s">
        <v>533</v>
      </c>
      <c r="D94" s="195"/>
      <c r="E94" s="186"/>
      <c r="F94" s="2"/>
      <c r="G94" s="3">
        <f t="shared" si="11"/>
        <v>0</v>
      </c>
      <c r="H94" s="187"/>
      <c r="I94" s="7"/>
      <c r="J94" s="7">
        <v>1.6500000000000001E-2</v>
      </c>
      <c r="K94" s="7">
        <v>7.5999999999999998E-2</v>
      </c>
      <c r="L94" s="7">
        <v>0</v>
      </c>
      <c r="M94" s="11">
        <f t="shared" si="2"/>
        <v>0</v>
      </c>
      <c r="N94" s="11">
        <f t="shared" si="3"/>
        <v>0</v>
      </c>
      <c r="O94" s="11">
        <f t="shared" si="4"/>
        <v>0</v>
      </c>
      <c r="P94" s="11">
        <f t="shared" si="5"/>
        <v>0</v>
      </c>
    </row>
    <row r="95" spans="1:16" ht="15" hidden="1" customHeight="1">
      <c r="A95" s="44"/>
      <c r="B95" s="5">
        <f t="shared" si="13"/>
        <v>45597</v>
      </c>
      <c r="C95" s="1" t="s">
        <v>533</v>
      </c>
      <c r="D95" s="195"/>
      <c r="E95" s="186"/>
      <c r="F95" s="2"/>
      <c r="G95" s="3">
        <f t="shared" si="11"/>
        <v>0</v>
      </c>
      <c r="H95" s="187"/>
      <c r="I95" s="7"/>
      <c r="J95" s="7">
        <v>1.6500000000000001E-2</v>
      </c>
      <c r="K95" s="7">
        <v>7.5999999999999998E-2</v>
      </c>
      <c r="L95" s="7">
        <v>0</v>
      </c>
      <c r="M95" s="11">
        <f t="shared" si="2"/>
        <v>0</v>
      </c>
      <c r="N95" s="11">
        <f t="shared" si="3"/>
        <v>0</v>
      </c>
      <c r="O95" s="11">
        <f t="shared" si="4"/>
        <v>0</v>
      </c>
      <c r="P95" s="11">
        <f t="shared" si="5"/>
        <v>0</v>
      </c>
    </row>
    <row r="96" spans="1:16" ht="15" hidden="1" customHeight="1">
      <c r="A96" s="44"/>
      <c r="B96" s="5">
        <f t="shared" si="13"/>
        <v>45597</v>
      </c>
      <c r="C96" s="1" t="s">
        <v>533</v>
      </c>
      <c r="D96" s="195"/>
      <c r="E96" s="186"/>
      <c r="F96" s="2"/>
      <c r="G96" s="3">
        <f t="shared" si="11"/>
        <v>0</v>
      </c>
      <c r="H96" s="187"/>
      <c r="I96" s="7"/>
      <c r="J96" s="7">
        <v>1.6500000000000001E-2</v>
      </c>
      <c r="K96" s="7">
        <v>7.5999999999999998E-2</v>
      </c>
      <c r="L96" s="7">
        <v>0</v>
      </c>
      <c r="M96" s="11">
        <f t="shared" si="2"/>
        <v>0</v>
      </c>
      <c r="N96" s="11">
        <f t="shared" si="3"/>
        <v>0</v>
      </c>
      <c r="O96" s="11">
        <f t="shared" si="4"/>
        <v>0</v>
      </c>
      <c r="P96" s="11">
        <f t="shared" si="5"/>
        <v>0</v>
      </c>
    </row>
    <row r="97" spans="1:16" ht="15" hidden="1" customHeight="1">
      <c r="A97" s="44"/>
      <c r="B97" s="5">
        <f t="shared" si="13"/>
        <v>45597</v>
      </c>
      <c r="C97" s="1" t="s">
        <v>533</v>
      </c>
      <c r="D97" s="195"/>
      <c r="E97" s="186"/>
      <c r="F97" s="2"/>
      <c r="G97" s="3">
        <f t="shared" si="11"/>
        <v>0</v>
      </c>
      <c r="H97" s="187"/>
      <c r="I97" s="7"/>
      <c r="J97" s="7">
        <v>1.6500000000000001E-2</v>
      </c>
      <c r="K97" s="7">
        <v>7.5999999999999998E-2</v>
      </c>
      <c r="L97" s="7">
        <v>0</v>
      </c>
      <c r="M97" s="11">
        <f t="shared" si="2"/>
        <v>0</v>
      </c>
      <c r="N97" s="11">
        <f t="shared" si="3"/>
        <v>0</v>
      </c>
      <c r="O97" s="11">
        <f t="shared" si="4"/>
        <v>0</v>
      </c>
      <c r="P97" s="11">
        <f t="shared" si="5"/>
        <v>0</v>
      </c>
    </row>
    <row r="98" spans="1:16" ht="15" hidden="1" customHeight="1">
      <c r="A98" s="44"/>
      <c r="B98" s="5">
        <f t="shared" si="13"/>
        <v>45597</v>
      </c>
      <c r="C98" s="1" t="s">
        <v>533</v>
      </c>
      <c r="D98" s="195"/>
      <c r="E98" s="186"/>
      <c r="F98" s="2"/>
      <c r="G98" s="3">
        <f>F98-SUM(M98:P98)</f>
        <v>0</v>
      </c>
      <c r="H98" s="187"/>
      <c r="I98" s="7"/>
      <c r="J98" s="7">
        <v>1.6500000000000001E-2</v>
      </c>
      <c r="K98" s="7">
        <v>7.5999999999999998E-2</v>
      </c>
      <c r="L98" s="7">
        <v>0</v>
      </c>
      <c r="M98" s="11">
        <f>+I98*F98</f>
        <v>0</v>
      </c>
      <c r="N98" s="11">
        <f>J98*(F98-M98)</f>
        <v>0</v>
      </c>
      <c r="O98" s="11">
        <f>K98*(F98-M98)</f>
        <v>0</v>
      </c>
      <c r="P98" s="11">
        <f>L98*(F98)</f>
        <v>0</v>
      </c>
    </row>
    <row r="99" spans="1:16" ht="15" hidden="1" customHeight="1">
      <c r="A99" s="44"/>
      <c r="B99" s="5">
        <f t="shared" si="13"/>
        <v>45597</v>
      </c>
      <c r="C99" s="1" t="s">
        <v>533</v>
      </c>
      <c r="D99" s="195"/>
      <c r="E99" s="186"/>
      <c r="F99" s="2"/>
      <c r="G99" s="3">
        <f>F99-SUM(M99:P99)</f>
        <v>0</v>
      </c>
      <c r="H99" s="187"/>
      <c r="I99" s="7"/>
      <c r="J99" s="7">
        <v>1.6500000000000001E-2</v>
      </c>
      <c r="K99" s="7">
        <v>7.5999999999999998E-2</v>
      </c>
      <c r="L99" s="7">
        <v>0</v>
      </c>
      <c r="M99" s="11">
        <f>+I99*F99</f>
        <v>0</v>
      </c>
      <c r="N99" s="11">
        <f>J99*(F99-M99)</f>
        <v>0</v>
      </c>
      <c r="O99" s="11">
        <f>K99*(F99-M99)</f>
        <v>0</v>
      </c>
      <c r="P99" s="11">
        <f>L99*(F99)</f>
        <v>0</v>
      </c>
    </row>
    <row r="100" spans="1:16" ht="15" hidden="1" customHeight="1">
      <c r="A100" s="44"/>
      <c r="B100" s="5">
        <f t="shared" si="13"/>
        <v>45597</v>
      </c>
      <c r="C100" s="1" t="s">
        <v>533</v>
      </c>
      <c r="D100" s="195"/>
      <c r="E100" s="186"/>
      <c r="F100" s="2"/>
      <c r="G100" s="3">
        <f t="shared" si="11"/>
        <v>0</v>
      </c>
      <c r="H100" s="187"/>
      <c r="I100" s="7"/>
      <c r="J100" s="7">
        <v>1.6500000000000001E-2</v>
      </c>
      <c r="K100" s="7">
        <v>7.5999999999999998E-2</v>
      </c>
      <c r="L100" s="7">
        <v>0</v>
      </c>
      <c r="M100" s="11">
        <f t="shared" si="2"/>
        <v>0</v>
      </c>
      <c r="N100" s="11">
        <f t="shared" si="3"/>
        <v>0</v>
      </c>
      <c r="O100" s="11">
        <f t="shared" si="4"/>
        <v>0</v>
      </c>
      <c r="P100" s="11">
        <f t="shared" si="5"/>
        <v>0</v>
      </c>
    </row>
    <row r="101" spans="1:16" ht="15" hidden="1" customHeight="1">
      <c r="A101" s="44"/>
      <c r="B101" s="5">
        <f t="shared" si="13"/>
        <v>45597</v>
      </c>
      <c r="C101" s="1" t="s">
        <v>533</v>
      </c>
      <c r="D101" s="195"/>
      <c r="E101" s="186"/>
      <c r="F101" s="2"/>
      <c r="G101" s="3">
        <f t="shared" si="11"/>
        <v>0</v>
      </c>
      <c r="H101" s="187"/>
      <c r="I101" s="7"/>
      <c r="J101" s="7">
        <v>1.6500000000000001E-2</v>
      </c>
      <c r="K101" s="7">
        <v>7.5999999999999998E-2</v>
      </c>
      <c r="L101" s="7">
        <v>0</v>
      </c>
      <c r="M101" s="11">
        <f t="shared" si="2"/>
        <v>0</v>
      </c>
      <c r="N101" s="11">
        <f t="shared" si="3"/>
        <v>0</v>
      </c>
      <c r="O101" s="11">
        <f t="shared" si="4"/>
        <v>0</v>
      </c>
      <c r="P101" s="11">
        <f t="shared" si="5"/>
        <v>0</v>
      </c>
    </row>
    <row r="102" spans="1:16" ht="15" hidden="1" customHeight="1">
      <c r="A102" s="44"/>
      <c r="B102" s="5">
        <f t="shared" si="13"/>
        <v>45597</v>
      </c>
      <c r="C102" s="1" t="s">
        <v>533</v>
      </c>
      <c r="D102" s="195"/>
      <c r="E102" s="186"/>
      <c r="F102" s="2"/>
      <c r="G102" s="3">
        <f t="shared" si="11"/>
        <v>0</v>
      </c>
      <c r="H102" s="187"/>
      <c r="I102" s="7"/>
      <c r="J102" s="7">
        <v>1.6500000000000001E-2</v>
      </c>
      <c r="K102" s="7">
        <v>7.5999999999999998E-2</v>
      </c>
      <c r="L102" s="7">
        <v>0</v>
      </c>
      <c r="M102" s="11">
        <f t="shared" si="2"/>
        <v>0</v>
      </c>
      <c r="N102" s="11">
        <f t="shared" si="3"/>
        <v>0</v>
      </c>
      <c r="O102" s="11">
        <f t="shared" si="4"/>
        <v>0</v>
      </c>
      <c r="P102" s="11">
        <f t="shared" si="5"/>
        <v>0</v>
      </c>
    </row>
    <row r="103" spans="1:16" ht="15" hidden="1" customHeight="1">
      <c r="A103" s="44"/>
      <c r="B103" s="5">
        <f t="shared" si="13"/>
        <v>45597</v>
      </c>
      <c r="C103" s="1" t="s">
        <v>533</v>
      </c>
      <c r="D103" s="195"/>
      <c r="E103" s="186"/>
      <c r="F103" s="2"/>
      <c r="G103" s="3">
        <f t="shared" si="11"/>
        <v>0</v>
      </c>
      <c r="H103" s="187"/>
      <c r="I103" s="7"/>
      <c r="J103" s="7">
        <v>1.6500000000000001E-2</v>
      </c>
      <c r="K103" s="7">
        <v>7.5999999999999998E-2</v>
      </c>
      <c r="L103" s="7">
        <v>0</v>
      </c>
      <c r="M103" s="11">
        <f t="shared" si="2"/>
        <v>0</v>
      </c>
      <c r="N103" s="11">
        <f t="shared" si="3"/>
        <v>0</v>
      </c>
      <c r="O103" s="11">
        <f t="shared" si="4"/>
        <v>0</v>
      </c>
      <c r="P103" s="11">
        <f t="shared" si="5"/>
        <v>0</v>
      </c>
    </row>
    <row r="104" spans="1:16" ht="15" hidden="1" customHeight="1">
      <c r="A104" s="44"/>
      <c r="B104" s="5">
        <f t="shared" si="13"/>
        <v>45597</v>
      </c>
      <c r="C104" s="1" t="s">
        <v>533</v>
      </c>
      <c r="D104" s="195"/>
      <c r="E104" s="186"/>
      <c r="F104" s="2"/>
      <c r="G104" s="3">
        <f t="shared" si="11"/>
        <v>0</v>
      </c>
      <c r="H104" s="187"/>
      <c r="I104" s="7"/>
      <c r="J104" s="7">
        <v>1.6500000000000001E-2</v>
      </c>
      <c r="K104" s="7">
        <v>7.5999999999999998E-2</v>
      </c>
      <c r="L104" s="7">
        <v>0</v>
      </c>
      <c r="M104" s="11">
        <f t="shared" si="2"/>
        <v>0</v>
      </c>
      <c r="N104" s="11">
        <f t="shared" si="3"/>
        <v>0</v>
      </c>
      <c r="O104" s="11">
        <f t="shared" si="4"/>
        <v>0</v>
      </c>
      <c r="P104" s="11">
        <f t="shared" si="5"/>
        <v>0</v>
      </c>
    </row>
    <row r="105" spans="1:16" ht="15" hidden="1" customHeight="1">
      <c r="A105" s="44"/>
      <c r="B105" s="5">
        <f t="shared" si="13"/>
        <v>45597</v>
      </c>
      <c r="C105" s="1" t="s">
        <v>533</v>
      </c>
      <c r="D105" s="195"/>
      <c r="E105" s="186"/>
      <c r="F105" s="2"/>
      <c r="G105" s="3">
        <f t="shared" si="11"/>
        <v>0</v>
      </c>
      <c r="H105" s="187"/>
      <c r="I105" s="7"/>
      <c r="J105" s="7">
        <v>1.6500000000000001E-2</v>
      </c>
      <c r="K105" s="7">
        <v>7.5999999999999998E-2</v>
      </c>
      <c r="L105" s="7">
        <v>0</v>
      </c>
      <c r="M105" s="11">
        <f t="shared" si="2"/>
        <v>0</v>
      </c>
      <c r="N105" s="11">
        <f t="shared" si="3"/>
        <v>0</v>
      </c>
      <c r="O105" s="11">
        <f t="shared" si="4"/>
        <v>0</v>
      </c>
      <c r="P105" s="11">
        <f t="shared" si="5"/>
        <v>0</v>
      </c>
    </row>
    <row r="106" spans="1:16" ht="15" hidden="1" customHeight="1">
      <c r="A106" s="44"/>
      <c r="B106" s="5">
        <f t="shared" ref="B106:B169" si="14">B105</f>
        <v>45597</v>
      </c>
      <c r="C106" s="1" t="s">
        <v>533</v>
      </c>
      <c r="D106" s="195"/>
      <c r="E106" s="186"/>
      <c r="F106" s="2"/>
      <c r="G106" s="3">
        <f t="shared" si="11"/>
        <v>0</v>
      </c>
      <c r="H106" s="187"/>
      <c r="I106" s="7"/>
      <c r="J106" s="7">
        <v>1.6500000000000001E-2</v>
      </c>
      <c r="K106" s="7">
        <v>7.5999999999999998E-2</v>
      </c>
      <c r="L106" s="7">
        <v>0</v>
      </c>
      <c r="M106" s="11">
        <f t="shared" si="2"/>
        <v>0</v>
      </c>
      <c r="N106" s="11">
        <f t="shared" si="3"/>
        <v>0</v>
      </c>
      <c r="O106" s="11">
        <f t="shared" si="4"/>
        <v>0</v>
      </c>
      <c r="P106" s="11">
        <f t="shared" si="5"/>
        <v>0</v>
      </c>
    </row>
    <row r="107" spans="1:16" ht="15" hidden="1" customHeight="1">
      <c r="A107" s="44"/>
      <c r="B107" s="5">
        <f t="shared" si="14"/>
        <v>45597</v>
      </c>
      <c r="C107" s="1" t="s">
        <v>533</v>
      </c>
      <c r="D107" s="195"/>
      <c r="E107" s="186"/>
      <c r="F107" s="2"/>
      <c r="G107" s="3">
        <f t="shared" si="11"/>
        <v>0</v>
      </c>
      <c r="H107" s="187"/>
      <c r="I107" s="7"/>
      <c r="J107" s="7">
        <v>1.6500000000000001E-2</v>
      </c>
      <c r="K107" s="7">
        <v>7.5999999999999998E-2</v>
      </c>
      <c r="L107" s="7">
        <v>0</v>
      </c>
      <c r="M107" s="11">
        <f t="shared" si="2"/>
        <v>0</v>
      </c>
      <c r="N107" s="11">
        <f t="shared" si="3"/>
        <v>0</v>
      </c>
      <c r="O107" s="11">
        <f t="shared" si="4"/>
        <v>0</v>
      </c>
      <c r="P107" s="11">
        <f t="shared" si="5"/>
        <v>0</v>
      </c>
    </row>
    <row r="108" spans="1:16" ht="15" hidden="1" customHeight="1">
      <c r="A108" s="44"/>
      <c r="B108" s="5">
        <f t="shared" si="14"/>
        <v>45597</v>
      </c>
      <c r="C108" s="1" t="s">
        <v>533</v>
      </c>
      <c r="D108" s="195"/>
      <c r="E108" s="186"/>
      <c r="F108" s="2"/>
      <c r="G108" s="3">
        <f t="shared" si="11"/>
        <v>0</v>
      </c>
      <c r="H108" s="187"/>
      <c r="I108" s="7"/>
      <c r="J108" s="7">
        <v>1.6500000000000001E-2</v>
      </c>
      <c r="K108" s="7">
        <v>7.5999999999999998E-2</v>
      </c>
      <c r="L108" s="7">
        <v>0</v>
      </c>
      <c r="M108" s="11">
        <f t="shared" si="2"/>
        <v>0</v>
      </c>
      <c r="N108" s="11">
        <f t="shared" si="3"/>
        <v>0</v>
      </c>
      <c r="O108" s="11">
        <f t="shared" si="4"/>
        <v>0</v>
      </c>
      <c r="P108" s="11">
        <f t="shared" si="5"/>
        <v>0</v>
      </c>
    </row>
    <row r="109" spans="1:16" ht="15" hidden="1" customHeight="1">
      <c r="A109" s="44"/>
      <c r="B109" s="5">
        <f t="shared" si="14"/>
        <v>45597</v>
      </c>
      <c r="C109" s="1" t="s">
        <v>533</v>
      </c>
      <c r="D109" s="195"/>
      <c r="E109" s="186"/>
      <c r="F109" s="2"/>
      <c r="G109" s="3">
        <f t="shared" si="11"/>
        <v>0</v>
      </c>
      <c r="H109" s="187"/>
      <c r="I109" s="7"/>
      <c r="J109" s="7">
        <v>1.6500000000000001E-2</v>
      </c>
      <c r="K109" s="7">
        <v>7.5999999999999998E-2</v>
      </c>
      <c r="L109" s="7">
        <v>0</v>
      </c>
      <c r="M109" s="11">
        <f t="shared" si="2"/>
        <v>0</v>
      </c>
      <c r="N109" s="11">
        <f t="shared" si="3"/>
        <v>0</v>
      </c>
      <c r="O109" s="11">
        <f t="shared" si="4"/>
        <v>0</v>
      </c>
      <c r="P109" s="11">
        <f t="shared" si="5"/>
        <v>0</v>
      </c>
    </row>
    <row r="110" spans="1:16" ht="15" hidden="1" customHeight="1">
      <c r="A110" s="44"/>
      <c r="B110" s="5">
        <f t="shared" si="14"/>
        <v>45597</v>
      </c>
      <c r="C110" s="1" t="s">
        <v>533</v>
      </c>
      <c r="D110" s="195"/>
      <c r="E110" s="186"/>
      <c r="F110" s="2"/>
      <c r="G110" s="3">
        <f t="shared" si="11"/>
        <v>0</v>
      </c>
      <c r="H110" s="187"/>
      <c r="I110" s="7"/>
      <c r="J110" s="7">
        <v>1.6500000000000001E-2</v>
      </c>
      <c r="K110" s="7">
        <v>7.5999999999999998E-2</v>
      </c>
      <c r="L110" s="7">
        <v>0</v>
      </c>
      <c r="M110" s="11">
        <f t="shared" si="2"/>
        <v>0</v>
      </c>
      <c r="N110" s="11">
        <f t="shared" si="3"/>
        <v>0</v>
      </c>
      <c r="O110" s="11">
        <f t="shared" si="4"/>
        <v>0</v>
      </c>
      <c r="P110" s="11">
        <f t="shared" si="5"/>
        <v>0</v>
      </c>
    </row>
    <row r="111" spans="1:16" ht="15" hidden="1" customHeight="1">
      <c r="A111" s="44"/>
      <c r="B111" s="5">
        <f t="shared" si="14"/>
        <v>45597</v>
      </c>
      <c r="C111" s="1" t="s">
        <v>533</v>
      </c>
      <c r="D111" s="195"/>
      <c r="E111" s="186"/>
      <c r="F111" s="2"/>
      <c r="G111" s="3">
        <f t="shared" si="11"/>
        <v>0</v>
      </c>
      <c r="H111" s="187"/>
      <c r="I111" s="7"/>
      <c r="J111" s="7">
        <v>1.6500000000000001E-2</v>
      </c>
      <c r="K111" s="7">
        <v>7.5999999999999998E-2</v>
      </c>
      <c r="L111" s="7">
        <v>0</v>
      </c>
      <c r="M111" s="11">
        <f t="shared" si="2"/>
        <v>0</v>
      </c>
      <c r="N111" s="11">
        <f t="shared" si="3"/>
        <v>0</v>
      </c>
      <c r="O111" s="11">
        <f t="shared" si="4"/>
        <v>0</v>
      </c>
      <c r="P111" s="11">
        <f t="shared" si="5"/>
        <v>0</v>
      </c>
    </row>
    <row r="112" spans="1:16" ht="15" hidden="1" customHeight="1">
      <c r="A112" s="44"/>
      <c r="B112" s="5">
        <f t="shared" si="14"/>
        <v>45597</v>
      </c>
      <c r="C112" s="1" t="s">
        <v>533</v>
      </c>
      <c r="D112" s="195"/>
      <c r="E112" s="186"/>
      <c r="F112" s="2"/>
      <c r="G112" s="3">
        <f t="shared" si="11"/>
        <v>0</v>
      </c>
      <c r="H112" s="187"/>
      <c r="I112" s="7"/>
      <c r="J112" s="7">
        <v>1.6500000000000001E-2</v>
      </c>
      <c r="K112" s="7">
        <v>7.5999999999999998E-2</v>
      </c>
      <c r="L112" s="7">
        <v>0</v>
      </c>
      <c r="M112" s="11">
        <f t="shared" si="2"/>
        <v>0</v>
      </c>
      <c r="N112" s="11">
        <f t="shared" si="3"/>
        <v>0</v>
      </c>
      <c r="O112" s="11">
        <f t="shared" si="4"/>
        <v>0</v>
      </c>
      <c r="P112" s="11">
        <f t="shared" si="5"/>
        <v>0</v>
      </c>
    </row>
    <row r="113" spans="1:16" ht="15" hidden="1" customHeight="1">
      <c r="A113" s="44"/>
      <c r="B113" s="5">
        <f t="shared" si="14"/>
        <v>45597</v>
      </c>
      <c r="C113" s="1" t="s">
        <v>533</v>
      </c>
      <c r="D113" s="195"/>
      <c r="E113" s="186"/>
      <c r="F113" s="2"/>
      <c r="G113" s="3">
        <f t="shared" si="11"/>
        <v>0</v>
      </c>
      <c r="H113" s="187"/>
      <c r="I113" s="7"/>
      <c r="J113" s="7">
        <v>1.6500000000000001E-2</v>
      </c>
      <c r="K113" s="7">
        <v>7.5999999999999998E-2</v>
      </c>
      <c r="L113" s="7">
        <v>0</v>
      </c>
      <c r="M113" s="11">
        <f t="shared" si="2"/>
        <v>0</v>
      </c>
      <c r="N113" s="11">
        <f t="shared" si="3"/>
        <v>0</v>
      </c>
      <c r="O113" s="11">
        <f t="shared" si="4"/>
        <v>0</v>
      </c>
      <c r="P113" s="11">
        <f t="shared" si="5"/>
        <v>0</v>
      </c>
    </row>
    <row r="114" spans="1:16" ht="15" hidden="1" customHeight="1">
      <c r="A114" s="44"/>
      <c r="B114" s="5">
        <f t="shared" si="14"/>
        <v>45597</v>
      </c>
      <c r="C114" s="1" t="s">
        <v>533</v>
      </c>
      <c r="D114" s="195"/>
      <c r="E114" s="186"/>
      <c r="F114" s="2"/>
      <c r="G114" s="3">
        <f t="shared" si="11"/>
        <v>0</v>
      </c>
      <c r="H114" s="187"/>
      <c r="I114" s="7"/>
      <c r="J114" s="7">
        <v>1.6500000000000001E-2</v>
      </c>
      <c r="K114" s="7">
        <v>7.5999999999999998E-2</v>
      </c>
      <c r="L114" s="7">
        <v>0</v>
      </c>
      <c r="M114" s="11">
        <f t="shared" si="2"/>
        <v>0</v>
      </c>
      <c r="N114" s="11">
        <f t="shared" si="3"/>
        <v>0</v>
      </c>
      <c r="O114" s="11">
        <f t="shared" si="4"/>
        <v>0</v>
      </c>
      <c r="P114" s="11">
        <f t="shared" si="5"/>
        <v>0</v>
      </c>
    </row>
    <row r="115" spans="1:16" ht="15" hidden="1" customHeight="1">
      <c r="A115" s="44"/>
      <c r="B115" s="5">
        <f t="shared" si="14"/>
        <v>45597</v>
      </c>
      <c r="C115" s="1" t="s">
        <v>533</v>
      </c>
      <c r="D115" s="195"/>
      <c r="E115" s="186"/>
      <c r="F115" s="2"/>
      <c r="G115" s="3">
        <f t="shared" si="11"/>
        <v>0</v>
      </c>
      <c r="H115" s="187"/>
      <c r="I115" s="7"/>
      <c r="J115" s="7">
        <v>1.6500000000000001E-2</v>
      </c>
      <c r="K115" s="7">
        <v>7.5999999999999998E-2</v>
      </c>
      <c r="L115" s="7">
        <v>0</v>
      </c>
      <c r="M115" s="11">
        <f t="shared" si="2"/>
        <v>0</v>
      </c>
      <c r="N115" s="11">
        <f t="shared" si="3"/>
        <v>0</v>
      </c>
      <c r="O115" s="11">
        <f t="shared" si="4"/>
        <v>0</v>
      </c>
      <c r="P115" s="11">
        <f t="shared" si="5"/>
        <v>0</v>
      </c>
    </row>
    <row r="116" spans="1:16" ht="15" hidden="1" customHeight="1">
      <c r="A116" s="44"/>
      <c r="B116" s="5">
        <f t="shared" si="14"/>
        <v>45597</v>
      </c>
      <c r="C116" s="1" t="s">
        <v>533</v>
      </c>
      <c r="D116" s="195"/>
      <c r="E116" s="186"/>
      <c r="F116" s="2"/>
      <c r="G116" s="3">
        <f t="shared" si="11"/>
        <v>0</v>
      </c>
      <c r="H116" s="187"/>
      <c r="I116" s="7"/>
      <c r="J116" s="7">
        <v>1.6500000000000001E-2</v>
      </c>
      <c r="K116" s="7">
        <v>7.5999999999999998E-2</v>
      </c>
      <c r="L116" s="7">
        <v>0</v>
      </c>
      <c r="M116" s="11">
        <f t="shared" si="2"/>
        <v>0</v>
      </c>
      <c r="N116" s="11">
        <f t="shared" si="3"/>
        <v>0</v>
      </c>
      <c r="O116" s="11">
        <f t="shared" si="4"/>
        <v>0</v>
      </c>
      <c r="P116" s="11">
        <f t="shared" si="5"/>
        <v>0</v>
      </c>
    </row>
    <row r="117" spans="1:16" ht="15" hidden="1" customHeight="1">
      <c r="A117" s="44"/>
      <c r="B117" s="5">
        <f t="shared" si="14"/>
        <v>45597</v>
      </c>
      <c r="C117" s="1" t="s">
        <v>533</v>
      </c>
      <c r="D117" s="195"/>
      <c r="E117" s="186"/>
      <c r="F117" s="2"/>
      <c r="G117" s="3">
        <f t="shared" si="11"/>
        <v>0</v>
      </c>
      <c r="H117" s="187"/>
      <c r="I117" s="7"/>
      <c r="J117" s="7">
        <v>1.6500000000000001E-2</v>
      </c>
      <c r="K117" s="7">
        <v>7.5999999999999998E-2</v>
      </c>
      <c r="L117" s="7">
        <v>0</v>
      </c>
      <c r="M117" s="11">
        <f t="shared" si="2"/>
        <v>0</v>
      </c>
      <c r="N117" s="11">
        <f t="shared" si="3"/>
        <v>0</v>
      </c>
      <c r="O117" s="11">
        <f t="shared" si="4"/>
        <v>0</v>
      </c>
      <c r="P117" s="11">
        <f t="shared" si="5"/>
        <v>0</v>
      </c>
    </row>
    <row r="118" spans="1:16" ht="15" hidden="1" customHeight="1">
      <c r="A118" s="44"/>
      <c r="B118" s="5">
        <f t="shared" si="14"/>
        <v>45597</v>
      </c>
      <c r="C118" s="1" t="s">
        <v>533</v>
      </c>
      <c r="D118" s="195"/>
      <c r="E118" s="186"/>
      <c r="F118" s="2"/>
      <c r="G118" s="3">
        <f t="shared" si="11"/>
        <v>0</v>
      </c>
      <c r="H118" s="187"/>
      <c r="I118" s="7"/>
      <c r="J118" s="7">
        <v>1.6500000000000001E-2</v>
      </c>
      <c r="K118" s="7">
        <v>7.5999999999999998E-2</v>
      </c>
      <c r="L118" s="7">
        <v>0</v>
      </c>
      <c r="M118" s="11">
        <f t="shared" si="2"/>
        <v>0</v>
      </c>
      <c r="N118" s="11">
        <f t="shared" si="3"/>
        <v>0</v>
      </c>
      <c r="O118" s="11">
        <f t="shared" si="4"/>
        <v>0</v>
      </c>
      <c r="P118" s="11">
        <f t="shared" si="5"/>
        <v>0</v>
      </c>
    </row>
    <row r="119" spans="1:16" ht="15" hidden="1" customHeight="1">
      <c r="A119" s="44"/>
      <c r="B119" s="5">
        <f t="shared" si="14"/>
        <v>45597</v>
      </c>
      <c r="C119" s="1" t="s">
        <v>533</v>
      </c>
      <c r="D119" s="195"/>
      <c r="E119" s="186"/>
      <c r="F119" s="2"/>
      <c r="G119" s="3">
        <f t="shared" si="11"/>
        <v>0</v>
      </c>
      <c r="H119" s="187"/>
      <c r="I119" s="7"/>
      <c r="J119" s="7">
        <v>1.6500000000000001E-2</v>
      </c>
      <c r="K119" s="7">
        <v>7.5999999999999998E-2</v>
      </c>
      <c r="L119" s="7">
        <v>0</v>
      </c>
      <c r="M119" s="11">
        <f t="shared" si="2"/>
        <v>0</v>
      </c>
      <c r="N119" s="11">
        <f t="shared" si="3"/>
        <v>0</v>
      </c>
      <c r="O119" s="11">
        <f t="shared" si="4"/>
        <v>0</v>
      </c>
      <c r="P119" s="11">
        <f t="shared" si="5"/>
        <v>0</v>
      </c>
    </row>
    <row r="120" spans="1:16" ht="15" hidden="1" customHeight="1">
      <c r="A120" s="44"/>
      <c r="B120" s="5">
        <f t="shared" si="14"/>
        <v>45597</v>
      </c>
      <c r="C120" s="1" t="s">
        <v>533</v>
      </c>
      <c r="D120" s="195"/>
      <c r="E120" s="186"/>
      <c r="F120" s="2"/>
      <c r="G120" s="3">
        <f t="shared" si="11"/>
        <v>0</v>
      </c>
      <c r="H120" s="187"/>
      <c r="I120" s="7"/>
      <c r="J120" s="7">
        <v>1.6500000000000001E-2</v>
      </c>
      <c r="K120" s="7">
        <v>7.5999999999999998E-2</v>
      </c>
      <c r="L120" s="7">
        <v>0</v>
      </c>
      <c r="M120" s="11">
        <f t="shared" si="2"/>
        <v>0</v>
      </c>
      <c r="N120" s="11">
        <f t="shared" si="3"/>
        <v>0</v>
      </c>
      <c r="O120" s="11">
        <f t="shared" si="4"/>
        <v>0</v>
      </c>
      <c r="P120" s="11">
        <f t="shared" si="5"/>
        <v>0</v>
      </c>
    </row>
    <row r="121" spans="1:16" ht="15" hidden="1" customHeight="1">
      <c r="A121" s="44"/>
      <c r="B121" s="5">
        <f t="shared" si="14"/>
        <v>45597</v>
      </c>
      <c r="C121" s="1" t="s">
        <v>533</v>
      </c>
      <c r="D121" s="195"/>
      <c r="E121" s="186"/>
      <c r="F121" s="2"/>
      <c r="G121" s="3">
        <f t="shared" si="11"/>
        <v>0</v>
      </c>
      <c r="H121" s="187"/>
      <c r="I121" s="7"/>
      <c r="J121" s="7">
        <v>1.6500000000000001E-2</v>
      </c>
      <c r="K121" s="7">
        <v>7.5999999999999998E-2</v>
      </c>
      <c r="L121" s="7">
        <v>0</v>
      </c>
      <c r="M121" s="11">
        <f t="shared" si="2"/>
        <v>0</v>
      </c>
      <c r="N121" s="11">
        <f t="shared" si="3"/>
        <v>0</v>
      </c>
      <c r="O121" s="11">
        <f t="shared" si="4"/>
        <v>0</v>
      </c>
      <c r="P121" s="11">
        <f t="shared" si="5"/>
        <v>0</v>
      </c>
    </row>
    <row r="122" spans="1:16" ht="15" hidden="1" customHeight="1">
      <c r="A122" s="44"/>
      <c r="B122" s="5">
        <f t="shared" si="14"/>
        <v>45597</v>
      </c>
      <c r="C122" s="1" t="s">
        <v>533</v>
      </c>
      <c r="D122" s="195"/>
      <c r="E122" s="186"/>
      <c r="F122" s="2"/>
      <c r="G122" s="3">
        <f t="shared" si="11"/>
        <v>0</v>
      </c>
      <c r="H122" s="187"/>
      <c r="I122" s="7"/>
      <c r="J122" s="7">
        <v>1.6500000000000001E-2</v>
      </c>
      <c r="K122" s="7">
        <v>7.5999999999999998E-2</v>
      </c>
      <c r="L122" s="7">
        <v>0</v>
      </c>
      <c r="M122" s="11">
        <f t="shared" si="2"/>
        <v>0</v>
      </c>
      <c r="N122" s="11">
        <f t="shared" si="3"/>
        <v>0</v>
      </c>
      <c r="O122" s="11">
        <f t="shared" si="4"/>
        <v>0</v>
      </c>
      <c r="P122" s="11">
        <f t="shared" si="5"/>
        <v>0</v>
      </c>
    </row>
    <row r="123" spans="1:16" ht="15" hidden="1" customHeight="1">
      <c r="A123" s="44"/>
      <c r="B123" s="5">
        <f t="shared" si="14"/>
        <v>45597</v>
      </c>
      <c r="C123" s="1" t="s">
        <v>533</v>
      </c>
      <c r="D123" s="195"/>
      <c r="E123" s="186"/>
      <c r="F123" s="2"/>
      <c r="G123" s="3">
        <f t="shared" si="11"/>
        <v>0</v>
      </c>
      <c r="H123" s="187"/>
      <c r="I123" s="7"/>
      <c r="J123" s="7">
        <v>1.6500000000000001E-2</v>
      </c>
      <c r="K123" s="7">
        <v>7.5999999999999998E-2</v>
      </c>
      <c r="L123" s="7">
        <v>0</v>
      </c>
      <c r="M123" s="11">
        <f t="shared" si="2"/>
        <v>0</v>
      </c>
      <c r="N123" s="11">
        <f t="shared" si="3"/>
        <v>0</v>
      </c>
      <c r="O123" s="11">
        <f t="shared" si="4"/>
        <v>0</v>
      </c>
      <c r="P123" s="11">
        <f t="shared" si="5"/>
        <v>0</v>
      </c>
    </row>
    <row r="124" spans="1:16" ht="15" hidden="1" customHeight="1">
      <c r="A124" s="44"/>
      <c r="B124" s="5">
        <f t="shared" si="14"/>
        <v>45597</v>
      </c>
      <c r="C124" s="1" t="s">
        <v>533</v>
      </c>
      <c r="D124" s="195"/>
      <c r="E124" s="186"/>
      <c r="F124" s="2"/>
      <c r="G124" s="3">
        <f t="shared" si="11"/>
        <v>0</v>
      </c>
      <c r="H124" s="187"/>
      <c r="I124" s="7"/>
      <c r="J124" s="7">
        <v>1.6500000000000001E-2</v>
      </c>
      <c r="K124" s="7">
        <v>7.5999999999999998E-2</v>
      </c>
      <c r="L124" s="7">
        <v>0</v>
      </c>
      <c r="M124" s="11">
        <f t="shared" si="2"/>
        <v>0</v>
      </c>
      <c r="N124" s="11">
        <f t="shared" si="3"/>
        <v>0</v>
      </c>
      <c r="O124" s="11">
        <f t="shared" si="4"/>
        <v>0</v>
      </c>
      <c r="P124" s="11">
        <f t="shared" si="5"/>
        <v>0</v>
      </c>
    </row>
    <row r="125" spans="1:16" ht="15" hidden="1" customHeight="1">
      <c r="A125" s="44"/>
      <c r="B125" s="5">
        <f t="shared" si="14"/>
        <v>45597</v>
      </c>
      <c r="C125" s="1" t="s">
        <v>533</v>
      </c>
      <c r="D125" s="195"/>
      <c r="E125" s="186"/>
      <c r="F125" s="2"/>
      <c r="G125" s="3">
        <f t="shared" si="11"/>
        <v>0</v>
      </c>
      <c r="H125" s="187"/>
      <c r="I125" s="7"/>
      <c r="J125" s="7">
        <v>1.6500000000000001E-2</v>
      </c>
      <c r="K125" s="7">
        <v>7.5999999999999998E-2</v>
      </c>
      <c r="L125" s="7">
        <v>0</v>
      </c>
      <c r="M125" s="11">
        <f t="shared" si="2"/>
        <v>0</v>
      </c>
      <c r="N125" s="11">
        <f t="shared" si="3"/>
        <v>0</v>
      </c>
      <c r="O125" s="11">
        <f t="shared" si="4"/>
        <v>0</v>
      </c>
      <c r="P125" s="11">
        <f t="shared" si="5"/>
        <v>0</v>
      </c>
    </row>
    <row r="126" spans="1:16" ht="15" hidden="1" customHeight="1">
      <c r="A126" s="44"/>
      <c r="B126" s="5">
        <f t="shared" si="14"/>
        <v>45597</v>
      </c>
      <c r="C126" s="1" t="s">
        <v>533</v>
      </c>
      <c r="D126" s="195"/>
      <c r="E126" s="186"/>
      <c r="F126" s="2"/>
      <c r="G126" s="3">
        <f t="shared" si="11"/>
        <v>0</v>
      </c>
      <c r="H126" s="187"/>
      <c r="I126" s="7"/>
      <c r="J126" s="7">
        <v>1.6500000000000001E-2</v>
      </c>
      <c r="K126" s="7">
        <v>7.5999999999999998E-2</v>
      </c>
      <c r="L126" s="7">
        <v>0</v>
      </c>
      <c r="M126" s="11">
        <f t="shared" si="2"/>
        <v>0</v>
      </c>
      <c r="N126" s="11">
        <f t="shared" si="3"/>
        <v>0</v>
      </c>
      <c r="O126" s="11">
        <f t="shared" si="4"/>
        <v>0</v>
      </c>
      <c r="P126" s="11">
        <f t="shared" si="5"/>
        <v>0</v>
      </c>
    </row>
    <row r="127" spans="1:16" ht="15" hidden="1" customHeight="1">
      <c r="A127" s="44"/>
      <c r="B127" s="5">
        <f t="shared" si="14"/>
        <v>45597</v>
      </c>
      <c r="C127" s="1" t="s">
        <v>533</v>
      </c>
      <c r="D127" s="195"/>
      <c r="E127" s="186"/>
      <c r="F127" s="2"/>
      <c r="G127" s="3">
        <f t="shared" si="11"/>
        <v>0</v>
      </c>
      <c r="H127" s="187"/>
      <c r="I127" s="7"/>
      <c r="J127" s="7">
        <v>1.6500000000000001E-2</v>
      </c>
      <c r="K127" s="7">
        <v>7.5999999999999998E-2</v>
      </c>
      <c r="L127" s="7">
        <v>0</v>
      </c>
      <c r="M127" s="11">
        <f t="shared" si="2"/>
        <v>0</v>
      </c>
      <c r="N127" s="11">
        <f t="shared" si="3"/>
        <v>0</v>
      </c>
      <c r="O127" s="11">
        <f t="shared" si="4"/>
        <v>0</v>
      </c>
      <c r="P127" s="11">
        <f t="shared" si="5"/>
        <v>0</v>
      </c>
    </row>
    <row r="128" spans="1:16" ht="15" hidden="1" customHeight="1">
      <c r="A128" s="44"/>
      <c r="B128" s="5">
        <f t="shared" si="14"/>
        <v>45597</v>
      </c>
      <c r="C128" s="1" t="s">
        <v>533</v>
      </c>
      <c r="D128" s="195"/>
      <c r="E128" s="186"/>
      <c r="F128" s="2"/>
      <c r="G128" s="3">
        <f t="shared" si="11"/>
        <v>0</v>
      </c>
      <c r="H128" s="187"/>
      <c r="I128" s="7"/>
      <c r="J128" s="7">
        <v>1.6500000000000001E-2</v>
      </c>
      <c r="K128" s="7">
        <v>7.5999999999999998E-2</v>
      </c>
      <c r="L128" s="7">
        <v>0</v>
      </c>
      <c r="M128" s="11">
        <f t="shared" si="2"/>
        <v>0</v>
      </c>
      <c r="N128" s="11">
        <f t="shared" si="3"/>
        <v>0</v>
      </c>
      <c r="O128" s="11">
        <f t="shared" si="4"/>
        <v>0</v>
      </c>
      <c r="P128" s="11">
        <f t="shared" si="5"/>
        <v>0</v>
      </c>
    </row>
    <row r="129" spans="1:16" ht="15" hidden="1" customHeight="1">
      <c r="A129" s="44"/>
      <c r="B129" s="5">
        <f t="shared" si="14"/>
        <v>45597</v>
      </c>
      <c r="C129" s="1" t="s">
        <v>533</v>
      </c>
      <c r="D129" s="195"/>
      <c r="E129" s="186"/>
      <c r="F129" s="2"/>
      <c r="G129" s="3">
        <f t="shared" si="11"/>
        <v>0</v>
      </c>
      <c r="H129" s="187"/>
      <c r="I129" s="7"/>
      <c r="J129" s="7">
        <v>1.6500000000000001E-2</v>
      </c>
      <c r="K129" s="7">
        <v>7.5999999999999998E-2</v>
      </c>
      <c r="L129" s="7">
        <v>0</v>
      </c>
      <c r="M129" s="11">
        <f t="shared" si="2"/>
        <v>0</v>
      </c>
      <c r="N129" s="11">
        <f t="shared" si="3"/>
        <v>0</v>
      </c>
      <c r="O129" s="11">
        <f t="shared" si="4"/>
        <v>0</v>
      </c>
      <c r="P129" s="11">
        <f t="shared" si="5"/>
        <v>0</v>
      </c>
    </row>
    <row r="130" spans="1:16" ht="15" hidden="1" customHeight="1">
      <c r="A130" s="44"/>
      <c r="B130" s="5">
        <f t="shared" si="14"/>
        <v>45597</v>
      </c>
      <c r="C130" s="1" t="s">
        <v>533</v>
      </c>
      <c r="D130" s="195"/>
      <c r="E130" s="186"/>
      <c r="F130" s="2"/>
      <c r="G130" s="3">
        <f t="shared" si="11"/>
        <v>0</v>
      </c>
      <c r="H130" s="187"/>
      <c r="I130" s="7"/>
      <c r="J130" s="7">
        <v>1.6500000000000001E-2</v>
      </c>
      <c r="K130" s="7">
        <v>7.5999999999999998E-2</v>
      </c>
      <c r="L130" s="7">
        <v>0</v>
      </c>
      <c r="M130" s="11">
        <f t="shared" si="2"/>
        <v>0</v>
      </c>
      <c r="N130" s="11">
        <f t="shared" si="3"/>
        <v>0</v>
      </c>
      <c r="O130" s="11">
        <f t="shared" si="4"/>
        <v>0</v>
      </c>
      <c r="P130" s="11">
        <f t="shared" si="5"/>
        <v>0</v>
      </c>
    </row>
    <row r="131" spans="1:16" ht="15" hidden="1" customHeight="1">
      <c r="A131" s="44"/>
      <c r="B131" s="5">
        <f t="shared" si="14"/>
        <v>45597</v>
      </c>
      <c r="C131" s="1" t="s">
        <v>533</v>
      </c>
      <c r="D131" s="195"/>
      <c r="E131" s="186"/>
      <c r="F131" s="2"/>
      <c r="G131" s="3">
        <f t="shared" si="11"/>
        <v>0</v>
      </c>
      <c r="H131" s="187"/>
      <c r="I131" s="7"/>
      <c r="J131" s="7">
        <v>1.6500000000000001E-2</v>
      </c>
      <c r="K131" s="7">
        <v>7.5999999999999998E-2</v>
      </c>
      <c r="L131" s="7">
        <v>0</v>
      </c>
      <c r="M131" s="11">
        <f t="shared" si="2"/>
        <v>0</v>
      </c>
      <c r="N131" s="11">
        <f t="shared" si="3"/>
        <v>0</v>
      </c>
      <c r="O131" s="11">
        <f t="shared" si="4"/>
        <v>0</v>
      </c>
      <c r="P131" s="11">
        <f t="shared" si="5"/>
        <v>0</v>
      </c>
    </row>
    <row r="132" spans="1:16" ht="15" hidden="1" customHeight="1">
      <c r="A132" s="44"/>
      <c r="B132" s="5">
        <f t="shared" si="14"/>
        <v>45597</v>
      </c>
      <c r="C132" s="1" t="s">
        <v>533</v>
      </c>
      <c r="D132" s="195"/>
      <c r="E132" s="186"/>
      <c r="F132" s="2"/>
      <c r="G132" s="3">
        <f t="shared" si="11"/>
        <v>0</v>
      </c>
      <c r="H132" s="187"/>
      <c r="I132" s="7"/>
      <c r="J132" s="7">
        <v>1.6500000000000001E-2</v>
      </c>
      <c r="K132" s="7">
        <v>7.5999999999999998E-2</v>
      </c>
      <c r="L132" s="7">
        <v>0</v>
      </c>
      <c r="M132" s="11">
        <f t="shared" si="2"/>
        <v>0</v>
      </c>
      <c r="N132" s="11">
        <f t="shared" si="3"/>
        <v>0</v>
      </c>
      <c r="O132" s="11">
        <f t="shared" si="4"/>
        <v>0</v>
      </c>
      <c r="P132" s="11">
        <f t="shared" si="5"/>
        <v>0</v>
      </c>
    </row>
    <row r="133" spans="1:16" ht="15" hidden="1" customHeight="1">
      <c r="A133" s="44"/>
      <c r="B133" s="5">
        <f t="shared" si="14"/>
        <v>45597</v>
      </c>
      <c r="C133" s="1" t="s">
        <v>533</v>
      </c>
      <c r="D133" s="195"/>
      <c r="E133" s="186"/>
      <c r="F133" s="2"/>
      <c r="G133" s="3">
        <f t="shared" si="11"/>
        <v>0</v>
      </c>
      <c r="H133" s="187"/>
      <c r="I133" s="7"/>
      <c r="J133" s="7">
        <v>1.6500000000000001E-2</v>
      </c>
      <c r="K133" s="7">
        <v>7.5999999999999998E-2</v>
      </c>
      <c r="L133" s="7">
        <v>0</v>
      </c>
      <c r="M133" s="11">
        <f t="shared" si="2"/>
        <v>0</v>
      </c>
      <c r="N133" s="11">
        <f t="shared" si="3"/>
        <v>0</v>
      </c>
      <c r="O133" s="11">
        <f t="shared" si="4"/>
        <v>0</v>
      </c>
      <c r="P133" s="11">
        <f t="shared" ref="P133:P176" si="15">L133*(F133)</f>
        <v>0</v>
      </c>
    </row>
    <row r="134" spans="1:16" ht="15" hidden="1" customHeight="1">
      <c r="A134" s="44"/>
      <c r="B134" s="5">
        <f t="shared" si="14"/>
        <v>45597</v>
      </c>
      <c r="C134" s="1" t="s">
        <v>533</v>
      </c>
      <c r="D134" s="195"/>
      <c r="E134" s="186"/>
      <c r="F134" s="2"/>
      <c r="G134" s="3">
        <f t="shared" si="11"/>
        <v>0</v>
      </c>
      <c r="H134" s="187"/>
      <c r="I134" s="7"/>
      <c r="J134" s="7">
        <v>1.6500000000000001E-2</v>
      </c>
      <c r="K134" s="7">
        <v>7.5999999999999998E-2</v>
      </c>
      <c r="L134" s="7">
        <v>0</v>
      </c>
      <c r="M134" s="11">
        <f t="shared" si="2"/>
        <v>0</v>
      </c>
      <c r="N134" s="11">
        <f t="shared" si="3"/>
        <v>0</v>
      </c>
      <c r="O134" s="11">
        <f t="shared" si="4"/>
        <v>0</v>
      </c>
      <c r="P134" s="11">
        <f t="shared" si="15"/>
        <v>0</v>
      </c>
    </row>
    <row r="135" spans="1:16" ht="15" hidden="1" customHeight="1">
      <c r="A135" s="44"/>
      <c r="B135" s="5">
        <f t="shared" si="14"/>
        <v>45597</v>
      </c>
      <c r="C135" s="1" t="s">
        <v>533</v>
      </c>
      <c r="D135" s="195"/>
      <c r="E135" s="186"/>
      <c r="F135" s="2"/>
      <c r="G135" s="3">
        <f t="shared" ref="G135:G173" si="16">F135-SUM(M135:P135)</f>
        <v>0</v>
      </c>
      <c r="H135" s="187"/>
      <c r="I135" s="7"/>
      <c r="J135" s="7">
        <v>1.6500000000000001E-2</v>
      </c>
      <c r="K135" s="7">
        <v>7.5999999999999998E-2</v>
      </c>
      <c r="L135" s="7">
        <v>0</v>
      </c>
      <c r="M135" s="11">
        <f t="shared" si="2"/>
        <v>0</v>
      </c>
      <c r="N135" s="11">
        <f t="shared" si="3"/>
        <v>0</v>
      </c>
      <c r="O135" s="11">
        <f t="shared" si="4"/>
        <v>0</v>
      </c>
      <c r="P135" s="11">
        <f t="shared" si="15"/>
        <v>0</v>
      </c>
    </row>
    <row r="136" spans="1:16" ht="15" hidden="1" customHeight="1">
      <c r="A136" s="44"/>
      <c r="B136" s="5">
        <f t="shared" si="14"/>
        <v>45597</v>
      </c>
      <c r="C136" s="1" t="s">
        <v>533</v>
      </c>
      <c r="D136" s="195"/>
      <c r="E136" s="186"/>
      <c r="F136" s="2"/>
      <c r="G136" s="3">
        <f t="shared" si="16"/>
        <v>0</v>
      </c>
      <c r="H136" s="187"/>
      <c r="I136" s="7"/>
      <c r="J136" s="7">
        <v>1.6500000000000001E-2</v>
      </c>
      <c r="K136" s="7">
        <v>7.5999999999999998E-2</v>
      </c>
      <c r="L136" s="7">
        <v>0</v>
      </c>
      <c r="M136" s="11">
        <f t="shared" si="2"/>
        <v>0</v>
      </c>
      <c r="N136" s="11">
        <f t="shared" si="3"/>
        <v>0</v>
      </c>
      <c r="O136" s="11">
        <f t="shared" si="4"/>
        <v>0</v>
      </c>
      <c r="P136" s="11">
        <f t="shared" si="15"/>
        <v>0</v>
      </c>
    </row>
    <row r="137" spans="1:16" ht="15" hidden="1" customHeight="1">
      <c r="A137" s="44"/>
      <c r="B137" s="5">
        <f t="shared" si="14"/>
        <v>45597</v>
      </c>
      <c r="C137" s="1" t="s">
        <v>533</v>
      </c>
      <c r="D137" s="195"/>
      <c r="E137" s="186"/>
      <c r="F137" s="2"/>
      <c r="G137" s="3">
        <f t="shared" si="16"/>
        <v>0</v>
      </c>
      <c r="H137" s="187"/>
      <c r="I137" s="7"/>
      <c r="J137" s="7">
        <v>1.6500000000000001E-2</v>
      </c>
      <c r="K137" s="7">
        <v>7.5999999999999998E-2</v>
      </c>
      <c r="L137" s="7">
        <v>0</v>
      </c>
      <c r="M137" s="11">
        <f t="shared" si="2"/>
        <v>0</v>
      </c>
      <c r="N137" s="11">
        <f t="shared" si="3"/>
        <v>0</v>
      </c>
      <c r="O137" s="11">
        <f t="shared" si="4"/>
        <v>0</v>
      </c>
      <c r="P137" s="11">
        <f t="shared" si="15"/>
        <v>0</v>
      </c>
    </row>
    <row r="138" spans="1:16" ht="15" hidden="1" customHeight="1">
      <c r="A138" s="44"/>
      <c r="B138" s="5">
        <f t="shared" si="14"/>
        <v>45597</v>
      </c>
      <c r="C138" s="1" t="s">
        <v>533</v>
      </c>
      <c r="D138" s="195"/>
      <c r="E138" s="186"/>
      <c r="F138" s="2"/>
      <c r="G138" s="3">
        <f t="shared" si="16"/>
        <v>0</v>
      </c>
      <c r="H138" s="187"/>
      <c r="I138" s="7"/>
      <c r="J138" s="7">
        <v>1.6500000000000001E-2</v>
      </c>
      <c r="K138" s="7">
        <v>7.5999999999999998E-2</v>
      </c>
      <c r="L138" s="7">
        <v>0</v>
      </c>
      <c r="M138" s="11">
        <f t="shared" si="2"/>
        <v>0</v>
      </c>
      <c r="N138" s="11">
        <f t="shared" si="3"/>
        <v>0</v>
      </c>
      <c r="O138" s="11">
        <f t="shared" si="4"/>
        <v>0</v>
      </c>
      <c r="P138" s="11">
        <f t="shared" si="15"/>
        <v>0</v>
      </c>
    </row>
    <row r="139" spans="1:16" ht="15" hidden="1" customHeight="1">
      <c r="A139" s="44"/>
      <c r="B139" s="5">
        <f t="shared" si="14"/>
        <v>45597</v>
      </c>
      <c r="C139" s="1" t="s">
        <v>533</v>
      </c>
      <c r="D139" s="195"/>
      <c r="E139" s="186"/>
      <c r="F139" s="2"/>
      <c r="G139" s="3">
        <f t="shared" si="16"/>
        <v>0</v>
      </c>
      <c r="H139" s="187"/>
      <c r="I139" s="7"/>
      <c r="J139" s="7">
        <v>1.6500000000000001E-2</v>
      </c>
      <c r="K139" s="7">
        <v>7.5999999999999998E-2</v>
      </c>
      <c r="L139" s="7">
        <v>0</v>
      </c>
      <c r="M139" s="11">
        <f t="shared" si="2"/>
        <v>0</v>
      </c>
      <c r="N139" s="11">
        <f t="shared" si="3"/>
        <v>0</v>
      </c>
      <c r="O139" s="11">
        <f t="shared" si="4"/>
        <v>0</v>
      </c>
      <c r="P139" s="11">
        <f t="shared" si="15"/>
        <v>0</v>
      </c>
    </row>
    <row r="140" spans="1:16" ht="15" hidden="1" customHeight="1">
      <c r="A140" s="44"/>
      <c r="B140" s="5">
        <f t="shared" si="14"/>
        <v>45597</v>
      </c>
      <c r="C140" s="1" t="s">
        <v>533</v>
      </c>
      <c r="D140" s="195"/>
      <c r="E140" s="186"/>
      <c r="F140" s="2"/>
      <c r="G140" s="3">
        <f t="shared" si="16"/>
        <v>0</v>
      </c>
      <c r="H140" s="187"/>
      <c r="I140" s="7"/>
      <c r="J140" s="7">
        <v>1.6500000000000001E-2</v>
      </c>
      <c r="K140" s="7">
        <v>7.5999999999999998E-2</v>
      </c>
      <c r="L140" s="7">
        <v>0</v>
      </c>
      <c r="M140" s="11">
        <f t="shared" si="2"/>
        <v>0</v>
      </c>
      <c r="N140" s="11">
        <f t="shared" si="3"/>
        <v>0</v>
      </c>
      <c r="O140" s="11">
        <f t="shared" si="4"/>
        <v>0</v>
      </c>
      <c r="P140" s="11">
        <f t="shared" si="15"/>
        <v>0</v>
      </c>
    </row>
    <row r="141" spans="1:16" ht="15" hidden="1" customHeight="1">
      <c r="A141" s="44"/>
      <c r="B141" s="5">
        <f t="shared" si="14"/>
        <v>45597</v>
      </c>
      <c r="C141" s="1" t="s">
        <v>533</v>
      </c>
      <c r="D141" s="195"/>
      <c r="E141" s="186"/>
      <c r="F141" s="2"/>
      <c r="G141" s="3">
        <f t="shared" si="16"/>
        <v>0</v>
      </c>
      <c r="H141" s="187"/>
      <c r="I141" s="7"/>
      <c r="J141" s="7">
        <v>1.6500000000000001E-2</v>
      </c>
      <c r="K141" s="7">
        <v>7.5999999999999998E-2</v>
      </c>
      <c r="L141" s="7">
        <v>0</v>
      </c>
      <c r="M141" s="11">
        <f t="shared" si="2"/>
        <v>0</v>
      </c>
      <c r="N141" s="11">
        <f t="shared" si="3"/>
        <v>0</v>
      </c>
      <c r="O141" s="11">
        <f t="shared" si="4"/>
        <v>0</v>
      </c>
      <c r="P141" s="11">
        <f t="shared" si="15"/>
        <v>0</v>
      </c>
    </row>
    <row r="142" spans="1:16" ht="15" hidden="1" customHeight="1">
      <c r="A142" s="44"/>
      <c r="B142" s="5">
        <f t="shared" si="14"/>
        <v>45597</v>
      </c>
      <c r="C142" s="1" t="s">
        <v>533</v>
      </c>
      <c r="D142" s="195"/>
      <c r="E142" s="186"/>
      <c r="F142" s="2"/>
      <c r="G142" s="3">
        <f t="shared" si="16"/>
        <v>0</v>
      </c>
      <c r="H142" s="187"/>
      <c r="I142" s="7"/>
      <c r="J142" s="7">
        <v>1.6500000000000001E-2</v>
      </c>
      <c r="K142" s="7">
        <v>7.5999999999999998E-2</v>
      </c>
      <c r="L142" s="7">
        <v>0</v>
      </c>
      <c r="M142" s="11">
        <f t="shared" si="2"/>
        <v>0</v>
      </c>
      <c r="N142" s="11">
        <f t="shared" si="3"/>
        <v>0</v>
      </c>
      <c r="O142" s="11">
        <f t="shared" si="4"/>
        <v>0</v>
      </c>
      <c r="P142" s="11">
        <f t="shared" si="15"/>
        <v>0</v>
      </c>
    </row>
    <row r="143" spans="1:16" ht="15" hidden="1" customHeight="1">
      <c r="A143" s="44"/>
      <c r="B143" s="5">
        <f t="shared" si="14"/>
        <v>45597</v>
      </c>
      <c r="C143" s="1" t="s">
        <v>533</v>
      </c>
      <c r="D143" s="195"/>
      <c r="E143" s="186"/>
      <c r="F143" s="2"/>
      <c r="G143" s="3">
        <f t="shared" si="16"/>
        <v>0</v>
      </c>
      <c r="H143" s="187"/>
      <c r="I143" s="7"/>
      <c r="J143" s="7">
        <v>1.6500000000000001E-2</v>
      </c>
      <c r="K143" s="7">
        <v>7.5999999999999998E-2</v>
      </c>
      <c r="L143" s="7">
        <v>0</v>
      </c>
      <c r="M143" s="11">
        <f t="shared" si="2"/>
        <v>0</v>
      </c>
      <c r="N143" s="11">
        <f t="shared" si="3"/>
        <v>0</v>
      </c>
      <c r="O143" s="11">
        <f t="shared" si="4"/>
        <v>0</v>
      </c>
      <c r="P143" s="11">
        <f t="shared" si="15"/>
        <v>0</v>
      </c>
    </row>
    <row r="144" spans="1:16" ht="15" hidden="1" customHeight="1">
      <c r="A144" s="44"/>
      <c r="B144" s="5">
        <f t="shared" si="14"/>
        <v>45597</v>
      </c>
      <c r="C144" s="1" t="s">
        <v>533</v>
      </c>
      <c r="D144" s="195"/>
      <c r="E144" s="186"/>
      <c r="F144" s="2"/>
      <c r="G144" s="3">
        <f t="shared" si="16"/>
        <v>0</v>
      </c>
      <c r="H144" s="187"/>
      <c r="I144" s="7"/>
      <c r="J144" s="7">
        <v>1.6500000000000001E-2</v>
      </c>
      <c r="K144" s="7">
        <v>7.5999999999999998E-2</v>
      </c>
      <c r="L144" s="7">
        <v>0</v>
      </c>
      <c r="M144" s="11">
        <f t="shared" si="2"/>
        <v>0</v>
      </c>
      <c r="N144" s="11">
        <f t="shared" si="3"/>
        <v>0</v>
      </c>
      <c r="O144" s="11">
        <f t="shared" si="4"/>
        <v>0</v>
      </c>
      <c r="P144" s="11">
        <f t="shared" si="15"/>
        <v>0</v>
      </c>
    </row>
    <row r="145" spans="1:16" ht="15" hidden="1" customHeight="1">
      <c r="A145" s="44"/>
      <c r="B145" s="5">
        <f t="shared" si="14"/>
        <v>45597</v>
      </c>
      <c r="C145" s="1" t="s">
        <v>533</v>
      </c>
      <c r="D145" s="195"/>
      <c r="E145" s="186"/>
      <c r="F145" s="2"/>
      <c r="G145" s="3">
        <f t="shared" si="16"/>
        <v>0</v>
      </c>
      <c r="H145" s="187"/>
      <c r="I145" s="7"/>
      <c r="J145" s="7">
        <v>1.6500000000000001E-2</v>
      </c>
      <c r="K145" s="7">
        <v>7.5999999999999998E-2</v>
      </c>
      <c r="L145" s="7">
        <v>0</v>
      </c>
      <c r="M145" s="11">
        <f t="shared" si="2"/>
        <v>0</v>
      </c>
      <c r="N145" s="11">
        <f t="shared" si="3"/>
        <v>0</v>
      </c>
      <c r="O145" s="11">
        <f t="shared" si="4"/>
        <v>0</v>
      </c>
      <c r="P145" s="11">
        <f t="shared" si="15"/>
        <v>0</v>
      </c>
    </row>
    <row r="146" spans="1:16" ht="15" hidden="1" customHeight="1">
      <c r="A146" s="44"/>
      <c r="B146" s="5">
        <f t="shared" si="14"/>
        <v>45597</v>
      </c>
      <c r="C146" s="1" t="s">
        <v>533</v>
      </c>
      <c r="D146" s="195"/>
      <c r="E146" s="186"/>
      <c r="F146" s="2"/>
      <c r="G146" s="3">
        <f t="shared" si="16"/>
        <v>0</v>
      </c>
      <c r="H146" s="187"/>
      <c r="I146" s="7"/>
      <c r="J146" s="7">
        <v>1.6500000000000001E-2</v>
      </c>
      <c r="K146" s="7">
        <v>7.5999999999999998E-2</v>
      </c>
      <c r="L146" s="7">
        <v>0</v>
      </c>
      <c r="M146" s="11">
        <f t="shared" si="2"/>
        <v>0</v>
      </c>
      <c r="N146" s="11">
        <f t="shared" si="3"/>
        <v>0</v>
      </c>
      <c r="O146" s="11">
        <f t="shared" si="4"/>
        <v>0</v>
      </c>
      <c r="P146" s="11">
        <f t="shared" si="15"/>
        <v>0</v>
      </c>
    </row>
    <row r="147" spans="1:16" ht="15" hidden="1" customHeight="1">
      <c r="A147" s="44"/>
      <c r="B147" s="5">
        <f t="shared" si="14"/>
        <v>45597</v>
      </c>
      <c r="C147" s="1" t="s">
        <v>533</v>
      </c>
      <c r="D147" s="195"/>
      <c r="E147" s="186"/>
      <c r="F147" s="2"/>
      <c r="G147" s="3">
        <f t="shared" si="16"/>
        <v>0</v>
      </c>
      <c r="H147" s="187"/>
      <c r="I147" s="7"/>
      <c r="J147" s="7">
        <v>1.6500000000000001E-2</v>
      </c>
      <c r="K147" s="7">
        <v>7.5999999999999998E-2</v>
      </c>
      <c r="L147" s="7">
        <v>0</v>
      </c>
      <c r="M147" s="11">
        <f t="shared" si="2"/>
        <v>0</v>
      </c>
      <c r="N147" s="11">
        <f t="shared" si="3"/>
        <v>0</v>
      </c>
      <c r="O147" s="11">
        <f t="shared" si="4"/>
        <v>0</v>
      </c>
      <c r="P147" s="11">
        <f t="shared" si="15"/>
        <v>0</v>
      </c>
    </row>
    <row r="148" spans="1:16" ht="15" hidden="1" customHeight="1">
      <c r="A148" s="44"/>
      <c r="B148" s="5">
        <f t="shared" si="14"/>
        <v>45597</v>
      </c>
      <c r="C148" s="1" t="s">
        <v>533</v>
      </c>
      <c r="D148" s="195"/>
      <c r="E148" s="186"/>
      <c r="F148" s="2"/>
      <c r="G148" s="3">
        <f t="shared" si="16"/>
        <v>0</v>
      </c>
      <c r="H148" s="187"/>
      <c r="I148" s="7"/>
      <c r="J148" s="7">
        <v>1.6500000000000001E-2</v>
      </c>
      <c r="K148" s="7">
        <v>7.5999999999999998E-2</v>
      </c>
      <c r="L148" s="7">
        <v>0</v>
      </c>
      <c r="M148" s="11">
        <f t="shared" si="2"/>
        <v>0</v>
      </c>
      <c r="N148" s="11">
        <f t="shared" si="3"/>
        <v>0</v>
      </c>
      <c r="O148" s="11">
        <f t="shared" si="4"/>
        <v>0</v>
      </c>
      <c r="P148" s="11">
        <f t="shared" si="15"/>
        <v>0</v>
      </c>
    </row>
    <row r="149" spans="1:16" ht="15" hidden="1" customHeight="1">
      <c r="A149" s="44"/>
      <c r="B149" s="5">
        <f t="shared" si="14"/>
        <v>45597</v>
      </c>
      <c r="C149" s="1" t="s">
        <v>533</v>
      </c>
      <c r="D149" s="195"/>
      <c r="E149" s="186"/>
      <c r="F149" s="2"/>
      <c r="G149" s="3">
        <f t="shared" si="16"/>
        <v>0</v>
      </c>
      <c r="H149" s="187"/>
      <c r="I149" s="7"/>
      <c r="J149" s="7">
        <v>1.6500000000000001E-2</v>
      </c>
      <c r="K149" s="7">
        <v>7.5999999999999998E-2</v>
      </c>
      <c r="L149" s="7">
        <v>0</v>
      </c>
      <c r="M149" s="11">
        <f t="shared" si="2"/>
        <v>0</v>
      </c>
      <c r="N149" s="11">
        <f t="shared" si="3"/>
        <v>0</v>
      </c>
      <c r="O149" s="11">
        <f t="shared" si="4"/>
        <v>0</v>
      </c>
      <c r="P149" s="11">
        <f t="shared" si="15"/>
        <v>0</v>
      </c>
    </row>
    <row r="150" spans="1:16" ht="15" hidden="1" customHeight="1">
      <c r="A150" s="44"/>
      <c r="B150" s="5">
        <f t="shared" si="14"/>
        <v>45597</v>
      </c>
      <c r="C150" s="1" t="s">
        <v>533</v>
      </c>
      <c r="D150" s="195"/>
      <c r="E150" s="186"/>
      <c r="F150" s="2"/>
      <c r="G150" s="3">
        <f t="shared" si="16"/>
        <v>0</v>
      </c>
      <c r="H150" s="187"/>
      <c r="I150" s="7"/>
      <c r="J150" s="7">
        <v>1.6500000000000001E-2</v>
      </c>
      <c r="K150" s="7">
        <v>7.5999999999999998E-2</v>
      </c>
      <c r="L150" s="7">
        <v>0</v>
      </c>
      <c r="M150" s="11">
        <f t="shared" si="2"/>
        <v>0</v>
      </c>
      <c r="N150" s="11">
        <f t="shared" si="3"/>
        <v>0</v>
      </c>
      <c r="O150" s="11">
        <f t="shared" si="4"/>
        <v>0</v>
      </c>
      <c r="P150" s="11">
        <f t="shared" si="15"/>
        <v>0</v>
      </c>
    </row>
    <row r="151" spans="1:16" ht="15" hidden="1" customHeight="1">
      <c r="A151" s="44"/>
      <c r="B151" s="5">
        <f t="shared" si="14"/>
        <v>45597</v>
      </c>
      <c r="C151" s="1" t="s">
        <v>533</v>
      </c>
      <c r="D151" s="195"/>
      <c r="E151" s="186"/>
      <c r="F151" s="2"/>
      <c r="G151" s="3">
        <f t="shared" si="16"/>
        <v>0</v>
      </c>
      <c r="H151" s="187"/>
      <c r="I151" s="7"/>
      <c r="J151" s="7">
        <v>1.6500000000000001E-2</v>
      </c>
      <c r="K151" s="7">
        <v>7.5999999999999998E-2</v>
      </c>
      <c r="L151" s="7">
        <v>0</v>
      </c>
      <c r="M151" s="11">
        <f t="shared" si="2"/>
        <v>0</v>
      </c>
      <c r="N151" s="11">
        <f t="shared" si="3"/>
        <v>0</v>
      </c>
      <c r="O151" s="11">
        <f t="shared" si="4"/>
        <v>0</v>
      </c>
      <c r="P151" s="11">
        <f t="shared" si="15"/>
        <v>0</v>
      </c>
    </row>
    <row r="152" spans="1:16" ht="15" hidden="1" customHeight="1">
      <c r="A152" s="44"/>
      <c r="B152" s="5">
        <f t="shared" si="14"/>
        <v>45597</v>
      </c>
      <c r="C152" s="1" t="s">
        <v>533</v>
      </c>
      <c r="D152" s="195"/>
      <c r="E152" s="186"/>
      <c r="F152" s="2"/>
      <c r="G152" s="3">
        <f t="shared" si="16"/>
        <v>0</v>
      </c>
      <c r="H152" s="187"/>
      <c r="I152" s="7"/>
      <c r="J152" s="7">
        <v>1.6500000000000001E-2</v>
      </c>
      <c r="K152" s="7">
        <v>7.5999999999999998E-2</v>
      </c>
      <c r="L152" s="7">
        <v>0</v>
      </c>
      <c r="M152" s="11">
        <f t="shared" si="2"/>
        <v>0</v>
      </c>
      <c r="N152" s="11">
        <f t="shared" si="3"/>
        <v>0</v>
      </c>
      <c r="O152" s="11">
        <f t="shared" si="4"/>
        <v>0</v>
      </c>
      <c r="P152" s="11">
        <f t="shared" si="15"/>
        <v>0</v>
      </c>
    </row>
    <row r="153" spans="1:16" ht="15" hidden="1" customHeight="1">
      <c r="A153" s="44"/>
      <c r="B153" s="5">
        <f t="shared" si="14"/>
        <v>45597</v>
      </c>
      <c r="C153" s="1" t="s">
        <v>533</v>
      </c>
      <c r="D153" s="195"/>
      <c r="E153" s="186"/>
      <c r="F153" s="2"/>
      <c r="G153" s="3">
        <f t="shared" si="16"/>
        <v>0</v>
      </c>
      <c r="H153" s="187"/>
      <c r="I153" s="7"/>
      <c r="J153" s="7">
        <v>1.6500000000000001E-2</v>
      </c>
      <c r="K153" s="7">
        <v>7.5999999999999998E-2</v>
      </c>
      <c r="L153" s="7">
        <v>0</v>
      </c>
      <c r="M153" s="11">
        <f t="shared" si="2"/>
        <v>0</v>
      </c>
      <c r="N153" s="11">
        <f t="shared" si="3"/>
        <v>0</v>
      </c>
      <c r="O153" s="11">
        <f t="shared" si="4"/>
        <v>0</v>
      </c>
      <c r="P153" s="11">
        <f t="shared" si="15"/>
        <v>0</v>
      </c>
    </row>
    <row r="154" spans="1:16" ht="15" hidden="1" customHeight="1">
      <c r="A154" s="44"/>
      <c r="B154" s="5">
        <f t="shared" si="14"/>
        <v>45597</v>
      </c>
      <c r="C154" s="1" t="s">
        <v>533</v>
      </c>
      <c r="D154" s="195"/>
      <c r="E154" s="186"/>
      <c r="F154" s="2"/>
      <c r="G154" s="3">
        <f t="shared" si="16"/>
        <v>0</v>
      </c>
      <c r="H154" s="187"/>
      <c r="I154" s="7"/>
      <c r="J154" s="7">
        <v>1.6500000000000001E-2</v>
      </c>
      <c r="K154" s="7">
        <v>7.5999999999999998E-2</v>
      </c>
      <c r="L154" s="7">
        <v>0</v>
      </c>
      <c r="M154" s="11">
        <f t="shared" si="2"/>
        <v>0</v>
      </c>
      <c r="N154" s="11">
        <f t="shared" si="3"/>
        <v>0</v>
      </c>
      <c r="O154" s="11">
        <f t="shared" si="4"/>
        <v>0</v>
      </c>
      <c r="P154" s="11">
        <f t="shared" si="15"/>
        <v>0</v>
      </c>
    </row>
    <row r="155" spans="1:16" ht="15" hidden="1" customHeight="1">
      <c r="A155" s="44"/>
      <c r="B155" s="5">
        <f t="shared" si="14"/>
        <v>45597</v>
      </c>
      <c r="C155" s="1" t="s">
        <v>533</v>
      </c>
      <c r="D155" s="195"/>
      <c r="E155" s="186"/>
      <c r="F155" s="2"/>
      <c r="G155" s="3">
        <f t="shared" si="16"/>
        <v>0</v>
      </c>
      <c r="H155" s="187"/>
      <c r="I155" s="7"/>
      <c r="J155" s="7">
        <v>1.6500000000000001E-2</v>
      </c>
      <c r="K155" s="7">
        <v>7.5999999999999998E-2</v>
      </c>
      <c r="L155" s="7">
        <v>0</v>
      </c>
      <c r="M155" s="11">
        <f t="shared" si="2"/>
        <v>0</v>
      </c>
      <c r="N155" s="11">
        <f t="shared" si="3"/>
        <v>0</v>
      </c>
      <c r="O155" s="11">
        <f t="shared" si="4"/>
        <v>0</v>
      </c>
      <c r="P155" s="11">
        <f t="shared" si="15"/>
        <v>0</v>
      </c>
    </row>
    <row r="156" spans="1:16" ht="15" hidden="1" customHeight="1">
      <c r="A156" s="44"/>
      <c r="B156" s="5">
        <f t="shared" si="14"/>
        <v>45597</v>
      </c>
      <c r="C156" s="1" t="s">
        <v>533</v>
      </c>
      <c r="D156" s="195"/>
      <c r="E156" s="186"/>
      <c r="F156" s="2"/>
      <c r="G156" s="3">
        <f t="shared" si="16"/>
        <v>0</v>
      </c>
      <c r="H156" s="187"/>
      <c r="I156" s="7"/>
      <c r="J156" s="7">
        <v>1.6500000000000001E-2</v>
      </c>
      <c r="K156" s="7">
        <v>7.5999999999999998E-2</v>
      </c>
      <c r="L156" s="7">
        <v>0</v>
      </c>
      <c r="M156" s="11">
        <f t="shared" si="2"/>
        <v>0</v>
      </c>
      <c r="N156" s="11">
        <f t="shared" si="3"/>
        <v>0</v>
      </c>
      <c r="O156" s="11">
        <f t="shared" si="4"/>
        <v>0</v>
      </c>
      <c r="P156" s="11">
        <f t="shared" si="15"/>
        <v>0</v>
      </c>
    </row>
    <row r="157" spans="1:16" ht="15" hidden="1" customHeight="1">
      <c r="A157" s="44"/>
      <c r="B157" s="5">
        <f t="shared" si="14"/>
        <v>45597</v>
      </c>
      <c r="C157" s="1" t="s">
        <v>533</v>
      </c>
      <c r="D157" s="195"/>
      <c r="E157" s="186"/>
      <c r="F157" s="2"/>
      <c r="G157" s="3">
        <f t="shared" si="16"/>
        <v>0</v>
      </c>
      <c r="H157" s="187"/>
      <c r="I157" s="7"/>
      <c r="J157" s="7">
        <v>1.6500000000000001E-2</v>
      </c>
      <c r="K157" s="7">
        <v>7.5999999999999998E-2</v>
      </c>
      <c r="L157" s="7">
        <v>0</v>
      </c>
      <c r="M157" s="11">
        <f t="shared" si="2"/>
        <v>0</v>
      </c>
      <c r="N157" s="11">
        <f t="shared" si="3"/>
        <v>0</v>
      </c>
      <c r="O157" s="11">
        <f t="shared" si="4"/>
        <v>0</v>
      </c>
      <c r="P157" s="11">
        <f t="shared" si="15"/>
        <v>0</v>
      </c>
    </row>
    <row r="158" spans="1:16" ht="15" hidden="1" customHeight="1">
      <c r="A158" s="44"/>
      <c r="B158" s="5">
        <f t="shared" si="14"/>
        <v>45597</v>
      </c>
      <c r="C158" s="1" t="s">
        <v>533</v>
      </c>
      <c r="D158" s="195"/>
      <c r="E158" s="186"/>
      <c r="F158" s="2"/>
      <c r="G158" s="3">
        <f t="shared" si="16"/>
        <v>0</v>
      </c>
      <c r="H158" s="187"/>
      <c r="I158" s="7"/>
      <c r="J158" s="7">
        <v>1.6500000000000001E-2</v>
      </c>
      <c r="K158" s="7">
        <v>7.5999999999999998E-2</v>
      </c>
      <c r="L158" s="7">
        <v>0</v>
      </c>
      <c r="M158" s="11">
        <f t="shared" si="2"/>
        <v>0</v>
      </c>
      <c r="N158" s="11">
        <f t="shared" si="3"/>
        <v>0</v>
      </c>
      <c r="O158" s="11">
        <f t="shared" si="4"/>
        <v>0</v>
      </c>
      <c r="P158" s="11">
        <f t="shared" si="15"/>
        <v>0</v>
      </c>
    </row>
    <row r="159" spans="1:16" ht="15" hidden="1" customHeight="1">
      <c r="A159" s="44"/>
      <c r="B159" s="5">
        <f t="shared" si="14"/>
        <v>45597</v>
      </c>
      <c r="C159" s="1" t="s">
        <v>533</v>
      </c>
      <c r="D159" s="195"/>
      <c r="E159" s="186"/>
      <c r="F159" s="2"/>
      <c r="G159" s="3">
        <f t="shared" si="16"/>
        <v>0</v>
      </c>
      <c r="H159" s="187"/>
      <c r="I159" s="7"/>
      <c r="J159" s="7">
        <v>1.6500000000000001E-2</v>
      </c>
      <c r="K159" s="7">
        <v>7.5999999999999998E-2</v>
      </c>
      <c r="L159" s="7">
        <v>0</v>
      </c>
      <c r="M159" s="11">
        <f t="shared" si="2"/>
        <v>0</v>
      </c>
      <c r="N159" s="11">
        <f t="shared" si="3"/>
        <v>0</v>
      </c>
      <c r="O159" s="11">
        <f t="shared" si="4"/>
        <v>0</v>
      </c>
      <c r="P159" s="11">
        <f t="shared" si="15"/>
        <v>0</v>
      </c>
    </row>
    <row r="160" spans="1:16" ht="15" hidden="1" customHeight="1">
      <c r="A160" s="44"/>
      <c r="B160" s="5">
        <f t="shared" si="14"/>
        <v>45597</v>
      </c>
      <c r="C160" s="1" t="s">
        <v>533</v>
      </c>
      <c r="D160" s="195"/>
      <c r="E160" s="186"/>
      <c r="F160" s="2"/>
      <c r="G160" s="3">
        <f t="shared" si="16"/>
        <v>0</v>
      </c>
      <c r="H160" s="187"/>
      <c r="I160" s="7"/>
      <c r="J160" s="7">
        <v>1.6500000000000001E-2</v>
      </c>
      <c r="K160" s="7">
        <v>7.5999999999999998E-2</v>
      </c>
      <c r="L160" s="7">
        <v>0</v>
      </c>
      <c r="M160" s="11">
        <f t="shared" si="2"/>
        <v>0</v>
      </c>
      <c r="N160" s="11">
        <f t="shared" si="3"/>
        <v>0</v>
      </c>
      <c r="O160" s="11">
        <f t="shared" si="4"/>
        <v>0</v>
      </c>
      <c r="P160" s="11">
        <f t="shared" si="15"/>
        <v>0</v>
      </c>
    </row>
    <row r="161" spans="1:16" ht="15" hidden="1" customHeight="1">
      <c r="A161" s="44"/>
      <c r="B161" s="5">
        <f t="shared" si="14"/>
        <v>45597</v>
      </c>
      <c r="C161" s="1" t="s">
        <v>533</v>
      </c>
      <c r="D161" s="195"/>
      <c r="E161" s="186"/>
      <c r="F161" s="2"/>
      <c r="G161" s="3">
        <f t="shared" si="16"/>
        <v>0</v>
      </c>
      <c r="H161" s="187"/>
      <c r="I161" s="7"/>
      <c r="J161" s="7">
        <v>1.6500000000000001E-2</v>
      </c>
      <c r="K161" s="7">
        <v>7.5999999999999998E-2</v>
      </c>
      <c r="L161" s="7">
        <v>0</v>
      </c>
      <c r="M161" s="11">
        <f t="shared" si="2"/>
        <v>0</v>
      </c>
      <c r="N161" s="11">
        <f t="shared" si="3"/>
        <v>0</v>
      </c>
      <c r="O161" s="11">
        <f t="shared" si="4"/>
        <v>0</v>
      </c>
      <c r="P161" s="11">
        <f t="shared" si="15"/>
        <v>0</v>
      </c>
    </row>
    <row r="162" spans="1:16" ht="15" hidden="1" customHeight="1">
      <c r="A162" s="44"/>
      <c r="B162" s="5">
        <f t="shared" si="14"/>
        <v>45597</v>
      </c>
      <c r="C162" s="1" t="s">
        <v>533</v>
      </c>
      <c r="D162" s="195"/>
      <c r="E162" s="186"/>
      <c r="F162" s="2"/>
      <c r="G162" s="3">
        <f t="shared" si="16"/>
        <v>0</v>
      </c>
      <c r="H162" s="187"/>
      <c r="I162" s="7"/>
      <c r="J162" s="7">
        <v>1.6500000000000001E-2</v>
      </c>
      <c r="K162" s="7">
        <v>7.5999999999999998E-2</v>
      </c>
      <c r="L162" s="7">
        <v>0</v>
      </c>
      <c r="M162" s="11">
        <f t="shared" si="2"/>
        <v>0</v>
      </c>
      <c r="N162" s="11">
        <f t="shared" si="3"/>
        <v>0</v>
      </c>
      <c r="O162" s="11">
        <f t="shared" si="4"/>
        <v>0</v>
      </c>
      <c r="P162" s="11">
        <f t="shared" si="15"/>
        <v>0</v>
      </c>
    </row>
    <row r="163" spans="1:16" ht="15" hidden="1" customHeight="1">
      <c r="A163" s="44"/>
      <c r="B163" s="5">
        <f t="shared" si="14"/>
        <v>45597</v>
      </c>
      <c r="C163" s="1" t="s">
        <v>533</v>
      </c>
      <c r="D163" s="195"/>
      <c r="E163" s="186"/>
      <c r="F163" s="2"/>
      <c r="G163" s="3">
        <f t="shared" si="16"/>
        <v>0</v>
      </c>
      <c r="H163" s="187"/>
      <c r="I163" s="7"/>
      <c r="J163" s="7">
        <v>1.6500000000000001E-2</v>
      </c>
      <c r="K163" s="7">
        <v>7.5999999999999998E-2</v>
      </c>
      <c r="L163" s="7">
        <v>0</v>
      </c>
      <c r="M163" s="11">
        <f t="shared" si="2"/>
        <v>0</v>
      </c>
      <c r="N163" s="11">
        <f t="shared" si="3"/>
        <v>0</v>
      </c>
      <c r="O163" s="11">
        <f t="shared" si="4"/>
        <v>0</v>
      </c>
      <c r="P163" s="11">
        <f t="shared" si="15"/>
        <v>0</v>
      </c>
    </row>
    <row r="164" spans="1:16" ht="15" hidden="1" customHeight="1">
      <c r="A164" s="44"/>
      <c r="B164" s="5">
        <f t="shared" si="14"/>
        <v>45597</v>
      </c>
      <c r="C164" s="1" t="s">
        <v>533</v>
      </c>
      <c r="D164" s="195"/>
      <c r="E164" s="186"/>
      <c r="F164" s="2"/>
      <c r="G164" s="3">
        <f t="shared" si="16"/>
        <v>0</v>
      </c>
      <c r="H164" s="187"/>
      <c r="I164" s="7"/>
      <c r="J164" s="7">
        <v>1.6500000000000001E-2</v>
      </c>
      <c r="K164" s="7">
        <v>7.5999999999999998E-2</v>
      </c>
      <c r="L164" s="7">
        <v>0</v>
      </c>
      <c r="M164" s="11">
        <f t="shared" si="2"/>
        <v>0</v>
      </c>
      <c r="N164" s="11">
        <f t="shared" si="3"/>
        <v>0</v>
      </c>
      <c r="O164" s="11">
        <f t="shared" si="4"/>
        <v>0</v>
      </c>
      <c r="P164" s="11">
        <f t="shared" si="15"/>
        <v>0</v>
      </c>
    </row>
    <row r="165" spans="1:16" ht="15" hidden="1" customHeight="1">
      <c r="A165" s="44"/>
      <c r="B165" s="5">
        <f t="shared" si="14"/>
        <v>45597</v>
      </c>
      <c r="C165" s="1" t="s">
        <v>533</v>
      </c>
      <c r="D165" s="195"/>
      <c r="E165" s="186"/>
      <c r="F165" s="2"/>
      <c r="G165" s="3">
        <f t="shared" si="16"/>
        <v>0</v>
      </c>
      <c r="H165" s="187"/>
      <c r="I165" s="7"/>
      <c r="J165" s="7">
        <v>1.6500000000000001E-2</v>
      </c>
      <c r="K165" s="7">
        <v>7.5999999999999998E-2</v>
      </c>
      <c r="L165" s="7">
        <v>0</v>
      </c>
      <c r="M165" s="11">
        <f t="shared" si="2"/>
        <v>0</v>
      </c>
      <c r="N165" s="11">
        <f t="shared" si="3"/>
        <v>0</v>
      </c>
      <c r="O165" s="11">
        <f t="shared" si="4"/>
        <v>0</v>
      </c>
      <c r="P165" s="11">
        <f t="shared" si="15"/>
        <v>0</v>
      </c>
    </row>
    <row r="166" spans="1:16" ht="15" hidden="1" customHeight="1">
      <c r="A166" s="44"/>
      <c r="B166" s="5">
        <f t="shared" si="14"/>
        <v>45597</v>
      </c>
      <c r="C166" s="1" t="s">
        <v>533</v>
      </c>
      <c r="D166" s="195"/>
      <c r="E166" s="186"/>
      <c r="F166" s="2"/>
      <c r="G166" s="3">
        <f t="shared" si="16"/>
        <v>0</v>
      </c>
      <c r="H166" s="187"/>
      <c r="I166" s="7"/>
      <c r="J166" s="7">
        <v>1.6500000000000001E-2</v>
      </c>
      <c r="K166" s="7">
        <v>7.5999999999999998E-2</v>
      </c>
      <c r="L166" s="7">
        <v>0</v>
      </c>
      <c r="M166" s="11">
        <f t="shared" si="2"/>
        <v>0</v>
      </c>
      <c r="N166" s="11">
        <f t="shared" si="3"/>
        <v>0</v>
      </c>
      <c r="O166" s="11">
        <f t="shared" si="4"/>
        <v>0</v>
      </c>
      <c r="P166" s="11">
        <f t="shared" si="15"/>
        <v>0</v>
      </c>
    </row>
    <row r="167" spans="1:16" ht="15" hidden="1" customHeight="1">
      <c r="A167" s="44"/>
      <c r="B167" s="5">
        <f t="shared" si="14"/>
        <v>45597</v>
      </c>
      <c r="C167" s="1" t="s">
        <v>533</v>
      </c>
      <c r="D167" s="195"/>
      <c r="E167" s="186"/>
      <c r="F167" s="2"/>
      <c r="G167" s="3">
        <f t="shared" si="16"/>
        <v>0</v>
      </c>
      <c r="H167" s="187"/>
      <c r="I167" s="7"/>
      <c r="J167" s="7">
        <v>1.6500000000000001E-2</v>
      </c>
      <c r="K167" s="7">
        <v>7.5999999999999998E-2</v>
      </c>
      <c r="L167" s="7">
        <v>0</v>
      </c>
      <c r="M167" s="11">
        <f t="shared" si="2"/>
        <v>0</v>
      </c>
      <c r="N167" s="11">
        <f t="shared" si="3"/>
        <v>0</v>
      </c>
      <c r="O167" s="11">
        <f t="shared" si="4"/>
        <v>0</v>
      </c>
      <c r="P167" s="11">
        <f t="shared" si="15"/>
        <v>0</v>
      </c>
    </row>
    <row r="168" spans="1:16" ht="15" hidden="1" customHeight="1">
      <c r="A168" s="44"/>
      <c r="B168" s="5">
        <f t="shared" si="14"/>
        <v>45597</v>
      </c>
      <c r="C168" s="1" t="s">
        <v>533</v>
      </c>
      <c r="D168" s="195"/>
      <c r="E168" s="186"/>
      <c r="F168" s="2"/>
      <c r="G168" s="3">
        <f t="shared" si="16"/>
        <v>0</v>
      </c>
      <c r="H168" s="187"/>
      <c r="I168" s="7"/>
      <c r="J168" s="7">
        <v>1.6500000000000001E-2</v>
      </c>
      <c r="K168" s="7">
        <v>7.5999999999999998E-2</v>
      </c>
      <c r="L168" s="7">
        <v>0</v>
      </c>
      <c r="M168" s="11">
        <f t="shared" si="2"/>
        <v>0</v>
      </c>
      <c r="N168" s="11">
        <f t="shared" si="3"/>
        <v>0</v>
      </c>
      <c r="O168" s="11">
        <f t="shared" si="4"/>
        <v>0</v>
      </c>
      <c r="P168" s="11">
        <f t="shared" si="15"/>
        <v>0</v>
      </c>
    </row>
    <row r="169" spans="1:16" ht="15" hidden="1" customHeight="1">
      <c r="A169" s="44"/>
      <c r="B169" s="5">
        <f t="shared" si="14"/>
        <v>45597</v>
      </c>
      <c r="C169" s="1" t="s">
        <v>533</v>
      </c>
      <c r="D169" s="195"/>
      <c r="E169" s="186"/>
      <c r="F169" s="2"/>
      <c r="G169" s="3">
        <f t="shared" si="16"/>
        <v>0</v>
      </c>
      <c r="H169" s="187"/>
      <c r="I169" s="7"/>
      <c r="J169" s="7">
        <v>1.6500000000000001E-2</v>
      </c>
      <c r="K169" s="7">
        <v>7.5999999999999998E-2</v>
      </c>
      <c r="L169" s="7">
        <v>0</v>
      </c>
      <c r="M169" s="11">
        <f t="shared" si="2"/>
        <v>0</v>
      </c>
      <c r="N169" s="11">
        <f t="shared" si="3"/>
        <v>0</v>
      </c>
      <c r="O169" s="11">
        <f t="shared" si="4"/>
        <v>0</v>
      </c>
      <c r="P169" s="11">
        <f t="shared" si="15"/>
        <v>0</v>
      </c>
    </row>
    <row r="170" spans="1:16" ht="15" hidden="1" customHeight="1">
      <c r="A170" s="44"/>
      <c r="B170" s="5">
        <f t="shared" ref="B170:B176" si="17">B169</f>
        <v>45597</v>
      </c>
      <c r="C170" s="1" t="s">
        <v>533</v>
      </c>
      <c r="D170" s="195"/>
      <c r="E170" s="186"/>
      <c r="F170" s="2"/>
      <c r="G170" s="3">
        <f t="shared" si="16"/>
        <v>0</v>
      </c>
      <c r="H170" s="187"/>
      <c r="I170" s="7"/>
      <c r="J170" s="7">
        <v>1.6500000000000001E-2</v>
      </c>
      <c r="K170" s="7">
        <v>7.5999999999999998E-2</v>
      </c>
      <c r="L170" s="7">
        <v>0</v>
      </c>
      <c r="M170" s="11">
        <f t="shared" si="2"/>
        <v>0</v>
      </c>
      <c r="N170" s="11">
        <f t="shared" si="3"/>
        <v>0</v>
      </c>
      <c r="O170" s="11">
        <f t="shared" si="4"/>
        <v>0</v>
      </c>
      <c r="P170" s="11">
        <f t="shared" si="15"/>
        <v>0</v>
      </c>
    </row>
    <row r="171" spans="1:16" ht="15" hidden="1" customHeight="1">
      <c r="A171" s="44"/>
      <c r="B171" s="5">
        <f t="shared" si="17"/>
        <v>45597</v>
      </c>
      <c r="C171" s="1" t="s">
        <v>533</v>
      </c>
      <c r="D171" s="195"/>
      <c r="E171" s="186"/>
      <c r="F171" s="2"/>
      <c r="G171" s="3">
        <f t="shared" si="16"/>
        <v>0</v>
      </c>
      <c r="H171" s="187"/>
      <c r="I171" s="7"/>
      <c r="J171" s="7">
        <v>1.6500000000000001E-2</v>
      </c>
      <c r="K171" s="7">
        <v>7.5999999999999998E-2</v>
      </c>
      <c r="L171" s="7">
        <v>0</v>
      </c>
      <c r="M171" s="11">
        <f t="shared" si="2"/>
        <v>0</v>
      </c>
      <c r="N171" s="11">
        <f t="shared" si="3"/>
        <v>0</v>
      </c>
      <c r="O171" s="11">
        <f t="shared" si="4"/>
        <v>0</v>
      </c>
      <c r="P171" s="11">
        <f t="shared" si="15"/>
        <v>0</v>
      </c>
    </row>
    <row r="172" spans="1:16" ht="15" hidden="1" customHeight="1">
      <c r="A172" s="44"/>
      <c r="B172" s="5">
        <f t="shared" si="17"/>
        <v>45597</v>
      </c>
      <c r="C172" s="1" t="s">
        <v>533</v>
      </c>
      <c r="D172" s="195"/>
      <c r="E172" s="186"/>
      <c r="F172" s="2"/>
      <c r="G172" s="3">
        <f t="shared" si="16"/>
        <v>0</v>
      </c>
      <c r="H172" s="187"/>
      <c r="I172" s="7"/>
      <c r="J172" s="7">
        <v>1.6500000000000001E-2</v>
      </c>
      <c r="K172" s="7">
        <v>7.5999999999999998E-2</v>
      </c>
      <c r="L172" s="7">
        <v>0</v>
      </c>
      <c r="M172" s="11">
        <f t="shared" si="2"/>
        <v>0</v>
      </c>
      <c r="N172" s="11">
        <f t="shared" si="3"/>
        <v>0</v>
      </c>
      <c r="O172" s="11">
        <f t="shared" si="4"/>
        <v>0</v>
      </c>
      <c r="P172" s="11">
        <f t="shared" si="15"/>
        <v>0</v>
      </c>
    </row>
    <row r="173" spans="1:16" ht="15" hidden="1" customHeight="1">
      <c r="A173" s="44"/>
      <c r="B173" s="5">
        <f t="shared" si="17"/>
        <v>45597</v>
      </c>
      <c r="C173" s="1" t="s">
        <v>533</v>
      </c>
      <c r="D173" s="195"/>
      <c r="E173" s="186"/>
      <c r="F173" s="2"/>
      <c r="G173" s="3">
        <f t="shared" si="16"/>
        <v>0</v>
      </c>
      <c r="H173" s="187"/>
      <c r="I173" s="7"/>
      <c r="J173" s="7">
        <v>1.6500000000000001E-2</v>
      </c>
      <c r="K173" s="7">
        <v>7.5999999999999998E-2</v>
      </c>
      <c r="L173" s="7">
        <v>0</v>
      </c>
      <c r="M173" s="11">
        <f t="shared" si="2"/>
        <v>0</v>
      </c>
      <c r="N173" s="11">
        <f t="shared" si="3"/>
        <v>0</v>
      </c>
      <c r="O173" s="11">
        <f t="shared" si="4"/>
        <v>0</v>
      </c>
      <c r="P173" s="11">
        <f t="shared" si="15"/>
        <v>0</v>
      </c>
    </row>
    <row r="174" spans="1:16" ht="15" hidden="1" customHeight="1">
      <c r="A174" s="44"/>
      <c r="B174" s="5">
        <f t="shared" si="17"/>
        <v>45597</v>
      </c>
      <c r="C174" s="1" t="s">
        <v>533</v>
      </c>
      <c r="D174" s="195"/>
      <c r="E174" s="186"/>
      <c r="F174" s="2"/>
      <c r="G174" s="3">
        <f t="shared" si="11"/>
        <v>0</v>
      </c>
      <c r="H174" s="187"/>
      <c r="I174" s="7"/>
      <c r="J174" s="7">
        <v>1.6500000000000001E-2</v>
      </c>
      <c r="K174" s="7">
        <v>7.5999999999999998E-2</v>
      </c>
      <c r="L174" s="7">
        <v>0</v>
      </c>
      <c r="M174" s="11">
        <f t="shared" si="2"/>
        <v>0</v>
      </c>
      <c r="N174" s="11">
        <f t="shared" si="3"/>
        <v>0</v>
      </c>
      <c r="O174" s="11">
        <f t="shared" si="4"/>
        <v>0</v>
      </c>
      <c r="P174" s="11">
        <f t="shared" si="15"/>
        <v>0</v>
      </c>
    </row>
    <row r="175" spans="1:16" ht="15" hidden="1" customHeight="1">
      <c r="A175" s="44"/>
      <c r="B175" s="5">
        <f t="shared" si="17"/>
        <v>45597</v>
      </c>
      <c r="C175" s="1" t="s">
        <v>533</v>
      </c>
      <c r="D175" s="195"/>
      <c r="E175" s="186"/>
      <c r="F175" s="2"/>
      <c r="G175" s="3">
        <f t="shared" si="11"/>
        <v>0</v>
      </c>
      <c r="H175" s="187"/>
      <c r="I175" s="7"/>
      <c r="J175" s="7">
        <v>1.6500000000000001E-2</v>
      </c>
      <c r="K175" s="7">
        <v>7.5999999999999998E-2</v>
      </c>
      <c r="L175" s="7">
        <v>0</v>
      </c>
      <c r="M175" s="11">
        <f t="shared" si="2"/>
        <v>0</v>
      </c>
      <c r="N175" s="11">
        <f t="shared" si="3"/>
        <v>0</v>
      </c>
      <c r="O175" s="11">
        <f t="shared" si="4"/>
        <v>0</v>
      </c>
      <c r="P175" s="11">
        <f t="shared" si="15"/>
        <v>0</v>
      </c>
    </row>
    <row r="176" spans="1:16" hidden="1">
      <c r="A176" s="44"/>
      <c r="B176" s="5">
        <f t="shared" si="17"/>
        <v>45597</v>
      </c>
      <c r="C176" s="1" t="s">
        <v>533</v>
      </c>
      <c r="D176" s="195"/>
      <c r="E176" s="186"/>
      <c r="F176" s="2"/>
      <c r="G176" s="3">
        <f t="shared" si="11"/>
        <v>0</v>
      </c>
      <c r="H176" s="187"/>
      <c r="I176" s="7"/>
      <c r="J176" s="7">
        <v>1.6500000000000001E-2</v>
      </c>
      <c r="K176" s="7">
        <v>7.5999999999999998E-2</v>
      </c>
      <c r="L176" s="7">
        <v>0</v>
      </c>
      <c r="M176" s="11">
        <f t="shared" si="2"/>
        <v>0</v>
      </c>
      <c r="N176" s="11">
        <f t="shared" si="3"/>
        <v>0</v>
      </c>
      <c r="O176" s="11">
        <f t="shared" si="4"/>
        <v>0</v>
      </c>
      <c r="P176" s="11">
        <f t="shared" si="15"/>
        <v>0</v>
      </c>
    </row>
    <row r="177" spans="2:15">
      <c r="B177" s="5"/>
      <c r="C177" s="1"/>
      <c r="E177" s="1"/>
      <c r="F177" s="2"/>
      <c r="G177" s="4"/>
      <c r="H177" s="4"/>
      <c r="I177" s="7"/>
      <c r="J177" s="7"/>
      <c r="K177" s="7"/>
      <c r="L177" s="7"/>
    </row>
    <row r="178" spans="2:15">
      <c r="E178" s="28">
        <f>SUM(E19:E177)</f>
        <v>46560039.049999997</v>
      </c>
      <c r="F178" s="133"/>
      <c r="G178" s="29">
        <f>SUM(G19:G177)</f>
        <v>111399510.35974608</v>
      </c>
    </row>
    <row r="179" spans="2:15">
      <c r="E179" s="137"/>
      <c r="F179" s="41"/>
    </row>
    <row r="180" spans="2:15" ht="15.75" thickBot="1"/>
    <row r="181" spans="2:15">
      <c r="B181" s="391" t="s">
        <v>791</v>
      </c>
      <c r="C181" s="383"/>
      <c r="D181" s="383"/>
      <c r="E181" s="383"/>
      <c r="F181" s="383"/>
      <c r="G181" s="383"/>
      <c r="H181" s="383"/>
      <c r="I181" s="383"/>
      <c r="J181" s="383"/>
      <c r="K181" s="383"/>
      <c r="L181" s="383"/>
      <c r="M181" s="383"/>
      <c r="N181" s="383"/>
      <c r="O181" s="384"/>
    </row>
    <row r="182" spans="2:15">
      <c r="B182" s="385"/>
      <c r="C182" s="386"/>
      <c r="D182" s="386"/>
      <c r="E182" s="386"/>
      <c r="F182" s="386"/>
      <c r="G182" s="386"/>
      <c r="H182" s="386"/>
      <c r="I182" s="386"/>
      <c r="J182" s="386"/>
      <c r="K182" s="386"/>
      <c r="L182" s="386"/>
      <c r="M182" s="386"/>
      <c r="N182" s="386"/>
      <c r="O182" s="387"/>
    </row>
    <row r="183" spans="2:15">
      <c r="B183" s="385"/>
      <c r="C183" s="386"/>
      <c r="D183" s="386"/>
      <c r="E183" s="386"/>
      <c r="F183" s="386"/>
      <c r="G183" s="386"/>
      <c r="H183" s="386"/>
      <c r="I183" s="386"/>
      <c r="J183" s="386"/>
      <c r="K183" s="386"/>
      <c r="L183" s="386"/>
      <c r="M183" s="386"/>
      <c r="N183" s="386"/>
      <c r="O183" s="387"/>
    </row>
    <row r="184" spans="2:15">
      <c r="B184" s="385"/>
      <c r="C184" s="386"/>
      <c r="D184" s="386"/>
      <c r="E184" s="386"/>
      <c r="F184" s="386"/>
      <c r="G184" s="386"/>
      <c r="H184" s="386"/>
      <c r="I184" s="386"/>
      <c r="J184" s="386"/>
      <c r="K184" s="386"/>
      <c r="L184" s="386"/>
      <c r="M184" s="386"/>
      <c r="N184" s="386"/>
      <c r="O184" s="387"/>
    </row>
    <row r="185" spans="2:15" ht="27" customHeight="1">
      <c r="B185" s="385"/>
      <c r="C185" s="386"/>
      <c r="D185" s="386"/>
      <c r="E185" s="386"/>
      <c r="F185" s="386"/>
      <c r="G185" s="386"/>
      <c r="H185" s="386"/>
      <c r="I185" s="386"/>
      <c r="J185" s="386"/>
      <c r="K185" s="386"/>
      <c r="L185" s="386"/>
      <c r="M185" s="386"/>
      <c r="N185" s="386"/>
      <c r="O185" s="387"/>
    </row>
    <row r="186" spans="2:15" ht="44.25" customHeight="1" thickBot="1">
      <c r="B186" s="388"/>
      <c r="C186" s="389"/>
      <c r="D186" s="389"/>
      <c r="E186" s="389"/>
      <c r="F186" s="389"/>
      <c r="G186" s="389"/>
      <c r="H186" s="389"/>
      <c r="I186" s="389"/>
      <c r="J186" s="389"/>
      <c r="K186" s="389"/>
      <c r="L186" s="389"/>
      <c r="M186" s="389"/>
      <c r="N186" s="389"/>
      <c r="O186" s="390"/>
    </row>
  </sheetData>
  <mergeCells count="3">
    <mergeCell ref="C2:M2"/>
    <mergeCell ref="M17:P17"/>
    <mergeCell ref="B181:O186"/>
  </mergeCells>
  <conditionalFormatting sqref="D1:D1048576">
    <cfRule type="duplicateValues" dxfId="86" priority="1"/>
    <cfRule type="duplicateValues" dxfId="85" priority="2"/>
  </conditionalFormatting>
  <conditionalFormatting sqref="D7 D10">
    <cfRule type="duplicateValues" dxfId="84" priority="3"/>
  </conditionalFormatting>
  <conditionalFormatting sqref="D19:D39">
    <cfRule type="duplicateValues" dxfId="83" priority="35"/>
  </conditionalFormatting>
  <conditionalFormatting sqref="D180:D1048576 D1:D178">
    <cfRule type="duplicateValues" dxfId="82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B6F6-E3D5-414F-A289-EFDD689A8358}">
  <sheetPr>
    <pageSetUpPr fitToPage="1"/>
  </sheetPr>
  <dimension ref="A2:P187"/>
  <sheetViews>
    <sheetView showGridLines="0" topLeftCell="A8" zoomScale="90" zoomScaleNormal="90" workbookViewId="0">
      <selection activeCell="G178" sqref="G178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3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3" ht="23.25">
      <c r="C3" s="13">
        <v>45627</v>
      </c>
    </row>
    <row r="5" spans="3:13">
      <c r="C5" t="s">
        <v>17</v>
      </c>
      <c r="D5" s="14">
        <f t="shared" ref="D5:D11" ca="1" si="0">SUMIF($C$19:$G$177,$C$5:$C$11,$G$19:$G$177)/SUMIF($C$19:$G$177,$C$5:$C$11,$E$19:$E$177)</f>
        <v>2.3769810878494013</v>
      </c>
    </row>
    <row r="6" spans="3:13">
      <c r="C6" t="s">
        <v>440</v>
      </c>
      <c r="D6" s="14">
        <f t="shared" ca="1" si="0"/>
        <v>2.0636032725</v>
      </c>
    </row>
    <row r="7" spans="3:13">
      <c r="C7" t="s">
        <v>491</v>
      </c>
      <c r="D7" s="14">
        <f t="shared" ca="1" si="0"/>
        <v>2.0506039639603966</v>
      </c>
    </row>
    <row r="8" spans="3:13">
      <c r="C8" t="s">
        <v>756</v>
      </c>
      <c r="D8" s="14">
        <f t="shared" ca="1" si="0"/>
        <v>3.4499838326024048</v>
      </c>
      <c r="I8" s="19"/>
    </row>
    <row r="9" spans="3:13">
      <c r="C9" t="s">
        <v>757</v>
      </c>
      <c r="D9" s="14">
        <f t="shared" ca="1" si="0"/>
        <v>3.8436405997036514</v>
      </c>
      <c r="E9" s="14"/>
      <c r="F9" s="32"/>
      <c r="H9" s="137"/>
      <c r="I9" s="19"/>
    </row>
    <row r="10" spans="3:13">
      <c r="C10" t="s">
        <v>534</v>
      </c>
      <c r="D10" s="14" t="e">
        <f t="shared" ca="1" si="0"/>
        <v>#DIV/0!</v>
      </c>
    </row>
    <row r="11" spans="3:13">
      <c r="C11" t="s">
        <v>533</v>
      </c>
      <c r="D11" s="14" t="e">
        <f t="shared" ca="1" si="0"/>
        <v>#DIV/0!</v>
      </c>
    </row>
    <row r="12" spans="3:13">
      <c r="C12" s="30" t="s">
        <v>129</v>
      </c>
      <c r="D12" s="31">
        <f>+G179/E179</f>
        <v>2.3782283425129345</v>
      </c>
    </row>
    <row r="13" spans="3:13">
      <c r="D13" s="19"/>
    </row>
    <row r="14" spans="3:13">
      <c r="D14" s="22"/>
    </row>
    <row r="16" spans="3:13">
      <c r="E16" s="137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 ht="18.75" customHeight="1">
      <c r="A19" s="44"/>
      <c r="B19" s="5">
        <f>C3</f>
        <v>45627</v>
      </c>
      <c r="C19" s="1" t="s">
        <v>17</v>
      </c>
      <c r="D19" s="194" t="s">
        <v>796</v>
      </c>
      <c r="E19" s="1">
        <v>167681</v>
      </c>
      <c r="F19" s="2">
        <v>509552.03</v>
      </c>
      <c r="G19" s="3">
        <f t="shared" ref="G19:G38" si="1">F19-SUM(M19:P19)</f>
        <v>406928.25115800003</v>
      </c>
      <c r="H19" s="202">
        <f>+IF(G19=0,0,G19/E19)</f>
        <v>2.4268000021350065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ref="M19:M177" si="2">+I19*F19</f>
        <v>61146.243600000002</v>
      </c>
      <c r="N19" s="11">
        <f t="shared" ref="N19:N177" si="3">J19*(F19-M19)</f>
        <v>7398.6954756000014</v>
      </c>
      <c r="O19" s="11">
        <f t="shared" ref="O19:O177" si="4">K19*(F19-M19)</f>
        <v>34078.8397664</v>
      </c>
      <c r="P19" s="11">
        <f t="shared" ref="P19:P133" si="5">L19*(F19)</f>
        <v>0</v>
      </c>
    </row>
    <row r="20" spans="1:16">
      <c r="A20" s="44"/>
      <c r="B20" s="5">
        <f>B19</f>
        <v>45627</v>
      </c>
      <c r="C20" s="1" t="s">
        <v>17</v>
      </c>
      <c r="D20" s="194" t="s">
        <v>797</v>
      </c>
      <c r="E20" s="1">
        <v>27751</v>
      </c>
      <c r="F20" s="2">
        <v>79235.95</v>
      </c>
      <c r="G20" s="3">
        <f t="shared" si="1"/>
        <v>63277.829669999999</v>
      </c>
      <c r="H20" s="202">
        <f t="shared" ref="H20:H41" si="6">+IF(G20=0,0,G20/E20)</f>
        <v>2.2801999809015889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9508.3139999999985</v>
      </c>
      <c r="N20" s="11">
        <f t="shared" si="3"/>
        <v>1150.5059940000001</v>
      </c>
      <c r="O20" s="11">
        <f t="shared" si="4"/>
        <v>5299.3003359999993</v>
      </c>
      <c r="P20" s="11">
        <f t="shared" si="5"/>
        <v>0</v>
      </c>
    </row>
    <row r="21" spans="1:16">
      <c r="A21" s="44"/>
      <c r="B21" s="5">
        <f t="shared" ref="B21:B39" si="7">B20</f>
        <v>45627</v>
      </c>
      <c r="C21" s="1" t="s">
        <v>17</v>
      </c>
      <c r="D21" s="194" t="s">
        <v>798</v>
      </c>
      <c r="E21" s="1">
        <v>3462575</v>
      </c>
      <c r="F21" s="2">
        <v>10522135</v>
      </c>
      <c r="G21" s="3">
        <f t="shared" si="1"/>
        <v>8402977.0109999999</v>
      </c>
      <c r="H21" s="202">
        <f>+IF(G21=0,0,G21/E21)</f>
        <v>2.4268000002888024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1262656.2</v>
      </c>
      <c r="N21" s="11">
        <f t="shared" si="3"/>
        <v>152781.40020000003</v>
      </c>
      <c r="O21" s="11">
        <f t="shared" si="4"/>
        <v>703720.38880000007</v>
      </c>
      <c r="P21" s="11">
        <f t="shared" si="5"/>
        <v>0</v>
      </c>
    </row>
    <row r="22" spans="1:16">
      <c r="A22" s="44"/>
      <c r="B22" s="5">
        <f t="shared" si="7"/>
        <v>45627</v>
      </c>
      <c r="C22" s="1" t="s">
        <v>17</v>
      </c>
      <c r="D22" s="214" t="s">
        <v>799</v>
      </c>
      <c r="E22" s="1">
        <v>2015873</v>
      </c>
      <c r="F22" s="2">
        <v>5755814.6900000004</v>
      </c>
      <c r="G22" s="3">
        <f t="shared" si="1"/>
        <v>4596593.6114340005</v>
      </c>
      <c r="H22" s="202">
        <f>+IF(G22=0,0,G22/E22)</f>
        <v>2.280199998429465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690697.76280000003</v>
      </c>
      <c r="N22" s="11">
        <f t="shared" si="3"/>
        <v>83574.429298800009</v>
      </c>
      <c r="O22" s="11">
        <f t="shared" si="4"/>
        <v>384948.88646720006</v>
      </c>
      <c r="P22" s="11">
        <f t="shared" si="5"/>
        <v>0</v>
      </c>
    </row>
    <row r="23" spans="1:16">
      <c r="A23" s="44"/>
      <c r="B23" s="5">
        <f t="shared" si="7"/>
        <v>45627</v>
      </c>
      <c r="C23" s="1" t="s">
        <v>17</v>
      </c>
      <c r="D23" s="195" t="s">
        <v>800</v>
      </c>
      <c r="E23" s="1">
        <v>3277923</v>
      </c>
      <c r="F23" s="2">
        <v>9961011.1899999995</v>
      </c>
      <c r="G23" s="3">
        <f t="shared" si="1"/>
        <v>7954863.5363339996</v>
      </c>
      <c r="H23" s="202">
        <f t="shared" si="6"/>
        <v>2.4267999999798651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1195321.3428</v>
      </c>
      <c r="N23" s="11">
        <f t="shared" si="3"/>
        <v>144633.88247879999</v>
      </c>
      <c r="O23" s="11">
        <f t="shared" si="4"/>
        <v>666192.42838719988</v>
      </c>
      <c r="P23" s="11">
        <f t="shared" si="5"/>
        <v>0</v>
      </c>
    </row>
    <row r="24" spans="1:16">
      <c r="A24" s="44"/>
      <c r="B24" s="5">
        <f t="shared" si="7"/>
        <v>45627</v>
      </c>
      <c r="C24" s="1" t="s">
        <v>17</v>
      </c>
      <c r="D24" s="194" t="s">
        <v>801</v>
      </c>
      <c r="E24" s="1">
        <v>965257</v>
      </c>
      <c r="F24" s="2">
        <v>2756046.84</v>
      </c>
      <c r="G24" s="3">
        <f t="shared" si="1"/>
        <v>2200979.006424</v>
      </c>
      <c r="H24" s="202">
        <f t="shared" si="6"/>
        <v>2.2801999948448963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330725.62079999998</v>
      </c>
      <c r="N24" s="11">
        <f t="shared" si="3"/>
        <v>40017.800116799997</v>
      </c>
      <c r="O24" s="11">
        <f t="shared" si="4"/>
        <v>184324.41265919997</v>
      </c>
      <c r="P24" s="11">
        <f t="shared" si="5"/>
        <v>0</v>
      </c>
    </row>
    <row r="25" spans="1:16">
      <c r="A25" s="44"/>
      <c r="B25" s="5">
        <f t="shared" si="7"/>
        <v>45627</v>
      </c>
      <c r="C25" s="1" t="s">
        <v>17</v>
      </c>
      <c r="D25" s="194" t="s">
        <v>802</v>
      </c>
      <c r="E25" s="1">
        <v>1107557</v>
      </c>
      <c r="F25" s="2">
        <v>3365664.07</v>
      </c>
      <c r="G25" s="3">
        <f t="shared" si="1"/>
        <v>2687819.3263019999</v>
      </c>
      <c r="H25" s="202">
        <f t="shared" si="6"/>
        <v>2.4267999988280513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403879.68839999998</v>
      </c>
      <c r="N25" s="11">
        <f t="shared" si="3"/>
        <v>48869.442296400004</v>
      </c>
      <c r="O25" s="11">
        <f t="shared" si="4"/>
        <v>225095.6130016</v>
      </c>
      <c r="P25" s="11">
        <f t="shared" si="5"/>
        <v>0</v>
      </c>
    </row>
    <row r="26" spans="1:16">
      <c r="A26" s="44"/>
      <c r="B26" s="5">
        <f t="shared" si="7"/>
        <v>45627</v>
      </c>
      <c r="C26" s="1" t="s">
        <v>17</v>
      </c>
      <c r="D26" s="196" t="s">
        <v>803</v>
      </c>
      <c r="E26" s="1">
        <v>414607</v>
      </c>
      <c r="F26" s="2">
        <v>1183805.26</v>
      </c>
      <c r="G26" s="3">
        <f t="shared" si="1"/>
        <v>945386.88063600007</v>
      </c>
      <c r="H26" s="202">
        <f t="shared" si="6"/>
        <v>2.2801999981572911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142056.6312</v>
      </c>
      <c r="N26" s="11">
        <f t="shared" si="3"/>
        <v>17188.8523752</v>
      </c>
      <c r="O26" s="11">
        <f t="shared" si="4"/>
        <v>79172.8957888</v>
      </c>
      <c r="P26" s="11">
        <f t="shared" si="5"/>
        <v>0</v>
      </c>
    </row>
    <row r="27" spans="1:16">
      <c r="A27" s="44"/>
      <c r="B27" s="5">
        <f t="shared" si="7"/>
        <v>45627</v>
      </c>
      <c r="C27" s="1" t="s">
        <v>17</v>
      </c>
      <c r="D27" s="194" t="s">
        <v>804</v>
      </c>
      <c r="E27" s="1">
        <v>18077221</v>
      </c>
      <c r="F27" s="2">
        <v>51979975.619999997</v>
      </c>
      <c r="G27" s="3">
        <f t="shared" si="1"/>
        <v>43869799.923889495</v>
      </c>
      <c r="H27" s="202">
        <f t="shared" si="6"/>
        <v>2.4268000000602687</v>
      </c>
      <c r="I27" s="200">
        <v>7.0000000000000007E-2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3638598.2934000003</v>
      </c>
      <c r="N27" s="11">
        <f t="shared" si="3"/>
        <v>797632.72588889999</v>
      </c>
      <c r="O27" s="11">
        <f t="shared" si="4"/>
        <v>3673944.6768215997</v>
      </c>
      <c r="P27" s="11">
        <f t="shared" si="5"/>
        <v>0</v>
      </c>
    </row>
    <row r="28" spans="1:16" hidden="1">
      <c r="A28" s="44"/>
      <c r="B28" s="5">
        <f t="shared" si="7"/>
        <v>45627</v>
      </c>
      <c r="C28" s="1" t="s">
        <v>17</v>
      </c>
      <c r="D28" s="194"/>
      <c r="E28" s="1"/>
      <c r="F28" s="2"/>
      <c r="G28" s="3">
        <f t="shared" si="1"/>
        <v>0</v>
      </c>
      <c r="H28" s="202">
        <f t="shared" si="6"/>
        <v>0</v>
      </c>
      <c r="I28" s="200"/>
      <c r="J28" s="7">
        <v>1.6500000000000001E-2</v>
      </c>
      <c r="K28" s="7">
        <v>7.5999999999999998E-2</v>
      </c>
      <c r="L28" s="7">
        <v>0</v>
      </c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spans="1:16" hidden="1">
      <c r="A29" s="44"/>
      <c r="B29" s="5">
        <f t="shared" si="7"/>
        <v>45627</v>
      </c>
      <c r="C29" s="1" t="s">
        <v>17</v>
      </c>
      <c r="D29" s="194"/>
      <c r="E29" s="1"/>
      <c r="F29" s="2"/>
      <c r="G29" s="3">
        <f t="shared" si="1"/>
        <v>0</v>
      </c>
      <c r="H29" s="202">
        <f>+IF(G29=0,0,G29/E29)</f>
        <v>0</v>
      </c>
      <c r="I29" s="200"/>
      <c r="J29" s="7">
        <v>1.6500000000000001E-2</v>
      </c>
      <c r="K29" s="7">
        <v>7.5999999999999998E-2</v>
      </c>
      <c r="L29" s="7">
        <v>0</v>
      </c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spans="1:16">
      <c r="A30" s="44"/>
      <c r="B30" s="5">
        <f t="shared" si="7"/>
        <v>45627</v>
      </c>
      <c r="C30" s="1" t="s">
        <v>17</v>
      </c>
      <c r="D30" s="194" t="s">
        <v>805</v>
      </c>
      <c r="E30" s="1">
        <v>10008090</v>
      </c>
      <c r="F30" s="2">
        <v>27039245.030000001</v>
      </c>
      <c r="G30" s="3">
        <f t="shared" si="1"/>
        <v>22820446.824194252</v>
      </c>
      <c r="H30" s="202">
        <f>+IF(G30=0,0,G30/E30)</f>
        <v>2.2802000006189247</v>
      </c>
      <c r="I30" s="200">
        <v>7.0000000000000007E-2</v>
      </c>
      <c r="J30" s="7">
        <v>1.6500000000000001E-2</v>
      </c>
      <c r="K30" s="7">
        <v>7.5999999999999998E-2</v>
      </c>
      <c r="L30" s="7">
        <v>0</v>
      </c>
      <c r="M30" s="11">
        <f t="shared" si="2"/>
        <v>1892747.1521000003</v>
      </c>
      <c r="N30" s="11">
        <f t="shared" si="3"/>
        <v>414917.21498535003</v>
      </c>
      <c r="O30" s="11">
        <f t="shared" si="4"/>
        <v>1911133.8387203999</v>
      </c>
      <c r="P30" s="11">
        <f t="shared" si="5"/>
        <v>0</v>
      </c>
    </row>
    <row r="31" spans="1:16" hidden="1">
      <c r="A31" s="44"/>
      <c r="B31" s="5">
        <f t="shared" si="7"/>
        <v>45627</v>
      </c>
      <c r="C31" s="1" t="s">
        <v>17</v>
      </c>
      <c r="D31" s="194"/>
      <c r="E31" s="1"/>
      <c r="F31" s="2"/>
      <c r="G31" s="3">
        <f t="shared" si="1"/>
        <v>0</v>
      </c>
      <c r="H31" s="202">
        <f t="shared" si="6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45627</v>
      </c>
      <c r="C32" s="1" t="s">
        <v>17</v>
      </c>
      <c r="D32" s="194"/>
      <c r="E32" s="1"/>
      <c r="F32" s="2"/>
      <c r="G32" s="3">
        <f t="shared" si="1"/>
        <v>0</v>
      </c>
      <c r="H32" s="202">
        <f t="shared" si="6"/>
        <v>0</v>
      </c>
      <c r="I32" s="200"/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>
      <c r="A33" s="44"/>
      <c r="B33" s="5">
        <f t="shared" si="7"/>
        <v>45627</v>
      </c>
      <c r="C33" s="1" t="s">
        <v>440</v>
      </c>
      <c r="D33" s="194" t="s">
        <v>809</v>
      </c>
      <c r="E33" s="1">
        <v>1050000</v>
      </c>
      <c r="F33" s="2">
        <v>2567355</v>
      </c>
      <c r="G33" s="3">
        <f t="shared" si="1"/>
        <v>2166783.436125</v>
      </c>
      <c r="H33" s="202">
        <f t="shared" si="6"/>
        <v>2.0636032725</v>
      </c>
      <c r="I33" s="7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179714.85</v>
      </c>
      <c r="N33" s="11">
        <f t="shared" si="3"/>
        <v>39396.062474999999</v>
      </c>
      <c r="O33" s="11">
        <f t="shared" si="4"/>
        <v>181460.6514</v>
      </c>
      <c r="P33" s="11">
        <f t="shared" si="5"/>
        <v>0</v>
      </c>
    </row>
    <row r="34" spans="1:16">
      <c r="A34" s="44"/>
      <c r="B34" s="5">
        <f t="shared" si="7"/>
        <v>45627</v>
      </c>
      <c r="C34" s="1" t="s">
        <v>491</v>
      </c>
      <c r="D34" s="194">
        <v>4339</v>
      </c>
      <c r="E34" s="185">
        <v>3550725</v>
      </c>
      <c r="F34" s="2">
        <v>9590863.3000000007</v>
      </c>
      <c r="G34" s="3">
        <f t="shared" si="1"/>
        <v>7659263.4313800009</v>
      </c>
      <c r="H34" s="202">
        <f>+IF(G34=0,0,G34/E34)</f>
        <v>2.1570984605622798</v>
      </c>
      <c r="I34" s="7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1150903.5960000001</v>
      </c>
      <c r="N34" s="11">
        <f t="shared" si="3"/>
        <v>139259.335116</v>
      </c>
      <c r="O34" s="11">
        <f t="shared" si="4"/>
        <v>641436.93750400003</v>
      </c>
      <c r="P34" s="11">
        <f t="shared" si="5"/>
        <v>0</v>
      </c>
    </row>
    <row r="35" spans="1:16">
      <c r="A35" s="44"/>
      <c r="B35" s="5">
        <f t="shared" si="7"/>
        <v>45627</v>
      </c>
      <c r="C35" s="1" t="s">
        <v>491</v>
      </c>
      <c r="D35" s="194">
        <v>4340</v>
      </c>
      <c r="E35" s="185">
        <v>450000</v>
      </c>
      <c r="F35" s="2">
        <v>811440</v>
      </c>
      <c r="G35" s="3">
        <f t="shared" ref="G35" si="8">F35-SUM(M35:P35)</f>
        <v>648015.98399999994</v>
      </c>
      <c r="H35" s="202">
        <f>+IF(G35=0,0,G35/E35)</f>
        <v>1.4400355199999999</v>
      </c>
      <c r="I35" s="7">
        <v>0.12</v>
      </c>
      <c r="J35" s="7">
        <v>1.6500000000000001E-2</v>
      </c>
      <c r="K35" s="7">
        <v>7.5999999999999998E-2</v>
      </c>
      <c r="L35" s="7">
        <v>0</v>
      </c>
      <c r="M35" s="11">
        <f t="shared" ref="M35" si="9">+I35*F35</f>
        <v>97372.800000000003</v>
      </c>
      <c r="N35" s="11">
        <f t="shared" ref="N35" si="10">J35*(F35-M35)</f>
        <v>11782.1088</v>
      </c>
      <c r="O35" s="11">
        <f t="shared" ref="O35" si="11">K35*(F35-M35)</f>
        <v>54269.107199999999</v>
      </c>
      <c r="P35" s="11">
        <f t="shared" ref="P35" si="12">L35*(F35)</f>
        <v>0</v>
      </c>
    </row>
    <row r="36" spans="1:16">
      <c r="A36" s="44"/>
      <c r="B36" s="5">
        <f>B32</f>
        <v>45627</v>
      </c>
      <c r="C36" s="1" t="s">
        <v>491</v>
      </c>
      <c r="D36" s="194">
        <v>6534</v>
      </c>
      <c r="E36" s="1">
        <v>319275</v>
      </c>
      <c r="F36" s="2">
        <v>862393.7</v>
      </c>
      <c r="G36" s="3">
        <f t="shared" ref="G36:G37" si="13">F36-SUM(M36:P36)</f>
        <v>688707.60881999996</v>
      </c>
      <c r="H36" s="202">
        <f t="shared" si="6"/>
        <v>2.1570984537467699</v>
      </c>
      <c r="I36" s="7">
        <v>0.12</v>
      </c>
      <c r="J36" s="7">
        <v>1.6500000000000001E-2</v>
      </c>
      <c r="K36" s="7">
        <v>7.5999999999999998E-2</v>
      </c>
      <c r="L36" s="7">
        <v>0</v>
      </c>
      <c r="M36" s="11">
        <f t="shared" si="2"/>
        <v>103487.24399999999</v>
      </c>
      <c r="N36" s="11">
        <f t="shared" si="3"/>
        <v>12521.956524000001</v>
      </c>
      <c r="O36" s="11">
        <f t="shared" si="4"/>
        <v>57676.890655999996</v>
      </c>
      <c r="P36" s="11">
        <f t="shared" si="5"/>
        <v>0</v>
      </c>
    </row>
    <row r="37" spans="1:16">
      <c r="A37" s="44"/>
      <c r="B37" s="5">
        <f>B33</f>
        <v>45627</v>
      </c>
      <c r="C37" s="1" t="s">
        <v>491</v>
      </c>
      <c r="D37" s="195">
        <v>6535</v>
      </c>
      <c r="E37" s="118">
        <v>225000</v>
      </c>
      <c r="F37" s="2">
        <v>405720</v>
      </c>
      <c r="G37" s="3">
        <f t="shared" si="13"/>
        <v>324007.99199999997</v>
      </c>
      <c r="H37" s="202">
        <f t="shared" si="6"/>
        <v>1.4400355199999999</v>
      </c>
      <c r="I37" s="7">
        <v>0.12</v>
      </c>
      <c r="J37" s="7">
        <v>1.6500000000000001E-2</v>
      </c>
      <c r="K37" s="7">
        <v>7.5999999999999998E-2</v>
      </c>
      <c r="L37" s="7">
        <v>0</v>
      </c>
      <c r="M37" s="11">
        <f t="shared" si="2"/>
        <v>48686.400000000001</v>
      </c>
      <c r="N37" s="11">
        <f t="shared" si="3"/>
        <v>5891.0544</v>
      </c>
      <c r="O37" s="11">
        <f t="shared" si="4"/>
        <v>27134.553599999999</v>
      </c>
      <c r="P37" s="11">
        <f t="shared" si="5"/>
        <v>0</v>
      </c>
    </row>
    <row r="38" spans="1:16">
      <c r="A38" s="44"/>
      <c r="B38" s="5">
        <f>B34</f>
        <v>45627</v>
      </c>
      <c r="C38" s="1" t="s">
        <v>756</v>
      </c>
      <c r="D38" s="195" t="s">
        <v>807</v>
      </c>
      <c r="E38" s="118">
        <v>0</v>
      </c>
      <c r="F38" s="208">
        <v>-10380.379999999999</v>
      </c>
      <c r="G38" s="209">
        <f t="shared" si="1"/>
        <v>-7489.0549057499993</v>
      </c>
      <c r="H38" s="202" t="e">
        <f t="shared" si="6"/>
        <v>#DIV/0!</v>
      </c>
      <c r="I38" s="7">
        <v>0.20499999999999999</v>
      </c>
      <c r="J38" s="200">
        <v>1.6500000000000001E-2</v>
      </c>
      <c r="K38" s="200">
        <v>7.5999999999999998E-2</v>
      </c>
      <c r="L38" s="200">
        <v>0</v>
      </c>
      <c r="M38" s="11">
        <f t="shared" si="2"/>
        <v>-2127.9778999999999</v>
      </c>
      <c r="N38" s="11">
        <f t="shared" si="3"/>
        <v>-136.16463464999998</v>
      </c>
      <c r="O38" s="11">
        <f t="shared" si="4"/>
        <v>-627.18255959999999</v>
      </c>
      <c r="P38" s="11">
        <f t="shared" si="5"/>
        <v>0</v>
      </c>
    </row>
    <row r="39" spans="1:16">
      <c r="A39" s="44"/>
      <c r="B39" s="5">
        <f t="shared" si="7"/>
        <v>45627</v>
      </c>
      <c r="C39" s="1" t="s">
        <v>756</v>
      </c>
      <c r="D39" s="212" t="s">
        <v>806</v>
      </c>
      <c r="E39" s="118">
        <v>889561.58</v>
      </c>
      <c r="F39" s="2">
        <v>4264202.4000000004</v>
      </c>
      <c r="G39" s="3">
        <f t="shared" ref="G39" si="14">F39-SUM(M39:P39)</f>
        <v>3076462.1240100004</v>
      </c>
      <c r="H39" s="202">
        <f t="shared" si="6"/>
        <v>3.4584026482011514</v>
      </c>
      <c r="I39" s="7">
        <v>0.20499999999999999</v>
      </c>
      <c r="J39" s="200">
        <v>1.6500000000000001E-2</v>
      </c>
      <c r="K39" s="200">
        <v>7.5999999999999998E-2</v>
      </c>
      <c r="L39" s="200">
        <v>0</v>
      </c>
      <c r="M39" s="11">
        <f t="shared" si="2"/>
        <v>874161.49199999997</v>
      </c>
      <c r="N39" s="11">
        <f t="shared" si="3"/>
        <v>55935.674982000004</v>
      </c>
      <c r="O39" s="11">
        <f t="shared" si="4"/>
        <v>257643.10900800003</v>
      </c>
      <c r="P39" s="11">
        <f t="shared" si="5"/>
        <v>0</v>
      </c>
    </row>
    <row r="40" spans="1:16">
      <c r="A40" s="44"/>
      <c r="B40" s="5">
        <f>B39</f>
        <v>45627</v>
      </c>
      <c r="C40" s="1" t="s">
        <v>757</v>
      </c>
      <c r="D40" s="195" t="s">
        <v>808</v>
      </c>
      <c r="E40" s="118">
        <v>0</v>
      </c>
      <c r="F40" s="208">
        <v>-1390.83</v>
      </c>
      <c r="G40" s="209">
        <f t="shared" ref="G40:G177" si="15">F40-SUM(M40:P40)</f>
        <v>-1003.431688875</v>
      </c>
      <c r="H40" s="202" t="e">
        <f t="shared" si="6"/>
        <v>#DIV/0!</v>
      </c>
      <c r="I40" s="7">
        <v>0.20499999999999999</v>
      </c>
      <c r="J40" s="7">
        <v>1.6500000000000001E-2</v>
      </c>
      <c r="K40" s="7">
        <v>7.5999999999999998E-2</v>
      </c>
      <c r="L40" s="7">
        <v>0</v>
      </c>
      <c r="M40" s="11">
        <f t="shared" si="2"/>
        <v>-285.12014999999997</v>
      </c>
      <c r="N40" s="11">
        <f t="shared" si="3"/>
        <v>-18.244212525000002</v>
      </c>
      <c r="O40" s="11">
        <f t="shared" si="4"/>
        <v>-84.033948599999988</v>
      </c>
      <c r="P40" s="11">
        <f t="shared" si="5"/>
        <v>0</v>
      </c>
    </row>
    <row r="41" spans="1:16" ht="15" customHeight="1">
      <c r="A41" s="44"/>
      <c r="B41" s="5">
        <f>B40</f>
        <v>45627</v>
      </c>
      <c r="C41" s="1" t="s">
        <v>757</v>
      </c>
      <c r="D41" s="195" t="s">
        <v>76</v>
      </c>
      <c r="E41" s="118">
        <v>129597.51</v>
      </c>
      <c r="F41" s="2">
        <v>691830.39</v>
      </c>
      <c r="G41" s="3">
        <f t="shared" si="15"/>
        <v>499129.68274537497</v>
      </c>
      <c r="H41" s="202">
        <f t="shared" si="6"/>
        <v>3.8513832769269642</v>
      </c>
      <c r="I41" s="7">
        <v>0.20499999999999999</v>
      </c>
      <c r="J41" s="7">
        <v>1.6500000000000001E-2</v>
      </c>
      <c r="K41" s="7">
        <v>7.5999999999999998E-2</v>
      </c>
      <c r="L41" s="7">
        <v>0</v>
      </c>
      <c r="M41" s="11">
        <f t="shared" si="2"/>
        <v>141825.22995000001</v>
      </c>
      <c r="N41" s="11">
        <f t="shared" si="3"/>
        <v>9075.0851408250019</v>
      </c>
      <c r="O41" s="11">
        <f t="shared" si="4"/>
        <v>41800.392163800003</v>
      </c>
      <c r="P41" s="11">
        <f t="shared" si="5"/>
        <v>0</v>
      </c>
    </row>
    <row r="42" spans="1:16" ht="15" hidden="1" customHeight="1">
      <c r="A42" s="44"/>
      <c r="B42" s="5">
        <f>B41</f>
        <v>45627</v>
      </c>
      <c r="C42" s="1" t="s">
        <v>792</v>
      </c>
      <c r="D42" s="195"/>
      <c r="E42" s="186"/>
      <c r="F42" s="2"/>
      <c r="G42" s="3">
        <f t="shared" si="15"/>
        <v>0</v>
      </c>
      <c r="H42" s="187"/>
      <c r="I42" s="193">
        <v>0</v>
      </c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 ht="15" customHeight="1">
      <c r="A43" s="44"/>
      <c r="B43" s="5">
        <f t="shared" ref="B43:B106" si="16">B42</f>
        <v>45627</v>
      </c>
      <c r="C43" s="1" t="s">
        <v>533</v>
      </c>
      <c r="D43" s="195">
        <v>5103</v>
      </c>
      <c r="E43" s="186"/>
      <c r="F43" s="2">
        <v>144491.1</v>
      </c>
      <c r="G43" s="3">
        <f t="shared" si="15"/>
        <v>115390.59246</v>
      </c>
      <c r="H43" s="187"/>
      <c r="I43" s="7">
        <v>0.12</v>
      </c>
      <c r="J43" s="7">
        <v>1.6500000000000001E-2</v>
      </c>
      <c r="K43" s="7">
        <v>7.5999999999999998E-2</v>
      </c>
      <c r="L43" s="7">
        <v>0</v>
      </c>
      <c r="M43" s="11">
        <f t="shared" si="2"/>
        <v>17338.932000000001</v>
      </c>
      <c r="N43" s="11">
        <f t="shared" si="3"/>
        <v>2098.0107720000001</v>
      </c>
      <c r="O43" s="11">
        <f t="shared" si="4"/>
        <v>9663.5647680000002</v>
      </c>
      <c r="P43" s="11">
        <f t="shared" si="5"/>
        <v>0</v>
      </c>
    </row>
    <row r="44" spans="1:16" ht="15" customHeight="1">
      <c r="A44" s="44"/>
      <c r="B44" s="5">
        <f t="shared" si="16"/>
        <v>45627</v>
      </c>
      <c r="C44" s="1" t="s">
        <v>533</v>
      </c>
      <c r="D44" s="195">
        <v>5104</v>
      </c>
      <c r="E44" s="186"/>
      <c r="F44" s="2">
        <v>207667.93</v>
      </c>
      <c r="G44" s="3">
        <f t="shared" si="15"/>
        <v>165843.60889799998</v>
      </c>
      <c r="H44" s="187"/>
      <c r="I44" s="7">
        <v>0.12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24920.151599999997</v>
      </c>
      <c r="N44" s="11">
        <f t="shared" si="3"/>
        <v>3015.3383436000004</v>
      </c>
      <c r="O44" s="11">
        <f t="shared" si="4"/>
        <v>13888.8311584</v>
      </c>
      <c r="P44" s="11">
        <f t="shared" si="5"/>
        <v>0</v>
      </c>
    </row>
    <row r="45" spans="1:16" ht="15" customHeight="1">
      <c r="A45" s="44"/>
      <c r="B45" s="5">
        <f t="shared" si="16"/>
        <v>45627</v>
      </c>
      <c r="C45" s="1" t="s">
        <v>533</v>
      </c>
      <c r="D45" s="195">
        <v>5105</v>
      </c>
      <c r="E45" s="186"/>
      <c r="F45" s="2">
        <v>109634.64</v>
      </c>
      <c r="G45" s="3">
        <f t="shared" si="15"/>
        <v>87554.223503999994</v>
      </c>
      <c r="H45" s="187"/>
      <c r="I45" s="7">
        <v>0.12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13156.156799999999</v>
      </c>
      <c r="N45" s="11">
        <f t="shared" si="3"/>
        <v>1591.8949728</v>
      </c>
      <c r="O45" s="11">
        <f t="shared" si="4"/>
        <v>7332.3647232000003</v>
      </c>
      <c r="P45" s="11">
        <f t="shared" si="5"/>
        <v>0</v>
      </c>
    </row>
    <row r="46" spans="1:16" ht="15" customHeight="1">
      <c r="A46" s="44"/>
      <c r="B46" s="5">
        <f t="shared" si="16"/>
        <v>45627</v>
      </c>
      <c r="C46" s="1" t="s">
        <v>533</v>
      </c>
      <c r="D46" s="195">
        <v>5102</v>
      </c>
      <c r="E46" s="186"/>
      <c r="F46" s="2">
        <v>122753.15</v>
      </c>
      <c r="G46" s="3">
        <f t="shared" si="15"/>
        <v>98030.66558999999</v>
      </c>
      <c r="H46" s="187"/>
      <c r="I46" s="7">
        <v>0.12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14730.377999999999</v>
      </c>
      <c r="N46" s="11">
        <f t="shared" si="3"/>
        <v>1782.375738</v>
      </c>
      <c r="O46" s="11">
        <f t="shared" si="4"/>
        <v>8209.7306719999997</v>
      </c>
      <c r="P46" s="11">
        <f t="shared" si="5"/>
        <v>0</v>
      </c>
    </row>
    <row r="47" spans="1:16" ht="15" customHeight="1">
      <c r="A47" s="44"/>
      <c r="B47" s="5">
        <f t="shared" si="16"/>
        <v>45627</v>
      </c>
      <c r="C47" s="1" t="s">
        <v>533</v>
      </c>
      <c r="D47" s="195">
        <v>5106</v>
      </c>
      <c r="E47" s="186"/>
      <c r="F47" s="2">
        <v>51251.74</v>
      </c>
      <c r="G47" s="3">
        <f t="shared" si="15"/>
        <v>40929.639563999997</v>
      </c>
      <c r="H47" s="187"/>
      <c r="I47" s="7">
        <v>0.12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6150.2087999999994</v>
      </c>
      <c r="N47" s="11">
        <f t="shared" si="3"/>
        <v>744.17526480000004</v>
      </c>
      <c r="O47" s="11">
        <f t="shared" si="4"/>
        <v>3427.7163711999997</v>
      </c>
      <c r="P47" s="11">
        <f t="shared" si="5"/>
        <v>0</v>
      </c>
    </row>
    <row r="48" spans="1:16" ht="15" customHeight="1">
      <c r="A48" s="44"/>
      <c r="B48" s="5">
        <f t="shared" si="16"/>
        <v>45627</v>
      </c>
      <c r="C48" s="1" t="s">
        <v>533</v>
      </c>
      <c r="D48" s="195">
        <v>5114</v>
      </c>
      <c r="E48" s="186"/>
      <c r="F48" s="2">
        <v>28271</v>
      </c>
      <c r="G48" s="3">
        <f t="shared" si="15"/>
        <v>22577.220600000001</v>
      </c>
      <c r="H48" s="187"/>
      <c r="I48" s="7">
        <v>0.12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3392.52</v>
      </c>
      <c r="N48" s="11">
        <f t="shared" si="3"/>
        <v>410.49492000000004</v>
      </c>
      <c r="O48" s="11">
        <f t="shared" si="4"/>
        <v>1890.7644799999998</v>
      </c>
      <c r="P48" s="11">
        <f t="shared" si="5"/>
        <v>0</v>
      </c>
    </row>
    <row r="49" spans="1:16" ht="15" customHeight="1">
      <c r="A49" s="44"/>
      <c r="B49" s="5">
        <f t="shared" si="16"/>
        <v>45627</v>
      </c>
      <c r="C49" s="1" t="s">
        <v>533</v>
      </c>
      <c r="D49" s="195">
        <v>5115</v>
      </c>
      <c r="E49" s="186"/>
      <c r="F49" s="2">
        <v>38272.74</v>
      </c>
      <c r="G49" s="3">
        <f t="shared" si="15"/>
        <v>30564.610163999998</v>
      </c>
      <c r="H49" s="187"/>
      <c r="I49" s="7">
        <v>0.12</v>
      </c>
      <c r="J49" s="7">
        <v>1.6500000000000001E-2</v>
      </c>
      <c r="K49" s="7">
        <v>7.5999999999999998E-2</v>
      </c>
      <c r="L49" s="7">
        <v>0</v>
      </c>
      <c r="M49" s="11">
        <f t="shared" si="2"/>
        <v>4592.7287999999999</v>
      </c>
      <c r="N49" s="11">
        <f t="shared" si="3"/>
        <v>555.72018480000008</v>
      </c>
      <c r="O49" s="11">
        <f t="shared" si="4"/>
        <v>2559.6808511999998</v>
      </c>
      <c r="P49" s="11">
        <f t="shared" si="5"/>
        <v>0</v>
      </c>
    </row>
    <row r="50" spans="1:16" ht="15" customHeight="1">
      <c r="A50" s="44"/>
      <c r="B50" s="5">
        <f t="shared" si="16"/>
        <v>45627</v>
      </c>
      <c r="C50" s="1" t="s">
        <v>533</v>
      </c>
      <c r="D50" s="195">
        <v>5116</v>
      </c>
      <c r="E50" s="186"/>
      <c r="F50" s="2">
        <v>136125.06</v>
      </c>
      <c r="G50" s="3">
        <f t="shared" si="15"/>
        <v>108709.472916</v>
      </c>
      <c r="H50" s="187"/>
      <c r="I50" s="7">
        <v>0.12</v>
      </c>
      <c r="J50" s="7">
        <v>1.6500000000000001E-2</v>
      </c>
      <c r="K50" s="7">
        <v>7.5999999999999998E-2</v>
      </c>
      <c r="L50" s="7">
        <v>0</v>
      </c>
      <c r="M50" s="11">
        <f t="shared" si="2"/>
        <v>16335.0072</v>
      </c>
      <c r="N50" s="11">
        <f t="shared" si="3"/>
        <v>1976.5358712000002</v>
      </c>
      <c r="O50" s="11">
        <f t="shared" si="4"/>
        <v>9104.0440128000009</v>
      </c>
      <c r="P50" s="11">
        <f t="shared" si="5"/>
        <v>0</v>
      </c>
    </row>
    <row r="51" spans="1:16" ht="15" customHeight="1">
      <c r="A51" s="44"/>
      <c r="B51" s="5">
        <f t="shared" si="16"/>
        <v>45627</v>
      </c>
      <c r="C51" s="1" t="s">
        <v>533</v>
      </c>
      <c r="D51" s="195">
        <v>18992</v>
      </c>
      <c r="E51" s="186"/>
      <c r="F51" s="2">
        <v>2713.39</v>
      </c>
      <c r="G51" s="3">
        <f t="shared" si="15"/>
        <v>2290.03332525</v>
      </c>
      <c r="H51" s="187"/>
      <c r="I51" s="7">
        <v>7.0000000000000007E-2</v>
      </c>
      <c r="J51" s="7">
        <v>1.6500000000000001E-2</v>
      </c>
      <c r="K51" s="7">
        <v>7.5999999999999998E-2</v>
      </c>
      <c r="L51" s="7">
        <v>0</v>
      </c>
      <c r="M51" s="11">
        <f t="shared" si="2"/>
        <v>189.93730000000002</v>
      </c>
      <c r="N51" s="11">
        <f t="shared" si="3"/>
        <v>41.636969549999996</v>
      </c>
      <c r="O51" s="11">
        <f t="shared" si="4"/>
        <v>191.78240519999997</v>
      </c>
      <c r="P51" s="11">
        <f t="shared" si="5"/>
        <v>0</v>
      </c>
    </row>
    <row r="52" spans="1:16" ht="15" customHeight="1">
      <c r="A52" s="44"/>
      <c r="B52" s="5">
        <f t="shared" si="16"/>
        <v>45627</v>
      </c>
      <c r="C52" s="1" t="s">
        <v>533</v>
      </c>
      <c r="D52" s="195">
        <v>18993</v>
      </c>
      <c r="E52" s="186"/>
      <c r="F52" s="2">
        <v>3898.18</v>
      </c>
      <c r="G52" s="3">
        <f t="shared" si="15"/>
        <v>3289.9664654999997</v>
      </c>
      <c r="H52" s="187"/>
      <c r="I52" s="7">
        <v>7.0000000000000007E-2</v>
      </c>
      <c r="J52" s="7">
        <v>1.6500000000000001E-2</v>
      </c>
      <c r="K52" s="7">
        <v>7.5999999999999998E-2</v>
      </c>
      <c r="L52" s="7">
        <v>0</v>
      </c>
      <c r="M52" s="11">
        <f t="shared" si="2"/>
        <v>272.87260000000003</v>
      </c>
      <c r="N52" s="11">
        <f t="shared" si="3"/>
        <v>59.8175721</v>
      </c>
      <c r="O52" s="11">
        <f t="shared" si="4"/>
        <v>275.5233624</v>
      </c>
      <c r="P52" s="11">
        <f t="shared" si="5"/>
        <v>0</v>
      </c>
    </row>
    <row r="53" spans="1:16" ht="15" customHeight="1">
      <c r="A53" s="44"/>
      <c r="B53" s="5">
        <f t="shared" si="16"/>
        <v>45627</v>
      </c>
      <c r="C53" s="1" t="s">
        <v>533</v>
      </c>
      <c r="D53" s="195">
        <v>18994</v>
      </c>
      <c r="E53" s="186"/>
      <c r="F53" s="2">
        <v>13415.97</v>
      </c>
      <c r="G53" s="3">
        <f t="shared" si="15"/>
        <v>11322.743280749999</v>
      </c>
      <c r="H53" s="187"/>
      <c r="I53" s="7">
        <v>7.0000000000000007E-2</v>
      </c>
      <c r="J53" s="7">
        <v>1.6500000000000001E-2</v>
      </c>
      <c r="K53" s="7">
        <v>7.5999999999999998E-2</v>
      </c>
      <c r="L53" s="7">
        <v>0</v>
      </c>
      <c r="M53" s="11">
        <f t="shared" si="2"/>
        <v>939.11790000000008</v>
      </c>
      <c r="N53" s="11">
        <f t="shared" si="3"/>
        <v>205.86805965000002</v>
      </c>
      <c r="O53" s="11">
        <f t="shared" si="4"/>
        <v>948.24075959999993</v>
      </c>
      <c r="P53" s="11">
        <f t="shared" si="5"/>
        <v>0</v>
      </c>
    </row>
    <row r="54" spans="1:16" ht="15" customHeight="1">
      <c r="A54" s="44"/>
      <c r="B54" s="5">
        <f t="shared" si="16"/>
        <v>45627</v>
      </c>
      <c r="C54" s="1" t="s">
        <v>533</v>
      </c>
      <c r="D54" s="195">
        <v>18997</v>
      </c>
      <c r="E54" s="186"/>
      <c r="F54" s="2">
        <v>15021.92</v>
      </c>
      <c r="G54" s="3">
        <f t="shared" si="15"/>
        <v>12678.124932000001</v>
      </c>
      <c r="H54" s="187"/>
      <c r="I54" s="7">
        <v>7.0000000000000007E-2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1051.5344</v>
      </c>
      <c r="N54" s="11">
        <f t="shared" si="3"/>
        <v>230.5113624</v>
      </c>
      <c r="O54" s="11">
        <f t="shared" si="4"/>
        <v>1061.7493055999998</v>
      </c>
      <c r="P54" s="11">
        <f t="shared" si="5"/>
        <v>0</v>
      </c>
    </row>
    <row r="55" spans="1:16" ht="15" customHeight="1">
      <c r="A55" s="44"/>
      <c r="B55" s="5">
        <f t="shared" si="16"/>
        <v>45627</v>
      </c>
      <c r="C55" s="1" t="s">
        <v>533</v>
      </c>
      <c r="D55" s="195">
        <v>18998</v>
      </c>
      <c r="E55" s="186"/>
      <c r="F55" s="2">
        <v>6267.76</v>
      </c>
      <c r="G55" s="3">
        <f t="shared" si="15"/>
        <v>5289.832746</v>
      </c>
      <c r="H55" s="187"/>
      <c r="I55" s="7">
        <v>7.0000000000000007E-2</v>
      </c>
      <c r="J55" s="7">
        <v>1.6500000000000001E-2</v>
      </c>
      <c r="K55" s="7">
        <v>7.5999999999999998E-2</v>
      </c>
      <c r="L55" s="7">
        <v>0</v>
      </c>
      <c r="M55" s="11">
        <f t="shared" si="2"/>
        <v>438.74320000000006</v>
      </c>
      <c r="N55" s="11">
        <f t="shared" si="3"/>
        <v>96.178777200000013</v>
      </c>
      <c r="O55" s="11">
        <f t="shared" si="4"/>
        <v>443.00527679999999</v>
      </c>
      <c r="P55" s="11">
        <f t="shared" si="5"/>
        <v>0</v>
      </c>
    </row>
    <row r="56" spans="1:16" ht="15" customHeight="1">
      <c r="A56" s="44"/>
      <c r="B56" s="5">
        <f t="shared" si="16"/>
        <v>45627</v>
      </c>
      <c r="C56" s="1" t="s">
        <v>533</v>
      </c>
      <c r="D56" s="195">
        <v>19007</v>
      </c>
      <c r="E56" s="186"/>
      <c r="F56" s="2">
        <v>3459.17</v>
      </c>
      <c r="G56" s="3">
        <f t="shared" si="15"/>
        <v>2919.4530007499998</v>
      </c>
      <c r="H56" s="187"/>
      <c r="I56" s="7">
        <v>7.0000000000000007E-2</v>
      </c>
      <c r="J56" s="7">
        <v>1.6500000000000001E-2</v>
      </c>
      <c r="K56" s="7">
        <v>7.5999999999999998E-2</v>
      </c>
      <c r="L56" s="7">
        <v>0</v>
      </c>
      <c r="M56" s="11">
        <f t="shared" si="2"/>
        <v>242.14190000000002</v>
      </c>
      <c r="N56" s="11">
        <f t="shared" si="3"/>
        <v>53.080963650000001</v>
      </c>
      <c r="O56" s="11">
        <f t="shared" si="4"/>
        <v>244.49413559999999</v>
      </c>
      <c r="P56" s="11">
        <f t="shared" si="5"/>
        <v>0</v>
      </c>
    </row>
    <row r="57" spans="1:16" ht="15" customHeight="1">
      <c r="A57" s="44"/>
      <c r="B57" s="5">
        <f t="shared" si="16"/>
        <v>45627</v>
      </c>
      <c r="C57" s="1" t="s">
        <v>533</v>
      </c>
      <c r="D57" s="195">
        <v>19008</v>
      </c>
      <c r="E57" s="186"/>
      <c r="F57" s="2">
        <v>4682.97</v>
      </c>
      <c r="G57" s="3">
        <f t="shared" si="15"/>
        <v>3952.3096057500002</v>
      </c>
      <c r="H57" s="187"/>
      <c r="I57" s="7">
        <v>7.0000000000000007E-2</v>
      </c>
      <c r="J57" s="7">
        <v>1.6500000000000001E-2</v>
      </c>
      <c r="K57" s="7">
        <v>7.5999999999999998E-2</v>
      </c>
      <c r="L57" s="7">
        <v>0</v>
      </c>
      <c r="M57" s="11">
        <f t="shared" si="2"/>
        <v>327.80790000000007</v>
      </c>
      <c r="N57" s="11">
        <f t="shared" si="3"/>
        <v>71.860174650000005</v>
      </c>
      <c r="O57" s="11">
        <f t="shared" si="4"/>
        <v>330.99231960000003</v>
      </c>
      <c r="P57" s="11">
        <f t="shared" si="5"/>
        <v>0</v>
      </c>
    </row>
    <row r="58" spans="1:16" ht="15" customHeight="1">
      <c r="A58" s="44"/>
      <c r="B58" s="5">
        <f t="shared" si="16"/>
        <v>45627</v>
      </c>
      <c r="C58" s="1" t="s">
        <v>533</v>
      </c>
      <c r="D58" s="195">
        <v>19009</v>
      </c>
      <c r="E58" s="186"/>
      <c r="F58" s="2">
        <v>16656.3</v>
      </c>
      <c r="G58" s="3">
        <f t="shared" si="15"/>
        <v>14057.500792499999</v>
      </c>
      <c r="H58" s="187"/>
      <c r="I58" s="7">
        <v>7.0000000000000007E-2</v>
      </c>
      <c r="J58" s="7">
        <v>1.6500000000000001E-2</v>
      </c>
      <c r="K58" s="7">
        <v>7.5999999999999998E-2</v>
      </c>
      <c r="L58" s="7">
        <v>0</v>
      </c>
      <c r="M58" s="11">
        <f t="shared" si="2"/>
        <v>1165.941</v>
      </c>
      <c r="N58" s="11">
        <f t="shared" si="3"/>
        <v>255.5909235</v>
      </c>
      <c r="O58" s="11">
        <f t="shared" si="4"/>
        <v>1177.2672839999998</v>
      </c>
      <c r="P58" s="11">
        <f t="shared" si="5"/>
        <v>0</v>
      </c>
    </row>
    <row r="59" spans="1:16" ht="15" hidden="1" customHeight="1">
      <c r="A59" s="44"/>
      <c r="B59" s="5">
        <f t="shared" si="16"/>
        <v>45627</v>
      </c>
      <c r="C59" s="1" t="s">
        <v>533</v>
      </c>
      <c r="D59" s="195"/>
      <c r="E59" s="186"/>
      <c r="F59" s="2"/>
      <c r="G59" s="3">
        <f t="shared" si="15"/>
        <v>0</v>
      </c>
      <c r="H59" s="187"/>
      <c r="I59" s="7"/>
      <c r="J59" s="7">
        <v>1.6500000000000001E-2</v>
      </c>
      <c r="K59" s="7">
        <v>7.5999999999999998E-2</v>
      </c>
      <c r="L59" s="7">
        <v>0</v>
      </c>
      <c r="M59" s="11">
        <f t="shared" si="2"/>
        <v>0</v>
      </c>
      <c r="N59" s="11">
        <f t="shared" si="3"/>
        <v>0</v>
      </c>
      <c r="O59" s="11">
        <f t="shared" si="4"/>
        <v>0</v>
      </c>
      <c r="P59" s="11">
        <f t="shared" si="5"/>
        <v>0</v>
      </c>
    </row>
    <row r="60" spans="1:16" ht="15" hidden="1" customHeight="1">
      <c r="A60" s="44"/>
      <c r="B60" s="5">
        <f t="shared" si="16"/>
        <v>45627</v>
      </c>
      <c r="C60" s="1" t="s">
        <v>533</v>
      </c>
      <c r="D60" s="195"/>
      <c r="E60" s="186"/>
      <c r="F60" s="2"/>
      <c r="G60" s="3">
        <f t="shared" si="15"/>
        <v>0</v>
      </c>
      <c r="H60" s="187"/>
      <c r="I60" s="7"/>
      <c r="J60" s="7">
        <v>1.6500000000000001E-2</v>
      </c>
      <c r="K60" s="7">
        <v>7.5999999999999998E-2</v>
      </c>
      <c r="L60" s="7">
        <v>0</v>
      </c>
      <c r="M60" s="11">
        <f t="shared" si="2"/>
        <v>0</v>
      </c>
      <c r="N60" s="11">
        <f t="shared" si="3"/>
        <v>0</v>
      </c>
      <c r="O60" s="11">
        <f t="shared" si="4"/>
        <v>0</v>
      </c>
      <c r="P60" s="11">
        <f t="shared" si="5"/>
        <v>0</v>
      </c>
    </row>
    <row r="61" spans="1:16" ht="15" hidden="1" customHeight="1">
      <c r="A61" s="44"/>
      <c r="B61" s="5">
        <f t="shared" si="16"/>
        <v>45627</v>
      </c>
      <c r="C61" s="1" t="s">
        <v>533</v>
      </c>
      <c r="D61" s="195"/>
      <c r="E61" s="186"/>
      <c r="F61" s="2"/>
      <c r="G61" s="3">
        <f t="shared" si="15"/>
        <v>0</v>
      </c>
      <c r="H61" s="187"/>
      <c r="I61" s="7"/>
      <c r="J61" s="7">
        <v>1.6500000000000001E-2</v>
      </c>
      <c r="K61" s="7">
        <v>7.5999999999999998E-2</v>
      </c>
      <c r="L61" s="7">
        <v>0</v>
      </c>
      <c r="M61" s="11">
        <f t="shared" si="2"/>
        <v>0</v>
      </c>
      <c r="N61" s="11">
        <f t="shared" si="3"/>
        <v>0</v>
      </c>
      <c r="O61" s="11">
        <f t="shared" si="4"/>
        <v>0</v>
      </c>
      <c r="P61" s="11">
        <f t="shared" si="5"/>
        <v>0</v>
      </c>
    </row>
    <row r="62" spans="1:16" ht="15" hidden="1" customHeight="1">
      <c r="A62" s="44"/>
      <c r="B62" s="5">
        <f t="shared" si="16"/>
        <v>45627</v>
      </c>
      <c r="C62" s="1" t="s">
        <v>533</v>
      </c>
      <c r="D62" s="195"/>
      <c r="E62" s="186"/>
      <c r="F62" s="2"/>
      <c r="G62" s="3">
        <f t="shared" si="15"/>
        <v>0</v>
      </c>
      <c r="H62" s="187"/>
      <c r="I62" s="7"/>
      <c r="J62" s="7">
        <v>1.6500000000000001E-2</v>
      </c>
      <c r="K62" s="7">
        <v>7.5999999999999998E-2</v>
      </c>
      <c r="L62" s="7">
        <v>0</v>
      </c>
      <c r="M62" s="11">
        <f t="shared" si="2"/>
        <v>0</v>
      </c>
      <c r="N62" s="11">
        <f t="shared" si="3"/>
        <v>0</v>
      </c>
      <c r="O62" s="11">
        <f t="shared" si="4"/>
        <v>0</v>
      </c>
      <c r="P62" s="11">
        <f t="shared" si="5"/>
        <v>0</v>
      </c>
    </row>
    <row r="63" spans="1:16" ht="15" hidden="1" customHeight="1">
      <c r="A63" s="44"/>
      <c r="B63" s="5">
        <f t="shared" si="16"/>
        <v>45627</v>
      </c>
      <c r="C63" s="1" t="s">
        <v>533</v>
      </c>
      <c r="D63" s="195"/>
      <c r="E63" s="186"/>
      <c r="F63" s="2"/>
      <c r="G63" s="3">
        <f t="shared" si="15"/>
        <v>0</v>
      </c>
      <c r="H63" s="187"/>
      <c r="I63" s="7"/>
      <c r="J63" s="7">
        <v>1.6500000000000001E-2</v>
      </c>
      <c r="K63" s="7">
        <v>7.5999999999999998E-2</v>
      </c>
      <c r="L63" s="7">
        <v>0</v>
      </c>
      <c r="M63" s="11">
        <f t="shared" si="2"/>
        <v>0</v>
      </c>
      <c r="N63" s="11">
        <f t="shared" si="3"/>
        <v>0</v>
      </c>
      <c r="O63" s="11">
        <f t="shared" si="4"/>
        <v>0</v>
      </c>
      <c r="P63" s="11">
        <f t="shared" si="5"/>
        <v>0</v>
      </c>
    </row>
    <row r="64" spans="1:16" ht="15" hidden="1" customHeight="1">
      <c r="A64" s="44"/>
      <c r="B64" s="5">
        <f t="shared" si="16"/>
        <v>45627</v>
      </c>
      <c r="C64" s="1" t="s">
        <v>533</v>
      </c>
      <c r="D64" s="195"/>
      <c r="E64" s="186"/>
      <c r="F64" s="2"/>
      <c r="G64" s="3">
        <f t="shared" si="15"/>
        <v>0</v>
      </c>
      <c r="H64" s="187"/>
      <c r="I64" s="7"/>
      <c r="J64" s="7">
        <v>1.6500000000000001E-2</v>
      </c>
      <c r="K64" s="7">
        <v>7.5999999999999998E-2</v>
      </c>
      <c r="L64" s="7">
        <v>0</v>
      </c>
      <c r="M64" s="11">
        <f t="shared" si="2"/>
        <v>0</v>
      </c>
      <c r="N64" s="11">
        <f t="shared" si="3"/>
        <v>0</v>
      </c>
      <c r="O64" s="11">
        <f t="shared" si="4"/>
        <v>0</v>
      </c>
      <c r="P64" s="11">
        <f t="shared" si="5"/>
        <v>0</v>
      </c>
    </row>
    <row r="65" spans="1:16" ht="15" hidden="1" customHeight="1">
      <c r="A65" s="44"/>
      <c r="B65" s="5">
        <f t="shared" si="16"/>
        <v>45627</v>
      </c>
      <c r="C65" s="1" t="s">
        <v>533</v>
      </c>
      <c r="D65" s="195"/>
      <c r="E65" s="186"/>
      <c r="F65" s="2"/>
      <c r="G65" s="3">
        <f t="shared" si="15"/>
        <v>0</v>
      </c>
      <c r="H65" s="187"/>
      <c r="I65" s="7"/>
      <c r="J65" s="7">
        <v>1.6500000000000001E-2</v>
      </c>
      <c r="K65" s="7">
        <v>7.5999999999999998E-2</v>
      </c>
      <c r="L65" s="7">
        <v>0</v>
      </c>
      <c r="M65" s="11">
        <f t="shared" si="2"/>
        <v>0</v>
      </c>
      <c r="N65" s="11">
        <f t="shared" si="3"/>
        <v>0</v>
      </c>
      <c r="O65" s="11">
        <f t="shared" si="4"/>
        <v>0</v>
      </c>
      <c r="P65" s="11">
        <f t="shared" si="5"/>
        <v>0</v>
      </c>
    </row>
    <row r="66" spans="1:16" ht="15" hidden="1" customHeight="1">
      <c r="A66" s="44"/>
      <c r="B66" s="5">
        <f t="shared" si="16"/>
        <v>45627</v>
      </c>
      <c r="C66" s="1" t="s">
        <v>533</v>
      </c>
      <c r="D66" s="195"/>
      <c r="E66" s="186"/>
      <c r="F66" s="2"/>
      <c r="G66" s="3">
        <f t="shared" si="15"/>
        <v>0</v>
      </c>
      <c r="H66" s="187"/>
      <c r="I66" s="7"/>
      <c r="J66" s="7">
        <v>1.6500000000000001E-2</v>
      </c>
      <c r="K66" s="7">
        <v>7.5999999999999998E-2</v>
      </c>
      <c r="L66" s="7">
        <v>0</v>
      </c>
      <c r="M66" s="11">
        <f t="shared" si="2"/>
        <v>0</v>
      </c>
      <c r="N66" s="11">
        <f t="shared" si="3"/>
        <v>0</v>
      </c>
      <c r="O66" s="11">
        <f t="shared" si="4"/>
        <v>0</v>
      </c>
      <c r="P66" s="11">
        <f t="shared" si="5"/>
        <v>0</v>
      </c>
    </row>
    <row r="67" spans="1:16" ht="15" hidden="1" customHeight="1">
      <c r="A67" s="44"/>
      <c r="B67" s="5">
        <f t="shared" si="16"/>
        <v>45627</v>
      </c>
      <c r="C67" s="1" t="s">
        <v>533</v>
      </c>
      <c r="D67" s="195"/>
      <c r="E67" s="186"/>
      <c r="F67" s="2"/>
      <c r="G67" s="3">
        <f t="shared" si="15"/>
        <v>0</v>
      </c>
      <c r="H67" s="187"/>
      <c r="I67" s="7"/>
      <c r="J67" s="7">
        <v>1.6500000000000001E-2</v>
      </c>
      <c r="K67" s="7">
        <v>7.5999999999999998E-2</v>
      </c>
      <c r="L67" s="7">
        <v>0</v>
      </c>
      <c r="M67" s="11">
        <f t="shared" si="2"/>
        <v>0</v>
      </c>
      <c r="N67" s="11">
        <f t="shared" si="3"/>
        <v>0</v>
      </c>
      <c r="O67" s="11">
        <f t="shared" si="4"/>
        <v>0</v>
      </c>
      <c r="P67" s="11">
        <f t="shared" si="5"/>
        <v>0</v>
      </c>
    </row>
    <row r="68" spans="1:16" ht="15" hidden="1" customHeight="1">
      <c r="A68" s="44"/>
      <c r="B68" s="5">
        <f t="shared" si="16"/>
        <v>45627</v>
      </c>
      <c r="C68" s="1" t="s">
        <v>533</v>
      </c>
      <c r="D68" s="195"/>
      <c r="E68" s="186"/>
      <c r="F68" s="2"/>
      <c r="G68" s="3">
        <f t="shared" si="15"/>
        <v>0</v>
      </c>
      <c r="H68" s="187"/>
      <c r="I68" s="7"/>
      <c r="J68" s="7">
        <v>1.6500000000000001E-2</v>
      </c>
      <c r="K68" s="7">
        <v>7.5999999999999998E-2</v>
      </c>
      <c r="L68" s="7">
        <v>0</v>
      </c>
      <c r="M68" s="11">
        <f t="shared" si="2"/>
        <v>0</v>
      </c>
      <c r="N68" s="11">
        <f t="shared" si="3"/>
        <v>0</v>
      </c>
      <c r="O68" s="11">
        <f t="shared" si="4"/>
        <v>0</v>
      </c>
      <c r="P68" s="11">
        <f t="shared" si="5"/>
        <v>0</v>
      </c>
    </row>
    <row r="69" spans="1:16" ht="15" hidden="1" customHeight="1">
      <c r="A69" s="44"/>
      <c r="B69" s="5">
        <f t="shared" si="16"/>
        <v>45627</v>
      </c>
      <c r="C69" s="1" t="s">
        <v>533</v>
      </c>
      <c r="D69" s="195"/>
      <c r="E69" s="186"/>
      <c r="F69" s="2"/>
      <c r="G69" s="3">
        <f t="shared" si="15"/>
        <v>0</v>
      </c>
      <c r="H69" s="187"/>
      <c r="I69" s="7"/>
      <c r="J69" s="7">
        <v>1.6500000000000001E-2</v>
      </c>
      <c r="K69" s="7">
        <v>7.5999999999999998E-2</v>
      </c>
      <c r="L69" s="7">
        <v>0</v>
      </c>
      <c r="M69" s="11">
        <f t="shared" si="2"/>
        <v>0</v>
      </c>
      <c r="N69" s="11">
        <f t="shared" si="3"/>
        <v>0</v>
      </c>
      <c r="O69" s="11">
        <f t="shared" si="4"/>
        <v>0</v>
      </c>
      <c r="P69" s="11">
        <f t="shared" si="5"/>
        <v>0</v>
      </c>
    </row>
    <row r="70" spans="1:16" ht="15" hidden="1" customHeight="1">
      <c r="A70" s="44"/>
      <c r="B70" s="5">
        <f t="shared" si="16"/>
        <v>45627</v>
      </c>
      <c r="C70" s="1" t="s">
        <v>533</v>
      </c>
      <c r="D70" s="195"/>
      <c r="E70" s="186"/>
      <c r="F70" s="2"/>
      <c r="G70" s="3">
        <f t="shared" si="15"/>
        <v>0</v>
      </c>
      <c r="H70" s="187"/>
      <c r="I70" s="7"/>
      <c r="J70" s="7">
        <v>1.6500000000000001E-2</v>
      </c>
      <c r="K70" s="7">
        <v>7.5999999999999998E-2</v>
      </c>
      <c r="L70" s="7">
        <v>0</v>
      </c>
      <c r="M70" s="11">
        <f t="shared" si="2"/>
        <v>0</v>
      </c>
      <c r="N70" s="11">
        <f t="shared" si="3"/>
        <v>0</v>
      </c>
      <c r="O70" s="11">
        <f t="shared" si="4"/>
        <v>0</v>
      </c>
      <c r="P70" s="11">
        <f t="shared" si="5"/>
        <v>0</v>
      </c>
    </row>
    <row r="71" spans="1:16" ht="15" hidden="1" customHeight="1">
      <c r="A71" s="44"/>
      <c r="B71" s="5">
        <f t="shared" si="16"/>
        <v>45627</v>
      </c>
      <c r="C71" s="1" t="s">
        <v>533</v>
      </c>
      <c r="D71" s="195"/>
      <c r="E71" s="186"/>
      <c r="F71" s="2"/>
      <c r="G71" s="3">
        <f t="shared" si="15"/>
        <v>0</v>
      </c>
      <c r="H71" s="187"/>
      <c r="I71" s="7"/>
      <c r="J71" s="7">
        <v>1.6500000000000001E-2</v>
      </c>
      <c r="K71" s="7">
        <v>7.5999999999999998E-2</v>
      </c>
      <c r="L71" s="7">
        <v>0</v>
      </c>
      <c r="M71" s="11">
        <f t="shared" si="2"/>
        <v>0</v>
      </c>
      <c r="N71" s="11">
        <f t="shared" si="3"/>
        <v>0</v>
      </c>
      <c r="O71" s="11">
        <f t="shared" si="4"/>
        <v>0</v>
      </c>
      <c r="P71" s="11">
        <f t="shared" si="5"/>
        <v>0</v>
      </c>
    </row>
    <row r="72" spans="1:16" ht="15" hidden="1" customHeight="1">
      <c r="A72" s="44"/>
      <c r="B72" s="5">
        <f t="shared" si="16"/>
        <v>45627</v>
      </c>
      <c r="C72" s="1" t="s">
        <v>533</v>
      </c>
      <c r="D72" s="195"/>
      <c r="E72" s="186"/>
      <c r="F72" s="2"/>
      <c r="G72" s="3">
        <f t="shared" si="15"/>
        <v>0</v>
      </c>
      <c r="H72" s="187"/>
      <c r="I72" s="7"/>
      <c r="J72" s="7">
        <v>1.6500000000000001E-2</v>
      </c>
      <c r="K72" s="7">
        <v>7.5999999999999998E-2</v>
      </c>
      <c r="L72" s="7">
        <v>0</v>
      </c>
      <c r="M72" s="11">
        <f t="shared" si="2"/>
        <v>0</v>
      </c>
      <c r="N72" s="11">
        <f t="shared" si="3"/>
        <v>0</v>
      </c>
      <c r="O72" s="11">
        <f t="shared" si="4"/>
        <v>0</v>
      </c>
      <c r="P72" s="11">
        <f t="shared" si="5"/>
        <v>0</v>
      </c>
    </row>
    <row r="73" spans="1:16" ht="15" hidden="1" customHeight="1">
      <c r="A73" s="44"/>
      <c r="B73" s="5">
        <f t="shared" si="16"/>
        <v>45627</v>
      </c>
      <c r="C73" s="1" t="s">
        <v>533</v>
      </c>
      <c r="D73" s="195"/>
      <c r="E73" s="186"/>
      <c r="F73" s="2"/>
      <c r="G73" s="3">
        <f t="shared" si="15"/>
        <v>0</v>
      </c>
      <c r="H73" s="187"/>
      <c r="I73" s="7"/>
      <c r="J73" s="7">
        <v>1.6500000000000001E-2</v>
      </c>
      <c r="K73" s="7">
        <v>7.5999999999999998E-2</v>
      </c>
      <c r="L73" s="7">
        <v>0</v>
      </c>
      <c r="M73" s="11">
        <f t="shared" si="2"/>
        <v>0</v>
      </c>
      <c r="N73" s="11">
        <f t="shared" si="3"/>
        <v>0</v>
      </c>
      <c r="O73" s="11">
        <f t="shared" si="4"/>
        <v>0</v>
      </c>
      <c r="P73" s="11">
        <f t="shared" si="5"/>
        <v>0</v>
      </c>
    </row>
    <row r="74" spans="1:16" ht="15" hidden="1" customHeight="1">
      <c r="A74" s="44"/>
      <c r="B74" s="5">
        <f t="shared" si="16"/>
        <v>45627</v>
      </c>
      <c r="C74" s="1" t="s">
        <v>533</v>
      </c>
      <c r="D74" s="195"/>
      <c r="E74" s="186"/>
      <c r="F74" s="2"/>
      <c r="G74" s="3">
        <f t="shared" si="15"/>
        <v>0</v>
      </c>
      <c r="H74" s="187"/>
      <c r="I74" s="7"/>
      <c r="J74" s="7">
        <v>1.6500000000000001E-2</v>
      </c>
      <c r="K74" s="7">
        <v>7.5999999999999998E-2</v>
      </c>
      <c r="L74" s="7">
        <v>0</v>
      </c>
      <c r="M74" s="11">
        <f t="shared" si="2"/>
        <v>0</v>
      </c>
      <c r="N74" s="11">
        <f t="shared" si="3"/>
        <v>0</v>
      </c>
      <c r="O74" s="11">
        <f t="shared" si="4"/>
        <v>0</v>
      </c>
      <c r="P74" s="11">
        <f t="shared" si="5"/>
        <v>0</v>
      </c>
    </row>
    <row r="75" spans="1:16" ht="15" hidden="1" customHeight="1">
      <c r="A75" s="44"/>
      <c r="B75" s="5">
        <f t="shared" si="16"/>
        <v>45627</v>
      </c>
      <c r="C75" s="1" t="s">
        <v>533</v>
      </c>
      <c r="D75" s="195"/>
      <c r="E75" s="186"/>
      <c r="F75" s="2"/>
      <c r="G75" s="3">
        <f t="shared" si="15"/>
        <v>0</v>
      </c>
      <c r="H75" s="187"/>
      <c r="I75" s="7"/>
      <c r="J75" s="7">
        <v>1.6500000000000001E-2</v>
      </c>
      <c r="K75" s="7">
        <v>7.5999999999999998E-2</v>
      </c>
      <c r="L75" s="7">
        <v>0</v>
      </c>
      <c r="M75" s="11">
        <f t="shared" si="2"/>
        <v>0</v>
      </c>
      <c r="N75" s="11">
        <f t="shared" si="3"/>
        <v>0</v>
      </c>
      <c r="O75" s="11">
        <f t="shared" si="4"/>
        <v>0</v>
      </c>
      <c r="P75" s="11">
        <f t="shared" si="5"/>
        <v>0</v>
      </c>
    </row>
    <row r="76" spans="1:16" ht="15" hidden="1" customHeight="1">
      <c r="A76" s="44"/>
      <c r="B76" s="5">
        <f t="shared" si="16"/>
        <v>45627</v>
      </c>
      <c r="C76" s="1" t="s">
        <v>533</v>
      </c>
      <c r="D76" s="195"/>
      <c r="E76" s="186"/>
      <c r="F76" s="2"/>
      <c r="G76" s="3">
        <f t="shared" si="15"/>
        <v>0</v>
      </c>
      <c r="H76" s="187"/>
      <c r="I76" s="7"/>
      <c r="J76" s="7">
        <v>1.6500000000000001E-2</v>
      </c>
      <c r="K76" s="7">
        <v>7.5999999999999998E-2</v>
      </c>
      <c r="L76" s="7">
        <v>0</v>
      </c>
      <c r="M76" s="11">
        <f t="shared" si="2"/>
        <v>0</v>
      </c>
      <c r="N76" s="11">
        <f t="shared" si="3"/>
        <v>0</v>
      </c>
      <c r="O76" s="11">
        <f t="shared" si="4"/>
        <v>0</v>
      </c>
      <c r="P76" s="11">
        <f t="shared" si="5"/>
        <v>0</v>
      </c>
    </row>
    <row r="77" spans="1:16" ht="15" hidden="1" customHeight="1">
      <c r="A77" s="44"/>
      <c r="B77" s="5">
        <f t="shared" si="16"/>
        <v>45627</v>
      </c>
      <c r="C77" s="1" t="s">
        <v>533</v>
      </c>
      <c r="D77" s="195"/>
      <c r="E77" s="186"/>
      <c r="F77" s="2"/>
      <c r="G77" s="3">
        <f t="shared" si="15"/>
        <v>0</v>
      </c>
      <c r="H77" s="187"/>
      <c r="I77" s="7"/>
      <c r="J77" s="7">
        <v>1.6500000000000001E-2</v>
      </c>
      <c r="K77" s="7">
        <v>7.5999999999999998E-2</v>
      </c>
      <c r="L77" s="7">
        <v>0</v>
      </c>
      <c r="M77" s="11">
        <f t="shared" si="2"/>
        <v>0</v>
      </c>
      <c r="N77" s="11">
        <f t="shared" si="3"/>
        <v>0</v>
      </c>
      <c r="O77" s="11">
        <f t="shared" si="4"/>
        <v>0</v>
      </c>
      <c r="P77" s="11">
        <f t="shared" si="5"/>
        <v>0</v>
      </c>
    </row>
    <row r="78" spans="1:16" ht="15" hidden="1" customHeight="1">
      <c r="A78" s="44"/>
      <c r="B78" s="5">
        <f t="shared" si="16"/>
        <v>45627</v>
      </c>
      <c r="C78" s="1" t="s">
        <v>533</v>
      </c>
      <c r="D78" s="195"/>
      <c r="E78" s="186"/>
      <c r="F78" s="2"/>
      <c r="G78" s="3">
        <f t="shared" si="15"/>
        <v>0</v>
      </c>
      <c r="H78" s="187"/>
      <c r="I78" s="7"/>
      <c r="J78" s="7">
        <v>1.6500000000000001E-2</v>
      </c>
      <c r="K78" s="7">
        <v>7.5999999999999998E-2</v>
      </c>
      <c r="L78" s="7">
        <v>0</v>
      </c>
      <c r="M78" s="11">
        <f t="shared" si="2"/>
        <v>0</v>
      </c>
      <c r="N78" s="11">
        <f t="shared" si="3"/>
        <v>0</v>
      </c>
      <c r="O78" s="11">
        <f t="shared" si="4"/>
        <v>0</v>
      </c>
      <c r="P78" s="11">
        <f t="shared" si="5"/>
        <v>0</v>
      </c>
    </row>
    <row r="79" spans="1:16" ht="15" hidden="1" customHeight="1">
      <c r="A79" s="44"/>
      <c r="B79" s="5">
        <f t="shared" si="16"/>
        <v>45627</v>
      </c>
      <c r="C79" s="1" t="s">
        <v>533</v>
      </c>
      <c r="D79" s="195"/>
      <c r="E79" s="186"/>
      <c r="F79" s="2"/>
      <c r="G79" s="3">
        <f t="shared" si="15"/>
        <v>0</v>
      </c>
      <c r="H79" s="187"/>
      <c r="I79" s="7"/>
      <c r="J79" s="7">
        <v>1.6500000000000001E-2</v>
      </c>
      <c r="K79" s="7">
        <v>7.5999999999999998E-2</v>
      </c>
      <c r="L79" s="7">
        <v>0</v>
      </c>
      <c r="M79" s="11">
        <f t="shared" si="2"/>
        <v>0</v>
      </c>
      <c r="N79" s="11">
        <f t="shared" si="3"/>
        <v>0</v>
      </c>
      <c r="O79" s="11">
        <f t="shared" si="4"/>
        <v>0</v>
      </c>
      <c r="P79" s="11">
        <f t="shared" si="5"/>
        <v>0</v>
      </c>
    </row>
    <row r="80" spans="1:16" ht="15" hidden="1" customHeight="1">
      <c r="A80" s="44"/>
      <c r="B80" s="5">
        <f t="shared" si="16"/>
        <v>45627</v>
      </c>
      <c r="C80" s="1" t="s">
        <v>533</v>
      </c>
      <c r="D80" s="195"/>
      <c r="E80" s="186"/>
      <c r="F80" s="2"/>
      <c r="G80" s="3">
        <f t="shared" si="15"/>
        <v>0</v>
      </c>
      <c r="H80" s="187"/>
      <c r="I80" s="7"/>
      <c r="J80" s="7">
        <v>1.6500000000000001E-2</v>
      </c>
      <c r="K80" s="7">
        <v>7.5999999999999998E-2</v>
      </c>
      <c r="L80" s="7">
        <v>0</v>
      </c>
      <c r="M80" s="11">
        <f t="shared" si="2"/>
        <v>0</v>
      </c>
      <c r="N80" s="11">
        <f t="shared" si="3"/>
        <v>0</v>
      </c>
      <c r="O80" s="11">
        <f t="shared" si="4"/>
        <v>0</v>
      </c>
      <c r="P80" s="11">
        <f t="shared" si="5"/>
        <v>0</v>
      </c>
    </row>
    <row r="81" spans="1:16" ht="15" hidden="1" customHeight="1">
      <c r="A81" s="44"/>
      <c r="B81" s="5">
        <f t="shared" si="16"/>
        <v>45627</v>
      </c>
      <c r="C81" s="1" t="s">
        <v>533</v>
      </c>
      <c r="D81" s="195"/>
      <c r="E81" s="186"/>
      <c r="F81" s="2"/>
      <c r="G81" s="3">
        <f t="shared" si="15"/>
        <v>0</v>
      </c>
      <c r="H81" s="187"/>
      <c r="I81" s="7"/>
      <c r="J81" s="7">
        <v>1.6500000000000001E-2</v>
      </c>
      <c r="K81" s="7">
        <v>7.5999999999999998E-2</v>
      </c>
      <c r="L81" s="7">
        <v>0</v>
      </c>
      <c r="M81" s="11">
        <f t="shared" si="2"/>
        <v>0</v>
      </c>
      <c r="N81" s="11">
        <f t="shared" si="3"/>
        <v>0</v>
      </c>
      <c r="O81" s="11">
        <f t="shared" si="4"/>
        <v>0</v>
      </c>
      <c r="P81" s="11">
        <f t="shared" si="5"/>
        <v>0</v>
      </c>
    </row>
    <row r="82" spans="1:16" ht="15" hidden="1" customHeight="1">
      <c r="A82" s="44"/>
      <c r="B82" s="5">
        <f t="shared" si="16"/>
        <v>45627</v>
      </c>
      <c r="C82" s="1" t="s">
        <v>533</v>
      </c>
      <c r="D82" s="195"/>
      <c r="E82" s="186"/>
      <c r="F82" s="2"/>
      <c r="G82" s="3">
        <f t="shared" si="15"/>
        <v>0</v>
      </c>
      <c r="H82" s="187"/>
      <c r="I82" s="7"/>
      <c r="J82" s="7">
        <v>1.6500000000000001E-2</v>
      </c>
      <c r="K82" s="7">
        <v>7.5999999999999998E-2</v>
      </c>
      <c r="L82" s="7">
        <v>0</v>
      </c>
      <c r="M82" s="11">
        <f t="shared" si="2"/>
        <v>0</v>
      </c>
      <c r="N82" s="11">
        <f t="shared" si="3"/>
        <v>0</v>
      </c>
      <c r="O82" s="11">
        <f t="shared" si="4"/>
        <v>0</v>
      </c>
      <c r="P82" s="11">
        <f t="shared" si="5"/>
        <v>0</v>
      </c>
    </row>
    <row r="83" spans="1:16" ht="15" hidden="1" customHeight="1">
      <c r="A83" s="44"/>
      <c r="B83" s="5">
        <f t="shared" si="16"/>
        <v>45627</v>
      </c>
      <c r="C83" s="1" t="s">
        <v>533</v>
      </c>
      <c r="D83" s="195"/>
      <c r="E83" s="186"/>
      <c r="F83" s="2"/>
      <c r="G83" s="3">
        <f t="shared" si="15"/>
        <v>0</v>
      </c>
      <c r="H83" s="187"/>
      <c r="I83" s="7"/>
      <c r="J83" s="7">
        <v>1.6500000000000001E-2</v>
      </c>
      <c r="K83" s="7">
        <v>7.5999999999999998E-2</v>
      </c>
      <c r="L83" s="7">
        <v>0</v>
      </c>
      <c r="M83" s="11">
        <f t="shared" si="2"/>
        <v>0</v>
      </c>
      <c r="N83" s="11">
        <f t="shared" si="3"/>
        <v>0</v>
      </c>
      <c r="O83" s="11">
        <f t="shared" si="4"/>
        <v>0</v>
      </c>
      <c r="P83" s="11">
        <f t="shared" si="5"/>
        <v>0</v>
      </c>
    </row>
    <row r="84" spans="1:16" ht="15" hidden="1" customHeight="1">
      <c r="A84" s="44"/>
      <c r="B84" s="5">
        <f t="shared" si="16"/>
        <v>45627</v>
      </c>
      <c r="C84" s="1" t="s">
        <v>533</v>
      </c>
      <c r="D84" s="195"/>
      <c r="E84" s="186"/>
      <c r="F84" s="2"/>
      <c r="G84" s="3">
        <f t="shared" si="15"/>
        <v>0</v>
      </c>
      <c r="H84" s="187"/>
      <c r="I84" s="7"/>
      <c r="J84" s="7">
        <v>1.6500000000000001E-2</v>
      </c>
      <c r="K84" s="7">
        <v>7.5999999999999998E-2</v>
      </c>
      <c r="L84" s="7">
        <v>0</v>
      </c>
      <c r="M84" s="11">
        <f t="shared" si="2"/>
        <v>0</v>
      </c>
      <c r="N84" s="11">
        <f t="shared" si="3"/>
        <v>0</v>
      </c>
      <c r="O84" s="11">
        <f t="shared" si="4"/>
        <v>0</v>
      </c>
      <c r="P84" s="11">
        <f t="shared" si="5"/>
        <v>0</v>
      </c>
    </row>
    <row r="85" spans="1:16" ht="15" hidden="1" customHeight="1">
      <c r="A85" s="44"/>
      <c r="B85" s="5">
        <f t="shared" si="16"/>
        <v>45627</v>
      </c>
      <c r="C85" s="1" t="s">
        <v>533</v>
      </c>
      <c r="D85" s="195"/>
      <c r="E85" s="186"/>
      <c r="F85" s="2"/>
      <c r="G85" s="3">
        <f t="shared" si="15"/>
        <v>0</v>
      </c>
      <c r="H85" s="187"/>
      <c r="I85" s="7"/>
      <c r="J85" s="7">
        <v>1.6500000000000001E-2</v>
      </c>
      <c r="K85" s="7">
        <v>7.5999999999999998E-2</v>
      </c>
      <c r="L85" s="7">
        <v>0</v>
      </c>
      <c r="M85" s="11">
        <f t="shared" si="2"/>
        <v>0</v>
      </c>
      <c r="N85" s="11">
        <f t="shared" si="3"/>
        <v>0</v>
      </c>
      <c r="O85" s="11">
        <f t="shared" si="4"/>
        <v>0</v>
      </c>
      <c r="P85" s="11">
        <f t="shared" si="5"/>
        <v>0</v>
      </c>
    </row>
    <row r="86" spans="1:16" ht="15" hidden="1" customHeight="1">
      <c r="A86" s="44"/>
      <c r="B86" s="5">
        <f t="shared" si="16"/>
        <v>45627</v>
      </c>
      <c r="C86" s="1" t="s">
        <v>533</v>
      </c>
      <c r="D86" s="195"/>
      <c r="E86" s="186"/>
      <c r="F86" s="2"/>
      <c r="G86" s="3">
        <f t="shared" si="15"/>
        <v>0</v>
      </c>
      <c r="H86" s="187"/>
      <c r="I86" s="7"/>
      <c r="J86" s="7">
        <v>1.6500000000000001E-2</v>
      </c>
      <c r="K86" s="7">
        <v>7.5999999999999998E-2</v>
      </c>
      <c r="L86" s="7">
        <v>0</v>
      </c>
      <c r="M86" s="11">
        <f t="shared" si="2"/>
        <v>0</v>
      </c>
      <c r="N86" s="11">
        <f t="shared" si="3"/>
        <v>0</v>
      </c>
      <c r="O86" s="11">
        <f t="shared" si="4"/>
        <v>0</v>
      </c>
      <c r="P86" s="11">
        <f t="shared" si="5"/>
        <v>0</v>
      </c>
    </row>
    <row r="87" spans="1:16" ht="15" hidden="1" customHeight="1">
      <c r="A87" s="44"/>
      <c r="B87" s="5">
        <f t="shared" si="16"/>
        <v>45627</v>
      </c>
      <c r="C87" s="1" t="s">
        <v>533</v>
      </c>
      <c r="D87" s="195"/>
      <c r="E87" s="186"/>
      <c r="F87" s="2"/>
      <c r="G87" s="3">
        <f t="shared" si="15"/>
        <v>0</v>
      </c>
      <c r="H87" s="187"/>
      <c r="I87" s="7"/>
      <c r="J87" s="7">
        <v>1.6500000000000001E-2</v>
      </c>
      <c r="K87" s="7">
        <v>7.5999999999999998E-2</v>
      </c>
      <c r="L87" s="7">
        <v>0</v>
      </c>
      <c r="M87" s="11">
        <f t="shared" si="2"/>
        <v>0</v>
      </c>
      <c r="N87" s="11">
        <f t="shared" si="3"/>
        <v>0</v>
      </c>
      <c r="O87" s="11">
        <f t="shared" si="4"/>
        <v>0</v>
      </c>
      <c r="P87" s="11">
        <f t="shared" si="5"/>
        <v>0</v>
      </c>
    </row>
    <row r="88" spans="1:16" ht="15" hidden="1" customHeight="1">
      <c r="A88" s="44"/>
      <c r="B88" s="5">
        <f t="shared" si="16"/>
        <v>45627</v>
      </c>
      <c r="C88" s="1" t="s">
        <v>533</v>
      </c>
      <c r="D88" s="195"/>
      <c r="E88" s="186"/>
      <c r="F88" s="2"/>
      <c r="G88" s="3">
        <f t="shared" si="15"/>
        <v>0</v>
      </c>
      <c r="H88" s="187"/>
      <c r="I88" s="7"/>
      <c r="J88" s="7">
        <v>1.6500000000000001E-2</v>
      </c>
      <c r="K88" s="7">
        <v>7.5999999999999998E-2</v>
      </c>
      <c r="L88" s="7">
        <v>0</v>
      </c>
      <c r="M88" s="11">
        <f t="shared" si="2"/>
        <v>0</v>
      </c>
      <c r="N88" s="11">
        <f t="shared" si="3"/>
        <v>0</v>
      </c>
      <c r="O88" s="11">
        <f t="shared" si="4"/>
        <v>0</v>
      </c>
      <c r="P88" s="11">
        <f t="shared" si="5"/>
        <v>0</v>
      </c>
    </row>
    <row r="89" spans="1:16" ht="15" hidden="1" customHeight="1">
      <c r="A89" s="44"/>
      <c r="B89" s="5">
        <f t="shared" si="16"/>
        <v>45627</v>
      </c>
      <c r="C89" s="1" t="s">
        <v>533</v>
      </c>
      <c r="D89" s="195"/>
      <c r="E89" s="186"/>
      <c r="F89" s="2"/>
      <c r="G89" s="3">
        <f t="shared" si="15"/>
        <v>0</v>
      </c>
      <c r="H89" s="187"/>
      <c r="I89" s="7"/>
      <c r="J89" s="7">
        <v>1.6500000000000001E-2</v>
      </c>
      <c r="K89" s="7">
        <v>7.5999999999999998E-2</v>
      </c>
      <c r="L89" s="7">
        <v>0</v>
      </c>
      <c r="M89" s="11">
        <f t="shared" si="2"/>
        <v>0</v>
      </c>
      <c r="N89" s="11">
        <f t="shared" si="3"/>
        <v>0</v>
      </c>
      <c r="O89" s="11">
        <f t="shared" si="4"/>
        <v>0</v>
      </c>
      <c r="P89" s="11">
        <f t="shared" si="5"/>
        <v>0</v>
      </c>
    </row>
    <row r="90" spans="1:16" ht="15" hidden="1" customHeight="1">
      <c r="A90" s="44"/>
      <c r="B90" s="5">
        <f t="shared" si="16"/>
        <v>45627</v>
      </c>
      <c r="C90" s="1" t="s">
        <v>533</v>
      </c>
      <c r="D90" s="195"/>
      <c r="E90" s="186"/>
      <c r="F90" s="2"/>
      <c r="G90" s="3">
        <f t="shared" si="15"/>
        <v>0</v>
      </c>
      <c r="H90" s="187"/>
      <c r="I90" s="7"/>
      <c r="J90" s="7">
        <v>1.6500000000000001E-2</v>
      </c>
      <c r="K90" s="7">
        <v>7.5999999999999998E-2</v>
      </c>
      <c r="L90" s="7">
        <v>0</v>
      </c>
      <c r="M90" s="11">
        <f t="shared" si="2"/>
        <v>0</v>
      </c>
      <c r="N90" s="11">
        <f t="shared" si="3"/>
        <v>0</v>
      </c>
      <c r="O90" s="11">
        <f t="shared" si="4"/>
        <v>0</v>
      </c>
      <c r="P90" s="11">
        <f t="shared" si="5"/>
        <v>0</v>
      </c>
    </row>
    <row r="91" spans="1:16" ht="15" hidden="1" customHeight="1">
      <c r="A91" s="44"/>
      <c r="B91" s="5">
        <f t="shared" si="16"/>
        <v>45627</v>
      </c>
      <c r="C91" s="1" t="s">
        <v>533</v>
      </c>
      <c r="D91" s="195"/>
      <c r="E91" s="186"/>
      <c r="F91" s="2"/>
      <c r="G91" s="3">
        <f t="shared" si="15"/>
        <v>0</v>
      </c>
      <c r="H91" s="187"/>
      <c r="I91" s="7"/>
      <c r="J91" s="7">
        <v>1.6500000000000001E-2</v>
      </c>
      <c r="K91" s="7">
        <v>7.5999999999999998E-2</v>
      </c>
      <c r="L91" s="7">
        <v>0</v>
      </c>
      <c r="M91" s="11">
        <f t="shared" si="2"/>
        <v>0</v>
      </c>
      <c r="N91" s="11">
        <f t="shared" si="3"/>
        <v>0</v>
      </c>
      <c r="O91" s="11">
        <f t="shared" si="4"/>
        <v>0</v>
      </c>
      <c r="P91" s="11">
        <f t="shared" si="5"/>
        <v>0</v>
      </c>
    </row>
    <row r="92" spans="1:16" ht="15" hidden="1" customHeight="1">
      <c r="A92" s="44"/>
      <c r="B92" s="5">
        <f t="shared" si="16"/>
        <v>45627</v>
      </c>
      <c r="C92" s="1" t="s">
        <v>533</v>
      </c>
      <c r="D92" s="195"/>
      <c r="E92" s="186"/>
      <c r="F92" s="2"/>
      <c r="G92" s="3">
        <f t="shared" si="15"/>
        <v>0</v>
      </c>
      <c r="H92" s="187"/>
      <c r="I92" s="7"/>
      <c r="J92" s="7">
        <v>1.6500000000000001E-2</v>
      </c>
      <c r="K92" s="7">
        <v>7.5999999999999998E-2</v>
      </c>
      <c r="L92" s="7">
        <v>0</v>
      </c>
      <c r="M92" s="11">
        <f t="shared" si="2"/>
        <v>0</v>
      </c>
      <c r="N92" s="11">
        <f t="shared" si="3"/>
        <v>0</v>
      </c>
      <c r="O92" s="11">
        <f t="shared" si="4"/>
        <v>0</v>
      </c>
      <c r="P92" s="11">
        <f t="shared" si="5"/>
        <v>0</v>
      </c>
    </row>
    <row r="93" spans="1:16" ht="15" hidden="1" customHeight="1">
      <c r="A93" s="44"/>
      <c r="B93" s="5">
        <f t="shared" si="16"/>
        <v>45627</v>
      </c>
      <c r="C93" s="1" t="s">
        <v>533</v>
      </c>
      <c r="D93" s="195"/>
      <c r="E93" s="186"/>
      <c r="F93" s="2"/>
      <c r="G93" s="3">
        <f t="shared" si="15"/>
        <v>0</v>
      </c>
      <c r="H93" s="187"/>
      <c r="I93" s="7"/>
      <c r="J93" s="7">
        <v>1.6500000000000001E-2</v>
      </c>
      <c r="K93" s="7">
        <v>7.5999999999999998E-2</v>
      </c>
      <c r="L93" s="7">
        <v>0</v>
      </c>
      <c r="M93" s="11">
        <f t="shared" si="2"/>
        <v>0</v>
      </c>
      <c r="N93" s="11">
        <f t="shared" si="3"/>
        <v>0</v>
      </c>
      <c r="O93" s="11">
        <f t="shared" si="4"/>
        <v>0</v>
      </c>
      <c r="P93" s="11">
        <f t="shared" si="5"/>
        <v>0</v>
      </c>
    </row>
    <row r="94" spans="1:16" ht="15" hidden="1" customHeight="1">
      <c r="A94" s="44"/>
      <c r="B94" s="5">
        <f t="shared" si="16"/>
        <v>45627</v>
      </c>
      <c r="C94" s="1" t="s">
        <v>533</v>
      </c>
      <c r="D94" s="195"/>
      <c r="E94" s="186"/>
      <c r="F94" s="2"/>
      <c r="G94" s="3">
        <f t="shared" si="15"/>
        <v>0</v>
      </c>
      <c r="H94" s="187"/>
      <c r="I94" s="7"/>
      <c r="J94" s="7">
        <v>1.6500000000000001E-2</v>
      </c>
      <c r="K94" s="7">
        <v>7.5999999999999998E-2</v>
      </c>
      <c r="L94" s="7">
        <v>0</v>
      </c>
      <c r="M94" s="11">
        <f t="shared" si="2"/>
        <v>0</v>
      </c>
      <c r="N94" s="11">
        <f t="shared" si="3"/>
        <v>0</v>
      </c>
      <c r="O94" s="11">
        <f t="shared" si="4"/>
        <v>0</v>
      </c>
      <c r="P94" s="11">
        <f t="shared" si="5"/>
        <v>0</v>
      </c>
    </row>
    <row r="95" spans="1:16" ht="15" hidden="1" customHeight="1">
      <c r="A95" s="44"/>
      <c r="B95" s="5">
        <f t="shared" si="16"/>
        <v>45627</v>
      </c>
      <c r="C95" s="1" t="s">
        <v>533</v>
      </c>
      <c r="D95" s="195"/>
      <c r="E95" s="186"/>
      <c r="F95" s="2"/>
      <c r="G95" s="3">
        <f t="shared" si="15"/>
        <v>0</v>
      </c>
      <c r="H95" s="187"/>
      <c r="I95" s="7"/>
      <c r="J95" s="7">
        <v>1.6500000000000001E-2</v>
      </c>
      <c r="K95" s="7">
        <v>7.5999999999999998E-2</v>
      </c>
      <c r="L95" s="7">
        <v>0</v>
      </c>
      <c r="M95" s="11">
        <f t="shared" si="2"/>
        <v>0</v>
      </c>
      <c r="N95" s="11">
        <f t="shared" si="3"/>
        <v>0</v>
      </c>
      <c r="O95" s="11">
        <f t="shared" si="4"/>
        <v>0</v>
      </c>
      <c r="P95" s="11">
        <f t="shared" si="5"/>
        <v>0</v>
      </c>
    </row>
    <row r="96" spans="1:16" ht="15" hidden="1" customHeight="1">
      <c r="A96" s="44"/>
      <c r="B96" s="5">
        <f t="shared" si="16"/>
        <v>45627</v>
      </c>
      <c r="C96" s="1" t="s">
        <v>533</v>
      </c>
      <c r="D96" s="195"/>
      <c r="E96" s="186"/>
      <c r="F96" s="2"/>
      <c r="G96" s="3">
        <f t="shared" si="15"/>
        <v>0</v>
      </c>
      <c r="H96" s="187"/>
      <c r="I96" s="7"/>
      <c r="J96" s="7">
        <v>1.6500000000000001E-2</v>
      </c>
      <c r="K96" s="7">
        <v>7.5999999999999998E-2</v>
      </c>
      <c r="L96" s="7">
        <v>0</v>
      </c>
      <c r="M96" s="11">
        <f t="shared" si="2"/>
        <v>0</v>
      </c>
      <c r="N96" s="11">
        <f t="shared" si="3"/>
        <v>0</v>
      </c>
      <c r="O96" s="11">
        <f t="shared" si="4"/>
        <v>0</v>
      </c>
      <c r="P96" s="11">
        <f t="shared" si="5"/>
        <v>0</v>
      </c>
    </row>
    <row r="97" spans="1:16" ht="15" hidden="1" customHeight="1">
      <c r="A97" s="44"/>
      <c r="B97" s="5">
        <f t="shared" si="16"/>
        <v>45627</v>
      </c>
      <c r="C97" s="1" t="s">
        <v>533</v>
      </c>
      <c r="D97" s="195"/>
      <c r="E97" s="186"/>
      <c r="F97" s="2"/>
      <c r="G97" s="3">
        <f t="shared" si="15"/>
        <v>0</v>
      </c>
      <c r="H97" s="187"/>
      <c r="I97" s="7"/>
      <c r="J97" s="7">
        <v>1.6500000000000001E-2</v>
      </c>
      <c r="K97" s="7">
        <v>7.5999999999999998E-2</v>
      </c>
      <c r="L97" s="7">
        <v>0</v>
      </c>
      <c r="M97" s="11">
        <f t="shared" si="2"/>
        <v>0</v>
      </c>
      <c r="N97" s="11">
        <f t="shared" si="3"/>
        <v>0</v>
      </c>
      <c r="O97" s="11">
        <f t="shared" si="4"/>
        <v>0</v>
      </c>
      <c r="P97" s="11">
        <f t="shared" si="5"/>
        <v>0</v>
      </c>
    </row>
    <row r="98" spans="1:16" ht="15" hidden="1" customHeight="1">
      <c r="A98" s="44"/>
      <c r="B98" s="5">
        <f t="shared" si="16"/>
        <v>45627</v>
      </c>
      <c r="C98" s="1" t="s">
        <v>533</v>
      </c>
      <c r="D98" s="195"/>
      <c r="E98" s="186"/>
      <c r="F98" s="2"/>
      <c r="G98" s="3">
        <f t="shared" si="15"/>
        <v>0</v>
      </c>
      <c r="H98" s="187"/>
      <c r="I98" s="7"/>
      <c r="J98" s="7">
        <v>1.6500000000000001E-2</v>
      </c>
      <c r="K98" s="7">
        <v>7.5999999999999998E-2</v>
      </c>
      <c r="L98" s="7">
        <v>0</v>
      </c>
      <c r="M98" s="11">
        <f t="shared" si="2"/>
        <v>0</v>
      </c>
      <c r="N98" s="11">
        <f t="shared" si="3"/>
        <v>0</v>
      </c>
      <c r="O98" s="11">
        <f t="shared" si="4"/>
        <v>0</v>
      </c>
      <c r="P98" s="11">
        <f t="shared" si="5"/>
        <v>0</v>
      </c>
    </row>
    <row r="99" spans="1:16" ht="15" hidden="1" customHeight="1">
      <c r="A99" s="44"/>
      <c r="B99" s="5">
        <f t="shared" si="16"/>
        <v>45627</v>
      </c>
      <c r="C99" s="1" t="s">
        <v>533</v>
      </c>
      <c r="D99" s="195"/>
      <c r="E99" s="186"/>
      <c r="F99" s="2"/>
      <c r="G99" s="3">
        <f>F99-SUM(M99:P99)</f>
        <v>0</v>
      </c>
      <c r="H99" s="187"/>
      <c r="I99" s="7"/>
      <c r="J99" s="7">
        <v>1.6500000000000001E-2</v>
      </c>
      <c r="K99" s="7">
        <v>7.5999999999999998E-2</v>
      </c>
      <c r="L99" s="7">
        <v>0</v>
      </c>
      <c r="M99" s="11">
        <f>+I99*F99</f>
        <v>0</v>
      </c>
      <c r="N99" s="11">
        <f>J99*(F99-M99)</f>
        <v>0</v>
      </c>
      <c r="O99" s="11">
        <f>K99*(F99-M99)</f>
        <v>0</v>
      </c>
      <c r="P99" s="11">
        <f>L99*(F99)</f>
        <v>0</v>
      </c>
    </row>
    <row r="100" spans="1:16" ht="15" hidden="1" customHeight="1">
      <c r="A100" s="44"/>
      <c r="B100" s="5">
        <f t="shared" si="16"/>
        <v>45627</v>
      </c>
      <c r="C100" s="1" t="s">
        <v>533</v>
      </c>
      <c r="D100" s="195"/>
      <c r="E100" s="186"/>
      <c r="F100" s="2"/>
      <c r="G100" s="3">
        <f>F100-SUM(M100:P100)</f>
        <v>0</v>
      </c>
      <c r="H100" s="187"/>
      <c r="I100" s="7"/>
      <c r="J100" s="7">
        <v>1.6500000000000001E-2</v>
      </c>
      <c r="K100" s="7">
        <v>7.5999999999999998E-2</v>
      </c>
      <c r="L100" s="7">
        <v>0</v>
      </c>
      <c r="M100" s="11">
        <f>+I100*F100</f>
        <v>0</v>
      </c>
      <c r="N100" s="11">
        <f>J100*(F100-M100)</f>
        <v>0</v>
      </c>
      <c r="O100" s="11">
        <f>K100*(F100-M100)</f>
        <v>0</v>
      </c>
      <c r="P100" s="11">
        <f>L100*(F100)</f>
        <v>0</v>
      </c>
    </row>
    <row r="101" spans="1:16" ht="15" hidden="1" customHeight="1">
      <c r="A101" s="44"/>
      <c r="B101" s="5">
        <f t="shared" si="16"/>
        <v>45627</v>
      </c>
      <c r="C101" s="1" t="s">
        <v>533</v>
      </c>
      <c r="D101" s="195"/>
      <c r="E101" s="186"/>
      <c r="F101" s="2"/>
      <c r="G101" s="3">
        <f t="shared" si="15"/>
        <v>0</v>
      </c>
      <c r="H101" s="187"/>
      <c r="I101" s="7"/>
      <c r="J101" s="7">
        <v>1.6500000000000001E-2</v>
      </c>
      <c r="K101" s="7">
        <v>7.5999999999999998E-2</v>
      </c>
      <c r="L101" s="7">
        <v>0</v>
      </c>
      <c r="M101" s="11">
        <f t="shared" si="2"/>
        <v>0</v>
      </c>
      <c r="N101" s="11">
        <f t="shared" si="3"/>
        <v>0</v>
      </c>
      <c r="O101" s="11">
        <f t="shared" si="4"/>
        <v>0</v>
      </c>
      <c r="P101" s="11">
        <f t="shared" si="5"/>
        <v>0</v>
      </c>
    </row>
    <row r="102" spans="1:16" ht="15" hidden="1" customHeight="1">
      <c r="A102" s="44"/>
      <c r="B102" s="5">
        <f t="shared" si="16"/>
        <v>45627</v>
      </c>
      <c r="C102" s="1" t="s">
        <v>533</v>
      </c>
      <c r="D102" s="195"/>
      <c r="E102" s="186"/>
      <c r="F102" s="2"/>
      <c r="G102" s="3">
        <f t="shared" si="15"/>
        <v>0</v>
      </c>
      <c r="H102" s="187"/>
      <c r="I102" s="7"/>
      <c r="J102" s="7">
        <v>1.6500000000000001E-2</v>
      </c>
      <c r="K102" s="7">
        <v>7.5999999999999998E-2</v>
      </c>
      <c r="L102" s="7">
        <v>0</v>
      </c>
      <c r="M102" s="11">
        <f t="shared" si="2"/>
        <v>0</v>
      </c>
      <c r="N102" s="11">
        <f t="shared" si="3"/>
        <v>0</v>
      </c>
      <c r="O102" s="11">
        <f t="shared" si="4"/>
        <v>0</v>
      </c>
      <c r="P102" s="11">
        <f t="shared" si="5"/>
        <v>0</v>
      </c>
    </row>
    <row r="103" spans="1:16" ht="15" hidden="1" customHeight="1">
      <c r="A103" s="44"/>
      <c r="B103" s="5">
        <f t="shared" si="16"/>
        <v>45627</v>
      </c>
      <c r="C103" s="1" t="s">
        <v>533</v>
      </c>
      <c r="D103" s="195"/>
      <c r="E103" s="186"/>
      <c r="F103" s="2"/>
      <c r="G103" s="3">
        <f t="shared" si="15"/>
        <v>0</v>
      </c>
      <c r="H103" s="187"/>
      <c r="I103" s="7"/>
      <c r="J103" s="7">
        <v>1.6500000000000001E-2</v>
      </c>
      <c r="K103" s="7">
        <v>7.5999999999999998E-2</v>
      </c>
      <c r="L103" s="7">
        <v>0</v>
      </c>
      <c r="M103" s="11">
        <f t="shared" si="2"/>
        <v>0</v>
      </c>
      <c r="N103" s="11">
        <f t="shared" si="3"/>
        <v>0</v>
      </c>
      <c r="O103" s="11">
        <f t="shared" si="4"/>
        <v>0</v>
      </c>
      <c r="P103" s="11">
        <f t="shared" si="5"/>
        <v>0</v>
      </c>
    </row>
    <row r="104" spans="1:16" ht="15" hidden="1" customHeight="1">
      <c r="A104" s="44"/>
      <c r="B104" s="5">
        <f t="shared" si="16"/>
        <v>45627</v>
      </c>
      <c r="C104" s="1" t="s">
        <v>533</v>
      </c>
      <c r="D104" s="195"/>
      <c r="E104" s="186"/>
      <c r="F104" s="2"/>
      <c r="G104" s="3">
        <f t="shared" si="15"/>
        <v>0</v>
      </c>
      <c r="H104" s="187"/>
      <c r="I104" s="7"/>
      <c r="J104" s="7">
        <v>1.6500000000000001E-2</v>
      </c>
      <c r="K104" s="7">
        <v>7.5999999999999998E-2</v>
      </c>
      <c r="L104" s="7">
        <v>0</v>
      </c>
      <c r="M104" s="11">
        <f t="shared" si="2"/>
        <v>0</v>
      </c>
      <c r="N104" s="11">
        <f t="shared" si="3"/>
        <v>0</v>
      </c>
      <c r="O104" s="11">
        <f t="shared" si="4"/>
        <v>0</v>
      </c>
      <c r="P104" s="11">
        <f t="shared" si="5"/>
        <v>0</v>
      </c>
    </row>
    <row r="105" spans="1:16" ht="15" hidden="1" customHeight="1">
      <c r="A105" s="44"/>
      <c r="B105" s="5">
        <f t="shared" si="16"/>
        <v>45627</v>
      </c>
      <c r="C105" s="1" t="s">
        <v>533</v>
      </c>
      <c r="D105" s="195"/>
      <c r="E105" s="186"/>
      <c r="F105" s="2"/>
      <c r="G105" s="3">
        <f t="shared" si="15"/>
        <v>0</v>
      </c>
      <c r="H105" s="187"/>
      <c r="I105" s="7"/>
      <c r="J105" s="7">
        <v>1.6500000000000001E-2</v>
      </c>
      <c r="K105" s="7">
        <v>7.5999999999999998E-2</v>
      </c>
      <c r="L105" s="7">
        <v>0</v>
      </c>
      <c r="M105" s="11">
        <f t="shared" si="2"/>
        <v>0</v>
      </c>
      <c r="N105" s="11">
        <f t="shared" si="3"/>
        <v>0</v>
      </c>
      <c r="O105" s="11">
        <f t="shared" si="4"/>
        <v>0</v>
      </c>
      <c r="P105" s="11">
        <f t="shared" si="5"/>
        <v>0</v>
      </c>
    </row>
    <row r="106" spans="1:16" ht="15" hidden="1" customHeight="1">
      <c r="A106" s="44"/>
      <c r="B106" s="5">
        <f t="shared" si="16"/>
        <v>45627</v>
      </c>
      <c r="C106" s="1" t="s">
        <v>533</v>
      </c>
      <c r="D106" s="195"/>
      <c r="E106" s="186"/>
      <c r="F106" s="2"/>
      <c r="G106" s="3">
        <f t="shared" si="15"/>
        <v>0</v>
      </c>
      <c r="H106" s="187"/>
      <c r="I106" s="7"/>
      <c r="J106" s="7">
        <v>1.6500000000000001E-2</v>
      </c>
      <c r="K106" s="7">
        <v>7.5999999999999998E-2</v>
      </c>
      <c r="L106" s="7">
        <v>0</v>
      </c>
      <c r="M106" s="11">
        <f t="shared" si="2"/>
        <v>0</v>
      </c>
      <c r="N106" s="11">
        <f t="shared" si="3"/>
        <v>0</v>
      </c>
      <c r="O106" s="11">
        <f t="shared" si="4"/>
        <v>0</v>
      </c>
      <c r="P106" s="11">
        <f t="shared" si="5"/>
        <v>0</v>
      </c>
    </row>
    <row r="107" spans="1:16" ht="15" hidden="1" customHeight="1">
      <c r="A107" s="44"/>
      <c r="B107" s="5">
        <f t="shared" ref="B107:B170" si="17">B106</f>
        <v>45627</v>
      </c>
      <c r="C107" s="1" t="s">
        <v>533</v>
      </c>
      <c r="D107" s="195"/>
      <c r="E107" s="186"/>
      <c r="F107" s="2"/>
      <c r="G107" s="3">
        <f t="shared" si="15"/>
        <v>0</v>
      </c>
      <c r="H107" s="187"/>
      <c r="I107" s="7"/>
      <c r="J107" s="7">
        <v>1.6500000000000001E-2</v>
      </c>
      <c r="K107" s="7">
        <v>7.5999999999999998E-2</v>
      </c>
      <c r="L107" s="7">
        <v>0</v>
      </c>
      <c r="M107" s="11">
        <f t="shared" si="2"/>
        <v>0</v>
      </c>
      <c r="N107" s="11">
        <f t="shared" si="3"/>
        <v>0</v>
      </c>
      <c r="O107" s="11">
        <f t="shared" si="4"/>
        <v>0</v>
      </c>
      <c r="P107" s="11">
        <f t="shared" si="5"/>
        <v>0</v>
      </c>
    </row>
    <row r="108" spans="1:16" ht="15" hidden="1" customHeight="1">
      <c r="A108" s="44"/>
      <c r="B108" s="5">
        <f t="shared" si="17"/>
        <v>45627</v>
      </c>
      <c r="C108" s="1" t="s">
        <v>533</v>
      </c>
      <c r="D108" s="195"/>
      <c r="E108" s="186"/>
      <c r="F108" s="2"/>
      <c r="G108" s="3">
        <f t="shared" si="15"/>
        <v>0</v>
      </c>
      <c r="H108" s="187"/>
      <c r="I108" s="7"/>
      <c r="J108" s="7">
        <v>1.6500000000000001E-2</v>
      </c>
      <c r="K108" s="7">
        <v>7.5999999999999998E-2</v>
      </c>
      <c r="L108" s="7">
        <v>0</v>
      </c>
      <c r="M108" s="11">
        <f t="shared" si="2"/>
        <v>0</v>
      </c>
      <c r="N108" s="11">
        <f t="shared" si="3"/>
        <v>0</v>
      </c>
      <c r="O108" s="11">
        <f t="shared" si="4"/>
        <v>0</v>
      </c>
      <c r="P108" s="11">
        <f t="shared" si="5"/>
        <v>0</v>
      </c>
    </row>
    <row r="109" spans="1:16" ht="15" hidden="1" customHeight="1">
      <c r="A109" s="44"/>
      <c r="B109" s="5">
        <f t="shared" si="17"/>
        <v>45627</v>
      </c>
      <c r="C109" s="1" t="s">
        <v>533</v>
      </c>
      <c r="D109" s="195"/>
      <c r="E109" s="186"/>
      <c r="F109" s="2"/>
      <c r="G109" s="3">
        <f t="shared" si="15"/>
        <v>0</v>
      </c>
      <c r="H109" s="187"/>
      <c r="I109" s="7"/>
      <c r="J109" s="7">
        <v>1.6500000000000001E-2</v>
      </c>
      <c r="K109" s="7">
        <v>7.5999999999999998E-2</v>
      </c>
      <c r="L109" s="7">
        <v>0</v>
      </c>
      <c r="M109" s="11">
        <f t="shared" si="2"/>
        <v>0</v>
      </c>
      <c r="N109" s="11">
        <f t="shared" si="3"/>
        <v>0</v>
      </c>
      <c r="O109" s="11">
        <f t="shared" si="4"/>
        <v>0</v>
      </c>
      <c r="P109" s="11">
        <f t="shared" si="5"/>
        <v>0</v>
      </c>
    </row>
    <row r="110" spans="1:16" ht="15" hidden="1" customHeight="1">
      <c r="A110" s="44"/>
      <c r="B110" s="5">
        <f t="shared" si="17"/>
        <v>45627</v>
      </c>
      <c r="C110" s="1" t="s">
        <v>533</v>
      </c>
      <c r="D110" s="195"/>
      <c r="E110" s="186"/>
      <c r="F110" s="2"/>
      <c r="G110" s="3">
        <f t="shared" si="15"/>
        <v>0</v>
      </c>
      <c r="H110" s="187"/>
      <c r="I110" s="7"/>
      <c r="J110" s="7">
        <v>1.6500000000000001E-2</v>
      </c>
      <c r="K110" s="7">
        <v>7.5999999999999998E-2</v>
      </c>
      <c r="L110" s="7">
        <v>0</v>
      </c>
      <c r="M110" s="11">
        <f t="shared" si="2"/>
        <v>0</v>
      </c>
      <c r="N110" s="11">
        <f t="shared" si="3"/>
        <v>0</v>
      </c>
      <c r="O110" s="11">
        <f t="shared" si="4"/>
        <v>0</v>
      </c>
      <c r="P110" s="11">
        <f t="shared" si="5"/>
        <v>0</v>
      </c>
    </row>
    <row r="111" spans="1:16" ht="15" hidden="1" customHeight="1">
      <c r="A111" s="44"/>
      <c r="B111" s="5">
        <f t="shared" si="17"/>
        <v>45627</v>
      </c>
      <c r="C111" s="1" t="s">
        <v>533</v>
      </c>
      <c r="D111" s="195"/>
      <c r="E111" s="186"/>
      <c r="F111" s="2"/>
      <c r="G111" s="3">
        <f t="shared" si="15"/>
        <v>0</v>
      </c>
      <c r="H111" s="187"/>
      <c r="I111" s="7"/>
      <c r="J111" s="7">
        <v>1.6500000000000001E-2</v>
      </c>
      <c r="K111" s="7">
        <v>7.5999999999999998E-2</v>
      </c>
      <c r="L111" s="7">
        <v>0</v>
      </c>
      <c r="M111" s="11">
        <f t="shared" si="2"/>
        <v>0</v>
      </c>
      <c r="N111" s="11">
        <f t="shared" si="3"/>
        <v>0</v>
      </c>
      <c r="O111" s="11">
        <f t="shared" si="4"/>
        <v>0</v>
      </c>
      <c r="P111" s="11">
        <f t="shared" si="5"/>
        <v>0</v>
      </c>
    </row>
    <row r="112" spans="1:16" ht="15" hidden="1" customHeight="1">
      <c r="A112" s="44"/>
      <c r="B112" s="5">
        <f t="shared" si="17"/>
        <v>45627</v>
      </c>
      <c r="C112" s="1" t="s">
        <v>533</v>
      </c>
      <c r="D112" s="195"/>
      <c r="E112" s="186"/>
      <c r="F112" s="2"/>
      <c r="G112" s="3">
        <f t="shared" si="15"/>
        <v>0</v>
      </c>
      <c r="H112" s="187"/>
      <c r="I112" s="7"/>
      <c r="J112" s="7">
        <v>1.6500000000000001E-2</v>
      </c>
      <c r="K112" s="7">
        <v>7.5999999999999998E-2</v>
      </c>
      <c r="L112" s="7">
        <v>0</v>
      </c>
      <c r="M112" s="11">
        <f t="shared" si="2"/>
        <v>0</v>
      </c>
      <c r="N112" s="11">
        <f t="shared" si="3"/>
        <v>0</v>
      </c>
      <c r="O112" s="11">
        <f t="shared" si="4"/>
        <v>0</v>
      </c>
      <c r="P112" s="11">
        <f t="shared" si="5"/>
        <v>0</v>
      </c>
    </row>
    <row r="113" spans="1:16" ht="15" hidden="1" customHeight="1">
      <c r="A113" s="44"/>
      <c r="B113" s="5">
        <f t="shared" si="17"/>
        <v>45627</v>
      </c>
      <c r="C113" s="1" t="s">
        <v>533</v>
      </c>
      <c r="D113" s="195"/>
      <c r="E113" s="186"/>
      <c r="F113" s="2"/>
      <c r="G113" s="3">
        <f t="shared" si="15"/>
        <v>0</v>
      </c>
      <c r="H113" s="187"/>
      <c r="I113" s="7"/>
      <c r="J113" s="7">
        <v>1.6500000000000001E-2</v>
      </c>
      <c r="K113" s="7">
        <v>7.5999999999999998E-2</v>
      </c>
      <c r="L113" s="7">
        <v>0</v>
      </c>
      <c r="M113" s="11">
        <f t="shared" si="2"/>
        <v>0</v>
      </c>
      <c r="N113" s="11">
        <f t="shared" si="3"/>
        <v>0</v>
      </c>
      <c r="O113" s="11">
        <f t="shared" si="4"/>
        <v>0</v>
      </c>
      <c r="P113" s="11">
        <f t="shared" si="5"/>
        <v>0</v>
      </c>
    </row>
    <row r="114" spans="1:16" ht="15" hidden="1" customHeight="1">
      <c r="A114" s="44"/>
      <c r="B114" s="5">
        <f t="shared" si="17"/>
        <v>45627</v>
      </c>
      <c r="C114" s="1" t="s">
        <v>533</v>
      </c>
      <c r="D114" s="195"/>
      <c r="E114" s="186"/>
      <c r="F114" s="2"/>
      <c r="G114" s="3">
        <f t="shared" si="15"/>
        <v>0</v>
      </c>
      <c r="H114" s="187"/>
      <c r="I114" s="7"/>
      <c r="J114" s="7">
        <v>1.6500000000000001E-2</v>
      </c>
      <c r="K114" s="7">
        <v>7.5999999999999998E-2</v>
      </c>
      <c r="L114" s="7">
        <v>0</v>
      </c>
      <c r="M114" s="11">
        <f t="shared" si="2"/>
        <v>0</v>
      </c>
      <c r="N114" s="11">
        <f t="shared" si="3"/>
        <v>0</v>
      </c>
      <c r="O114" s="11">
        <f t="shared" si="4"/>
        <v>0</v>
      </c>
      <c r="P114" s="11">
        <f t="shared" si="5"/>
        <v>0</v>
      </c>
    </row>
    <row r="115" spans="1:16" ht="15" hidden="1" customHeight="1">
      <c r="A115" s="44"/>
      <c r="B115" s="5">
        <f t="shared" si="17"/>
        <v>45627</v>
      </c>
      <c r="C115" s="1" t="s">
        <v>533</v>
      </c>
      <c r="D115" s="195"/>
      <c r="E115" s="186"/>
      <c r="F115" s="2"/>
      <c r="G115" s="3">
        <f t="shared" si="15"/>
        <v>0</v>
      </c>
      <c r="H115" s="187"/>
      <c r="I115" s="7"/>
      <c r="J115" s="7">
        <v>1.6500000000000001E-2</v>
      </c>
      <c r="K115" s="7">
        <v>7.5999999999999998E-2</v>
      </c>
      <c r="L115" s="7">
        <v>0</v>
      </c>
      <c r="M115" s="11">
        <f t="shared" si="2"/>
        <v>0</v>
      </c>
      <c r="N115" s="11">
        <f t="shared" si="3"/>
        <v>0</v>
      </c>
      <c r="O115" s="11">
        <f t="shared" si="4"/>
        <v>0</v>
      </c>
      <c r="P115" s="11">
        <f t="shared" si="5"/>
        <v>0</v>
      </c>
    </row>
    <row r="116" spans="1:16" ht="15" hidden="1" customHeight="1">
      <c r="A116" s="44"/>
      <c r="B116" s="5">
        <f t="shared" si="17"/>
        <v>45627</v>
      </c>
      <c r="C116" s="1" t="s">
        <v>533</v>
      </c>
      <c r="D116" s="195"/>
      <c r="E116" s="186"/>
      <c r="F116" s="2"/>
      <c r="G116" s="3">
        <f t="shared" si="15"/>
        <v>0</v>
      </c>
      <c r="H116" s="187"/>
      <c r="I116" s="7"/>
      <c r="J116" s="7">
        <v>1.6500000000000001E-2</v>
      </c>
      <c r="K116" s="7">
        <v>7.5999999999999998E-2</v>
      </c>
      <c r="L116" s="7">
        <v>0</v>
      </c>
      <c r="M116" s="11">
        <f t="shared" si="2"/>
        <v>0</v>
      </c>
      <c r="N116" s="11">
        <f t="shared" si="3"/>
        <v>0</v>
      </c>
      <c r="O116" s="11">
        <f t="shared" si="4"/>
        <v>0</v>
      </c>
      <c r="P116" s="11">
        <f t="shared" si="5"/>
        <v>0</v>
      </c>
    </row>
    <row r="117" spans="1:16" ht="15" hidden="1" customHeight="1">
      <c r="A117" s="44"/>
      <c r="B117" s="5">
        <f t="shared" si="17"/>
        <v>45627</v>
      </c>
      <c r="C117" s="1" t="s">
        <v>533</v>
      </c>
      <c r="D117" s="195"/>
      <c r="E117" s="186"/>
      <c r="F117" s="2"/>
      <c r="G117" s="3">
        <f t="shared" si="15"/>
        <v>0</v>
      </c>
      <c r="H117" s="187"/>
      <c r="I117" s="7"/>
      <c r="J117" s="7">
        <v>1.6500000000000001E-2</v>
      </c>
      <c r="K117" s="7">
        <v>7.5999999999999998E-2</v>
      </c>
      <c r="L117" s="7">
        <v>0</v>
      </c>
      <c r="M117" s="11">
        <f t="shared" si="2"/>
        <v>0</v>
      </c>
      <c r="N117" s="11">
        <f t="shared" si="3"/>
        <v>0</v>
      </c>
      <c r="O117" s="11">
        <f t="shared" si="4"/>
        <v>0</v>
      </c>
      <c r="P117" s="11">
        <f t="shared" si="5"/>
        <v>0</v>
      </c>
    </row>
    <row r="118" spans="1:16" ht="15" hidden="1" customHeight="1">
      <c r="A118" s="44"/>
      <c r="B118" s="5">
        <f t="shared" si="17"/>
        <v>45627</v>
      </c>
      <c r="C118" s="1" t="s">
        <v>533</v>
      </c>
      <c r="D118" s="195"/>
      <c r="E118" s="186"/>
      <c r="F118" s="2"/>
      <c r="G118" s="3">
        <f t="shared" si="15"/>
        <v>0</v>
      </c>
      <c r="H118" s="187"/>
      <c r="I118" s="7"/>
      <c r="J118" s="7">
        <v>1.6500000000000001E-2</v>
      </c>
      <c r="K118" s="7">
        <v>7.5999999999999998E-2</v>
      </c>
      <c r="L118" s="7">
        <v>0</v>
      </c>
      <c r="M118" s="11">
        <f t="shared" si="2"/>
        <v>0</v>
      </c>
      <c r="N118" s="11">
        <f t="shared" si="3"/>
        <v>0</v>
      </c>
      <c r="O118" s="11">
        <f t="shared" si="4"/>
        <v>0</v>
      </c>
      <c r="P118" s="11">
        <f t="shared" si="5"/>
        <v>0</v>
      </c>
    </row>
    <row r="119" spans="1:16" ht="15" hidden="1" customHeight="1">
      <c r="A119" s="44"/>
      <c r="B119" s="5">
        <f t="shared" si="17"/>
        <v>45627</v>
      </c>
      <c r="C119" s="1" t="s">
        <v>533</v>
      </c>
      <c r="D119" s="195"/>
      <c r="E119" s="186"/>
      <c r="F119" s="2"/>
      <c r="G119" s="3">
        <f t="shared" si="15"/>
        <v>0</v>
      </c>
      <c r="H119" s="187"/>
      <c r="I119" s="7"/>
      <c r="J119" s="7">
        <v>1.6500000000000001E-2</v>
      </c>
      <c r="K119" s="7">
        <v>7.5999999999999998E-2</v>
      </c>
      <c r="L119" s="7">
        <v>0</v>
      </c>
      <c r="M119" s="11">
        <f t="shared" si="2"/>
        <v>0</v>
      </c>
      <c r="N119" s="11">
        <f t="shared" si="3"/>
        <v>0</v>
      </c>
      <c r="O119" s="11">
        <f t="shared" si="4"/>
        <v>0</v>
      </c>
      <c r="P119" s="11">
        <f t="shared" si="5"/>
        <v>0</v>
      </c>
    </row>
    <row r="120" spans="1:16" ht="15" hidden="1" customHeight="1">
      <c r="A120" s="44"/>
      <c r="B120" s="5">
        <f t="shared" si="17"/>
        <v>45627</v>
      </c>
      <c r="C120" s="1" t="s">
        <v>533</v>
      </c>
      <c r="D120" s="195"/>
      <c r="E120" s="186"/>
      <c r="F120" s="2"/>
      <c r="G120" s="3">
        <f t="shared" si="15"/>
        <v>0</v>
      </c>
      <c r="H120" s="187"/>
      <c r="I120" s="7"/>
      <c r="J120" s="7">
        <v>1.6500000000000001E-2</v>
      </c>
      <c r="K120" s="7">
        <v>7.5999999999999998E-2</v>
      </c>
      <c r="L120" s="7">
        <v>0</v>
      </c>
      <c r="M120" s="11">
        <f t="shared" si="2"/>
        <v>0</v>
      </c>
      <c r="N120" s="11">
        <f t="shared" si="3"/>
        <v>0</v>
      </c>
      <c r="O120" s="11">
        <f t="shared" si="4"/>
        <v>0</v>
      </c>
      <c r="P120" s="11">
        <f t="shared" si="5"/>
        <v>0</v>
      </c>
    </row>
    <row r="121" spans="1:16" ht="15" hidden="1" customHeight="1">
      <c r="A121" s="44"/>
      <c r="B121" s="5">
        <f t="shared" si="17"/>
        <v>45627</v>
      </c>
      <c r="C121" s="1" t="s">
        <v>533</v>
      </c>
      <c r="D121" s="195"/>
      <c r="E121" s="186"/>
      <c r="F121" s="2"/>
      <c r="G121" s="3">
        <f t="shared" si="15"/>
        <v>0</v>
      </c>
      <c r="H121" s="187"/>
      <c r="I121" s="7"/>
      <c r="J121" s="7">
        <v>1.6500000000000001E-2</v>
      </c>
      <c r="K121" s="7">
        <v>7.5999999999999998E-2</v>
      </c>
      <c r="L121" s="7">
        <v>0</v>
      </c>
      <c r="M121" s="11">
        <f t="shared" si="2"/>
        <v>0</v>
      </c>
      <c r="N121" s="11">
        <f t="shared" si="3"/>
        <v>0</v>
      </c>
      <c r="O121" s="11">
        <f t="shared" si="4"/>
        <v>0</v>
      </c>
      <c r="P121" s="11">
        <f t="shared" si="5"/>
        <v>0</v>
      </c>
    </row>
    <row r="122" spans="1:16" ht="15" hidden="1" customHeight="1">
      <c r="A122" s="44"/>
      <c r="B122" s="5">
        <f t="shared" si="17"/>
        <v>45627</v>
      </c>
      <c r="C122" s="1" t="s">
        <v>533</v>
      </c>
      <c r="D122" s="195"/>
      <c r="E122" s="186"/>
      <c r="F122" s="2"/>
      <c r="G122" s="3">
        <f t="shared" si="15"/>
        <v>0</v>
      </c>
      <c r="H122" s="187"/>
      <c r="I122" s="7"/>
      <c r="J122" s="7">
        <v>1.6500000000000001E-2</v>
      </c>
      <c r="K122" s="7">
        <v>7.5999999999999998E-2</v>
      </c>
      <c r="L122" s="7">
        <v>0</v>
      </c>
      <c r="M122" s="11">
        <f t="shared" si="2"/>
        <v>0</v>
      </c>
      <c r="N122" s="11">
        <f t="shared" si="3"/>
        <v>0</v>
      </c>
      <c r="O122" s="11">
        <f t="shared" si="4"/>
        <v>0</v>
      </c>
      <c r="P122" s="11">
        <f t="shared" si="5"/>
        <v>0</v>
      </c>
    </row>
    <row r="123" spans="1:16" ht="15" hidden="1" customHeight="1">
      <c r="A123" s="44"/>
      <c r="B123" s="5">
        <f t="shared" si="17"/>
        <v>45627</v>
      </c>
      <c r="C123" s="1" t="s">
        <v>533</v>
      </c>
      <c r="D123" s="195"/>
      <c r="E123" s="186"/>
      <c r="F123" s="2"/>
      <c r="G123" s="3">
        <f t="shared" si="15"/>
        <v>0</v>
      </c>
      <c r="H123" s="187"/>
      <c r="I123" s="7"/>
      <c r="J123" s="7">
        <v>1.6500000000000001E-2</v>
      </c>
      <c r="K123" s="7">
        <v>7.5999999999999998E-2</v>
      </c>
      <c r="L123" s="7">
        <v>0</v>
      </c>
      <c r="M123" s="11">
        <f t="shared" si="2"/>
        <v>0</v>
      </c>
      <c r="N123" s="11">
        <f t="shared" si="3"/>
        <v>0</v>
      </c>
      <c r="O123" s="11">
        <f t="shared" si="4"/>
        <v>0</v>
      </c>
      <c r="P123" s="11">
        <f t="shared" si="5"/>
        <v>0</v>
      </c>
    </row>
    <row r="124" spans="1:16" ht="15" hidden="1" customHeight="1">
      <c r="A124" s="44"/>
      <c r="B124" s="5">
        <f t="shared" si="17"/>
        <v>45627</v>
      </c>
      <c r="C124" s="1" t="s">
        <v>533</v>
      </c>
      <c r="D124" s="195"/>
      <c r="E124" s="186"/>
      <c r="F124" s="2"/>
      <c r="G124" s="3">
        <f t="shared" si="15"/>
        <v>0</v>
      </c>
      <c r="H124" s="187"/>
      <c r="I124" s="7"/>
      <c r="J124" s="7">
        <v>1.6500000000000001E-2</v>
      </c>
      <c r="K124" s="7">
        <v>7.5999999999999998E-2</v>
      </c>
      <c r="L124" s="7">
        <v>0</v>
      </c>
      <c r="M124" s="11">
        <f t="shared" si="2"/>
        <v>0</v>
      </c>
      <c r="N124" s="11">
        <f t="shared" si="3"/>
        <v>0</v>
      </c>
      <c r="O124" s="11">
        <f t="shared" si="4"/>
        <v>0</v>
      </c>
      <c r="P124" s="11">
        <f t="shared" si="5"/>
        <v>0</v>
      </c>
    </row>
    <row r="125" spans="1:16" ht="15" hidden="1" customHeight="1">
      <c r="A125" s="44"/>
      <c r="B125" s="5">
        <f t="shared" si="17"/>
        <v>45627</v>
      </c>
      <c r="C125" s="1" t="s">
        <v>533</v>
      </c>
      <c r="D125" s="195"/>
      <c r="E125" s="186"/>
      <c r="F125" s="2"/>
      <c r="G125" s="3">
        <f t="shared" si="15"/>
        <v>0</v>
      </c>
      <c r="H125" s="187"/>
      <c r="I125" s="7"/>
      <c r="J125" s="7">
        <v>1.6500000000000001E-2</v>
      </c>
      <c r="K125" s="7">
        <v>7.5999999999999998E-2</v>
      </c>
      <c r="L125" s="7">
        <v>0</v>
      </c>
      <c r="M125" s="11">
        <f t="shared" si="2"/>
        <v>0</v>
      </c>
      <c r="N125" s="11">
        <f t="shared" si="3"/>
        <v>0</v>
      </c>
      <c r="O125" s="11">
        <f t="shared" si="4"/>
        <v>0</v>
      </c>
      <c r="P125" s="11">
        <f t="shared" si="5"/>
        <v>0</v>
      </c>
    </row>
    <row r="126" spans="1:16" ht="15" hidden="1" customHeight="1">
      <c r="A126" s="44"/>
      <c r="B126" s="5">
        <f t="shared" si="17"/>
        <v>45627</v>
      </c>
      <c r="C126" s="1" t="s">
        <v>533</v>
      </c>
      <c r="D126" s="195"/>
      <c r="E126" s="186"/>
      <c r="F126" s="2"/>
      <c r="G126" s="3">
        <f t="shared" si="15"/>
        <v>0</v>
      </c>
      <c r="H126" s="187"/>
      <c r="I126" s="7"/>
      <c r="J126" s="7">
        <v>1.6500000000000001E-2</v>
      </c>
      <c r="K126" s="7">
        <v>7.5999999999999998E-2</v>
      </c>
      <c r="L126" s="7">
        <v>0</v>
      </c>
      <c r="M126" s="11">
        <f t="shared" si="2"/>
        <v>0</v>
      </c>
      <c r="N126" s="11">
        <f t="shared" si="3"/>
        <v>0</v>
      </c>
      <c r="O126" s="11">
        <f t="shared" si="4"/>
        <v>0</v>
      </c>
      <c r="P126" s="11">
        <f t="shared" si="5"/>
        <v>0</v>
      </c>
    </row>
    <row r="127" spans="1:16" ht="15" hidden="1" customHeight="1">
      <c r="A127" s="44"/>
      <c r="B127" s="5">
        <f t="shared" si="17"/>
        <v>45627</v>
      </c>
      <c r="C127" s="1" t="s">
        <v>533</v>
      </c>
      <c r="D127" s="195"/>
      <c r="E127" s="186"/>
      <c r="F127" s="2"/>
      <c r="G127" s="3">
        <f t="shared" si="15"/>
        <v>0</v>
      </c>
      <c r="H127" s="187"/>
      <c r="I127" s="7"/>
      <c r="J127" s="7">
        <v>1.6500000000000001E-2</v>
      </c>
      <c r="K127" s="7">
        <v>7.5999999999999998E-2</v>
      </c>
      <c r="L127" s="7">
        <v>0</v>
      </c>
      <c r="M127" s="11">
        <f t="shared" si="2"/>
        <v>0</v>
      </c>
      <c r="N127" s="11">
        <f t="shared" si="3"/>
        <v>0</v>
      </c>
      <c r="O127" s="11">
        <f t="shared" si="4"/>
        <v>0</v>
      </c>
      <c r="P127" s="11">
        <f t="shared" si="5"/>
        <v>0</v>
      </c>
    </row>
    <row r="128" spans="1:16" ht="15" hidden="1" customHeight="1">
      <c r="A128" s="44"/>
      <c r="B128" s="5">
        <f t="shared" si="17"/>
        <v>45627</v>
      </c>
      <c r="C128" s="1" t="s">
        <v>533</v>
      </c>
      <c r="D128" s="195"/>
      <c r="E128" s="186"/>
      <c r="F128" s="2"/>
      <c r="G128" s="3">
        <f t="shared" si="15"/>
        <v>0</v>
      </c>
      <c r="H128" s="187"/>
      <c r="I128" s="7"/>
      <c r="J128" s="7">
        <v>1.6500000000000001E-2</v>
      </c>
      <c r="K128" s="7">
        <v>7.5999999999999998E-2</v>
      </c>
      <c r="L128" s="7">
        <v>0</v>
      </c>
      <c r="M128" s="11">
        <f t="shared" si="2"/>
        <v>0</v>
      </c>
      <c r="N128" s="11">
        <f t="shared" si="3"/>
        <v>0</v>
      </c>
      <c r="O128" s="11">
        <f t="shared" si="4"/>
        <v>0</v>
      </c>
      <c r="P128" s="11">
        <f t="shared" si="5"/>
        <v>0</v>
      </c>
    </row>
    <row r="129" spans="1:16" ht="15" hidden="1" customHeight="1">
      <c r="A129" s="44"/>
      <c r="B129" s="5">
        <f t="shared" si="17"/>
        <v>45627</v>
      </c>
      <c r="C129" s="1" t="s">
        <v>533</v>
      </c>
      <c r="D129" s="195"/>
      <c r="E129" s="186"/>
      <c r="F129" s="2"/>
      <c r="G129" s="3">
        <f t="shared" si="15"/>
        <v>0</v>
      </c>
      <c r="H129" s="187"/>
      <c r="I129" s="7"/>
      <c r="J129" s="7">
        <v>1.6500000000000001E-2</v>
      </c>
      <c r="K129" s="7">
        <v>7.5999999999999998E-2</v>
      </c>
      <c r="L129" s="7">
        <v>0</v>
      </c>
      <c r="M129" s="11">
        <f t="shared" si="2"/>
        <v>0</v>
      </c>
      <c r="N129" s="11">
        <f t="shared" si="3"/>
        <v>0</v>
      </c>
      <c r="O129" s="11">
        <f t="shared" si="4"/>
        <v>0</v>
      </c>
      <c r="P129" s="11">
        <f t="shared" si="5"/>
        <v>0</v>
      </c>
    </row>
    <row r="130" spans="1:16" ht="15" hidden="1" customHeight="1">
      <c r="A130" s="44"/>
      <c r="B130" s="5">
        <f t="shared" si="17"/>
        <v>45627</v>
      </c>
      <c r="C130" s="1" t="s">
        <v>533</v>
      </c>
      <c r="D130" s="195"/>
      <c r="E130" s="186"/>
      <c r="F130" s="2"/>
      <c r="G130" s="3">
        <f t="shared" si="15"/>
        <v>0</v>
      </c>
      <c r="H130" s="187"/>
      <c r="I130" s="7"/>
      <c r="J130" s="7">
        <v>1.6500000000000001E-2</v>
      </c>
      <c r="K130" s="7">
        <v>7.5999999999999998E-2</v>
      </c>
      <c r="L130" s="7">
        <v>0</v>
      </c>
      <c r="M130" s="11">
        <f t="shared" si="2"/>
        <v>0</v>
      </c>
      <c r="N130" s="11">
        <f t="shared" si="3"/>
        <v>0</v>
      </c>
      <c r="O130" s="11">
        <f t="shared" si="4"/>
        <v>0</v>
      </c>
      <c r="P130" s="11">
        <f t="shared" si="5"/>
        <v>0</v>
      </c>
    </row>
    <row r="131" spans="1:16" ht="15" hidden="1" customHeight="1">
      <c r="A131" s="44"/>
      <c r="B131" s="5">
        <f t="shared" si="17"/>
        <v>45627</v>
      </c>
      <c r="C131" s="1" t="s">
        <v>533</v>
      </c>
      <c r="D131" s="195"/>
      <c r="E131" s="186"/>
      <c r="F131" s="2"/>
      <c r="G131" s="3">
        <f t="shared" si="15"/>
        <v>0</v>
      </c>
      <c r="H131" s="187"/>
      <c r="I131" s="7"/>
      <c r="J131" s="7">
        <v>1.6500000000000001E-2</v>
      </c>
      <c r="K131" s="7">
        <v>7.5999999999999998E-2</v>
      </c>
      <c r="L131" s="7">
        <v>0</v>
      </c>
      <c r="M131" s="11">
        <f t="shared" si="2"/>
        <v>0</v>
      </c>
      <c r="N131" s="11">
        <f t="shared" si="3"/>
        <v>0</v>
      </c>
      <c r="O131" s="11">
        <f t="shared" si="4"/>
        <v>0</v>
      </c>
      <c r="P131" s="11">
        <f t="shared" si="5"/>
        <v>0</v>
      </c>
    </row>
    <row r="132" spans="1:16" ht="15" hidden="1" customHeight="1">
      <c r="A132" s="44"/>
      <c r="B132" s="5">
        <f t="shared" si="17"/>
        <v>45627</v>
      </c>
      <c r="C132" s="1" t="s">
        <v>533</v>
      </c>
      <c r="D132" s="195"/>
      <c r="E132" s="186"/>
      <c r="F132" s="2"/>
      <c r="G132" s="3">
        <f t="shared" si="15"/>
        <v>0</v>
      </c>
      <c r="H132" s="187"/>
      <c r="I132" s="7"/>
      <c r="J132" s="7">
        <v>1.6500000000000001E-2</v>
      </c>
      <c r="K132" s="7">
        <v>7.5999999999999998E-2</v>
      </c>
      <c r="L132" s="7">
        <v>0</v>
      </c>
      <c r="M132" s="11">
        <f t="shared" si="2"/>
        <v>0</v>
      </c>
      <c r="N132" s="11">
        <f t="shared" si="3"/>
        <v>0</v>
      </c>
      <c r="O132" s="11">
        <f t="shared" si="4"/>
        <v>0</v>
      </c>
      <c r="P132" s="11">
        <f t="shared" si="5"/>
        <v>0</v>
      </c>
    </row>
    <row r="133" spans="1:16" ht="15" hidden="1" customHeight="1">
      <c r="A133" s="44"/>
      <c r="B133" s="5">
        <f t="shared" si="17"/>
        <v>45627</v>
      </c>
      <c r="C133" s="1" t="s">
        <v>533</v>
      </c>
      <c r="D133" s="195"/>
      <c r="E133" s="186"/>
      <c r="F133" s="2"/>
      <c r="G133" s="3">
        <f t="shared" si="15"/>
        <v>0</v>
      </c>
      <c r="H133" s="187"/>
      <c r="I133" s="7"/>
      <c r="J133" s="7">
        <v>1.6500000000000001E-2</v>
      </c>
      <c r="K133" s="7">
        <v>7.5999999999999998E-2</v>
      </c>
      <c r="L133" s="7">
        <v>0</v>
      </c>
      <c r="M133" s="11">
        <f t="shared" si="2"/>
        <v>0</v>
      </c>
      <c r="N133" s="11">
        <f t="shared" si="3"/>
        <v>0</v>
      </c>
      <c r="O133" s="11">
        <f t="shared" si="4"/>
        <v>0</v>
      </c>
      <c r="P133" s="11">
        <f t="shared" si="5"/>
        <v>0</v>
      </c>
    </row>
    <row r="134" spans="1:16" ht="15" hidden="1" customHeight="1">
      <c r="A134" s="44"/>
      <c r="B134" s="5">
        <f t="shared" si="17"/>
        <v>45627</v>
      </c>
      <c r="C134" s="1" t="s">
        <v>533</v>
      </c>
      <c r="D134" s="195"/>
      <c r="E134" s="186"/>
      <c r="F134" s="2"/>
      <c r="G134" s="3">
        <f t="shared" si="15"/>
        <v>0</v>
      </c>
      <c r="H134" s="187"/>
      <c r="I134" s="7"/>
      <c r="J134" s="7">
        <v>1.6500000000000001E-2</v>
      </c>
      <c r="K134" s="7">
        <v>7.5999999999999998E-2</v>
      </c>
      <c r="L134" s="7">
        <v>0</v>
      </c>
      <c r="M134" s="11">
        <f t="shared" si="2"/>
        <v>0</v>
      </c>
      <c r="N134" s="11">
        <f t="shared" si="3"/>
        <v>0</v>
      </c>
      <c r="O134" s="11">
        <f t="shared" si="4"/>
        <v>0</v>
      </c>
      <c r="P134" s="11">
        <f t="shared" ref="P134:P177" si="18">L134*(F134)</f>
        <v>0</v>
      </c>
    </row>
    <row r="135" spans="1:16" ht="15" hidden="1" customHeight="1">
      <c r="A135" s="44"/>
      <c r="B135" s="5">
        <f t="shared" si="17"/>
        <v>45627</v>
      </c>
      <c r="C135" s="1" t="s">
        <v>533</v>
      </c>
      <c r="D135" s="195"/>
      <c r="E135" s="186"/>
      <c r="F135" s="2"/>
      <c r="G135" s="3">
        <f t="shared" si="15"/>
        <v>0</v>
      </c>
      <c r="H135" s="187"/>
      <c r="I135" s="7"/>
      <c r="J135" s="7">
        <v>1.6500000000000001E-2</v>
      </c>
      <c r="K135" s="7">
        <v>7.5999999999999998E-2</v>
      </c>
      <c r="L135" s="7">
        <v>0</v>
      </c>
      <c r="M135" s="11">
        <f t="shared" si="2"/>
        <v>0</v>
      </c>
      <c r="N135" s="11">
        <f t="shared" si="3"/>
        <v>0</v>
      </c>
      <c r="O135" s="11">
        <f t="shared" si="4"/>
        <v>0</v>
      </c>
      <c r="P135" s="11">
        <f t="shared" si="18"/>
        <v>0</v>
      </c>
    </row>
    <row r="136" spans="1:16" ht="15" hidden="1" customHeight="1">
      <c r="A136" s="44"/>
      <c r="B136" s="5">
        <f t="shared" si="17"/>
        <v>45627</v>
      </c>
      <c r="C136" s="1" t="s">
        <v>533</v>
      </c>
      <c r="D136" s="195"/>
      <c r="E136" s="186"/>
      <c r="F136" s="2"/>
      <c r="G136" s="3">
        <f t="shared" ref="G136:G174" si="19">F136-SUM(M136:P136)</f>
        <v>0</v>
      </c>
      <c r="H136" s="187"/>
      <c r="I136" s="7"/>
      <c r="J136" s="7">
        <v>1.6500000000000001E-2</v>
      </c>
      <c r="K136" s="7">
        <v>7.5999999999999998E-2</v>
      </c>
      <c r="L136" s="7">
        <v>0</v>
      </c>
      <c r="M136" s="11">
        <f t="shared" si="2"/>
        <v>0</v>
      </c>
      <c r="N136" s="11">
        <f t="shared" si="3"/>
        <v>0</v>
      </c>
      <c r="O136" s="11">
        <f t="shared" si="4"/>
        <v>0</v>
      </c>
      <c r="P136" s="11">
        <f t="shared" si="18"/>
        <v>0</v>
      </c>
    </row>
    <row r="137" spans="1:16" ht="15" hidden="1" customHeight="1">
      <c r="A137" s="44"/>
      <c r="B137" s="5">
        <f t="shared" si="17"/>
        <v>45627</v>
      </c>
      <c r="C137" s="1" t="s">
        <v>533</v>
      </c>
      <c r="D137" s="195"/>
      <c r="E137" s="186"/>
      <c r="F137" s="2"/>
      <c r="G137" s="3">
        <f t="shared" si="19"/>
        <v>0</v>
      </c>
      <c r="H137" s="187"/>
      <c r="I137" s="7"/>
      <c r="J137" s="7">
        <v>1.6500000000000001E-2</v>
      </c>
      <c r="K137" s="7">
        <v>7.5999999999999998E-2</v>
      </c>
      <c r="L137" s="7">
        <v>0</v>
      </c>
      <c r="M137" s="11">
        <f t="shared" si="2"/>
        <v>0</v>
      </c>
      <c r="N137" s="11">
        <f t="shared" si="3"/>
        <v>0</v>
      </c>
      <c r="O137" s="11">
        <f t="shared" si="4"/>
        <v>0</v>
      </c>
      <c r="P137" s="11">
        <f t="shared" si="18"/>
        <v>0</v>
      </c>
    </row>
    <row r="138" spans="1:16" ht="15" hidden="1" customHeight="1">
      <c r="A138" s="44"/>
      <c r="B138" s="5">
        <f t="shared" si="17"/>
        <v>45627</v>
      </c>
      <c r="C138" s="1" t="s">
        <v>533</v>
      </c>
      <c r="D138" s="195"/>
      <c r="E138" s="186"/>
      <c r="F138" s="2"/>
      <c r="G138" s="3">
        <f t="shared" si="19"/>
        <v>0</v>
      </c>
      <c r="H138" s="187"/>
      <c r="I138" s="7"/>
      <c r="J138" s="7">
        <v>1.6500000000000001E-2</v>
      </c>
      <c r="K138" s="7">
        <v>7.5999999999999998E-2</v>
      </c>
      <c r="L138" s="7">
        <v>0</v>
      </c>
      <c r="M138" s="11">
        <f t="shared" si="2"/>
        <v>0</v>
      </c>
      <c r="N138" s="11">
        <f t="shared" si="3"/>
        <v>0</v>
      </c>
      <c r="O138" s="11">
        <f t="shared" si="4"/>
        <v>0</v>
      </c>
      <c r="P138" s="11">
        <f t="shared" si="18"/>
        <v>0</v>
      </c>
    </row>
    <row r="139" spans="1:16" ht="15" hidden="1" customHeight="1">
      <c r="A139" s="44"/>
      <c r="B139" s="5">
        <f t="shared" si="17"/>
        <v>45627</v>
      </c>
      <c r="C139" s="1" t="s">
        <v>533</v>
      </c>
      <c r="D139" s="195"/>
      <c r="E139" s="186"/>
      <c r="F139" s="2"/>
      <c r="G139" s="3">
        <f t="shared" si="19"/>
        <v>0</v>
      </c>
      <c r="H139" s="187"/>
      <c r="I139" s="7"/>
      <c r="J139" s="7">
        <v>1.6500000000000001E-2</v>
      </c>
      <c r="K139" s="7">
        <v>7.5999999999999998E-2</v>
      </c>
      <c r="L139" s="7">
        <v>0</v>
      </c>
      <c r="M139" s="11">
        <f t="shared" si="2"/>
        <v>0</v>
      </c>
      <c r="N139" s="11">
        <f t="shared" si="3"/>
        <v>0</v>
      </c>
      <c r="O139" s="11">
        <f t="shared" si="4"/>
        <v>0</v>
      </c>
      <c r="P139" s="11">
        <f t="shared" si="18"/>
        <v>0</v>
      </c>
    </row>
    <row r="140" spans="1:16" ht="15" hidden="1" customHeight="1">
      <c r="A140" s="44"/>
      <c r="B140" s="5">
        <f t="shared" si="17"/>
        <v>45627</v>
      </c>
      <c r="C140" s="1" t="s">
        <v>533</v>
      </c>
      <c r="D140" s="195"/>
      <c r="E140" s="186"/>
      <c r="F140" s="2"/>
      <c r="G140" s="3">
        <f t="shared" si="19"/>
        <v>0</v>
      </c>
      <c r="H140" s="187"/>
      <c r="I140" s="7"/>
      <c r="J140" s="7">
        <v>1.6500000000000001E-2</v>
      </c>
      <c r="K140" s="7">
        <v>7.5999999999999998E-2</v>
      </c>
      <c r="L140" s="7">
        <v>0</v>
      </c>
      <c r="M140" s="11">
        <f t="shared" si="2"/>
        <v>0</v>
      </c>
      <c r="N140" s="11">
        <f t="shared" si="3"/>
        <v>0</v>
      </c>
      <c r="O140" s="11">
        <f t="shared" si="4"/>
        <v>0</v>
      </c>
      <c r="P140" s="11">
        <f t="shared" si="18"/>
        <v>0</v>
      </c>
    </row>
    <row r="141" spans="1:16" ht="15" hidden="1" customHeight="1">
      <c r="A141" s="44"/>
      <c r="B141" s="5">
        <f t="shared" si="17"/>
        <v>45627</v>
      </c>
      <c r="C141" s="1" t="s">
        <v>533</v>
      </c>
      <c r="D141" s="195"/>
      <c r="E141" s="186"/>
      <c r="F141" s="2"/>
      <c r="G141" s="3">
        <f t="shared" si="19"/>
        <v>0</v>
      </c>
      <c r="H141" s="187"/>
      <c r="I141" s="7"/>
      <c r="J141" s="7">
        <v>1.6500000000000001E-2</v>
      </c>
      <c r="K141" s="7">
        <v>7.5999999999999998E-2</v>
      </c>
      <c r="L141" s="7">
        <v>0</v>
      </c>
      <c r="M141" s="11">
        <f t="shared" si="2"/>
        <v>0</v>
      </c>
      <c r="N141" s="11">
        <f t="shared" si="3"/>
        <v>0</v>
      </c>
      <c r="O141" s="11">
        <f t="shared" si="4"/>
        <v>0</v>
      </c>
      <c r="P141" s="11">
        <f t="shared" si="18"/>
        <v>0</v>
      </c>
    </row>
    <row r="142" spans="1:16" ht="15" hidden="1" customHeight="1">
      <c r="A142" s="44"/>
      <c r="B142" s="5">
        <f t="shared" si="17"/>
        <v>45627</v>
      </c>
      <c r="C142" s="1" t="s">
        <v>533</v>
      </c>
      <c r="D142" s="195"/>
      <c r="E142" s="186"/>
      <c r="F142" s="2"/>
      <c r="G142" s="3">
        <f t="shared" si="19"/>
        <v>0</v>
      </c>
      <c r="H142" s="187"/>
      <c r="I142" s="7"/>
      <c r="J142" s="7">
        <v>1.6500000000000001E-2</v>
      </c>
      <c r="K142" s="7">
        <v>7.5999999999999998E-2</v>
      </c>
      <c r="L142" s="7">
        <v>0</v>
      </c>
      <c r="M142" s="11">
        <f t="shared" si="2"/>
        <v>0</v>
      </c>
      <c r="N142" s="11">
        <f t="shared" si="3"/>
        <v>0</v>
      </c>
      <c r="O142" s="11">
        <f t="shared" si="4"/>
        <v>0</v>
      </c>
      <c r="P142" s="11">
        <f t="shared" si="18"/>
        <v>0</v>
      </c>
    </row>
    <row r="143" spans="1:16" ht="15" hidden="1" customHeight="1">
      <c r="A143" s="44"/>
      <c r="B143" s="5">
        <f t="shared" si="17"/>
        <v>45627</v>
      </c>
      <c r="C143" s="1" t="s">
        <v>533</v>
      </c>
      <c r="D143" s="195"/>
      <c r="E143" s="186"/>
      <c r="F143" s="2"/>
      <c r="G143" s="3">
        <f t="shared" si="19"/>
        <v>0</v>
      </c>
      <c r="H143" s="187"/>
      <c r="I143" s="7"/>
      <c r="J143" s="7">
        <v>1.6500000000000001E-2</v>
      </c>
      <c r="K143" s="7">
        <v>7.5999999999999998E-2</v>
      </c>
      <c r="L143" s="7">
        <v>0</v>
      </c>
      <c r="M143" s="11">
        <f t="shared" si="2"/>
        <v>0</v>
      </c>
      <c r="N143" s="11">
        <f t="shared" si="3"/>
        <v>0</v>
      </c>
      <c r="O143" s="11">
        <f t="shared" si="4"/>
        <v>0</v>
      </c>
      <c r="P143" s="11">
        <f t="shared" si="18"/>
        <v>0</v>
      </c>
    </row>
    <row r="144" spans="1:16" ht="15" hidden="1" customHeight="1">
      <c r="A144" s="44"/>
      <c r="B144" s="5">
        <f t="shared" si="17"/>
        <v>45627</v>
      </c>
      <c r="C144" s="1" t="s">
        <v>533</v>
      </c>
      <c r="D144" s="195"/>
      <c r="E144" s="186"/>
      <c r="F144" s="2"/>
      <c r="G144" s="3">
        <f t="shared" si="19"/>
        <v>0</v>
      </c>
      <c r="H144" s="187"/>
      <c r="I144" s="7"/>
      <c r="J144" s="7">
        <v>1.6500000000000001E-2</v>
      </c>
      <c r="K144" s="7">
        <v>7.5999999999999998E-2</v>
      </c>
      <c r="L144" s="7">
        <v>0</v>
      </c>
      <c r="M144" s="11">
        <f t="shared" si="2"/>
        <v>0</v>
      </c>
      <c r="N144" s="11">
        <f t="shared" si="3"/>
        <v>0</v>
      </c>
      <c r="O144" s="11">
        <f t="shared" si="4"/>
        <v>0</v>
      </c>
      <c r="P144" s="11">
        <f t="shared" si="18"/>
        <v>0</v>
      </c>
    </row>
    <row r="145" spans="1:16" ht="15" hidden="1" customHeight="1">
      <c r="A145" s="44"/>
      <c r="B145" s="5">
        <f t="shared" si="17"/>
        <v>45627</v>
      </c>
      <c r="C145" s="1" t="s">
        <v>533</v>
      </c>
      <c r="D145" s="195"/>
      <c r="E145" s="186"/>
      <c r="F145" s="2"/>
      <c r="G145" s="3">
        <f t="shared" si="19"/>
        <v>0</v>
      </c>
      <c r="H145" s="187"/>
      <c r="I145" s="7"/>
      <c r="J145" s="7">
        <v>1.6500000000000001E-2</v>
      </c>
      <c r="K145" s="7">
        <v>7.5999999999999998E-2</v>
      </c>
      <c r="L145" s="7">
        <v>0</v>
      </c>
      <c r="M145" s="11">
        <f t="shared" si="2"/>
        <v>0</v>
      </c>
      <c r="N145" s="11">
        <f t="shared" si="3"/>
        <v>0</v>
      </c>
      <c r="O145" s="11">
        <f t="shared" si="4"/>
        <v>0</v>
      </c>
      <c r="P145" s="11">
        <f t="shared" si="18"/>
        <v>0</v>
      </c>
    </row>
    <row r="146" spans="1:16" ht="15" hidden="1" customHeight="1">
      <c r="A146" s="44"/>
      <c r="B146" s="5">
        <f t="shared" si="17"/>
        <v>45627</v>
      </c>
      <c r="C146" s="1" t="s">
        <v>533</v>
      </c>
      <c r="D146" s="195"/>
      <c r="E146" s="186"/>
      <c r="F146" s="2"/>
      <c r="G146" s="3">
        <f t="shared" si="19"/>
        <v>0</v>
      </c>
      <c r="H146" s="187"/>
      <c r="I146" s="7"/>
      <c r="J146" s="7">
        <v>1.6500000000000001E-2</v>
      </c>
      <c r="K146" s="7">
        <v>7.5999999999999998E-2</v>
      </c>
      <c r="L146" s="7">
        <v>0</v>
      </c>
      <c r="M146" s="11">
        <f t="shared" si="2"/>
        <v>0</v>
      </c>
      <c r="N146" s="11">
        <f t="shared" si="3"/>
        <v>0</v>
      </c>
      <c r="O146" s="11">
        <f t="shared" si="4"/>
        <v>0</v>
      </c>
      <c r="P146" s="11">
        <f t="shared" si="18"/>
        <v>0</v>
      </c>
    </row>
    <row r="147" spans="1:16" ht="15" hidden="1" customHeight="1">
      <c r="A147" s="44"/>
      <c r="B147" s="5">
        <f t="shared" si="17"/>
        <v>45627</v>
      </c>
      <c r="C147" s="1" t="s">
        <v>533</v>
      </c>
      <c r="D147" s="195"/>
      <c r="E147" s="186"/>
      <c r="F147" s="2"/>
      <c r="G147" s="3">
        <f t="shared" si="19"/>
        <v>0</v>
      </c>
      <c r="H147" s="187"/>
      <c r="I147" s="7"/>
      <c r="J147" s="7">
        <v>1.6500000000000001E-2</v>
      </c>
      <c r="K147" s="7">
        <v>7.5999999999999998E-2</v>
      </c>
      <c r="L147" s="7">
        <v>0</v>
      </c>
      <c r="M147" s="11">
        <f t="shared" si="2"/>
        <v>0</v>
      </c>
      <c r="N147" s="11">
        <f t="shared" si="3"/>
        <v>0</v>
      </c>
      <c r="O147" s="11">
        <f t="shared" si="4"/>
        <v>0</v>
      </c>
      <c r="P147" s="11">
        <f t="shared" si="18"/>
        <v>0</v>
      </c>
    </row>
    <row r="148" spans="1:16" ht="15" hidden="1" customHeight="1">
      <c r="A148" s="44"/>
      <c r="B148" s="5">
        <f t="shared" si="17"/>
        <v>45627</v>
      </c>
      <c r="C148" s="1" t="s">
        <v>533</v>
      </c>
      <c r="D148" s="195"/>
      <c r="E148" s="186"/>
      <c r="F148" s="2"/>
      <c r="G148" s="3">
        <f t="shared" si="19"/>
        <v>0</v>
      </c>
      <c r="H148" s="187"/>
      <c r="I148" s="7"/>
      <c r="J148" s="7">
        <v>1.6500000000000001E-2</v>
      </c>
      <c r="K148" s="7">
        <v>7.5999999999999998E-2</v>
      </c>
      <c r="L148" s="7">
        <v>0</v>
      </c>
      <c r="M148" s="11">
        <f t="shared" si="2"/>
        <v>0</v>
      </c>
      <c r="N148" s="11">
        <f t="shared" si="3"/>
        <v>0</v>
      </c>
      <c r="O148" s="11">
        <f t="shared" si="4"/>
        <v>0</v>
      </c>
      <c r="P148" s="11">
        <f t="shared" si="18"/>
        <v>0</v>
      </c>
    </row>
    <row r="149" spans="1:16" ht="15" hidden="1" customHeight="1">
      <c r="A149" s="44"/>
      <c r="B149" s="5">
        <f t="shared" si="17"/>
        <v>45627</v>
      </c>
      <c r="C149" s="1" t="s">
        <v>533</v>
      </c>
      <c r="D149" s="195"/>
      <c r="E149" s="186"/>
      <c r="F149" s="2"/>
      <c r="G149" s="3">
        <f t="shared" si="19"/>
        <v>0</v>
      </c>
      <c r="H149" s="187"/>
      <c r="I149" s="7"/>
      <c r="J149" s="7">
        <v>1.6500000000000001E-2</v>
      </c>
      <c r="K149" s="7">
        <v>7.5999999999999998E-2</v>
      </c>
      <c r="L149" s="7">
        <v>0</v>
      </c>
      <c r="M149" s="11">
        <f t="shared" si="2"/>
        <v>0</v>
      </c>
      <c r="N149" s="11">
        <f t="shared" si="3"/>
        <v>0</v>
      </c>
      <c r="O149" s="11">
        <f t="shared" si="4"/>
        <v>0</v>
      </c>
      <c r="P149" s="11">
        <f t="shared" si="18"/>
        <v>0</v>
      </c>
    </row>
    <row r="150" spans="1:16" ht="15" hidden="1" customHeight="1">
      <c r="A150" s="44"/>
      <c r="B150" s="5">
        <f t="shared" si="17"/>
        <v>45627</v>
      </c>
      <c r="C150" s="1" t="s">
        <v>533</v>
      </c>
      <c r="D150" s="195"/>
      <c r="E150" s="186"/>
      <c r="F150" s="2"/>
      <c r="G150" s="3">
        <f t="shared" si="19"/>
        <v>0</v>
      </c>
      <c r="H150" s="187"/>
      <c r="I150" s="7"/>
      <c r="J150" s="7">
        <v>1.6500000000000001E-2</v>
      </c>
      <c r="K150" s="7">
        <v>7.5999999999999998E-2</v>
      </c>
      <c r="L150" s="7">
        <v>0</v>
      </c>
      <c r="M150" s="11">
        <f t="shared" si="2"/>
        <v>0</v>
      </c>
      <c r="N150" s="11">
        <f t="shared" si="3"/>
        <v>0</v>
      </c>
      <c r="O150" s="11">
        <f t="shared" si="4"/>
        <v>0</v>
      </c>
      <c r="P150" s="11">
        <f t="shared" si="18"/>
        <v>0</v>
      </c>
    </row>
    <row r="151" spans="1:16" ht="15" hidden="1" customHeight="1">
      <c r="A151" s="44"/>
      <c r="B151" s="5">
        <f t="shared" si="17"/>
        <v>45627</v>
      </c>
      <c r="C151" s="1" t="s">
        <v>533</v>
      </c>
      <c r="D151" s="195"/>
      <c r="E151" s="186"/>
      <c r="F151" s="2"/>
      <c r="G151" s="3">
        <f t="shared" si="19"/>
        <v>0</v>
      </c>
      <c r="H151" s="187"/>
      <c r="I151" s="7"/>
      <c r="J151" s="7">
        <v>1.6500000000000001E-2</v>
      </c>
      <c r="K151" s="7">
        <v>7.5999999999999998E-2</v>
      </c>
      <c r="L151" s="7">
        <v>0</v>
      </c>
      <c r="M151" s="11">
        <f t="shared" si="2"/>
        <v>0</v>
      </c>
      <c r="N151" s="11">
        <f t="shared" si="3"/>
        <v>0</v>
      </c>
      <c r="O151" s="11">
        <f t="shared" si="4"/>
        <v>0</v>
      </c>
      <c r="P151" s="11">
        <f t="shared" si="18"/>
        <v>0</v>
      </c>
    </row>
    <row r="152" spans="1:16" ht="15" hidden="1" customHeight="1">
      <c r="A152" s="44"/>
      <c r="B152" s="5">
        <f t="shared" si="17"/>
        <v>45627</v>
      </c>
      <c r="C152" s="1" t="s">
        <v>533</v>
      </c>
      <c r="D152" s="195"/>
      <c r="E152" s="186"/>
      <c r="F152" s="2"/>
      <c r="G152" s="3">
        <f t="shared" si="19"/>
        <v>0</v>
      </c>
      <c r="H152" s="187"/>
      <c r="I152" s="7"/>
      <c r="J152" s="7">
        <v>1.6500000000000001E-2</v>
      </c>
      <c r="K152" s="7">
        <v>7.5999999999999998E-2</v>
      </c>
      <c r="L152" s="7">
        <v>0</v>
      </c>
      <c r="M152" s="11">
        <f t="shared" si="2"/>
        <v>0</v>
      </c>
      <c r="N152" s="11">
        <f t="shared" si="3"/>
        <v>0</v>
      </c>
      <c r="O152" s="11">
        <f t="shared" si="4"/>
        <v>0</v>
      </c>
      <c r="P152" s="11">
        <f t="shared" si="18"/>
        <v>0</v>
      </c>
    </row>
    <row r="153" spans="1:16" ht="15" hidden="1" customHeight="1">
      <c r="A153" s="44"/>
      <c r="B153" s="5">
        <f t="shared" si="17"/>
        <v>45627</v>
      </c>
      <c r="C153" s="1" t="s">
        <v>533</v>
      </c>
      <c r="D153" s="195"/>
      <c r="E153" s="186"/>
      <c r="F153" s="2"/>
      <c r="G153" s="3">
        <f t="shared" si="19"/>
        <v>0</v>
      </c>
      <c r="H153" s="187"/>
      <c r="I153" s="7"/>
      <c r="J153" s="7">
        <v>1.6500000000000001E-2</v>
      </c>
      <c r="K153" s="7">
        <v>7.5999999999999998E-2</v>
      </c>
      <c r="L153" s="7">
        <v>0</v>
      </c>
      <c r="M153" s="11">
        <f t="shared" si="2"/>
        <v>0</v>
      </c>
      <c r="N153" s="11">
        <f t="shared" si="3"/>
        <v>0</v>
      </c>
      <c r="O153" s="11">
        <f t="shared" si="4"/>
        <v>0</v>
      </c>
      <c r="P153" s="11">
        <f t="shared" si="18"/>
        <v>0</v>
      </c>
    </row>
    <row r="154" spans="1:16" ht="15" hidden="1" customHeight="1">
      <c r="A154" s="44"/>
      <c r="B154" s="5">
        <f t="shared" si="17"/>
        <v>45627</v>
      </c>
      <c r="C154" s="1" t="s">
        <v>533</v>
      </c>
      <c r="D154" s="195"/>
      <c r="E154" s="186"/>
      <c r="F154" s="2"/>
      <c r="G154" s="3">
        <f t="shared" si="19"/>
        <v>0</v>
      </c>
      <c r="H154" s="187"/>
      <c r="I154" s="7"/>
      <c r="J154" s="7">
        <v>1.6500000000000001E-2</v>
      </c>
      <c r="K154" s="7">
        <v>7.5999999999999998E-2</v>
      </c>
      <c r="L154" s="7">
        <v>0</v>
      </c>
      <c r="M154" s="11">
        <f t="shared" si="2"/>
        <v>0</v>
      </c>
      <c r="N154" s="11">
        <f t="shared" si="3"/>
        <v>0</v>
      </c>
      <c r="O154" s="11">
        <f t="shared" si="4"/>
        <v>0</v>
      </c>
      <c r="P154" s="11">
        <f t="shared" si="18"/>
        <v>0</v>
      </c>
    </row>
    <row r="155" spans="1:16" ht="15" hidden="1" customHeight="1">
      <c r="A155" s="44"/>
      <c r="B155" s="5">
        <f t="shared" si="17"/>
        <v>45627</v>
      </c>
      <c r="C155" s="1" t="s">
        <v>533</v>
      </c>
      <c r="D155" s="195"/>
      <c r="E155" s="186"/>
      <c r="F155" s="2"/>
      <c r="G155" s="3">
        <f t="shared" si="19"/>
        <v>0</v>
      </c>
      <c r="H155" s="187"/>
      <c r="I155" s="7"/>
      <c r="J155" s="7">
        <v>1.6500000000000001E-2</v>
      </c>
      <c r="K155" s="7">
        <v>7.5999999999999998E-2</v>
      </c>
      <c r="L155" s="7">
        <v>0</v>
      </c>
      <c r="M155" s="11">
        <f t="shared" si="2"/>
        <v>0</v>
      </c>
      <c r="N155" s="11">
        <f t="shared" si="3"/>
        <v>0</v>
      </c>
      <c r="O155" s="11">
        <f t="shared" si="4"/>
        <v>0</v>
      </c>
      <c r="P155" s="11">
        <f t="shared" si="18"/>
        <v>0</v>
      </c>
    </row>
    <row r="156" spans="1:16" ht="15" hidden="1" customHeight="1">
      <c r="A156" s="44"/>
      <c r="B156" s="5">
        <f t="shared" si="17"/>
        <v>45627</v>
      </c>
      <c r="C156" s="1" t="s">
        <v>533</v>
      </c>
      <c r="D156" s="195"/>
      <c r="E156" s="186"/>
      <c r="F156" s="2"/>
      <c r="G156" s="3">
        <f t="shared" si="19"/>
        <v>0</v>
      </c>
      <c r="H156" s="187"/>
      <c r="I156" s="7"/>
      <c r="J156" s="7">
        <v>1.6500000000000001E-2</v>
      </c>
      <c r="K156" s="7">
        <v>7.5999999999999998E-2</v>
      </c>
      <c r="L156" s="7">
        <v>0</v>
      </c>
      <c r="M156" s="11">
        <f t="shared" si="2"/>
        <v>0</v>
      </c>
      <c r="N156" s="11">
        <f t="shared" si="3"/>
        <v>0</v>
      </c>
      <c r="O156" s="11">
        <f t="shared" si="4"/>
        <v>0</v>
      </c>
      <c r="P156" s="11">
        <f t="shared" si="18"/>
        <v>0</v>
      </c>
    </row>
    <row r="157" spans="1:16" ht="15" hidden="1" customHeight="1">
      <c r="A157" s="44"/>
      <c r="B157" s="5">
        <f t="shared" si="17"/>
        <v>45627</v>
      </c>
      <c r="C157" s="1" t="s">
        <v>533</v>
      </c>
      <c r="D157" s="195"/>
      <c r="E157" s="186"/>
      <c r="F157" s="2"/>
      <c r="G157" s="3">
        <f t="shared" si="19"/>
        <v>0</v>
      </c>
      <c r="H157" s="187"/>
      <c r="I157" s="7"/>
      <c r="J157" s="7">
        <v>1.6500000000000001E-2</v>
      </c>
      <c r="K157" s="7">
        <v>7.5999999999999998E-2</v>
      </c>
      <c r="L157" s="7">
        <v>0</v>
      </c>
      <c r="M157" s="11">
        <f t="shared" si="2"/>
        <v>0</v>
      </c>
      <c r="N157" s="11">
        <f t="shared" si="3"/>
        <v>0</v>
      </c>
      <c r="O157" s="11">
        <f t="shared" si="4"/>
        <v>0</v>
      </c>
      <c r="P157" s="11">
        <f t="shared" si="18"/>
        <v>0</v>
      </c>
    </row>
    <row r="158" spans="1:16" ht="15" hidden="1" customHeight="1">
      <c r="A158" s="44"/>
      <c r="B158" s="5">
        <f t="shared" si="17"/>
        <v>45627</v>
      </c>
      <c r="C158" s="1" t="s">
        <v>533</v>
      </c>
      <c r="D158" s="195"/>
      <c r="E158" s="186"/>
      <c r="F158" s="2"/>
      <c r="G158" s="3">
        <f t="shared" si="19"/>
        <v>0</v>
      </c>
      <c r="H158" s="187"/>
      <c r="I158" s="7"/>
      <c r="J158" s="7">
        <v>1.6500000000000001E-2</v>
      </c>
      <c r="K158" s="7">
        <v>7.5999999999999998E-2</v>
      </c>
      <c r="L158" s="7">
        <v>0</v>
      </c>
      <c r="M158" s="11">
        <f t="shared" si="2"/>
        <v>0</v>
      </c>
      <c r="N158" s="11">
        <f t="shared" si="3"/>
        <v>0</v>
      </c>
      <c r="O158" s="11">
        <f t="shared" si="4"/>
        <v>0</v>
      </c>
      <c r="P158" s="11">
        <f t="shared" si="18"/>
        <v>0</v>
      </c>
    </row>
    <row r="159" spans="1:16" ht="15" hidden="1" customHeight="1">
      <c r="A159" s="44"/>
      <c r="B159" s="5">
        <f t="shared" si="17"/>
        <v>45627</v>
      </c>
      <c r="C159" s="1" t="s">
        <v>533</v>
      </c>
      <c r="D159" s="195"/>
      <c r="E159" s="186"/>
      <c r="F159" s="2"/>
      <c r="G159" s="3">
        <f t="shared" si="19"/>
        <v>0</v>
      </c>
      <c r="H159" s="187"/>
      <c r="I159" s="7"/>
      <c r="J159" s="7">
        <v>1.6500000000000001E-2</v>
      </c>
      <c r="K159" s="7">
        <v>7.5999999999999998E-2</v>
      </c>
      <c r="L159" s="7">
        <v>0</v>
      </c>
      <c r="M159" s="11">
        <f t="shared" si="2"/>
        <v>0</v>
      </c>
      <c r="N159" s="11">
        <f t="shared" si="3"/>
        <v>0</v>
      </c>
      <c r="O159" s="11">
        <f t="shared" si="4"/>
        <v>0</v>
      </c>
      <c r="P159" s="11">
        <f t="shared" si="18"/>
        <v>0</v>
      </c>
    </row>
    <row r="160" spans="1:16" ht="15" hidden="1" customHeight="1">
      <c r="A160" s="44"/>
      <c r="B160" s="5">
        <f t="shared" si="17"/>
        <v>45627</v>
      </c>
      <c r="C160" s="1" t="s">
        <v>533</v>
      </c>
      <c r="D160" s="195"/>
      <c r="E160" s="186"/>
      <c r="F160" s="2"/>
      <c r="G160" s="3">
        <f t="shared" si="19"/>
        <v>0</v>
      </c>
      <c r="H160" s="187"/>
      <c r="I160" s="7"/>
      <c r="J160" s="7">
        <v>1.6500000000000001E-2</v>
      </c>
      <c r="K160" s="7">
        <v>7.5999999999999998E-2</v>
      </c>
      <c r="L160" s="7">
        <v>0</v>
      </c>
      <c r="M160" s="11">
        <f t="shared" si="2"/>
        <v>0</v>
      </c>
      <c r="N160" s="11">
        <f t="shared" si="3"/>
        <v>0</v>
      </c>
      <c r="O160" s="11">
        <f t="shared" si="4"/>
        <v>0</v>
      </c>
      <c r="P160" s="11">
        <f t="shared" si="18"/>
        <v>0</v>
      </c>
    </row>
    <row r="161" spans="1:16" ht="15" hidden="1" customHeight="1">
      <c r="A161" s="44"/>
      <c r="B161" s="5">
        <f t="shared" si="17"/>
        <v>45627</v>
      </c>
      <c r="C161" s="1" t="s">
        <v>533</v>
      </c>
      <c r="D161" s="195"/>
      <c r="E161" s="186"/>
      <c r="F161" s="2"/>
      <c r="G161" s="3">
        <f t="shared" si="19"/>
        <v>0</v>
      </c>
      <c r="H161" s="187"/>
      <c r="I161" s="7"/>
      <c r="J161" s="7">
        <v>1.6500000000000001E-2</v>
      </c>
      <c r="K161" s="7">
        <v>7.5999999999999998E-2</v>
      </c>
      <c r="L161" s="7">
        <v>0</v>
      </c>
      <c r="M161" s="11">
        <f t="shared" si="2"/>
        <v>0</v>
      </c>
      <c r="N161" s="11">
        <f t="shared" si="3"/>
        <v>0</v>
      </c>
      <c r="O161" s="11">
        <f t="shared" si="4"/>
        <v>0</v>
      </c>
      <c r="P161" s="11">
        <f t="shared" si="18"/>
        <v>0</v>
      </c>
    </row>
    <row r="162" spans="1:16" ht="15" hidden="1" customHeight="1">
      <c r="A162" s="44"/>
      <c r="B162" s="5">
        <f t="shared" si="17"/>
        <v>45627</v>
      </c>
      <c r="C162" s="1" t="s">
        <v>533</v>
      </c>
      <c r="D162" s="195"/>
      <c r="E162" s="186"/>
      <c r="F162" s="2"/>
      <c r="G162" s="3">
        <f t="shared" si="19"/>
        <v>0</v>
      </c>
      <c r="H162" s="187"/>
      <c r="I162" s="7"/>
      <c r="J162" s="7">
        <v>1.6500000000000001E-2</v>
      </c>
      <c r="K162" s="7">
        <v>7.5999999999999998E-2</v>
      </c>
      <c r="L162" s="7">
        <v>0</v>
      </c>
      <c r="M162" s="11">
        <f t="shared" si="2"/>
        <v>0</v>
      </c>
      <c r="N162" s="11">
        <f t="shared" si="3"/>
        <v>0</v>
      </c>
      <c r="O162" s="11">
        <f t="shared" si="4"/>
        <v>0</v>
      </c>
      <c r="P162" s="11">
        <f t="shared" si="18"/>
        <v>0</v>
      </c>
    </row>
    <row r="163" spans="1:16" ht="15" hidden="1" customHeight="1">
      <c r="A163" s="44"/>
      <c r="B163" s="5">
        <f t="shared" si="17"/>
        <v>45627</v>
      </c>
      <c r="C163" s="1" t="s">
        <v>533</v>
      </c>
      <c r="D163" s="195"/>
      <c r="E163" s="186"/>
      <c r="F163" s="2"/>
      <c r="G163" s="3">
        <f t="shared" si="19"/>
        <v>0</v>
      </c>
      <c r="H163" s="187"/>
      <c r="I163" s="7"/>
      <c r="J163" s="7">
        <v>1.6500000000000001E-2</v>
      </c>
      <c r="K163" s="7">
        <v>7.5999999999999998E-2</v>
      </c>
      <c r="L163" s="7">
        <v>0</v>
      </c>
      <c r="M163" s="11">
        <f t="shared" si="2"/>
        <v>0</v>
      </c>
      <c r="N163" s="11">
        <f t="shared" si="3"/>
        <v>0</v>
      </c>
      <c r="O163" s="11">
        <f t="shared" si="4"/>
        <v>0</v>
      </c>
      <c r="P163" s="11">
        <f t="shared" si="18"/>
        <v>0</v>
      </c>
    </row>
    <row r="164" spans="1:16" ht="15" hidden="1" customHeight="1">
      <c r="A164" s="44"/>
      <c r="B164" s="5">
        <f t="shared" si="17"/>
        <v>45627</v>
      </c>
      <c r="C164" s="1" t="s">
        <v>533</v>
      </c>
      <c r="D164" s="195"/>
      <c r="E164" s="186"/>
      <c r="F164" s="2"/>
      <c r="G164" s="3">
        <f t="shared" si="19"/>
        <v>0</v>
      </c>
      <c r="H164" s="187"/>
      <c r="I164" s="7"/>
      <c r="J164" s="7">
        <v>1.6500000000000001E-2</v>
      </c>
      <c r="K164" s="7">
        <v>7.5999999999999998E-2</v>
      </c>
      <c r="L164" s="7">
        <v>0</v>
      </c>
      <c r="M164" s="11">
        <f t="shared" si="2"/>
        <v>0</v>
      </c>
      <c r="N164" s="11">
        <f t="shared" si="3"/>
        <v>0</v>
      </c>
      <c r="O164" s="11">
        <f t="shared" si="4"/>
        <v>0</v>
      </c>
      <c r="P164" s="11">
        <f t="shared" si="18"/>
        <v>0</v>
      </c>
    </row>
    <row r="165" spans="1:16" ht="15" hidden="1" customHeight="1">
      <c r="A165" s="44"/>
      <c r="B165" s="5">
        <f t="shared" si="17"/>
        <v>45627</v>
      </c>
      <c r="C165" s="1" t="s">
        <v>533</v>
      </c>
      <c r="D165" s="195"/>
      <c r="E165" s="186"/>
      <c r="F165" s="2"/>
      <c r="G165" s="3">
        <f t="shared" si="19"/>
        <v>0</v>
      </c>
      <c r="H165" s="187"/>
      <c r="I165" s="7"/>
      <c r="J165" s="7">
        <v>1.6500000000000001E-2</v>
      </c>
      <c r="K165" s="7">
        <v>7.5999999999999998E-2</v>
      </c>
      <c r="L165" s="7">
        <v>0</v>
      </c>
      <c r="M165" s="11">
        <f t="shared" si="2"/>
        <v>0</v>
      </c>
      <c r="N165" s="11">
        <f t="shared" si="3"/>
        <v>0</v>
      </c>
      <c r="O165" s="11">
        <f t="shared" si="4"/>
        <v>0</v>
      </c>
      <c r="P165" s="11">
        <f t="shared" si="18"/>
        <v>0</v>
      </c>
    </row>
    <row r="166" spans="1:16" ht="15" hidden="1" customHeight="1">
      <c r="A166" s="44"/>
      <c r="B166" s="5">
        <f t="shared" si="17"/>
        <v>45627</v>
      </c>
      <c r="C166" s="1" t="s">
        <v>533</v>
      </c>
      <c r="D166" s="195"/>
      <c r="E166" s="186"/>
      <c r="F166" s="2"/>
      <c r="G166" s="3">
        <f t="shared" si="19"/>
        <v>0</v>
      </c>
      <c r="H166" s="187"/>
      <c r="I166" s="7"/>
      <c r="J166" s="7">
        <v>1.6500000000000001E-2</v>
      </c>
      <c r="K166" s="7">
        <v>7.5999999999999998E-2</v>
      </c>
      <c r="L166" s="7">
        <v>0</v>
      </c>
      <c r="M166" s="11">
        <f t="shared" si="2"/>
        <v>0</v>
      </c>
      <c r="N166" s="11">
        <f t="shared" si="3"/>
        <v>0</v>
      </c>
      <c r="O166" s="11">
        <f t="shared" si="4"/>
        <v>0</v>
      </c>
      <c r="P166" s="11">
        <f t="shared" si="18"/>
        <v>0</v>
      </c>
    </row>
    <row r="167" spans="1:16" ht="15" hidden="1" customHeight="1">
      <c r="A167" s="44"/>
      <c r="B167" s="5">
        <f t="shared" si="17"/>
        <v>45627</v>
      </c>
      <c r="C167" s="1" t="s">
        <v>533</v>
      </c>
      <c r="D167" s="195"/>
      <c r="E167" s="186"/>
      <c r="F167" s="2"/>
      <c r="G167" s="3">
        <f t="shared" si="19"/>
        <v>0</v>
      </c>
      <c r="H167" s="187"/>
      <c r="I167" s="7"/>
      <c r="J167" s="7">
        <v>1.6500000000000001E-2</v>
      </c>
      <c r="K167" s="7">
        <v>7.5999999999999998E-2</v>
      </c>
      <c r="L167" s="7">
        <v>0</v>
      </c>
      <c r="M167" s="11">
        <f t="shared" si="2"/>
        <v>0</v>
      </c>
      <c r="N167" s="11">
        <f t="shared" si="3"/>
        <v>0</v>
      </c>
      <c r="O167" s="11">
        <f t="shared" si="4"/>
        <v>0</v>
      </c>
      <c r="P167" s="11">
        <f t="shared" si="18"/>
        <v>0</v>
      </c>
    </row>
    <row r="168" spans="1:16" ht="15" hidden="1" customHeight="1">
      <c r="A168" s="44"/>
      <c r="B168" s="5">
        <f t="shared" si="17"/>
        <v>45627</v>
      </c>
      <c r="C168" s="1" t="s">
        <v>533</v>
      </c>
      <c r="D168" s="195"/>
      <c r="E168" s="186"/>
      <c r="F168" s="2"/>
      <c r="G168" s="3">
        <f t="shared" si="19"/>
        <v>0</v>
      </c>
      <c r="H168" s="187"/>
      <c r="I168" s="7"/>
      <c r="J168" s="7">
        <v>1.6500000000000001E-2</v>
      </c>
      <c r="K168" s="7">
        <v>7.5999999999999998E-2</v>
      </c>
      <c r="L168" s="7">
        <v>0</v>
      </c>
      <c r="M168" s="11">
        <f t="shared" si="2"/>
        <v>0</v>
      </c>
      <c r="N168" s="11">
        <f t="shared" si="3"/>
        <v>0</v>
      </c>
      <c r="O168" s="11">
        <f t="shared" si="4"/>
        <v>0</v>
      </c>
      <c r="P168" s="11">
        <f t="shared" si="18"/>
        <v>0</v>
      </c>
    </row>
    <row r="169" spans="1:16" ht="15" hidden="1" customHeight="1">
      <c r="A169" s="44"/>
      <c r="B169" s="5">
        <f t="shared" si="17"/>
        <v>45627</v>
      </c>
      <c r="C169" s="1" t="s">
        <v>533</v>
      </c>
      <c r="D169" s="195"/>
      <c r="E169" s="186"/>
      <c r="F169" s="2"/>
      <c r="G169" s="3">
        <f t="shared" si="19"/>
        <v>0</v>
      </c>
      <c r="H169" s="187"/>
      <c r="I169" s="7"/>
      <c r="J169" s="7">
        <v>1.6500000000000001E-2</v>
      </c>
      <c r="K169" s="7">
        <v>7.5999999999999998E-2</v>
      </c>
      <c r="L169" s="7">
        <v>0</v>
      </c>
      <c r="M169" s="11">
        <f t="shared" si="2"/>
        <v>0</v>
      </c>
      <c r="N169" s="11">
        <f t="shared" si="3"/>
        <v>0</v>
      </c>
      <c r="O169" s="11">
        <f t="shared" si="4"/>
        <v>0</v>
      </c>
      <c r="P169" s="11">
        <f t="shared" si="18"/>
        <v>0</v>
      </c>
    </row>
    <row r="170" spans="1:16" ht="15" hidden="1" customHeight="1">
      <c r="A170" s="44"/>
      <c r="B170" s="5">
        <f t="shared" si="17"/>
        <v>45627</v>
      </c>
      <c r="C170" s="1" t="s">
        <v>533</v>
      </c>
      <c r="D170" s="195"/>
      <c r="E170" s="186"/>
      <c r="F170" s="2"/>
      <c r="G170" s="3">
        <f t="shared" si="19"/>
        <v>0</v>
      </c>
      <c r="H170" s="187"/>
      <c r="I170" s="7"/>
      <c r="J170" s="7">
        <v>1.6500000000000001E-2</v>
      </c>
      <c r="K170" s="7">
        <v>7.5999999999999998E-2</v>
      </c>
      <c r="L170" s="7">
        <v>0</v>
      </c>
      <c r="M170" s="11">
        <f t="shared" si="2"/>
        <v>0</v>
      </c>
      <c r="N170" s="11">
        <f t="shared" si="3"/>
        <v>0</v>
      </c>
      <c r="O170" s="11">
        <f t="shared" si="4"/>
        <v>0</v>
      </c>
      <c r="P170" s="11">
        <f t="shared" si="18"/>
        <v>0</v>
      </c>
    </row>
    <row r="171" spans="1:16" ht="15" hidden="1" customHeight="1">
      <c r="A171" s="44"/>
      <c r="B171" s="5">
        <f t="shared" ref="B171:B177" si="20">B170</f>
        <v>45627</v>
      </c>
      <c r="C171" s="1" t="s">
        <v>533</v>
      </c>
      <c r="D171" s="195"/>
      <c r="E171" s="186"/>
      <c r="F171" s="2"/>
      <c r="G171" s="3">
        <f t="shared" si="19"/>
        <v>0</v>
      </c>
      <c r="H171" s="187"/>
      <c r="I171" s="7"/>
      <c r="J171" s="7">
        <v>1.6500000000000001E-2</v>
      </c>
      <c r="K171" s="7">
        <v>7.5999999999999998E-2</v>
      </c>
      <c r="L171" s="7">
        <v>0</v>
      </c>
      <c r="M171" s="11">
        <f t="shared" si="2"/>
        <v>0</v>
      </c>
      <c r="N171" s="11">
        <f t="shared" si="3"/>
        <v>0</v>
      </c>
      <c r="O171" s="11">
        <f t="shared" si="4"/>
        <v>0</v>
      </c>
      <c r="P171" s="11">
        <f t="shared" si="18"/>
        <v>0</v>
      </c>
    </row>
    <row r="172" spans="1:16" ht="15" hidden="1" customHeight="1">
      <c r="A172" s="44"/>
      <c r="B172" s="5">
        <f t="shared" si="20"/>
        <v>45627</v>
      </c>
      <c r="C172" s="1" t="s">
        <v>533</v>
      </c>
      <c r="D172" s="195"/>
      <c r="E172" s="186"/>
      <c r="F172" s="2"/>
      <c r="G172" s="3">
        <f t="shared" si="19"/>
        <v>0</v>
      </c>
      <c r="H172" s="187"/>
      <c r="I172" s="7"/>
      <c r="J172" s="7">
        <v>1.6500000000000001E-2</v>
      </c>
      <c r="K172" s="7">
        <v>7.5999999999999998E-2</v>
      </c>
      <c r="L172" s="7">
        <v>0</v>
      </c>
      <c r="M172" s="11">
        <f t="shared" si="2"/>
        <v>0</v>
      </c>
      <c r="N172" s="11">
        <f t="shared" si="3"/>
        <v>0</v>
      </c>
      <c r="O172" s="11">
        <f t="shared" si="4"/>
        <v>0</v>
      </c>
      <c r="P172" s="11">
        <f t="shared" si="18"/>
        <v>0</v>
      </c>
    </row>
    <row r="173" spans="1:16" ht="15" hidden="1" customHeight="1">
      <c r="A173" s="44"/>
      <c r="B173" s="5">
        <f t="shared" si="20"/>
        <v>45627</v>
      </c>
      <c r="C173" s="1" t="s">
        <v>533</v>
      </c>
      <c r="D173" s="195"/>
      <c r="E173" s="186"/>
      <c r="F173" s="2"/>
      <c r="G173" s="3">
        <f t="shared" si="19"/>
        <v>0</v>
      </c>
      <c r="H173" s="187"/>
      <c r="I173" s="7"/>
      <c r="J173" s="7">
        <v>1.6500000000000001E-2</v>
      </c>
      <c r="K173" s="7">
        <v>7.5999999999999998E-2</v>
      </c>
      <c r="L173" s="7">
        <v>0</v>
      </c>
      <c r="M173" s="11">
        <f t="shared" si="2"/>
        <v>0</v>
      </c>
      <c r="N173" s="11">
        <f t="shared" si="3"/>
        <v>0</v>
      </c>
      <c r="O173" s="11">
        <f t="shared" si="4"/>
        <v>0</v>
      </c>
      <c r="P173" s="11">
        <f t="shared" si="18"/>
        <v>0</v>
      </c>
    </row>
    <row r="174" spans="1:16" ht="15" hidden="1" customHeight="1">
      <c r="A174" s="44"/>
      <c r="B174" s="5">
        <f t="shared" si="20"/>
        <v>45627</v>
      </c>
      <c r="C174" s="1" t="s">
        <v>533</v>
      </c>
      <c r="D174" s="195"/>
      <c r="E174" s="186"/>
      <c r="F174" s="2"/>
      <c r="G174" s="3">
        <f t="shared" si="19"/>
        <v>0</v>
      </c>
      <c r="H174" s="187"/>
      <c r="I174" s="7"/>
      <c r="J174" s="7">
        <v>1.6500000000000001E-2</v>
      </c>
      <c r="K174" s="7">
        <v>7.5999999999999998E-2</v>
      </c>
      <c r="L174" s="7">
        <v>0</v>
      </c>
      <c r="M174" s="11">
        <f t="shared" si="2"/>
        <v>0</v>
      </c>
      <c r="N174" s="11">
        <f t="shared" si="3"/>
        <v>0</v>
      </c>
      <c r="O174" s="11">
        <f t="shared" si="4"/>
        <v>0</v>
      </c>
      <c r="P174" s="11">
        <f t="shared" si="18"/>
        <v>0</v>
      </c>
    </row>
    <row r="175" spans="1:16" ht="15" hidden="1" customHeight="1">
      <c r="A175" s="44"/>
      <c r="B175" s="5">
        <f t="shared" si="20"/>
        <v>45627</v>
      </c>
      <c r="C175" s="1" t="s">
        <v>533</v>
      </c>
      <c r="D175" s="195"/>
      <c r="E175" s="186"/>
      <c r="F175" s="2"/>
      <c r="G175" s="3">
        <f t="shared" si="15"/>
        <v>0</v>
      </c>
      <c r="H175" s="187"/>
      <c r="I175" s="7"/>
      <c r="J175" s="7">
        <v>1.6500000000000001E-2</v>
      </c>
      <c r="K175" s="7">
        <v>7.5999999999999998E-2</v>
      </c>
      <c r="L175" s="7">
        <v>0</v>
      </c>
      <c r="M175" s="11">
        <f t="shared" si="2"/>
        <v>0</v>
      </c>
      <c r="N175" s="11">
        <f t="shared" si="3"/>
        <v>0</v>
      </c>
      <c r="O175" s="11">
        <f t="shared" si="4"/>
        <v>0</v>
      </c>
      <c r="P175" s="11">
        <f t="shared" si="18"/>
        <v>0</v>
      </c>
    </row>
    <row r="176" spans="1:16" ht="15" hidden="1" customHeight="1">
      <c r="A176" s="44"/>
      <c r="B176" s="5">
        <f t="shared" si="20"/>
        <v>45627</v>
      </c>
      <c r="C176" s="1" t="s">
        <v>533</v>
      </c>
      <c r="D176" s="195"/>
      <c r="E176" s="186"/>
      <c r="F176" s="2"/>
      <c r="G176" s="3">
        <f t="shared" si="15"/>
        <v>0</v>
      </c>
      <c r="H176" s="187"/>
      <c r="I176" s="7"/>
      <c r="J176" s="7">
        <v>1.6500000000000001E-2</v>
      </c>
      <c r="K176" s="7">
        <v>7.5999999999999998E-2</v>
      </c>
      <c r="L176" s="7">
        <v>0</v>
      </c>
      <c r="M176" s="11">
        <f t="shared" si="2"/>
        <v>0</v>
      </c>
      <c r="N176" s="11">
        <f t="shared" si="3"/>
        <v>0</v>
      </c>
      <c r="O176" s="11">
        <f t="shared" si="4"/>
        <v>0</v>
      </c>
      <c r="P176" s="11">
        <f t="shared" si="18"/>
        <v>0</v>
      </c>
    </row>
    <row r="177" spans="1:16" hidden="1">
      <c r="A177" s="44"/>
      <c r="B177" s="5">
        <f t="shared" si="20"/>
        <v>45627</v>
      </c>
      <c r="C177" s="1" t="s">
        <v>533</v>
      </c>
      <c r="D177" s="195"/>
      <c r="E177" s="186"/>
      <c r="F177" s="2"/>
      <c r="G177" s="3">
        <f t="shared" si="15"/>
        <v>0</v>
      </c>
      <c r="H177" s="187"/>
      <c r="I177" s="7"/>
      <c r="J177" s="7">
        <v>1.6500000000000001E-2</v>
      </c>
      <c r="K177" s="7">
        <v>7.5999999999999998E-2</v>
      </c>
      <c r="L177" s="7">
        <v>0</v>
      </c>
      <c r="M177" s="11">
        <f t="shared" si="2"/>
        <v>0</v>
      </c>
      <c r="N177" s="11">
        <f t="shared" si="3"/>
        <v>0</v>
      </c>
      <c r="O177" s="11">
        <f t="shared" si="4"/>
        <v>0</v>
      </c>
      <c r="P177" s="11">
        <f t="shared" si="18"/>
        <v>0</v>
      </c>
    </row>
    <row r="178" spans="1:16">
      <c r="B178" s="5"/>
      <c r="C178" s="1"/>
      <c r="E178" s="1"/>
      <c r="F178" s="2"/>
      <c r="G178" s="4"/>
      <c r="H178" s="4"/>
      <c r="I178" s="7"/>
      <c r="J178" s="7"/>
      <c r="K178" s="7"/>
      <c r="L178" s="7"/>
    </row>
    <row r="179" spans="1:16">
      <c r="E179" s="28">
        <f>SUM(E19:E178)</f>
        <v>46138694.089999996</v>
      </c>
      <c r="F179" s="133"/>
      <c r="G179" s="29">
        <f>SUM(G19:G178)</f>
        <v>109728349.97137202</v>
      </c>
    </row>
    <row r="180" spans="1:16">
      <c r="E180" s="137"/>
      <c r="F180" s="41"/>
    </row>
    <row r="181" spans="1:16" ht="15.75" thickBot="1"/>
    <row r="182" spans="1:16">
      <c r="B182" s="391" t="s">
        <v>795</v>
      </c>
      <c r="C182" s="383"/>
      <c r="D182" s="383"/>
      <c r="E182" s="383"/>
      <c r="F182" s="383"/>
      <c r="G182" s="383"/>
      <c r="H182" s="383"/>
      <c r="I182" s="383"/>
      <c r="J182" s="383"/>
      <c r="K182" s="383"/>
      <c r="L182" s="383"/>
      <c r="M182" s="383"/>
      <c r="N182" s="383"/>
      <c r="O182" s="384"/>
    </row>
    <row r="183" spans="1:16">
      <c r="B183" s="385"/>
      <c r="C183" s="386"/>
      <c r="D183" s="386"/>
      <c r="E183" s="386"/>
      <c r="F183" s="386"/>
      <c r="G183" s="386"/>
      <c r="H183" s="386"/>
      <c r="I183" s="386"/>
      <c r="J183" s="386"/>
      <c r="K183" s="386"/>
      <c r="L183" s="386"/>
      <c r="M183" s="386"/>
      <c r="N183" s="386"/>
      <c r="O183" s="387"/>
    </row>
    <row r="184" spans="1:16">
      <c r="B184" s="385"/>
      <c r="C184" s="386"/>
      <c r="D184" s="386"/>
      <c r="E184" s="386"/>
      <c r="F184" s="386"/>
      <c r="G184" s="386"/>
      <c r="H184" s="386"/>
      <c r="I184" s="386"/>
      <c r="J184" s="386"/>
      <c r="K184" s="386"/>
      <c r="L184" s="386"/>
      <c r="M184" s="386"/>
      <c r="N184" s="386"/>
      <c r="O184" s="387"/>
    </row>
    <row r="185" spans="1:16">
      <c r="B185" s="385"/>
      <c r="C185" s="386"/>
      <c r="D185" s="386"/>
      <c r="E185" s="386"/>
      <c r="F185" s="386"/>
      <c r="G185" s="386"/>
      <c r="H185" s="386"/>
      <c r="I185" s="386"/>
      <c r="J185" s="386"/>
      <c r="K185" s="386"/>
      <c r="L185" s="386"/>
      <c r="M185" s="386"/>
      <c r="N185" s="386"/>
      <c r="O185" s="387"/>
    </row>
    <row r="186" spans="1:16" ht="27" customHeight="1">
      <c r="B186" s="385"/>
      <c r="C186" s="386"/>
      <c r="D186" s="386"/>
      <c r="E186" s="386"/>
      <c r="F186" s="386"/>
      <c r="G186" s="386"/>
      <c r="H186" s="386"/>
      <c r="I186" s="386"/>
      <c r="J186" s="386"/>
      <c r="K186" s="386"/>
      <c r="L186" s="386"/>
      <c r="M186" s="386"/>
      <c r="N186" s="386"/>
      <c r="O186" s="387"/>
    </row>
    <row r="187" spans="1:16" ht="44.25" customHeight="1" thickBot="1">
      <c r="B187" s="388"/>
      <c r="C187" s="389"/>
      <c r="D187" s="389"/>
      <c r="E187" s="389"/>
      <c r="F187" s="389"/>
      <c r="G187" s="389"/>
      <c r="H187" s="389"/>
      <c r="I187" s="389"/>
      <c r="J187" s="389"/>
      <c r="K187" s="389"/>
      <c r="L187" s="389"/>
      <c r="M187" s="389"/>
      <c r="N187" s="389"/>
      <c r="O187" s="390"/>
    </row>
  </sheetData>
  <mergeCells count="3">
    <mergeCell ref="C2:M2"/>
    <mergeCell ref="M17:P17"/>
    <mergeCell ref="B182:O187"/>
  </mergeCells>
  <conditionalFormatting sqref="D1:D1048576">
    <cfRule type="duplicateValues" dxfId="81" priority="1"/>
    <cfRule type="duplicateValues" dxfId="80" priority="2"/>
  </conditionalFormatting>
  <conditionalFormatting sqref="D7 D10">
    <cfRule type="duplicateValues" dxfId="79" priority="3"/>
  </conditionalFormatting>
  <conditionalFormatting sqref="D19:D40">
    <cfRule type="duplicateValues" dxfId="78" priority="5"/>
  </conditionalFormatting>
  <conditionalFormatting sqref="D181:D1048576 D1:D179">
    <cfRule type="duplicateValues" dxfId="77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DF41-82C1-4173-9230-4B5F53B83453}">
  <sheetPr>
    <pageSetUpPr fitToPage="1"/>
  </sheetPr>
  <dimension ref="A2:P187"/>
  <sheetViews>
    <sheetView showGridLines="0" zoomScale="90" zoomScaleNormal="90" workbookViewId="0"/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3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3" ht="23.25">
      <c r="C3" s="13">
        <v>45658</v>
      </c>
    </row>
    <row r="5" spans="3:13">
      <c r="C5" t="s">
        <v>17</v>
      </c>
      <c r="D5" s="14">
        <f ca="1">SUMIF($C$19:$G$177,$C$5:$C$11,$G$19:$G$177)/SUMIF($C$19:$G$177,$C$5:$C$11,$E$19:$E$177)</f>
        <v>2.4000524896395956</v>
      </c>
    </row>
    <row r="6" spans="3:13">
      <c r="C6" t="s">
        <v>440</v>
      </c>
      <c r="D6" s="14">
        <f ca="1">SUMIF($C$19:$G$177,$C$5:$C$11,$G$19:$G$177)/SUMIF($C$19:$G$177,$C$5:$C$11,$E$19:$E$177)</f>
        <v>2.1507014924999996</v>
      </c>
    </row>
    <row r="7" spans="3:13">
      <c r="C7" t="s">
        <v>491</v>
      </c>
      <c r="D7" s="14">
        <f t="shared" ref="D7:D11" ca="1" si="0">SUMIF($C$19:$G$177,$C$5:$C$11,$G$19:$G$177)/SUMIF($C$19:$G$177,$C$5:$C$11,$E$19:$E$177)</f>
        <v>2.1403000004525805</v>
      </c>
    </row>
    <row r="8" spans="3:13">
      <c r="C8" t="s">
        <v>756</v>
      </c>
      <c r="D8" s="14">
        <f t="shared" ca="1" si="0"/>
        <v>3.4384560290612542</v>
      </c>
      <c r="I8" s="19"/>
    </row>
    <row r="9" spans="3:13">
      <c r="C9" t="s">
        <v>757</v>
      </c>
      <c r="D9" s="14">
        <f t="shared" ca="1" si="0"/>
        <v>3.8513832551622134</v>
      </c>
      <c r="E9" s="14"/>
      <c r="F9" s="32"/>
      <c r="H9" s="137"/>
      <c r="I9" s="19"/>
    </row>
    <row r="10" spans="3:13">
      <c r="C10" t="s">
        <v>534</v>
      </c>
      <c r="D10" s="14" t="e">
        <f t="shared" ca="1" si="0"/>
        <v>#DIV/0!</v>
      </c>
    </row>
    <row r="11" spans="3:13">
      <c r="C11" t="s">
        <v>533</v>
      </c>
      <c r="D11" s="14" t="e">
        <f t="shared" ca="1" si="0"/>
        <v>#DIV/0!</v>
      </c>
    </row>
    <row r="12" spans="3:13">
      <c r="C12" s="30" t="s">
        <v>129</v>
      </c>
      <c r="D12" s="31">
        <f>+G179/E179</f>
        <v>2.3622540597123631</v>
      </c>
    </row>
    <row r="13" spans="3:13">
      <c r="D13" s="19"/>
    </row>
    <row r="14" spans="3:13">
      <c r="D14" s="22"/>
    </row>
    <row r="16" spans="3:13">
      <c r="E16" s="137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 ht="18.75" customHeight="1">
      <c r="A19" s="44"/>
      <c r="B19" s="5">
        <f>C3</f>
        <v>45658</v>
      </c>
      <c r="C19" s="1" t="s">
        <v>17</v>
      </c>
      <c r="D19" s="194" t="s">
        <v>813</v>
      </c>
      <c r="E19" s="1">
        <v>3799257</v>
      </c>
      <c r="F19" s="2">
        <v>11511948.52</v>
      </c>
      <c r="G19" s="3">
        <f t="shared" ref="G19:G38" si="1">F19-SUM(M19:P19)</f>
        <v>9193442.0880720001</v>
      </c>
      <c r="H19" s="202">
        <f>+IF(G19=0,0,G19/E19)</f>
        <v>2.4197999998610253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ref="M19:M177" si="2">+I19*F19</f>
        <v>1381433.8223999999</v>
      </c>
      <c r="N19" s="11">
        <f t="shared" ref="N19:N177" si="3">J19*(F19-M19)</f>
        <v>167153.49251040001</v>
      </c>
      <c r="O19" s="11">
        <f t="shared" ref="O19:O177" si="4">K19*(F19-M19)</f>
        <v>769919.11701759999</v>
      </c>
      <c r="P19" s="11">
        <f t="shared" ref="P19:P133" si="5">L19*(F19)</f>
        <v>0</v>
      </c>
    </row>
    <row r="20" spans="1:16">
      <c r="A20" s="44"/>
      <c r="B20" s="5">
        <f>B19</f>
        <v>45658</v>
      </c>
      <c r="C20" s="1" t="s">
        <v>17</v>
      </c>
      <c r="D20" s="194" t="s">
        <v>814</v>
      </c>
      <c r="E20" s="1">
        <v>207383</v>
      </c>
      <c r="F20" s="2">
        <v>558574.65</v>
      </c>
      <c r="G20" s="3">
        <f t="shared" si="1"/>
        <v>471423.04023375001</v>
      </c>
      <c r="H20" s="202">
        <f t="shared" ref="H20:H41" si="6">+IF(G20=0,0,G20/E20)</f>
        <v>2.2732000223439242</v>
      </c>
      <c r="I20" s="200">
        <v>7.0000000000000007E-2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39100.225500000008</v>
      </c>
      <c r="N20" s="11">
        <f t="shared" si="3"/>
        <v>8571.328004250001</v>
      </c>
      <c r="O20" s="11">
        <f t="shared" si="4"/>
        <v>39480.056261999998</v>
      </c>
      <c r="P20" s="11">
        <f t="shared" si="5"/>
        <v>0</v>
      </c>
    </row>
    <row r="21" spans="1:16">
      <c r="A21" s="44"/>
      <c r="B21" s="5">
        <f t="shared" ref="B21:B39" si="7">B20</f>
        <v>45658</v>
      </c>
      <c r="C21" s="1" t="s">
        <v>17</v>
      </c>
      <c r="D21" s="194" t="s">
        <v>815</v>
      </c>
      <c r="E21" s="1">
        <v>10250262</v>
      </c>
      <c r="F21" s="2">
        <v>31058832.949999999</v>
      </c>
      <c r="G21" s="3">
        <f t="shared" si="1"/>
        <v>24803583.993869998</v>
      </c>
      <c r="H21" s="202">
        <f>+IF(G21=0,0,G21/E21)</f>
        <v>2.4198000006116915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3727059.9539999999</v>
      </c>
      <c r="N21" s="11">
        <f t="shared" si="3"/>
        <v>450974.254434</v>
      </c>
      <c r="O21" s="11">
        <f t="shared" si="4"/>
        <v>2077214.7476959999</v>
      </c>
      <c r="P21" s="11">
        <f t="shared" si="5"/>
        <v>0</v>
      </c>
    </row>
    <row r="22" spans="1:16">
      <c r="A22" s="44"/>
      <c r="B22" s="5">
        <f t="shared" si="7"/>
        <v>45658</v>
      </c>
      <c r="C22" s="1" t="s">
        <v>17</v>
      </c>
      <c r="D22" s="214" t="s">
        <v>816</v>
      </c>
      <c r="E22" s="1">
        <v>5218</v>
      </c>
      <c r="F22" s="2">
        <v>12680.4</v>
      </c>
      <c r="G22" s="3">
        <f t="shared" si="1"/>
        <v>10126.567439999999</v>
      </c>
      <c r="H22" s="202">
        <f>+IF(G22=0,0,G22/E22)</f>
        <v>1.9406990111153697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1521.6479999999999</v>
      </c>
      <c r="N22" s="11">
        <f t="shared" si="3"/>
        <v>184.11940800000002</v>
      </c>
      <c r="O22" s="11">
        <f t="shared" si="4"/>
        <v>848.06515200000001</v>
      </c>
      <c r="P22" s="11">
        <f t="shared" si="5"/>
        <v>0</v>
      </c>
    </row>
    <row r="23" spans="1:16">
      <c r="A23" s="44"/>
      <c r="B23" s="5">
        <f t="shared" si="7"/>
        <v>45658</v>
      </c>
      <c r="C23" s="1" t="s">
        <v>17</v>
      </c>
      <c r="D23" s="195" t="s">
        <v>817</v>
      </c>
      <c r="E23" s="1">
        <v>175454</v>
      </c>
      <c r="F23" s="2">
        <v>531634.85</v>
      </c>
      <c r="G23" s="3">
        <f t="shared" si="1"/>
        <v>424563.59120999998</v>
      </c>
      <c r="H23" s="202">
        <f t="shared" si="6"/>
        <v>2.4198000114559939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63796.181999999993</v>
      </c>
      <c r="N23" s="11">
        <f t="shared" si="3"/>
        <v>7719.3380220000008</v>
      </c>
      <c r="O23" s="11">
        <f t="shared" si="4"/>
        <v>35555.738768000003</v>
      </c>
      <c r="P23" s="11">
        <f t="shared" si="5"/>
        <v>0</v>
      </c>
    </row>
    <row r="24" spans="1:16">
      <c r="A24" s="44"/>
      <c r="B24" s="5">
        <f t="shared" si="7"/>
        <v>45658</v>
      </c>
      <c r="C24" s="1" t="s">
        <v>17</v>
      </c>
      <c r="D24" s="194" t="s">
        <v>818</v>
      </c>
      <c r="E24" s="1">
        <v>3339</v>
      </c>
      <c r="F24" s="2">
        <v>9504.4</v>
      </c>
      <c r="G24" s="3">
        <f t="shared" si="1"/>
        <v>7590.2138399999994</v>
      </c>
      <c r="H24" s="202">
        <f t="shared" si="6"/>
        <v>2.2731997124887688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1140.528</v>
      </c>
      <c r="N24" s="11">
        <f t="shared" si="3"/>
        <v>138.00388799999999</v>
      </c>
      <c r="O24" s="11">
        <f t="shared" si="4"/>
        <v>635.65427199999999</v>
      </c>
      <c r="P24" s="11">
        <f t="shared" si="5"/>
        <v>0</v>
      </c>
    </row>
    <row r="25" spans="1:16">
      <c r="A25" s="44"/>
      <c r="B25" s="5">
        <f t="shared" si="7"/>
        <v>45658</v>
      </c>
      <c r="C25" s="1" t="s">
        <v>17</v>
      </c>
      <c r="D25" s="194" t="s">
        <v>819</v>
      </c>
      <c r="E25" s="1">
        <v>686129</v>
      </c>
      <c r="F25" s="2">
        <v>1577736.96</v>
      </c>
      <c r="G25" s="3">
        <f t="shared" si="1"/>
        <v>1331570.550816</v>
      </c>
      <c r="H25" s="202">
        <f t="shared" si="6"/>
        <v>1.9407000007520452</v>
      </c>
      <c r="I25" s="200">
        <v>7.0000000000000007E-2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110441.58720000001</v>
      </c>
      <c r="N25" s="11">
        <f t="shared" si="3"/>
        <v>24210.3736512</v>
      </c>
      <c r="O25" s="11">
        <f t="shared" si="4"/>
        <v>111514.44833279999</v>
      </c>
      <c r="P25" s="11">
        <f t="shared" si="5"/>
        <v>0</v>
      </c>
    </row>
    <row r="26" spans="1:16">
      <c r="A26" s="44"/>
      <c r="B26" s="5">
        <f t="shared" si="7"/>
        <v>45658</v>
      </c>
      <c r="C26" s="1" t="s">
        <v>17</v>
      </c>
      <c r="D26" s="196" t="s">
        <v>820</v>
      </c>
      <c r="E26" s="1">
        <v>71246</v>
      </c>
      <c r="F26" s="2">
        <v>173136.88</v>
      </c>
      <c r="G26" s="3">
        <f t="shared" si="1"/>
        <v>138267.112368</v>
      </c>
      <c r="H26" s="202">
        <f t="shared" si="6"/>
        <v>1.9407000023580272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20776.425599999999</v>
      </c>
      <c r="N26" s="11">
        <f t="shared" si="3"/>
        <v>2513.9474976000006</v>
      </c>
      <c r="O26" s="11">
        <f t="shared" si="4"/>
        <v>11579.3945344</v>
      </c>
      <c r="P26" s="11">
        <f t="shared" si="5"/>
        <v>0</v>
      </c>
    </row>
    <row r="27" spans="1:16">
      <c r="A27" s="44"/>
      <c r="B27" s="5">
        <f t="shared" si="7"/>
        <v>45658</v>
      </c>
      <c r="C27" s="1" t="s">
        <v>17</v>
      </c>
      <c r="D27" s="194" t="s">
        <v>821</v>
      </c>
      <c r="E27" s="1">
        <v>100358</v>
      </c>
      <c r="F27" s="2">
        <v>285667.18</v>
      </c>
      <c r="G27" s="3">
        <f t="shared" si="1"/>
        <v>228133.80994800001</v>
      </c>
      <c r="H27" s="202">
        <f t="shared" si="6"/>
        <v>2.2732000433248971</v>
      </c>
      <c r="I27" s="200">
        <v>0.12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34280.061600000001</v>
      </c>
      <c r="N27" s="11">
        <f t="shared" si="3"/>
        <v>4147.8874535999994</v>
      </c>
      <c r="O27" s="11">
        <f t="shared" si="4"/>
        <v>19105.420998399997</v>
      </c>
      <c r="P27" s="11">
        <f t="shared" si="5"/>
        <v>0</v>
      </c>
    </row>
    <row r="28" spans="1:16">
      <c r="A28" s="44"/>
      <c r="B28" s="5">
        <f t="shared" si="7"/>
        <v>45658</v>
      </c>
      <c r="C28" s="1" t="s">
        <v>17</v>
      </c>
      <c r="D28" s="194" t="s">
        <v>822</v>
      </c>
      <c r="E28" s="1">
        <v>49066</v>
      </c>
      <c r="F28" s="2">
        <v>139665.45000000001</v>
      </c>
      <c r="G28" s="3">
        <f t="shared" si="1"/>
        <v>111536.82837</v>
      </c>
      <c r="H28" s="202">
        <f t="shared" si="6"/>
        <v>2.2731999423225862</v>
      </c>
      <c r="I28" s="200">
        <v>0.12</v>
      </c>
      <c r="J28" s="7">
        <v>1.6500000000000001E-2</v>
      </c>
      <c r="K28" s="7">
        <v>7.5999999999999998E-2</v>
      </c>
      <c r="L28" s="7">
        <v>0</v>
      </c>
      <c r="M28" s="11">
        <f t="shared" si="2"/>
        <v>16759.853999999999</v>
      </c>
      <c r="N28" s="11">
        <f t="shared" si="3"/>
        <v>2027.9423340000005</v>
      </c>
      <c r="O28" s="11">
        <f t="shared" si="4"/>
        <v>9340.8252960000009</v>
      </c>
      <c r="P28" s="11">
        <f t="shared" si="5"/>
        <v>0</v>
      </c>
    </row>
    <row r="29" spans="1:16">
      <c r="A29" s="44"/>
      <c r="B29" s="5">
        <f t="shared" si="7"/>
        <v>45658</v>
      </c>
      <c r="C29" s="1" t="s">
        <v>17</v>
      </c>
      <c r="D29" s="194" t="s">
        <v>823</v>
      </c>
      <c r="E29" s="1">
        <v>13127976</v>
      </c>
      <c r="F29" s="2">
        <v>37639830.939999998</v>
      </c>
      <c r="G29" s="3">
        <f t="shared" si="1"/>
        <v>31767076.317586496</v>
      </c>
      <c r="H29" s="202">
        <f>+IF(G29=0,0,G29/E29)</f>
        <v>2.4197999994505244</v>
      </c>
      <c r="I29" s="200">
        <v>7.0000000000000007E-2</v>
      </c>
      <c r="J29" s="7">
        <v>1.6500000000000001E-2</v>
      </c>
      <c r="K29" s="7">
        <v>7.5999999999999998E-2</v>
      </c>
      <c r="L29" s="7">
        <v>0</v>
      </c>
      <c r="M29" s="11">
        <f t="shared" si="2"/>
        <v>2634788.1658000001</v>
      </c>
      <c r="N29" s="11">
        <f t="shared" si="3"/>
        <v>577583.20577430003</v>
      </c>
      <c r="O29" s="11">
        <f t="shared" si="4"/>
        <v>2660383.2508391999</v>
      </c>
      <c r="P29" s="11">
        <f t="shared" si="5"/>
        <v>0</v>
      </c>
    </row>
    <row r="30" spans="1:16">
      <c r="A30" s="44"/>
      <c r="B30" s="5">
        <f t="shared" si="7"/>
        <v>45658</v>
      </c>
      <c r="C30" s="1" t="s">
        <v>17</v>
      </c>
      <c r="D30" s="194" t="s">
        <v>824</v>
      </c>
      <c r="E30" s="1">
        <v>313851</v>
      </c>
      <c r="F30" s="2">
        <v>762698.02</v>
      </c>
      <c r="G30" s="3">
        <f t="shared" si="1"/>
        <v>609090.63877200009</v>
      </c>
      <c r="H30" s="202">
        <f>+IF(G30=0,0,G30/E30)</f>
        <v>1.9407000097880844</v>
      </c>
      <c r="I30" s="200">
        <v>0.12</v>
      </c>
      <c r="J30" s="7">
        <v>1.6500000000000001E-2</v>
      </c>
      <c r="K30" s="7">
        <v>7.5999999999999998E-2</v>
      </c>
      <c r="L30" s="7">
        <v>0</v>
      </c>
      <c r="M30" s="11">
        <f t="shared" si="2"/>
        <v>91523.762399999992</v>
      </c>
      <c r="N30" s="11">
        <f t="shared" si="3"/>
        <v>11074.3752504</v>
      </c>
      <c r="O30" s="11">
        <f t="shared" si="4"/>
        <v>51009.243577599998</v>
      </c>
      <c r="P30" s="11">
        <f t="shared" si="5"/>
        <v>0</v>
      </c>
    </row>
    <row r="31" spans="1:16">
      <c r="A31" s="44"/>
      <c r="B31" s="5">
        <f t="shared" si="7"/>
        <v>45658</v>
      </c>
      <c r="C31" s="1" t="s">
        <v>830</v>
      </c>
      <c r="D31" s="194" t="s">
        <v>831</v>
      </c>
      <c r="E31" s="1">
        <v>2710000</v>
      </c>
      <c r="F31" s="2">
        <v>6822352.7800000003</v>
      </c>
      <c r="G31" s="3">
        <f t="shared" si="1"/>
        <v>5448330.9301080005</v>
      </c>
      <c r="H31" s="202">
        <f t="shared" si="6"/>
        <v>2.0104542177520299</v>
      </c>
      <c r="I31" s="200">
        <v>0.12</v>
      </c>
      <c r="J31" s="7">
        <v>1.6500000000000001E-2</v>
      </c>
      <c r="K31" s="7">
        <v>7.5999999999999998E-2</v>
      </c>
      <c r="L31" s="7">
        <v>0</v>
      </c>
      <c r="M31" s="11">
        <f t="shared" si="2"/>
        <v>818682.33360000001</v>
      </c>
      <c r="N31" s="11">
        <f t="shared" si="3"/>
        <v>99060.562365599995</v>
      </c>
      <c r="O31" s="11">
        <f t="shared" si="4"/>
        <v>456278.95392639999</v>
      </c>
      <c r="P31" s="11">
        <f t="shared" si="5"/>
        <v>0</v>
      </c>
    </row>
    <row r="32" spans="1:16">
      <c r="A32" s="44"/>
      <c r="B32" s="5">
        <f t="shared" si="7"/>
        <v>45658</v>
      </c>
      <c r="C32" s="1" t="s">
        <v>830</v>
      </c>
      <c r="D32" s="194" t="s">
        <v>832</v>
      </c>
      <c r="E32" s="1">
        <v>2250000</v>
      </c>
      <c r="F32" s="2">
        <v>5511668.8700000001</v>
      </c>
      <c r="G32" s="3">
        <f t="shared" si="1"/>
        <v>4401618.7595819999</v>
      </c>
      <c r="H32" s="202">
        <f t="shared" si="6"/>
        <v>1.9562750042586665</v>
      </c>
      <c r="I32" s="200">
        <v>0.12</v>
      </c>
      <c r="J32" s="7">
        <v>1.6500000000000001E-2</v>
      </c>
      <c r="K32" s="7">
        <v>7.5999999999999998E-2</v>
      </c>
      <c r="L32" s="7">
        <v>0</v>
      </c>
      <c r="M32" s="11">
        <f t="shared" si="2"/>
        <v>661400.26439999999</v>
      </c>
      <c r="N32" s="11">
        <f t="shared" si="3"/>
        <v>80029.431992400016</v>
      </c>
      <c r="O32" s="11">
        <f t="shared" si="4"/>
        <v>368620.41402560001</v>
      </c>
      <c r="P32" s="11">
        <f t="shared" si="5"/>
        <v>0</v>
      </c>
    </row>
    <row r="33" spans="1:16">
      <c r="A33" s="44"/>
      <c r="B33" s="5">
        <f t="shared" si="7"/>
        <v>45658</v>
      </c>
      <c r="C33" s="1" t="s">
        <v>440</v>
      </c>
      <c r="D33" s="194" t="s">
        <v>826</v>
      </c>
      <c r="E33" s="1">
        <v>310000</v>
      </c>
      <c r="F33" s="2">
        <v>789973</v>
      </c>
      <c r="G33" s="3">
        <f t="shared" si="1"/>
        <v>666717.46267499996</v>
      </c>
      <c r="H33" s="202">
        <f t="shared" si="6"/>
        <v>2.1507014924999996</v>
      </c>
      <c r="I33" s="7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55298.110000000008</v>
      </c>
      <c r="N33" s="11">
        <f t="shared" si="3"/>
        <v>12122.135685000001</v>
      </c>
      <c r="O33" s="11">
        <f t="shared" si="4"/>
        <v>55835.291640000003</v>
      </c>
      <c r="P33" s="11">
        <f t="shared" si="5"/>
        <v>0</v>
      </c>
    </row>
    <row r="34" spans="1:16">
      <c r="A34" s="44"/>
      <c r="B34" s="5">
        <f t="shared" si="7"/>
        <v>45658</v>
      </c>
      <c r="C34" s="1" t="s">
        <v>491</v>
      </c>
      <c r="D34" s="194" t="s">
        <v>825</v>
      </c>
      <c r="E34" s="185">
        <v>6200000</v>
      </c>
      <c r="F34" s="2">
        <v>16616403.710000001</v>
      </c>
      <c r="G34" s="3">
        <f t="shared" si="1"/>
        <v>13269860.002806</v>
      </c>
      <c r="H34" s="202">
        <f>+IF(G34=0,0,G34/E34)</f>
        <v>2.1403000004525805</v>
      </c>
      <c r="I34" s="7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1993968.4452</v>
      </c>
      <c r="N34" s="11">
        <f t="shared" si="3"/>
        <v>241270.18186920002</v>
      </c>
      <c r="O34" s="11">
        <f t="shared" si="4"/>
        <v>1111305.0801248001</v>
      </c>
      <c r="P34" s="11">
        <f t="shared" si="5"/>
        <v>0</v>
      </c>
    </row>
    <row r="35" spans="1:16" hidden="1">
      <c r="A35" s="44"/>
      <c r="B35" s="5">
        <f t="shared" si="7"/>
        <v>45658</v>
      </c>
      <c r="C35" s="1" t="s">
        <v>491</v>
      </c>
      <c r="D35" s="194"/>
      <c r="E35" s="185"/>
      <c r="F35" s="2"/>
      <c r="G35" s="3">
        <f t="shared" ref="G35" si="8">F35-SUM(M35:P35)</f>
        <v>0</v>
      </c>
      <c r="H35" s="202">
        <f>+IF(G35=0,0,G35/E35)</f>
        <v>0</v>
      </c>
      <c r="I35" s="7">
        <v>0.12</v>
      </c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 hidden="1">
      <c r="A36" s="44"/>
      <c r="B36" s="5">
        <f>B32</f>
        <v>45658</v>
      </c>
      <c r="C36" s="1" t="s">
        <v>491</v>
      </c>
      <c r="D36" s="194"/>
      <c r="E36" s="1"/>
      <c r="F36" s="2"/>
      <c r="G36" s="3">
        <f t="shared" ref="G36:G37" si="9">F36-SUM(M36:P36)</f>
        <v>0</v>
      </c>
      <c r="H36" s="202">
        <f t="shared" si="6"/>
        <v>0</v>
      </c>
      <c r="I36" s="7">
        <v>0.12</v>
      </c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 hidden="1">
      <c r="A37" s="44"/>
      <c r="B37" s="5">
        <f>B33</f>
        <v>45658</v>
      </c>
      <c r="C37" s="1" t="s">
        <v>491</v>
      </c>
      <c r="D37" s="195"/>
      <c r="E37" s="118"/>
      <c r="F37" s="2"/>
      <c r="G37" s="3">
        <f t="shared" si="9"/>
        <v>0</v>
      </c>
      <c r="H37" s="202">
        <f t="shared" si="6"/>
        <v>0</v>
      </c>
      <c r="I37" s="7">
        <v>0.12</v>
      </c>
      <c r="J37" s="7">
        <v>1.6500000000000001E-2</v>
      </c>
      <c r="K37" s="7">
        <v>7.5999999999999998E-2</v>
      </c>
      <c r="L37" s="7">
        <v>0</v>
      </c>
      <c r="M37" s="11">
        <f t="shared" si="2"/>
        <v>0</v>
      </c>
      <c r="N37" s="11">
        <f t="shared" si="3"/>
        <v>0</v>
      </c>
      <c r="O37" s="11">
        <f t="shared" si="4"/>
        <v>0</v>
      </c>
      <c r="P37" s="11">
        <f t="shared" si="5"/>
        <v>0</v>
      </c>
    </row>
    <row r="38" spans="1:16">
      <c r="A38" s="44"/>
      <c r="B38" s="5">
        <f>B34</f>
        <v>45658</v>
      </c>
      <c r="C38" s="1" t="s">
        <v>756</v>
      </c>
      <c r="D38" s="195" t="s">
        <v>396</v>
      </c>
      <c r="E38" s="118">
        <v>45933.599999999999</v>
      </c>
      <c r="F38" s="2">
        <v>198166.74</v>
      </c>
      <c r="G38" s="3">
        <f t="shared" si="1"/>
        <v>142969.87165724998</v>
      </c>
      <c r="H38" s="202">
        <f t="shared" si="6"/>
        <v>3.1125335627351216</v>
      </c>
      <c r="I38" s="7">
        <v>0.20499999999999999</v>
      </c>
      <c r="J38" s="200">
        <v>1.6500000000000001E-2</v>
      </c>
      <c r="K38" s="200">
        <v>7.5999999999999998E-2</v>
      </c>
      <c r="L38" s="200">
        <v>0</v>
      </c>
      <c r="M38" s="11">
        <f t="shared" si="2"/>
        <v>40624.181699999994</v>
      </c>
      <c r="N38" s="11">
        <f t="shared" si="3"/>
        <v>2599.4522119500002</v>
      </c>
      <c r="O38" s="11">
        <f t="shared" si="4"/>
        <v>11973.234430799999</v>
      </c>
      <c r="P38" s="11">
        <f t="shared" si="5"/>
        <v>0</v>
      </c>
    </row>
    <row r="39" spans="1:16">
      <c r="A39" s="44"/>
      <c r="B39" s="5">
        <f t="shared" si="7"/>
        <v>45658</v>
      </c>
      <c r="C39" s="1" t="s">
        <v>756</v>
      </c>
      <c r="D39" s="212" t="s">
        <v>828</v>
      </c>
      <c r="E39" s="118">
        <v>750543.38</v>
      </c>
      <c r="F39" s="2">
        <v>3597804.74</v>
      </c>
      <c r="G39" s="3">
        <f t="shared" ref="G39" si="10">F39-SUM(M39:P39)</f>
        <v>2595681.20223225</v>
      </c>
      <c r="H39" s="202">
        <f t="shared" si="6"/>
        <v>3.4584026338787375</v>
      </c>
      <c r="I39" s="7">
        <v>0.20499999999999999</v>
      </c>
      <c r="J39" s="200">
        <v>1.6500000000000001E-2</v>
      </c>
      <c r="K39" s="200">
        <v>7.5999999999999998E-2</v>
      </c>
      <c r="L39" s="200">
        <v>0</v>
      </c>
      <c r="M39" s="11">
        <f t="shared" si="2"/>
        <v>737549.97169999999</v>
      </c>
      <c r="N39" s="11">
        <f t="shared" si="3"/>
        <v>47194.203676950005</v>
      </c>
      <c r="O39" s="11">
        <f t="shared" si="4"/>
        <v>217379.3623908</v>
      </c>
      <c r="P39" s="11">
        <f t="shared" si="5"/>
        <v>0</v>
      </c>
    </row>
    <row r="40" spans="1:16">
      <c r="A40" s="44"/>
      <c r="B40" s="5">
        <f>B39</f>
        <v>45658</v>
      </c>
      <c r="C40" s="1" t="s">
        <v>757</v>
      </c>
      <c r="D40" s="212" t="s">
        <v>827</v>
      </c>
      <c r="E40" s="118">
        <v>127191.58</v>
      </c>
      <c r="F40" s="2">
        <v>678986.81</v>
      </c>
      <c r="G40" s="3">
        <f t="shared" ref="G40:G177" si="11">F40-SUM(M40:P40)</f>
        <v>489863.52140962507</v>
      </c>
      <c r="H40" s="202">
        <f t="shared" si="6"/>
        <v>3.8513832551622134</v>
      </c>
      <c r="I40" s="7">
        <v>0.20499999999999999</v>
      </c>
      <c r="J40" s="7">
        <v>1.6500000000000001E-2</v>
      </c>
      <c r="K40" s="7">
        <v>7.5999999999999998E-2</v>
      </c>
      <c r="L40" s="7">
        <v>0</v>
      </c>
      <c r="M40" s="11">
        <f t="shared" si="2"/>
        <v>139192.29605</v>
      </c>
      <c r="N40" s="11">
        <f t="shared" si="3"/>
        <v>8906.6094801750005</v>
      </c>
      <c r="O40" s="11">
        <f t="shared" si="4"/>
        <v>41024.383060200002</v>
      </c>
      <c r="P40" s="11">
        <f t="shared" si="5"/>
        <v>0</v>
      </c>
    </row>
    <row r="41" spans="1:16" ht="15" hidden="1" customHeight="1">
      <c r="A41" s="44"/>
      <c r="B41" s="5">
        <f>B40</f>
        <v>45658</v>
      </c>
      <c r="C41" s="1" t="s">
        <v>757</v>
      </c>
      <c r="D41" s="195"/>
      <c r="E41" s="118"/>
      <c r="F41" s="2"/>
      <c r="G41" s="3">
        <f t="shared" si="11"/>
        <v>0</v>
      </c>
      <c r="H41" s="202">
        <f t="shared" si="6"/>
        <v>0</v>
      </c>
      <c r="I41" s="7">
        <v>0.20499999999999999</v>
      </c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t="15" customHeight="1">
      <c r="A42" s="44"/>
      <c r="B42" s="5">
        <f>B41</f>
        <v>45658</v>
      </c>
      <c r="C42" s="1" t="s">
        <v>792</v>
      </c>
      <c r="D42" s="195" t="s">
        <v>812</v>
      </c>
      <c r="E42" s="186"/>
      <c r="F42" s="2">
        <v>248250</v>
      </c>
      <c r="G42" s="3">
        <f t="shared" si="11"/>
        <v>225286.875</v>
      </c>
      <c r="H42" s="187"/>
      <c r="I42" s="193">
        <v>0</v>
      </c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4096.125</v>
      </c>
      <c r="O42" s="11">
        <f t="shared" si="4"/>
        <v>18867</v>
      </c>
      <c r="P42" s="11">
        <f t="shared" si="5"/>
        <v>0</v>
      </c>
    </row>
    <row r="43" spans="1:16" ht="15" customHeight="1">
      <c r="A43" s="44"/>
      <c r="B43" s="5">
        <f t="shared" ref="B43:B106" si="12">B42</f>
        <v>45658</v>
      </c>
      <c r="C43" s="1" t="s">
        <v>533</v>
      </c>
      <c r="D43" s="195">
        <v>5220</v>
      </c>
      <c r="E43" s="186"/>
      <c r="F43" s="2">
        <v>26166.52</v>
      </c>
      <c r="G43" s="3">
        <f t="shared" si="11"/>
        <v>20896.582871999999</v>
      </c>
      <c r="H43" s="187"/>
      <c r="I43" s="7">
        <v>0.12</v>
      </c>
      <c r="J43" s="7">
        <v>1.6500000000000001E-2</v>
      </c>
      <c r="K43" s="7">
        <v>7.5999999999999998E-2</v>
      </c>
      <c r="L43" s="7">
        <v>0</v>
      </c>
      <c r="M43" s="11">
        <f t="shared" si="2"/>
        <v>3139.9823999999999</v>
      </c>
      <c r="N43" s="11">
        <f t="shared" si="3"/>
        <v>379.93787040000001</v>
      </c>
      <c r="O43" s="11">
        <f t="shared" si="4"/>
        <v>1750.0168575999999</v>
      </c>
      <c r="P43" s="11">
        <f t="shared" si="5"/>
        <v>0</v>
      </c>
    </row>
    <row r="44" spans="1:16" ht="15" customHeight="1">
      <c r="A44" s="44"/>
      <c r="B44" s="5">
        <f t="shared" si="12"/>
        <v>45658</v>
      </c>
      <c r="C44" s="1" t="s">
        <v>533</v>
      </c>
      <c r="D44" s="195">
        <v>5221</v>
      </c>
      <c r="E44" s="186"/>
      <c r="F44" s="2">
        <v>27453.4</v>
      </c>
      <c r="G44" s="3">
        <f t="shared" si="11"/>
        <v>21924.285240000001</v>
      </c>
      <c r="H44" s="187"/>
      <c r="I44" s="7">
        <v>0.12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3294.4079999999999</v>
      </c>
      <c r="N44" s="11">
        <f t="shared" si="3"/>
        <v>398.62336800000003</v>
      </c>
      <c r="O44" s="11">
        <f t="shared" si="4"/>
        <v>1836.083392</v>
      </c>
      <c r="P44" s="11">
        <f t="shared" si="5"/>
        <v>0</v>
      </c>
    </row>
    <row r="45" spans="1:16" ht="15" customHeight="1">
      <c r="A45" s="44"/>
      <c r="B45" s="5">
        <f t="shared" si="12"/>
        <v>45658</v>
      </c>
      <c r="C45" s="1" t="s">
        <v>533</v>
      </c>
      <c r="D45" s="195">
        <v>5275</v>
      </c>
      <c r="E45" s="186"/>
      <c r="F45" s="2">
        <v>6777.85</v>
      </c>
      <c r="G45" s="3">
        <f t="shared" si="11"/>
        <v>5412.7910100000008</v>
      </c>
      <c r="H45" s="187"/>
      <c r="I45" s="7">
        <v>0.12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813.34199999999998</v>
      </c>
      <c r="N45" s="11">
        <f t="shared" si="3"/>
        <v>98.414382000000018</v>
      </c>
      <c r="O45" s="11">
        <f t="shared" si="4"/>
        <v>453.30260800000002</v>
      </c>
      <c r="P45" s="11">
        <f t="shared" si="5"/>
        <v>0</v>
      </c>
    </row>
    <row r="46" spans="1:16" ht="15" customHeight="1">
      <c r="A46" s="44"/>
      <c r="B46" s="5">
        <f t="shared" si="12"/>
        <v>45658</v>
      </c>
      <c r="C46" s="1" t="s">
        <v>533</v>
      </c>
      <c r="D46" s="195">
        <v>5280</v>
      </c>
      <c r="E46" s="186"/>
      <c r="F46" s="2">
        <v>7716.45</v>
      </c>
      <c r="G46" s="3">
        <f t="shared" si="11"/>
        <v>6162.3569699999998</v>
      </c>
      <c r="H46" s="187"/>
      <c r="I46" s="7">
        <v>0.12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925.97399999999993</v>
      </c>
      <c r="N46" s="11">
        <f t="shared" si="3"/>
        <v>112.04285400000001</v>
      </c>
      <c r="O46" s="11">
        <f t="shared" si="4"/>
        <v>516.07617599999992</v>
      </c>
      <c r="P46" s="11">
        <f t="shared" si="5"/>
        <v>0</v>
      </c>
    </row>
    <row r="47" spans="1:16" ht="15" customHeight="1">
      <c r="A47" s="44"/>
      <c r="B47" s="5">
        <f t="shared" si="12"/>
        <v>45658</v>
      </c>
      <c r="C47" s="1" t="s">
        <v>533</v>
      </c>
      <c r="D47" s="195">
        <v>5283</v>
      </c>
      <c r="E47" s="186"/>
      <c r="F47" s="2">
        <v>135643.43</v>
      </c>
      <c r="G47" s="3">
        <f t="shared" si="11"/>
        <v>108324.84319799999</v>
      </c>
      <c r="H47" s="187"/>
      <c r="I47" s="7">
        <v>0.12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16277.211599999999</v>
      </c>
      <c r="N47" s="11">
        <f t="shared" si="3"/>
        <v>1969.5426036000001</v>
      </c>
      <c r="O47" s="11">
        <f t="shared" si="4"/>
        <v>9071.8325984000003</v>
      </c>
      <c r="P47" s="11">
        <f t="shared" si="5"/>
        <v>0</v>
      </c>
    </row>
    <row r="48" spans="1:16" ht="15" customHeight="1">
      <c r="A48" s="44"/>
      <c r="B48" s="5">
        <f t="shared" si="12"/>
        <v>45658</v>
      </c>
      <c r="C48" s="1" t="s">
        <v>533</v>
      </c>
      <c r="D48" s="195">
        <v>5289</v>
      </c>
      <c r="E48" s="186"/>
      <c r="F48" s="2">
        <v>217027.71</v>
      </c>
      <c r="G48" s="3">
        <f t="shared" si="11"/>
        <v>173318.32920599999</v>
      </c>
      <c r="H48" s="187"/>
      <c r="I48" s="7">
        <v>0.12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26043.325199999999</v>
      </c>
      <c r="N48" s="11">
        <f t="shared" si="3"/>
        <v>3151.2423492000003</v>
      </c>
      <c r="O48" s="11">
        <f t="shared" si="4"/>
        <v>14514.8132448</v>
      </c>
      <c r="P48" s="11">
        <f t="shared" si="5"/>
        <v>0</v>
      </c>
    </row>
    <row r="49" spans="1:16" ht="15" customHeight="1">
      <c r="A49" s="44"/>
      <c r="B49" s="5">
        <f t="shared" si="12"/>
        <v>45658</v>
      </c>
      <c r="C49" s="1" t="s">
        <v>533</v>
      </c>
      <c r="D49" s="195">
        <v>19438</v>
      </c>
      <c r="E49" s="186"/>
      <c r="F49" s="2">
        <v>204.56</v>
      </c>
      <c r="G49" s="3">
        <f t="shared" si="11"/>
        <v>172.64352600000001</v>
      </c>
      <c r="H49" s="187"/>
      <c r="I49" s="7">
        <v>7.0000000000000007E-2</v>
      </c>
      <c r="J49" s="7">
        <v>1.6500000000000001E-2</v>
      </c>
      <c r="K49" s="7">
        <v>7.5999999999999998E-2</v>
      </c>
      <c r="L49" s="7">
        <v>0</v>
      </c>
      <c r="M49" s="11">
        <f t="shared" si="2"/>
        <v>14.319200000000002</v>
      </c>
      <c r="N49" s="11">
        <f t="shared" si="3"/>
        <v>3.1389732000000001</v>
      </c>
      <c r="O49" s="11">
        <f t="shared" si="4"/>
        <v>14.4583008</v>
      </c>
      <c r="P49" s="11">
        <f t="shared" si="5"/>
        <v>0</v>
      </c>
    </row>
    <row r="50" spans="1:16" ht="15" customHeight="1">
      <c r="A50" s="44"/>
      <c r="B50" s="5">
        <f t="shared" si="12"/>
        <v>45658</v>
      </c>
      <c r="C50" s="1" t="s">
        <v>533</v>
      </c>
      <c r="D50" s="195">
        <v>19485</v>
      </c>
      <c r="E50" s="186"/>
      <c r="F50" s="2">
        <v>198.12</v>
      </c>
      <c r="G50" s="3">
        <f t="shared" si="11"/>
        <v>167.208327</v>
      </c>
      <c r="H50" s="187"/>
      <c r="I50" s="7">
        <v>7.0000000000000007E-2</v>
      </c>
      <c r="J50" s="7">
        <v>1.6500000000000001E-2</v>
      </c>
      <c r="K50" s="7">
        <v>7.5999999999999998E-2</v>
      </c>
      <c r="L50" s="7">
        <v>0</v>
      </c>
      <c r="M50" s="11">
        <f t="shared" si="2"/>
        <v>13.868400000000001</v>
      </c>
      <c r="N50" s="11">
        <f t="shared" si="3"/>
        <v>3.0401514000000001</v>
      </c>
      <c r="O50" s="11">
        <f t="shared" si="4"/>
        <v>14.0031216</v>
      </c>
      <c r="P50" s="11">
        <f t="shared" si="5"/>
        <v>0</v>
      </c>
    </row>
    <row r="51" spans="1:16" ht="15" customHeight="1">
      <c r="A51" s="44"/>
      <c r="B51" s="5">
        <f t="shared" si="12"/>
        <v>45658</v>
      </c>
      <c r="C51" s="1" t="s">
        <v>533</v>
      </c>
      <c r="D51" s="195">
        <v>19490</v>
      </c>
      <c r="E51" s="186"/>
      <c r="F51" s="2">
        <v>2417.7199999999998</v>
      </c>
      <c r="G51" s="3">
        <f t="shared" si="11"/>
        <v>2040.4952369999999</v>
      </c>
      <c r="H51" s="187"/>
      <c r="I51" s="7">
        <v>7.0000000000000007E-2</v>
      </c>
      <c r="J51" s="7">
        <v>1.6500000000000001E-2</v>
      </c>
      <c r="K51" s="7">
        <v>7.5999999999999998E-2</v>
      </c>
      <c r="L51" s="7">
        <v>0</v>
      </c>
      <c r="M51" s="11">
        <f>+I51*F51</f>
        <v>169.24039999999999</v>
      </c>
      <c r="N51" s="11">
        <f t="shared" si="3"/>
        <v>37.099913399999998</v>
      </c>
      <c r="O51" s="11">
        <f t="shared" si="4"/>
        <v>170.88444959999998</v>
      </c>
      <c r="P51" s="11">
        <f t="shared" si="5"/>
        <v>0</v>
      </c>
    </row>
    <row r="52" spans="1:16" ht="15" customHeight="1">
      <c r="A52" s="44"/>
      <c r="B52" s="5">
        <f t="shared" si="12"/>
        <v>45658</v>
      </c>
      <c r="C52" s="1" t="s">
        <v>533</v>
      </c>
      <c r="D52" s="195">
        <v>19518</v>
      </c>
      <c r="E52" s="186"/>
      <c r="F52" s="2">
        <v>3947.95</v>
      </c>
      <c r="G52" s="3">
        <f t="shared" si="11"/>
        <v>3331.9711012499997</v>
      </c>
      <c r="H52" s="187"/>
      <c r="I52" s="7">
        <v>7.0000000000000007E-2</v>
      </c>
      <c r="J52" s="7">
        <v>1.6500000000000001E-2</v>
      </c>
      <c r="K52" s="7">
        <v>7.5999999999999998E-2</v>
      </c>
      <c r="L52" s="7">
        <v>0</v>
      </c>
      <c r="M52" s="11">
        <f>+I52*F52</f>
        <v>276.35650000000004</v>
      </c>
      <c r="N52" s="11">
        <f t="shared" si="3"/>
        <v>60.581292750000003</v>
      </c>
      <c r="O52" s="11">
        <f t="shared" si="4"/>
        <v>279.04110600000001</v>
      </c>
      <c r="P52" s="11">
        <f t="shared" si="5"/>
        <v>0</v>
      </c>
    </row>
    <row r="53" spans="1:16" ht="15" customHeight="1">
      <c r="A53" s="44"/>
      <c r="B53" s="5">
        <f t="shared" si="12"/>
        <v>45658</v>
      </c>
      <c r="C53" s="1" t="s">
        <v>533</v>
      </c>
      <c r="D53" s="195">
        <v>19633</v>
      </c>
      <c r="E53" s="186"/>
      <c r="F53" s="2">
        <v>66.430000000000007</v>
      </c>
      <c r="G53" s="3">
        <f t="shared" si="11"/>
        <v>56.065259250000004</v>
      </c>
      <c r="H53" s="187"/>
      <c r="I53" s="7">
        <v>7.0000000000000007E-2</v>
      </c>
      <c r="J53" s="7">
        <v>1.6500000000000001E-2</v>
      </c>
      <c r="K53" s="7">
        <v>7.5999999999999998E-2</v>
      </c>
      <c r="L53" s="7">
        <v>0</v>
      </c>
      <c r="M53" s="11">
        <f t="shared" si="2"/>
        <v>4.650100000000001</v>
      </c>
      <c r="N53" s="11">
        <f t="shared" si="3"/>
        <v>1.0193683500000001</v>
      </c>
      <c r="O53" s="11">
        <f t="shared" si="4"/>
        <v>4.6952724000000003</v>
      </c>
      <c r="P53" s="11">
        <f t="shared" si="5"/>
        <v>0</v>
      </c>
    </row>
    <row r="54" spans="1:16" ht="15" customHeight="1">
      <c r="A54" s="44"/>
      <c r="B54" s="5">
        <f t="shared" si="12"/>
        <v>45658</v>
      </c>
      <c r="C54" s="1" t="s">
        <v>533</v>
      </c>
      <c r="D54" s="195">
        <v>19649</v>
      </c>
      <c r="E54" s="186"/>
      <c r="F54" s="2">
        <v>78.19</v>
      </c>
      <c r="G54" s="3">
        <f t="shared" si="11"/>
        <v>65.990405249999995</v>
      </c>
      <c r="H54" s="187"/>
      <c r="I54" s="7">
        <v>7.0000000000000007E-2</v>
      </c>
      <c r="J54" s="7">
        <v>1.6500000000000001E-2</v>
      </c>
      <c r="K54" s="7">
        <v>7.5999999999999998E-2</v>
      </c>
      <c r="L54" s="7">
        <v>0</v>
      </c>
      <c r="M54" s="11">
        <f t="shared" si="2"/>
        <v>5.4733000000000001</v>
      </c>
      <c r="N54" s="11">
        <f t="shared" si="3"/>
        <v>1.1998255500000001</v>
      </c>
      <c r="O54" s="11">
        <f t="shared" si="4"/>
        <v>5.5264692000000002</v>
      </c>
      <c r="P54" s="11">
        <f t="shared" si="5"/>
        <v>0</v>
      </c>
    </row>
    <row r="55" spans="1:16" ht="15" customHeight="1">
      <c r="A55" s="44"/>
      <c r="B55" s="5">
        <f t="shared" si="12"/>
        <v>45658</v>
      </c>
      <c r="C55" s="1" t="s">
        <v>533</v>
      </c>
      <c r="D55" s="195">
        <v>20517</v>
      </c>
      <c r="E55" s="186"/>
      <c r="F55" s="2">
        <v>13404.98</v>
      </c>
      <c r="G55" s="3">
        <f t="shared" si="11"/>
        <v>10705.217027999999</v>
      </c>
      <c r="H55" s="187"/>
      <c r="I55" s="7">
        <v>0.12</v>
      </c>
      <c r="J55" s="7">
        <v>1.6500000000000001E-2</v>
      </c>
      <c r="K55" s="7">
        <v>7.5999999999999998E-2</v>
      </c>
      <c r="L55" s="7">
        <v>0</v>
      </c>
      <c r="M55" s="11">
        <f t="shared" si="2"/>
        <v>1608.5975999999998</v>
      </c>
      <c r="N55" s="11">
        <f t="shared" si="3"/>
        <v>194.64030960000002</v>
      </c>
      <c r="O55" s="11">
        <f t="shared" si="4"/>
        <v>896.52506240000002</v>
      </c>
      <c r="P55" s="11">
        <f t="shared" si="5"/>
        <v>0</v>
      </c>
    </row>
    <row r="56" spans="1:16" ht="15" customHeight="1">
      <c r="A56" s="44"/>
      <c r="B56" s="5">
        <f t="shared" si="12"/>
        <v>45658</v>
      </c>
      <c r="C56" s="1" t="s">
        <v>533</v>
      </c>
      <c r="D56" s="195">
        <v>20519</v>
      </c>
      <c r="E56" s="186"/>
      <c r="F56" s="2">
        <v>13404.98</v>
      </c>
      <c r="G56" s="3">
        <f t="shared" si="11"/>
        <v>10705.217027999999</v>
      </c>
      <c r="H56" s="187"/>
      <c r="I56" s="7">
        <v>0.12</v>
      </c>
      <c r="J56" s="7">
        <v>1.6500000000000001E-2</v>
      </c>
      <c r="K56" s="7">
        <v>7.5999999999999998E-2</v>
      </c>
      <c r="L56" s="7">
        <v>0</v>
      </c>
      <c r="M56" s="11">
        <f t="shared" si="2"/>
        <v>1608.5975999999998</v>
      </c>
      <c r="N56" s="11">
        <f t="shared" si="3"/>
        <v>194.64030960000002</v>
      </c>
      <c r="O56" s="11">
        <f t="shared" si="4"/>
        <v>896.52506240000002</v>
      </c>
      <c r="P56" s="11">
        <f t="shared" si="5"/>
        <v>0</v>
      </c>
    </row>
    <row r="57" spans="1:16" ht="15" customHeight="1">
      <c r="A57" s="44"/>
      <c r="B57" s="5">
        <f t="shared" si="12"/>
        <v>45658</v>
      </c>
      <c r="C57" s="1" t="s">
        <v>533</v>
      </c>
      <c r="D57" s="195">
        <v>20554</v>
      </c>
      <c r="E57" s="186"/>
      <c r="F57" s="2">
        <v>3447.3</v>
      </c>
      <c r="G57" s="3">
        <f t="shared" si="11"/>
        <v>2753.0137800000002</v>
      </c>
      <c r="H57" s="187"/>
      <c r="I57" s="7">
        <v>0.12</v>
      </c>
      <c r="J57" s="7">
        <v>1.6500000000000001E-2</v>
      </c>
      <c r="K57" s="7">
        <v>7.5999999999999998E-2</v>
      </c>
      <c r="L57" s="7">
        <v>0</v>
      </c>
      <c r="M57" s="11">
        <f t="shared" si="2"/>
        <v>413.67599999999999</v>
      </c>
      <c r="N57" s="11">
        <f t="shared" si="3"/>
        <v>50.054796000000003</v>
      </c>
      <c r="O57" s="11">
        <f t="shared" si="4"/>
        <v>230.55542400000002</v>
      </c>
      <c r="P57" s="11">
        <f t="shared" si="5"/>
        <v>0</v>
      </c>
    </row>
    <row r="58" spans="1:16" ht="15" customHeight="1">
      <c r="A58" s="44"/>
      <c r="B58" s="5">
        <f t="shared" si="12"/>
        <v>45658</v>
      </c>
      <c r="C58" s="1" t="s">
        <v>533</v>
      </c>
      <c r="D58" s="195">
        <v>20570</v>
      </c>
      <c r="E58" s="186"/>
      <c r="F58" s="2">
        <v>3799.84</v>
      </c>
      <c r="G58" s="3">
        <f t="shared" si="11"/>
        <v>3034.552224</v>
      </c>
      <c r="H58" s="187"/>
      <c r="I58" s="7">
        <v>0.12</v>
      </c>
      <c r="J58" s="7">
        <v>1.6500000000000001E-2</v>
      </c>
      <c r="K58" s="7">
        <v>7.5999999999999998E-2</v>
      </c>
      <c r="L58" s="7">
        <v>0</v>
      </c>
      <c r="M58" s="11">
        <f t="shared" si="2"/>
        <v>455.98079999999999</v>
      </c>
      <c r="N58" s="11">
        <f t="shared" si="3"/>
        <v>55.17367680000001</v>
      </c>
      <c r="O58" s="11">
        <f t="shared" si="4"/>
        <v>254.13329920000001</v>
      </c>
      <c r="P58" s="11">
        <f t="shared" si="5"/>
        <v>0</v>
      </c>
    </row>
    <row r="59" spans="1:16" ht="15" customHeight="1">
      <c r="A59" s="44"/>
      <c r="B59" s="5">
        <f t="shared" si="12"/>
        <v>45658</v>
      </c>
      <c r="C59" s="1" t="s">
        <v>533</v>
      </c>
      <c r="D59" s="195">
        <v>20627</v>
      </c>
      <c r="E59" s="186"/>
      <c r="F59" s="2">
        <v>6926.81</v>
      </c>
      <c r="G59" s="3">
        <f t="shared" si="11"/>
        <v>5531.7504660000004</v>
      </c>
      <c r="H59" s="187"/>
      <c r="I59" s="7">
        <v>0.12</v>
      </c>
      <c r="J59" s="7">
        <v>1.6500000000000001E-2</v>
      </c>
      <c r="K59" s="7">
        <v>7.5999999999999998E-2</v>
      </c>
      <c r="L59" s="7">
        <v>0</v>
      </c>
      <c r="M59" s="11">
        <f t="shared" si="2"/>
        <v>831.21720000000005</v>
      </c>
      <c r="N59" s="11">
        <f t="shared" si="3"/>
        <v>100.57728120000002</v>
      </c>
      <c r="O59" s="11">
        <f t="shared" si="4"/>
        <v>463.26505280000003</v>
      </c>
      <c r="P59" s="11">
        <f t="shared" si="5"/>
        <v>0</v>
      </c>
    </row>
    <row r="60" spans="1:16" ht="15" customHeight="1">
      <c r="A60" s="44"/>
      <c r="B60" s="5">
        <f t="shared" si="12"/>
        <v>45658</v>
      </c>
      <c r="C60" s="1" t="s">
        <v>533</v>
      </c>
      <c r="D60" s="195">
        <v>20634</v>
      </c>
      <c r="E60" s="186"/>
      <c r="F60" s="2">
        <v>7643.09</v>
      </c>
      <c r="G60" s="3">
        <f t="shared" si="11"/>
        <v>6103.7716739999996</v>
      </c>
      <c r="H60" s="187"/>
      <c r="I60" s="7">
        <v>0.12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917.17079999999999</v>
      </c>
      <c r="N60" s="11">
        <f t="shared" si="3"/>
        <v>110.97766680000001</v>
      </c>
      <c r="O60" s="11">
        <f t="shared" si="4"/>
        <v>511.16985920000002</v>
      </c>
      <c r="P60" s="11">
        <f t="shared" si="5"/>
        <v>0</v>
      </c>
    </row>
    <row r="61" spans="1:16" ht="15" customHeight="1">
      <c r="A61" s="44"/>
      <c r="B61" s="5">
        <f t="shared" si="12"/>
        <v>45658</v>
      </c>
      <c r="C61" s="1" t="s">
        <v>533</v>
      </c>
      <c r="D61" s="195">
        <v>5213</v>
      </c>
      <c r="E61" s="186"/>
      <c r="F61" s="2">
        <v>7333.76</v>
      </c>
      <c r="G61" s="3">
        <f t="shared" si="11"/>
        <v>5856.7407359999997</v>
      </c>
      <c r="H61" s="187"/>
      <c r="I61" s="7">
        <v>0.12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880.05119999999999</v>
      </c>
      <c r="N61" s="11">
        <f t="shared" si="3"/>
        <v>106.48619520000001</v>
      </c>
      <c r="O61" s="11">
        <f t="shared" si="4"/>
        <v>490.48186880000003</v>
      </c>
      <c r="P61" s="11">
        <f t="shared" si="5"/>
        <v>0</v>
      </c>
    </row>
    <row r="62" spans="1:16" ht="15" customHeight="1">
      <c r="A62" s="44"/>
      <c r="B62" s="5">
        <f t="shared" si="12"/>
        <v>45658</v>
      </c>
      <c r="C62" s="1" t="s">
        <v>533</v>
      </c>
      <c r="D62" s="195">
        <v>5216</v>
      </c>
      <c r="E62" s="186"/>
      <c r="F62" s="2">
        <v>14842.13</v>
      </c>
      <c r="G62" s="3">
        <f t="shared" si="11"/>
        <v>11852.925018</v>
      </c>
      <c r="H62" s="187"/>
      <c r="I62" s="7">
        <v>0.12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1781.0555999999999</v>
      </c>
      <c r="N62" s="11">
        <f t="shared" si="3"/>
        <v>215.50772760000001</v>
      </c>
      <c r="O62" s="11">
        <f t="shared" si="4"/>
        <v>992.64165439999999</v>
      </c>
      <c r="P62" s="11">
        <f t="shared" si="5"/>
        <v>0</v>
      </c>
    </row>
    <row r="63" spans="1:16" ht="15" customHeight="1">
      <c r="A63" s="44"/>
      <c r="B63" s="5">
        <f t="shared" si="12"/>
        <v>45658</v>
      </c>
      <c r="C63" s="1" t="s">
        <v>533</v>
      </c>
      <c r="D63" s="195">
        <v>5217</v>
      </c>
      <c r="E63" s="186"/>
      <c r="F63" s="2">
        <v>18386.78</v>
      </c>
      <c r="G63" s="3">
        <f t="shared" si="11"/>
        <v>14683.682507999998</v>
      </c>
      <c r="H63" s="187"/>
      <c r="I63" s="7">
        <v>0.12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2206.4135999999999</v>
      </c>
      <c r="N63" s="11">
        <f t="shared" si="3"/>
        <v>266.97604560000002</v>
      </c>
      <c r="O63" s="11">
        <f t="shared" si="4"/>
        <v>1229.7078463999999</v>
      </c>
      <c r="P63" s="11">
        <f t="shared" si="5"/>
        <v>0</v>
      </c>
    </row>
    <row r="64" spans="1:16" ht="15" customHeight="1">
      <c r="A64" s="44"/>
      <c r="B64" s="5">
        <f t="shared" si="12"/>
        <v>45658</v>
      </c>
      <c r="C64" s="1" t="s">
        <v>533</v>
      </c>
      <c r="D64" s="195">
        <v>5219</v>
      </c>
      <c r="E64" s="186"/>
      <c r="F64" s="2">
        <v>20377.38</v>
      </c>
      <c r="G64" s="3">
        <f t="shared" si="11"/>
        <v>16273.375668000001</v>
      </c>
      <c r="H64" s="187"/>
      <c r="I64" s="7">
        <v>0.12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2445.2856000000002</v>
      </c>
      <c r="N64" s="11">
        <f t="shared" si="3"/>
        <v>295.87955760000006</v>
      </c>
      <c r="O64" s="11">
        <f t="shared" si="4"/>
        <v>1362.8391744</v>
      </c>
      <c r="P64" s="11">
        <f t="shared" si="5"/>
        <v>0</v>
      </c>
    </row>
    <row r="65" spans="1:16" ht="15" customHeight="1">
      <c r="A65" s="44"/>
      <c r="B65" s="5">
        <f t="shared" si="12"/>
        <v>45658</v>
      </c>
      <c r="C65" s="1" t="s">
        <v>533</v>
      </c>
      <c r="D65" s="195">
        <v>5226</v>
      </c>
      <c r="E65" s="186"/>
      <c r="F65" s="2">
        <v>28344.01</v>
      </c>
      <c r="G65" s="3">
        <f t="shared" si="11"/>
        <v>22635.526385999998</v>
      </c>
      <c r="H65" s="187"/>
      <c r="I65" s="7">
        <v>0.12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3401.2811999999999</v>
      </c>
      <c r="N65" s="11">
        <f t="shared" si="3"/>
        <v>411.55502519999999</v>
      </c>
      <c r="O65" s="11">
        <f t="shared" si="4"/>
        <v>1895.6473887999998</v>
      </c>
      <c r="P65" s="11">
        <f t="shared" si="5"/>
        <v>0</v>
      </c>
    </row>
    <row r="66" spans="1:16" ht="15" customHeight="1">
      <c r="A66" s="44"/>
      <c r="B66" s="5">
        <f t="shared" si="12"/>
        <v>45658</v>
      </c>
      <c r="C66" s="1" t="s">
        <v>533</v>
      </c>
      <c r="D66" s="195">
        <v>5245</v>
      </c>
      <c r="E66" s="186"/>
      <c r="F66" s="2">
        <v>38148.080000000002</v>
      </c>
      <c r="G66" s="3">
        <f t="shared" si="11"/>
        <v>30465.056688000004</v>
      </c>
      <c r="H66" s="187"/>
      <c r="I66" s="7">
        <v>0.12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4577.7695999999996</v>
      </c>
      <c r="N66" s="11">
        <f t="shared" si="3"/>
        <v>553.91012160000002</v>
      </c>
      <c r="O66" s="11">
        <f t="shared" si="4"/>
        <v>2551.3435904000003</v>
      </c>
      <c r="P66" s="11">
        <f t="shared" si="5"/>
        <v>0</v>
      </c>
    </row>
    <row r="67" spans="1:16" ht="15" customHeight="1">
      <c r="A67" s="44"/>
      <c r="B67" s="5">
        <f t="shared" si="12"/>
        <v>45658</v>
      </c>
      <c r="C67" s="1" t="s">
        <v>533</v>
      </c>
      <c r="D67" s="195">
        <v>5256</v>
      </c>
      <c r="E67" s="186"/>
      <c r="F67" s="2">
        <v>4257.91</v>
      </c>
      <c r="G67" s="3">
        <f t="shared" si="11"/>
        <v>3400.3669259999997</v>
      </c>
      <c r="H67" s="187"/>
      <c r="I67" s="7">
        <v>0.12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510.94919999999996</v>
      </c>
      <c r="N67" s="11">
        <f t="shared" si="3"/>
        <v>61.8248532</v>
      </c>
      <c r="O67" s="11">
        <f t="shared" si="4"/>
        <v>284.76902079999996</v>
      </c>
      <c r="P67" s="11">
        <f t="shared" si="5"/>
        <v>0</v>
      </c>
    </row>
    <row r="68" spans="1:16" ht="15" customHeight="1">
      <c r="A68" s="44"/>
      <c r="B68" s="5">
        <f t="shared" si="12"/>
        <v>45658</v>
      </c>
      <c r="C68" s="1" t="s">
        <v>533</v>
      </c>
      <c r="D68" s="195">
        <v>5259</v>
      </c>
      <c r="E68" s="186"/>
      <c r="F68" s="2">
        <v>51954.55</v>
      </c>
      <c r="G68" s="3">
        <f t="shared" si="11"/>
        <v>41490.903630000001</v>
      </c>
      <c r="H68" s="187"/>
      <c r="I68" s="7">
        <v>0.12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6234.5460000000003</v>
      </c>
      <c r="N68" s="11">
        <f t="shared" si="3"/>
        <v>754.38006600000006</v>
      </c>
      <c r="O68" s="11">
        <f t="shared" si="4"/>
        <v>3474.7203039999999</v>
      </c>
      <c r="P68" s="11">
        <f t="shared" si="5"/>
        <v>0</v>
      </c>
    </row>
    <row r="69" spans="1:16" ht="15" customHeight="1">
      <c r="A69" s="44"/>
      <c r="B69" s="5">
        <f t="shared" si="12"/>
        <v>45658</v>
      </c>
      <c r="C69" s="1" t="s">
        <v>533</v>
      </c>
      <c r="D69" s="195">
        <v>5264</v>
      </c>
      <c r="E69" s="186"/>
      <c r="F69" s="2">
        <v>5350.9</v>
      </c>
      <c r="G69" s="3">
        <f t="shared" si="11"/>
        <v>4273.2287399999996</v>
      </c>
      <c r="H69" s="187"/>
      <c r="I69" s="7">
        <v>0.12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642.10799999999995</v>
      </c>
      <c r="N69" s="11">
        <f t="shared" si="3"/>
        <v>77.695067999999992</v>
      </c>
      <c r="O69" s="11">
        <f t="shared" si="4"/>
        <v>357.86819199999996</v>
      </c>
      <c r="P69" s="11">
        <f t="shared" si="5"/>
        <v>0</v>
      </c>
    </row>
    <row r="70" spans="1:16" ht="15" customHeight="1">
      <c r="A70" s="44"/>
      <c r="B70" s="5">
        <f t="shared" si="12"/>
        <v>45658</v>
      </c>
      <c r="C70" s="1" t="s">
        <v>533</v>
      </c>
      <c r="D70" s="195">
        <v>5268</v>
      </c>
      <c r="E70" s="186"/>
      <c r="F70" s="2">
        <v>6003.92</v>
      </c>
      <c r="G70" s="3">
        <f t="shared" si="11"/>
        <v>4794.7305120000001</v>
      </c>
      <c r="H70" s="187"/>
      <c r="I70" s="7">
        <v>0.12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720.47039999999993</v>
      </c>
      <c r="N70" s="11">
        <f t="shared" si="3"/>
        <v>87.176918400000005</v>
      </c>
      <c r="O70" s="11">
        <f t="shared" si="4"/>
        <v>401.54216959999997</v>
      </c>
      <c r="P70" s="11">
        <f t="shared" si="5"/>
        <v>0</v>
      </c>
    </row>
    <row r="71" spans="1:16" ht="15" customHeight="1">
      <c r="A71" s="44"/>
      <c r="B71" s="5">
        <f t="shared" si="12"/>
        <v>45658</v>
      </c>
      <c r="C71" s="1" t="s">
        <v>533</v>
      </c>
      <c r="D71" s="195">
        <v>5277</v>
      </c>
      <c r="E71" s="186"/>
      <c r="F71" s="2">
        <v>108979.72</v>
      </c>
      <c r="G71" s="3">
        <f t="shared" si="11"/>
        <v>87031.204392</v>
      </c>
      <c r="H71" s="187"/>
      <c r="I71" s="7">
        <v>0.12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13077.5664</v>
      </c>
      <c r="N71" s="11">
        <f t="shared" si="3"/>
        <v>1582.3855344000001</v>
      </c>
      <c r="O71" s="11">
        <f t="shared" si="4"/>
        <v>7288.5636736000006</v>
      </c>
      <c r="P71" s="11">
        <f t="shared" si="5"/>
        <v>0</v>
      </c>
    </row>
    <row r="72" spans="1:16" ht="15" customHeight="1">
      <c r="A72" s="44"/>
      <c r="B72" s="5">
        <f t="shared" si="12"/>
        <v>45658</v>
      </c>
      <c r="C72" s="1" t="s">
        <v>533</v>
      </c>
      <c r="D72" s="195">
        <v>5279</v>
      </c>
      <c r="E72" s="186"/>
      <c r="F72" s="2">
        <v>124803.6</v>
      </c>
      <c r="G72" s="3">
        <f t="shared" si="11"/>
        <v>99668.154960000014</v>
      </c>
      <c r="H72" s="187"/>
      <c r="I72" s="7">
        <v>0.12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14976.432000000001</v>
      </c>
      <c r="N72" s="11">
        <f t="shared" si="3"/>
        <v>1812.1482720000001</v>
      </c>
      <c r="O72" s="11">
        <f t="shared" si="4"/>
        <v>8346.8647679999995</v>
      </c>
      <c r="P72" s="11">
        <f t="shared" si="5"/>
        <v>0</v>
      </c>
    </row>
    <row r="73" spans="1:16" ht="15" customHeight="1">
      <c r="A73" s="44"/>
      <c r="B73" s="5">
        <f t="shared" si="12"/>
        <v>45658</v>
      </c>
      <c r="C73" s="1" t="s">
        <v>533</v>
      </c>
      <c r="D73" s="195">
        <v>5281</v>
      </c>
      <c r="E73" s="186"/>
      <c r="F73" s="2">
        <v>136643.29999999999</v>
      </c>
      <c r="G73" s="3">
        <f t="shared" si="11"/>
        <v>109123.33937999999</v>
      </c>
      <c r="H73" s="187"/>
      <c r="I73" s="7">
        <v>0.12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16397.195999999996</v>
      </c>
      <c r="N73" s="11">
        <f t="shared" si="3"/>
        <v>1984.060716</v>
      </c>
      <c r="O73" s="11">
        <f t="shared" si="4"/>
        <v>9138.703904</v>
      </c>
      <c r="P73" s="11">
        <f t="shared" si="5"/>
        <v>0</v>
      </c>
    </row>
    <row r="74" spans="1:16" ht="15" customHeight="1">
      <c r="A74" s="44"/>
      <c r="B74" s="5">
        <f t="shared" si="12"/>
        <v>45658</v>
      </c>
      <c r="C74" s="1" t="s">
        <v>533</v>
      </c>
      <c r="D74" s="195">
        <v>5284</v>
      </c>
      <c r="E74" s="186"/>
      <c r="F74" s="2">
        <v>1082.3499999999999</v>
      </c>
      <c r="G74" s="3">
        <f t="shared" si="11"/>
        <v>864.36470999999995</v>
      </c>
      <c r="H74" s="187"/>
      <c r="I74" s="7">
        <v>0.12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129.88199999999998</v>
      </c>
      <c r="N74" s="11">
        <f t="shared" si="3"/>
        <v>15.715722</v>
      </c>
      <c r="O74" s="11">
        <f t="shared" si="4"/>
        <v>72.387568000000002</v>
      </c>
      <c r="P74" s="11">
        <f t="shared" si="5"/>
        <v>0</v>
      </c>
    </row>
    <row r="75" spans="1:16" ht="15" customHeight="1">
      <c r="A75" s="44"/>
      <c r="B75" s="5">
        <f t="shared" si="12"/>
        <v>45658</v>
      </c>
      <c r="C75" s="1" t="s">
        <v>533</v>
      </c>
      <c r="D75" s="195">
        <v>5291</v>
      </c>
      <c r="E75" s="186"/>
      <c r="F75" s="2">
        <v>1596.79</v>
      </c>
      <c r="G75" s="3">
        <f t="shared" si="11"/>
        <v>1275.196494</v>
      </c>
      <c r="H75" s="187"/>
      <c r="I75" s="7">
        <v>0.12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191.6148</v>
      </c>
      <c r="N75" s="11">
        <f t="shared" si="3"/>
        <v>23.1853908</v>
      </c>
      <c r="O75" s="11">
        <f t="shared" si="4"/>
        <v>106.7933152</v>
      </c>
      <c r="P75" s="11">
        <f t="shared" si="5"/>
        <v>0</v>
      </c>
    </row>
    <row r="76" spans="1:16" ht="15" customHeight="1">
      <c r="A76" s="44"/>
      <c r="B76" s="5">
        <f t="shared" si="12"/>
        <v>45658</v>
      </c>
      <c r="C76" s="1" t="s">
        <v>533</v>
      </c>
      <c r="D76" s="195">
        <v>5293</v>
      </c>
      <c r="E76" s="186"/>
      <c r="F76" s="2">
        <v>2111.23</v>
      </c>
      <c r="G76" s="3">
        <f t="shared" si="11"/>
        <v>1686.028278</v>
      </c>
      <c r="H76" s="187"/>
      <c r="I76" s="7">
        <v>0.12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253.3476</v>
      </c>
      <c r="N76" s="11">
        <f t="shared" si="3"/>
        <v>30.655059600000001</v>
      </c>
      <c r="O76" s="11">
        <f t="shared" si="4"/>
        <v>141.1990624</v>
      </c>
      <c r="P76" s="11">
        <f t="shared" si="5"/>
        <v>0</v>
      </c>
    </row>
    <row r="77" spans="1:16" ht="15" customHeight="1">
      <c r="A77" s="44"/>
      <c r="B77" s="5">
        <f t="shared" si="12"/>
        <v>45658</v>
      </c>
      <c r="C77" s="1" t="s">
        <v>533</v>
      </c>
      <c r="D77" s="195">
        <v>5296</v>
      </c>
      <c r="E77" s="186"/>
      <c r="F77" s="2">
        <v>3492.27</v>
      </c>
      <c r="G77" s="3">
        <f t="shared" si="11"/>
        <v>2788.9268219999999</v>
      </c>
      <c r="H77" s="187"/>
      <c r="I77" s="7">
        <v>0.12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419.07239999999996</v>
      </c>
      <c r="N77" s="11">
        <f t="shared" si="3"/>
        <v>50.707760400000005</v>
      </c>
      <c r="O77" s="11">
        <f t="shared" si="4"/>
        <v>233.56301759999999</v>
      </c>
      <c r="P77" s="11">
        <f t="shared" si="5"/>
        <v>0</v>
      </c>
    </row>
    <row r="78" spans="1:16" ht="15" customHeight="1">
      <c r="A78" s="44"/>
      <c r="B78" s="5">
        <f t="shared" si="12"/>
        <v>45658</v>
      </c>
      <c r="C78" s="1" t="s">
        <v>533</v>
      </c>
      <c r="D78" s="195">
        <v>5297</v>
      </c>
      <c r="E78" s="186"/>
      <c r="F78" s="2">
        <v>5413.01</v>
      </c>
      <c r="G78" s="3">
        <f t="shared" si="11"/>
        <v>4322.8297860000002</v>
      </c>
      <c r="H78" s="187"/>
      <c r="I78" s="7">
        <v>0.12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649.56119999999999</v>
      </c>
      <c r="N78" s="11">
        <f t="shared" si="3"/>
        <v>78.596905200000009</v>
      </c>
      <c r="O78" s="11">
        <f t="shared" si="4"/>
        <v>362.02210880000001</v>
      </c>
      <c r="P78" s="11">
        <f t="shared" si="5"/>
        <v>0</v>
      </c>
    </row>
    <row r="79" spans="1:16" ht="15" customHeight="1">
      <c r="A79" s="44"/>
      <c r="B79" s="5">
        <f t="shared" si="12"/>
        <v>45658</v>
      </c>
      <c r="C79" s="1" t="s">
        <v>533</v>
      </c>
      <c r="D79" s="195">
        <v>19411</v>
      </c>
      <c r="E79" s="186"/>
      <c r="F79" s="2">
        <v>393.33</v>
      </c>
      <c r="G79" s="3">
        <f t="shared" si="11"/>
        <v>331.96068674999998</v>
      </c>
      <c r="H79" s="187"/>
      <c r="I79" s="7">
        <v>7.0000000000000007E-2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27.533100000000001</v>
      </c>
      <c r="N79" s="11">
        <f t="shared" si="3"/>
        <v>6.0356488500000003</v>
      </c>
      <c r="O79" s="11">
        <f t="shared" si="4"/>
        <v>27.800564399999999</v>
      </c>
      <c r="P79" s="11">
        <f t="shared" si="5"/>
        <v>0</v>
      </c>
    </row>
    <row r="80" spans="1:16" ht="15" customHeight="1">
      <c r="A80" s="44"/>
      <c r="B80" s="5">
        <f t="shared" si="12"/>
        <v>45658</v>
      </c>
      <c r="C80" s="1" t="s">
        <v>533</v>
      </c>
      <c r="D80" s="195">
        <v>19414</v>
      </c>
      <c r="E80" s="186"/>
      <c r="F80" s="2">
        <v>343.29</v>
      </c>
      <c r="G80" s="3">
        <f t="shared" si="11"/>
        <v>289.72817774999999</v>
      </c>
      <c r="H80" s="187"/>
      <c r="I80" s="7">
        <v>7.0000000000000007E-2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24.030300000000004</v>
      </c>
      <c r="N80" s="11">
        <f t="shared" si="3"/>
        <v>5.2677850500000005</v>
      </c>
      <c r="O80" s="11">
        <f t="shared" si="4"/>
        <v>24.263737200000001</v>
      </c>
      <c r="P80" s="11">
        <f t="shared" si="5"/>
        <v>0</v>
      </c>
    </row>
    <row r="81" spans="1:16" ht="15" customHeight="1">
      <c r="A81" s="44"/>
      <c r="B81" s="5">
        <f t="shared" si="12"/>
        <v>45658</v>
      </c>
      <c r="C81" s="1" t="s">
        <v>533</v>
      </c>
      <c r="D81" s="195">
        <v>19440</v>
      </c>
      <c r="E81" s="186"/>
      <c r="F81" s="2">
        <v>256.38</v>
      </c>
      <c r="G81" s="3">
        <f t="shared" si="11"/>
        <v>216.3783105</v>
      </c>
      <c r="H81" s="187"/>
      <c r="I81" s="7">
        <v>7.0000000000000007E-2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17.9466</v>
      </c>
      <c r="N81" s="11">
        <f t="shared" si="3"/>
        <v>3.9341511000000002</v>
      </c>
      <c r="O81" s="11">
        <f t="shared" si="4"/>
        <v>18.1209384</v>
      </c>
      <c r="P81" s="11">
        <f t="shared" si="5"/>
        <v>0</v>
      </c>
    </row>
    <row r="82" spans="1:16" ht="15" customHeight="1">
      <c r="A82" s="44"/>
      <c r="B82" s="5">
        <f t="shared" si="12"/>
        <v>45658</v>
      </c>
      <c r="C82" s="1" t="s">
        <v>533</v>
      </c>
      <c r="D82" s="195">
        <v>19463</v>
      </c>
      <c r="E82" s="186"/>
      <c r="F82" s="2">
        <v>341.84</v>
      </c>
      <c r="G82" s="3">
        <f t="shared" si="11"/>
        <v>288.504414</v>
      </c>
      <c r="H82" s="187"/>
      <c r="I82" s="7">
        <v>7.0000000000000007E-2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23.928799999999999</v>
      </c>
      <c r="N82" s="11">
        <f t="shared" si="3"/>
        <v>5.2455347999999997</v>
      </c>
      <c r="O82" s="11">
        <f t="shared" si="4"/>
        <v>24.161251199999995</v>
      </c>
      <c r="P82" s="11">
        <f t="shared" si="5"/>
        <v>0</v>
      </c>
    </row>
    <row r="83" spans="1:16" ht="15" customHeight="1">
      <c r="A83" s="44"/>
      <c r="B83" s="5">
        <f t="shared" si="12"/>
        <v>45658</v>
      </c>
      <c r="C83" s="1" t="s">
        <v>533</v>
      </c>
      <c r="D83" s="195">
        <v>19465</v>
      </c>
      <c r="E83" s="186"/>
      <c r="F83" s="2">
        <v>700.79</v>
      </c>
      <c r="G83" s="3">
        <f t="shared" si="11"/>
        <v>591.44924025</v>
      </c>
      <c r="H83" s="187"/>
      <c r="I83" s="7">
        <v>7.0000000000000007E-2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49.055300000000003</v>
      </c>
      <c r="N83" s="11">
        <f t="shared" si="3"/>
        <v>10.753622549999999</v>
      </c>
      <c r="O83" s="11">
        <f t="shared" si="4"/>
        <v>49.531837199999998</v>
      </c>
      <c r="P83" s="11">
        <f t="shared" si="5"/>
        <v>0</v>
      </c>
    </row>
    <row r="84" spans="1:16" ht="15" customHeight="1">
      <c r="A84" s="44"/>
      <c r="B84" s="5">
        <f t="shared" si="12"/>
        <v>45658</v>
      </c>
      <c r="C84" s="1" t="s">
        <v>533</v>
      </c>
      <c r="D84" s="195">
        <v>19484</v>
      </c>
      <c r="E84" s="186"/>
      <c r="F84" s="2">
        <v>170.92</v>
      </c>
      <c r="G84" s="3">
        <f t="shared" si="11"/>
        <v>144.252207</v>
      </c>
      <c r="H84" s="187"/>
      <c r="I84" s="7">
        <v>7.0000000000000007E-2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11.964399999999999</v>
      </c>
      <c r="N84" s="11">
        <f t="shared" si="3"/>
        <v>2.6227673999999999</v>
      </c>
      <c r="O84" s="11">
        <f t="shared" si="4"/>
        <v>12.080625599999998</v>
      </c>
      <c r="P84" s="11">
        <f t="shared" si="5"/>
        <v>0</v>
      </c>
    </row>
    <row r="85" spans="1:16" ht="15" customHeight="1">
      <c r="A85" s="44"/>
      <c r="B85" s="5">
        <f t="shared" si="12"/>
        <v>45658</v>
      </c>
      <c r="C85" s="1" t="s">
        <v>533</v>
      </c>
      <c r="D85" s="195">
        <v>19486</v>
      </c>
      <c r="E85" s="186"/>
      <c r="F85" s="2">
        <v>911.02</v>
      </c>
      <c r="G85" s="3">
        <f t="shared" si="11"/>
        <v>768.87810449999995</v>
      </c>
      <c r="H85" s="187"/>
      <c r="I85" s="7">
        <v>7.0000000000000007E-2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63.771400000000007</v>
      </c>
      <c r="N85" s="11">
        <f t="shared" si="3"/>
        <v>13.9796019</v>
      </c>
      <c r="O85" s="11">
        <f t="shared" si="4"/>
        <v>64.390893599999998</v>
      </c>
      <c r="P85" s="11">
        <f t="shared" si="5"/>
        <v>0</v>
      </c>
    </row>
    <row r="86" spans="1:16" ht="15" customHeight="1">
      <c r="A86" s="44"/>
      <c r="B86" s="5">
        <f t="shared" si="12"/>
        <v>45658</v>
      </c>
      <c r="C86" s="1" t="s">
        <v>533</v>
      </c>
      <c r="D86" s="195">
        <v>19487</v>
      </c>
      <c r="E86" s="186"/>
      <c r="F86" s="2">
        <v>1037.5</v>
      </c>
      <c r="G86" s="3">
        <f t="shared" si="11"/>
        <v>875.62406250000004</v>
      </c>
      <c r="H86" s="187"/>
      <c r="I86" s="7">
        <v>7.0000000000000007E-2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72.625</v>
      </c>
      <c r="N86" s="11">
        <f t="shared" si="3"/>
        <v>15.9204375</v>
      </c>
      <c r="O86" s="11">
        <f t="shared" si="4"/>
        <v>73.330500000000001</v>
      </c>
      <c r="P86" s="11">
        <f t="shared" si="5"/>
        <v>0</v>
      </c>
    </row>
    <row r="87" spans="1:16" ht="15" customHeight="1">
      <c r="A87" s="44"/>
      <c r="B87" s="5">
        <f t="shared" si="12"/>
        <v>45658</v>
      </c>
      <c r="C87" s="1" t="s">
        <v>533</v>
      </c>
      <c r="D87" s="195">
        <v>19504</v>
      </c>
      <c r="E87" s="186"/>
      <c r="F87" s="2">
        <v>3336.35</v>
      </c>
      <c r="G87" s="3">
        <f t="shared" si="11"/>
        <v>2815.79599125</v>
      </c>
      <c r="H87" s="187"/>
      <c r="I87" s="7">
        <v>7.0000000000000007E-2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233.54450000000003</v>
      </c>
      <c r="N87" s="11">
        <f t="shared" si="3"/>
        <v>51.196290750000003</v>
      </c>
      <c r="O87" s="11">
        <f t="shared" si="4"/>
        <v>235.81321799999998</v>
      </c>
      <c r="P87" s="11">
        <f t="shared" si="5"/>
        <v>0</v>
      </c>
    </row>
    <row r="88" spans="1:16" ht="15" customHeight="1">
      <c r="A88" s="44"/>
      <c r="B88" s="5">
        <f t="shared" si="12"/>
        <v>45658</v>
      </c>
      <c r="C88" s="1" t="s">
        <v>533</v>
      </c>
      <c r="D88" s="195">
        <v>19532</v>
      </c>
      <c r="E88" s="186"/>
      <c r="F88" s="2">
        <v>4467.8500000000004</v>
      </c>
      <c r="G88" s="3">
        <f t="shared" si="11"/>
        <v>3770.7537037500006</v>
      </c>
      <c r="H88" s="187"/>
      <c r="I88" s="7">
        <v>7.0000000000000007E-2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312.74950000000007</v>
      </c>
      <c r="N88" s="11">
        <f t="shared" si="3"/>
        <v>68.55915825000001</v>
      </c>
      <c r="O88" s="11">
        <f t="shared" si="4"/>
        <v>315.78763800000002</v>
      </c>
      <c r="P88" s="11">
        <f t="shared" si="5"/>
        <v>0</v>
      </c>
    </row>
    <row r="89" spans="1:16" ht="15" customHeight="1">
      <c r="A89" s="44"/>
      <c r="B89" s="5">
        <f t="shared" si="12"/>
        <v>45658</v>
      </c>
      <c r="C89" s="1" t="s">
        <v>533</v>
      </c>
      <c r="D89" s="195">
        <v>19568</v>
      </c>
      <c r="E89" s="186"/>
      <c r="F89" s="2">
        <v>6091.36</v>
      </c>
      <c r="G89" s="3">
        <f t="shared" si="11"/>
        <v>5140.9555559999999</v>
      </c>
      <c r="H89" s="187"/>
      <c r="I89" s="7">
        <v>7.0000000000000007E-2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426.39520000000005</v>
      </c>
      <c r="N89" s="11">
        <f t="shared" si="3"/>
        <v>93.471919200000002</v>
      </c>
      <c r="O89" s="11">
        <f t="shared" si="4"/>
        <v>430.53732479999996</v>
      </c>
      <c r="P89" s="11">
        <f t="shared" si="5"/>
        <v>0</v>
      </c>
    </row>
    <row r="90" spans="1:16" ht="15" customHeight="1">
      <c r="A90" s="44"/>
      <c r="B90" s="5">
        <f t="shared" si="12"/>
        <v>45658</v>
      </c>
      <c r="C90" s="1" t="s">
        <v>533</v>
      </c>
      <c r="D90" s="195">
        <v>19587</v>
      </c>
      <c r="E90" s="186"/>
      <c r="F90" s="2">
        <v>12814.21</v>
      </c>
      <c r="G90" s="3">
        <f t="shared" si="11"/>
        <v>10814.872884749999</v>
      </c>
      <c r="H90" s="187"/>
      <c r="I90" s="7">
        <v>7.0000000000000007E-2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896.99470000000008</v>
      </c>
      <c r="N90" s="11">
        <f t="shared" si="3"/>
        <v>196.63405245000001</v>
      </c>
      <c r="O90" s="11">
        <f t="shared" si="4"/>
        <v>905.70836279999992</v>
      </c>
      <c r="P90" s="11">
        <f t="shared" si="5"/>
        <v>0</v>
      </c>
    </row>
    <row r="91" spans="1:16" ht="15" customHeight="1">
      <c r="A91" s="44"/>
      <c r="B91" s="5">
        <f t="shared" si="12"/>
        <v>45658</v>
      </c>
      <c r="C91" s="1" t="s">
        <v>533</v>
      </c>
      <c r="D91" s="195">
        <v>19618</v>
      </c>
      <c r="E91" s="186"/>
      <c r="F91" s="2">
        <v>14627.38</v>
      </c>
      <c r="G91" s="3">
        <f t="shared" si="11"/>
        <v>12345.143035499999</v>
      </c>
      <c r="H91" s="187"/>
      <c r="I91" s="7">
        <v>7.0000000000000007E-2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1023.9166</v>
      </c>
      <c r="N91" s="11">
        <f t="shared" si="3"/>
        <v>224.45714609999999</v>
      </c>
      <c r="O91" s="11">
        <f t="shared" si="4"/>
        <v>1033.8632183999998</v>
      </c>
      <c r="P91" s="11">
        <f t="shared" si="5"/>
        <v>0</v>
      </c>
    </row>
    <row r="92" spans="1:16" ht="15" customHeight="1">
      <c r="A92" s="44"/>
      <c r="B92" s="5">
        <f t="shared" si="12"/>
        <v>45658</v>
      </c>
      <c r="C92" s="1" t="s">
        <v>533</v>
      </c>
      <c r="D92" s="195">
        <v>19636</v>
      </c>
      <c r="E92" s="186"/>
      <c r="F92" s="2">
        <v>16062.09</v>
      </c>
      <c r="G92" s="3">
        <f t="shared" si="11"/>
        <v>13556.00240775</v>
      </c>
      <c r="H92" s="187"/>
      <c r="I92" s="7">
        <v>7.0000000000000007E-2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1124.3463000000002</v>
      </c>
      <c r="N92" s="11">
        <f t="shared" si="3"/>
        <v>246.47277105000001</v>
      </c>
      <c r="O92" s="11">
        <f t="shared" si="4"/>
        <v>1135.2685211999999</v>
      </c>
      <c r="P92" s="11">
        <f t="shared" si="5"/>
        <v>0</v>
      </c>
    </row>
    <row r="93" spans="1:16" ht="15" customHeight="1">
      <c r="A93" s="44"/>
      <c r="B93" s="5">
        <f t="shared" si="12"/>
        <v>45658</v>
      </c>
      <c r="C93" s="1" t="s">
        <v>533</v>
      </c>
      <c r="D93" s="195">
        <v>19648</v>
      </c>
      <c r="E93" s="186"/>
      <c r="F93" s="2">
        <v>71.239999999999995</v>
      </c>
      <c r="G93" s="3">
        <f t="shared" si="11"/>
        <v>60.124778999999997</v>
      </c>
      <c r="H93" s="187"/>
      <c r="I93" s="7">
        <v>7.0000000000000007E-2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4.9867999999999997</v>
      </c>
      <c r="N93" s="11">
        <f t="shared" si="3"/>
        <v>1.0931777999999999</v>
      </c>
      <c r="O93" s="11">
        <f t="shared" si="4"/>
        <v>5.0352431999999991</v>
      </c>
      <c r="P93" s="11">
        <f t="shared" si="5"/>
        <v>0</v>
      </c>
    </row>
    <row r="94" spans="1:16" ht="15" customHeight="1">
      <c r="A94" s="44"/>
      <c r="B94" s="5">
        <f t="shared" si="12"/>
        <v>45658</v>
      </c>
      <c r="C94" s="1" t="s">
        <v>533</v>
      </c>
      <c r="D94" s="195">
        <v>19655</v>
      </c>
      <c r="E94" s="186"/>
      <c r="F94" s="2">
        <v>100.77</v>
      </c>
      <c r="G94" s="3">
        <f t="shared" si="11"/>
        <v>85.047360749999996</v>
      </c>
      <c r="H94" s="187"/>
      <c r="I94" s="7">
        <v>7.0000000000000007E-2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7.0539000000000005</v>
      </c>
      <c r="N94" s="11">
        <f t="shared" si="3"/>
        <v>1.5463156499999999</v>
      </c>
      <c r="O94" s="11">
        <f t="shared" si="4"/>
        <v>7.1224235999999994</v>
      </c>
      <c r="P94" s="11">
        <f t="shared" si="5"/>
        <v>0</v>
      </c>
    </row>
    <row r="95" spans="1:16" ht="15" customHeight="1">
      <c r="A95" s="44"/>
      <c r="B95" s="5">
        <f t="shared" si="12"/>
        <v>45658</v>
      </c>
      <c r="C95" s="1" t="s">
        <v>533</v>
      </c>
      <c r="D95" s="195">
        <v>19684</v>
      </c>
      <c r="E95" s="186"/>
      <c r="F95" s="2">
        <v>130.30000000000001</v>
      </c>
      <c r="G95" s="3">
        <f t="shared" si="11"/>
        <v>109.9699425</v>
      </c>
      <c r="H95" s="187"/>
      <c r="I95" s="7">
        <v>7.0000000000000007E-2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9.1210000000000022</v>
      </c>
      <c r="N95" s="11">
        <f t="shared" si="3"/>
        <v>1.9994535000000002</v>
      </c>
      <c r="O95" s="11">
        <f t="shared" si="4"/>
        <v>9.2096040000000006</v>
      </c>
      <c r="P95" s="11">
        <f t="shared" si="5"/>
        <v>0</v>
      </c>
    </row>
    <row r="96" spans="1:16" ht="15" customHeight="1">
      <c r="A96" s="44"/>
      <c r="B96" s="5">
        <f t="shared" si="12"/>
        <v>45658</v>
      </c>
      <c r="C96" s="1" t="s">
        <v>533</v>
      </c>
      <c r="D96" s="195">
        <v>19688</v>
      </c>
      <c r="E96" s="186"/>
      <c r="F96" s="2">
        <v>264.07</v>
      </c>
      <c r="G96" s="3">
        <f t="shared" si="11"/>
        <v>222.86847825000001</v>
      </c>
      <c r="H96" s="187"/>
      <c r="I96" s="7">
        <v>7.0000000000000007E-2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18.4849</v>
      </c>
      <c r="N96" s="11">
        <f t="shared" si="3"/>
        <v>4.0521541499999998</v>
      </c>
      <c r="O96" s="11">
        <f t="shared" si="4"/>
        <v>18.664467599999998</v>
      </c>
      <c r="P96" s="11">
        <f t="shared" si="5"/>
        <v>0</v>
      </c>
    </row>
    <row r="97" spans="1:16" ht="15" customHeight="1">
      <c r="A97" s="44"/>
      <c r="B97" s="5">
        <f t="shared" si="12"/>
        <v>45658</v>
      </c>
      <c r="C97" s="1" t="s">
        <v>533</v>
      </c>
      <c r="D97" s="195">
        <v>20500</v>
      </c>
      <c r="E97" s="186"/>
      <c r="F97" s="2">
        <v>2744.59</v>
      </c>
      <c r="G97" s="3">
        <f t="shared" si="11"/>
        <v>2191.8295740000003</v>
      </c>
      <c r="H97" s="187"/>
      <c r="I97" s="7">
        <v>0.12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329.35079999999999</v>
      </c>
      <c r="N97" s="11">
        <f t="shared" si="3"/>
        <v>39.851446800000005</v>
      </c>
      <c r="O97" s="11">
        <f t="shared" si="4"/>
        <v>183.55817919999998</v>
      </c>
      <c r="P97" s="11">
        <f t="shared" si="5"/>
        <v>0</v>
      </c>
    </row>
    <row r="98" spans="1:16" ht="15" customHeight="1">
      <c r="A98" s="44"/>
      <c r="B98" s="5">
        <f t="shared" si="12"/>
        <v>45658</v>
      </c>
      <c r="C98" s="1" t="s">
        <v>533</v>
      </c>
      <c r="D98" s="195">
        <v>20502</v>
      </c>
      <c r="E98" s="186"/>
      <c r="F98" s="2">
        <v>9533.8799999999992</v>
      </c>
      <c r="G98" s="3">
        <f t="shared" si="11"/>
        <v>7613.7565679999989</v>
      </c>
      <c r="H98" s="187"/>
      <c r="I98" s="7">
        <v>0.12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1144.0655999999999</v>
      </c>
      <c r="N98" s="11">
        <f t="shared" si="3"/>
        <v>138.4319376</v>
      </c>
      <c r="O98" s="11">
        <f t="shared" si="4"/>
        <v>637.62589439999988</v>
      </c>
      <c r="P98" s="11">
        <f t="shared" si="5"/>
        <v>0</v>
      </c>
    </row>
    <row r="99" spans="1:16" ht="15" customHeight="1">
      <c r="A99" s="44"/>
      <c r="B99" s="5">
        <f t="shared" si="12"/>
        <v>45658</v>
      </c>
      <c r="C99" s="1" t="s">
        <v>533</v>
      </c>
      <c r="D99" s="195">
        <v>20503</v>
      </c>
      <c r="E99" s="186"/>
      <c r="F99" s="2">
        <v>11419.71</v>
      </c>
      <c r="G99" s="3">
        <f>F99-SUM(M99:P99)</f>
        <v>9119.7804059999999</v>
      </c>
      <c r="H99" s="187"/>
      <c r="I99" s="7">
        <v>0.12</v>
      </c>
      <c r="J99" s="7">
        <v>1.6500000000000001E-2</v>
      </c>
      <c r="K99" s="7">
        <v>7.5999999999999998E-2</v>
      </c>
      <c r="L99" s="7">
        <v>0</v>
      </c>
      <c r="M99" s="11">
        <f>+I99*F99</f>
        <v>1370.3651999999997</v>
      </c>
      <c r="N99" s="11">
        <f>J99*(F99-M99)</f>
        <v>165.81418919999999</v>
      </c>
      <c r="O99" s="11">
        <f>K99*(F99-M99)</f>
        <v>763.75020479999989</v>
      </c>
      <c r="P99" s="11">
        <f>L99*(F99)</f>
        <v>0</v>
      </c>
    </row>
    <row r="100" spans="1:16" ht="15" customHeight="1">
      <c r="A100" s="44"/>
      <c r="B100" s="5">
        <f t="shared" si="12"/>
        <v>45658</v>
      </c>
      <c r="C100" s="1" t="s">
        <v>533</v>
      </c>
      <c r="D100" s="195">
        <v>20504</v>
      </c>
      <c r="E100" s="186"/>
      <c r="F100" s="2">
        <v>6635.3</v>
      </c>
      <c r="G100" s="3">
        <f>F100-SUM(M100:P100)</f>
        <v>5298.9505800000006</v>
      </c>
      <c r="H100" s="187"/>
      <c r="I100" s="7">
        <v>0.12</v>
      </c>
      <c r="J100" s="7">
        <v>1.6500000000000001E-2</v>
      </c>
      <c r="K100" s="7">
        <v>7.5999999999999998E-2</v>
      </c>
      <c r="L100" s="7">
        <v>0</v>
      </c>
      <c r="M100" s="11">
        <f>+I100*F100</f>
        <v>796.23599999999999</v>
      </c>
      <c r="N100" s="11">
        <f>J100*(F100-M100)</f>
        <v>96.344556000000011</v>
      </c>
      <c r="O100" s="11">
        <f>K100*(F100-M100)</f>
        <v>443.76886400000001</v>
      </c>
      <c r="P100" s="11">
        <f>L100*(F100)</f>
        <v>0</v>
      </c>
    </row>
    <row r="101" spans="1:16" ht="15" customHeight="1">
      <c r="A101" s="44"/>
      <c r="B101" s="5">
        <f t="shared" si="12"/>
        <v>45658</v>
      </c>
      <c r="C101" s="1" t="s">
        <v>533</v>
      </c>
      <c r="D101" s="195">
        <v>20536</v>
      </c>
      <c r="E101" s="186"/>
      <c r="F101" s="2">
        <v>3251.94</v>
      </c>
      <c r="G101" s="3">
        <f t="shared" si="11"/>
        <v>2596.999284</v>
      </c>
      <c r="H101" s="187"/>
      <c r="I101" s="7">
        <v>0.12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390.2328</v>
      </c>
      <c r="N101" s="11">
        <f t="shared" si="3"/>
        <v>47.218168800000001</v>
      </c>
      <c r="O101" s="11">
        <f t="shared" si="4"/>
        <v>217.48974719999998</v>
      </c>
      <c r="P101" s="11">
        <f t="shared" si="5"/>
        <v>0</v>
      </c>
    </row>
    <row r="102" spans="1:16" ht="15" customHeight="1">
      <c r="A102" s="44"/>
      <c r="B102" s="5">
        <f t="shared" si="12"/>
        <v>45658</v>
      </c>
      <c r="C102" s="1" t="s">
        <v>533</v>
      </c>
      <c r="D102" s="195">
        <v>20572</v>
      </c>
      <c r="E102" s="186"/>
      <c r="F102" s="2">
        <v>4067.47</v>
      </c>
      <c r="G102" s="3">
        <f t="shared" si="11"/>
        <v>3248.2815419999997</v>
      </c>
      <c r="H102" s="187"/>
      <c r="I102" s="7">
        <v>0.12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488.09639999999996</v>
      </c>
      <c r="N102" s="11">
        <f t="shared" si="3"/>
        <v>59.059664400000003</v>
      </c>
      <c r="O102" s="11">
        <f t="shared" si="4"/>
        <v>272.03239359999998</v>
      </c>
      <c r="P102" s="11">
        <f t="shared" si="5"/>
        <v>0</v>
      </c>
    </row>
    <row r="103" spans="1:16" ht="15" customHeight="1">
      <c r="A103" s="44"/>
      <c r="B103" s="5">
        <f t="shared" si="12"/>
        <v>45658</v>
      </c>
      <c r="C103" s="1" t="s">
        <v>533</v>
      </c>
      <c r="D103" s="195">
        <v>20598</v>
      </c>
      <c r="E103" s="186"/>
      <c r="F103" s="2">
        <v>5656.47</v>
      </c>
      <c r="G103" s="3">
        <f t="shared" si="11"/>
        <v>4517.256942</v>
      </c>
      <c r="H103" s="187"/>
      <c r="I103" s="7">
        <v>0.12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678.77639999999997</v>
      </c>
      <c r="N103" s="11">
        <f t="shared" si="3"/>
        <v>82.131944400000009</v>
      </c>
      <c r="O103" s="11">
        <f t="shared" si="4"/>
        <v>378.30471360000001</v>
      </c>
      <c r="P103" s="11">
        <f t="shared" si="5"/>
        <v>0</v>
      </c>
    </row>
    <row r="104" spans="1:16" ht="15" customHeight="1">
      <c r="A104" s="44"/>
      <c r="B104" s="5">
        <f t="shared" si="12"/>
        <v>45658</v>
      </c>
      <c r="C104" s="1" t="s">
        <v>533</v>
      </c>
      <c r="D104" s="195">
        <v>20608</v>
      </c>
      <c r="E104" s="186"/>
      <c r="F104" s="2">
        <v>541.17999999999995</v>
      </c>
      <c r="G104" s="3">
        <f t="shared" si="11"/>
        <v>432.18634799999995</v>
      </c>
      <c r="H104" s="187"/>
      <c r="I104" s="7">
        <v>0.12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64.941599999999994</v>
      </c>
      <c r="N104" s="11">
        <f t="shared" si="3"/>
        <v>7.8579336</v>
      </c>
      <c r="O104" s="11">
        <f t="shared" si="4"/>
        <v>36.194118399999994</v>
      </c>
      <c r="P104" s="11">
        <f t="shared" si="5"/>
        <v>0</v>
      </c>
    </row>
    <row r="105" spans="1:16" ht="15" customHeight="1">
      <c r="A105" s="44"/>
      <c r="B105" s="5">
        <f t="shared" si="12"/>
        <v>45658</v>
      </c>
      <c r="C105" s="1" t="s">
        <v>533</v>
      </c>
      <c r="D105" s="195">
        <v>20623</v>
      </c>
      <c r="E105" s="186"/>
      <c r="F105" s="2">
        <v>745.2</v>
      </c>
      <c r="G105" s="3">
        <f t="shared" si="11"/>
        <v>595.11671999999999</v>
      </c>
      <c r="H105" s="187"/>
      <c r="I105" s="7">
        <v>0.12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89.424000000000007</v>
      </c>
      <c r="N105" s="11">
        <f t="shared" si="3"/>
        <v>10.820304000000002</v>
      </c>
      <c r="O105" s="11">
        <f t="shared" si="4"/>
        <v>49.838976000000002</v>
      </c>
      <c r="P105" s="11">
        <f t="shared" si="5"/>
        <v>0</v>
      </c>
    </row>
    <row r="106" spans="1:16" ht="15" customHeight="1">
      <c r="A106" s="44"/>
      <c r="B106" s="5">
        <f t="shared" si="12"/>
        <v>45658</v>
      </c>
      <c r="C106" s="1" t="s">
        <v>533</v>
      </c>
      <c r="D106" s="195">
        <v>20626</v>
      </c>
      <c r="E106" s="186"/>
      <c r="F106" s="2">
        <v>6696.91</v>
      </c>
      <c r="G106" s="3">
        <f t="shared" si="11"/>
        <v>5348.1523259999994</v>
      </c>
      <c r="H106" s="187"/>
      <c r="I106" s="7">
        <v>0.12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803.62919999999997</v>
      </c>
      <c r="N106" s="11">
        <f t="shared" si="3"/>
        <v>97.239133199999998</v>
      </c>
      <c r="O106" s="11">
        <f t="shared" si="4"/>
        <v>447.88934079999996</v>
      </c>
      <c r="P106" s="11">
        <f t="shared" si="5"/>
        <v>0</v>
      </c>
    </row>
    <row r="107" spans="1:16" ht="15" customHeight="1">
      <c r="A107" s="44"/>
      <c r="B107" s="5">
        <f t="shared" ref="B107:B170" si="13">B106</f>
        <v>45658</v>
      </c>
      <c r="C107" s="1" t="s">
        <v>533</v>
      </c>
      <c r="D107" s="195">
        <v>20632</v>
      </c>
      <c r="E107" s="186"/>
      <c r="F107" s="2">
        <v>949.24</v>
      </c>
      <c r="G107" s="3">
        <f t="shared" si="11"/>
        <v>758.06306399999994</v>
      </c>
      <c r="H107" s="187"/>
      <c r="I107" s="7">
        <v>0.12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113.9088</v>
      </c>
      <c r="N107" s="11">
        <f t="shared" si="3"/>
        <v>13.7829648</v>
      </c>
      <c r="O107" s="11">
        <f t="shared" si="4"/>
        <v>63.485171199999996</v>
      </c>
      <c r="P107" s="11">
        <f t="shared" si="5"/>
        <v>0</v>
      </c>
    </row>
    <row r="108" spans="1:16" ht="15" customHeight="1">
      <c r="A108" s="44"/>
      <c r="B108" s="5">
        <f t="shared" si="13"/>
        <v>45658</v>
      </c>
      <c r="C108" s="1" t="s">
        <v>533</v>
      </c>
      <c r="D108" s="195">
        <v>20638</v>
      </c>
      <c r="E108" s="186"/>
      <c r="F108" s="2">
        <v>1120.95</v>
      </c>
      <c r="G108" s="3">
        <f t="shared" si="11"/>
        <v>895.19066999999995</v>
      </c>
      <c r="H108" s="187"/>
      <c r="I108" s="7">
        <v>0.12</v>
      </c>
      <c r="J108" s="7">
        <v>1.6500000000000001E-2</v>
      </c>
      <c r="K108" s="7">
        <v>7.5999999999999998E-2</v>
      </c>
      <c r="L108" s="7">
        <v>0</v>
      </c>
      <c r="M108" s="11">
        <f t="shared" si="2"/>
        <v>134.51400000000001</v>
      </c>
      <c r="N108" s="11">
        <f t="shared" si="3"/>
        <v>16.276194</v>
      </c>
      <c r="O108" s="11">
        <f t="shared" si="4"/>
        <v>74.969136000000006</v>
      </c>
      <c r="P108" s="11">
        <f t="shared" si="5"/>
        <v>0</v>
      </c>
    </row>
    <row r="109" spans="1:16" ht="15" customHeight="1">
      <c r="A109" s="44"/>
      <c r="B109" s="5">
        <f t="shared" si="13"/>
        <v>45658</v>
      </c>
      <c r="C109" s="1" t="s">
        <v>533</v>
      </c>
      <c r="D109" s="195">
        <v>20645</v>
      </c>
      <c r="E109" s="186"/>
      <c r="F109" s="2">
        <v>1541.88</v>
      </c>
      <c r="G109" s="3">
        <f t="shared" si="11"/>
        <v>1231.3453680000002</v>
      </c>
      <c r="H109" s="187"/>
      <c r="I109" s="7">
        <v>0.12</v>
      </c>
      <c r="J109" s="7">
        <v>1.6500000000000001E-2</v>
      </c>
      <c r="K109" s="7">
        <v>7.5999999999999998E-2</v>
      </c>
      <c r="L109" s="7">
        <v>0</v>
      </c>
      <c r="M109" s="11">
        <f t="shared" si="2"/>
        <v>185.0256</v>
      </c>
      <c r="N109" s="11">
        <f t="shared" si="3"/>
        <v>22.388097600000005</v>
      </c>
      <c r="O109" s="11">
        <f t="shared" si="4"/>
        <v>103.12093440000001</v>
      </c>
      <c r="P109" s="11">
        <f t="shared" si="5"/>
        <v>0</v>
      </c>
    </row>
    <row r="110" spans="1:16" ht="15" customHeight="1">
      <c r="A110" s="44"/>
      <c r="B110" s="5">
        <f t="shared" si="13"/>
        <v>45658</v>
      </c>
      <c r="C110" s="1" t="s">
        <v>533</v>
      </c>
      <c r="D110" s="195">
        <v>20649</v>
      </c>
      <c r="E110" s="186"/>
      <c r="F110" s="2">
        <v>1962.81</v>
      </c>
      <c r="G110" s="3">
        <f t="shared" si="11"/>
        <v>1567.5000660000001</v>
      </c>
      <c r="H110" s="187"/>
      <c r="I110" s="7">
        <v>0.12</v>
      </c>
      <c r="J110" s="7">
        <v>1.6500000000000001E-2</v>
      </c>
      <c r="K110" s="7">
        <v>7.5999999999999998E-2</v>
      </c>
      <c r="L110" s="7">
        <v>0</v>
      </c>
      <c r="M110" s="11">
        <f t="shared" si="2"/>
        <v>235.53719999999998</v>
      </c>
      <c r="N110" s="11">
        <f t="shared" si="3"/>
        <v>28.5000012</v>
      </c>
      <c r="O110" s="11">
        <f t="shared" si="4"/>
        <v>131.2727328</v>
      </c>
      <c r="P110" s="11">
        <f t="shared" si="5"/>
        <v>0</v>
      </c>
    </row>
    <row r="111" spans="1:16" ht="15" customHeight="1">
      <c r="A111" s="44"/>
      <c r="B111" s="5">
        <f t="shared" si="13"/>
        <v>45658</v>
      </c>
      <c r="C111" s="1" t="s">
        <v>533</v>
      </c>
      <c r="D111" s="195">
        <v>20650</v>
      </c>
      <c r="E111" s="186"/>
      <c r="F111" s="2">
        <v>1969.39</v>
      </c>
      <c r="G111" s="3">
        <f t="shared" si="11"/>
        <v>1572.7548540000003</v>
      </c>
      <c r="H111" s="187"/>
      <c r="I111" s="7">
        <v>0.12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236.32679999999999</v>
      </c>
      <c r="N111" s="11">
        <f t="shared" si="3"/>
        <v>28.5955428</v>
      </c>
      <c r="O111" s="11">
        <f t="shared" si="4"/>
        <v>131.7128032</v>
      </c>
      <c r="P111" s="11">
        <f t="shared" si="5"/>
        <v>0</v>
      </c>
    </row>
    <row r="112" spans="1:16" ht="15" customHeight="1">
      <c r="A112" s="44"/>
      <c r="B112" s="5">
        <f t="shared" si="13"/>
        <v>45658</v>
      </c>
      <c r="C112" s="1" t="s">
        <v>533</v>
      </c>
      <c r="D112" s="195">
        <v>20655</v>
      </c>
      <c r="E112" s="186"/>
      <c r="F112" s="2">
        <v>2444.58</v>
      </c>
      <c r="G112" s="3">
        <f t="shared" si="11"/>
        <v>1952.2415879999999</v>
      </c>
      <c r="H112" s="187"/>
      <c r="I112" s="7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293.34959999999995</v>
      </c>
      <c r="N112" s="11">
        <f t="shared" si="3"/>
        <v>35.495301599999998</v>
      </c>
      <c r="O112" s="11">
        <f t="shared" si="4"/>
        <v>163.49351039999999</v>
      </c>
      <c r="P112" s="11">
        <f t="shared" si="5"/>
        <v>0</v>
      </c>
    </row>
    <row r="113" spans="1:16" ht="15" customHeight="1">
      <c r="A113" s="44"/>
      <c r="B113" s="5">
        <f t="shared" si="13"/>
        <v>45658</v>
      </c>
      <c r="C113" s="1" t="s">
        <v>533</v>
      </c>
      <c r="D113" s="195">
        <v>20656</v>
      </c>
      <c r="E113" s="186"/>
      <c r="F113" s="2">
        <v>1746.13</v>
      </c>
      <c r="G113" s="3">
        <f t="shared" si="11"/>
        <v>1394.4594180000001</v>
      </c>
      <c r="H113" s="187"/>
      <c r="I113" s="7">
        <v>0.12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209.53560000000002</v>
      </c>
      <c r="N113" s="11">
        <f t="shared" si="3"/>
        <v>25.353807600000003</v>
      </c>
      <c r="O113" s="11">
        <f t="shared" si="4"/>
        <v>116.78117440000001</v>
      </c>
      <c r="P113" s="11">
        <f t="shared" si="5"/>
        <v>0</v>
      </c>
    </row>
    <row r="114" spans="1:16" ht="15" customHeight="1">
      <c r="A114" s="44"/>
      <c r="B114" s="5">
        <f t="shared" si="13"/>
        <v>45658</v>
      </c>
      <c r="C114" s="1" t="s">
        <v>533</v>
      </c>
      <c r="D114" s="195">
        <v>20657</v>
      </c>
      <c r="E114" s="186"/>
      <c r="F114" s="2">
        <v>3143.04</v>
      </c>
      <c r="G114" s="3">
        <f t="shared" si="11"/>
        <v>2510.0317439999999</v>
      </c>
      <c r="H114" s="187"/>
      <c r="I114" s="7">
        <v>0.12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377.16479999999996</v>
      </c>
      <c r="N114" s="11">
        <f t="shared" si="3"/>
        <v>45.636940799999998</v>
      </c>
      <c r="O114" s="11">
        <f t="shared" si="4"/>
        <v>210.20651519999998</v>
      </c>
      <c r="P114" s="11">
        <f t="shared" si="5"/>
        <v>0</v>
      </c>
    </row>
    <row r="115" spans="1:16" ht="15" hidden="1" customHeight="1">
      <c r="A115" s="44"/>
      <c r="B115" s="5">
        <f t="shared" si="13"/>
        <v>45658</v>
      </c>
      <c r="C115" s="1" t="s">
        <v>533</v>
      </c>
      <c r="D115" s="195"/>
      <c r="E115" s="186"/>
      <c r="F115" s="2"/>
      <c r="G115" s="3">
        <f t="shared" si="11"/>
        <v>0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0</v>
      </c>
      <c r="N115" s="11">
        <f t="shared" si="3"/>
        <v>0</v>
      </c>
      <c r="O115" s="11">
        <f t="shared" si="4"/>
        <v>0</v>
      </c>
      <c r="P115" s="11">
        <f t="shared" si="5"/>
        <v>0</v>
      </c>
    </row>
    <row r="116" spans="1:16" ht="15" hidden="1" customHeight="1">
      <c r="A116" s="44"/>
      <c r="B116" s="5">
        <f t="shared" si="13"/>
        <v>45658</v>
      </c>
      <c r="C116" s="1" t="s">
        <v>533</v>
      </c>
      <c r="D116" s="195"/>
      <c r="E116" s="186"/>
      <c r="F116" s="2"/>
      <c r="G116" s="3">
        <f t="shared" si="11"/>
        <v>0</v>
      </c>
      <c r="H116" s="187"/>
      <c r="I116" s="7"/>
      <c r="J116" s="7">
        <v>1.6500000000000001E-2</v>
      </c>
      <c r="K116" s="7">
        <v>7.5999999999999998E-2</v>
      </c>
      <c r="L116" s="7">
        <v>0</v>
      </c>
      <c r="M116" s="11">
        <f t="shared" si="2"/>
        <v>0</v>
      </c>
      <c r="N116" s="11">
        <f t="shared" si="3"/>
        <v>0</v>
      </c>
      <c r="O116" s="11">
        <f t="shared" si="4"/>
        <v>0</v>
      </c>
      <c r="P116" s="11">
        <f t="shared" si="5"/>
        <v>0</v>
      </c>
    </row>
    <row r="117" spans="1:16" ht="15" hidden="1" customHeight="1">
      <c r="A117" s="44"/>
      <c r="B117" s="5">
        <f t="shared" si="13"/>
        <v>45658</v>
      </c>
      <c r="C117" s="1" t="s">
        <v>533</v>
      </c>
      <c r="D117" s="195"/>
      <c r="E117" s="186"/>
      <c r="F117" s="2"/>
      <c r="G117" s="3">
        <f t="shared" si="11"/>
        <v>0</v>
      </c>
      <c r="H117" s="187"/>
      <c r="I117" s="7"/>
      <c r="J117" s="7">
        <v>1.6500000000000001E-2</v>
      </c>
      <c r="K117" s="7">
        <v>7.5999999999999998E-2</v>
      </c>
      <c r="L117" s="7">
        <v>0</v>
      </c>
      <c r="M117" s="11">
        <f t="shared" si="2"/>
        <v>0</v>
      </c>
      <c r="N117" s="11">
        <f t="shared" si="3"/>
        <v>0</v>
      </c>
      <c r="O117" s="11">
        <f t="shared" si="4"/>
        <v>0</v>
      </c>
      <c r="P117" s="11">
        <f t="shared" si="5"/>
        <v>0</v>
      </c>
    </row>
    <row r="118" spans="1:16" ht="15" hidden="1" customHeight="1">
      <c r="A118" s="44"/>
      <c r="B118" s="5">
        <f t="shared" si="13"/>
        <v>45658</v>
      </c>
      <c r="C118" s="1" t="s">
        <v>533</v>
      </c>
      <c r="D118" s="195"/>
      <c r="E118" s="186"/>
      <c r="F118" s="2"/>
      <c r="G118" s="3">
        <f t="shared" si="11"/>
        <v>0</v>
      </c>
      <c r="H118" s="187"/>
      <c r="I118" s="7"/>
      <c r="J118" s="7">
        <v>1.6500000000000001E-2</v>
      </c>
      <c r="K118" s="7">
        <v>7.5999999999999998E-2</v>
      </c>
      <c r="L118" s="7">
        <v>0</v>
      </c>
      <c r="M118" s="11">
        <f t="shared" si="2"/>
        <v>0</v>
      </c>
      <c r="N118" s="11">
        <f t="shared" si="3"/>
        <v>0</v>
      </c>
      <c r="O118" s="11">
        <f t="shared" si="4"/>
        <v>0</v>
      </c>
      <c r="P118" s="11">
        <f t="shared" si="5"/>
        <v>0</v>
      </c>
    </row>
    <row r="119" spans="1:16" ht="15" hidden="1" customHeight="1">
      <c r="A119" s="44"/>
      <c r="B119" s="5">
        <f t="shared" si="13"/>
        <v>45658</v>
      </c>
      <c r="C119" s="1" t="s">
        <v>533</v>
      </c>
      <c r="D119" s="195"/>
      <c r="E119" s="186"/>
      <c r="F119" s="2"/>
      <c r="G119" s="3">
        <f t="shared" si="11"/>
        <v>0</v>
      </c>
      <c r="H119" s="187"/>
      <c r="I119" s="7"/>
      <c r="J119" s="7">
        <v>1.6500000000000001E-2</v>
      </c>
      <c r="K119" s="7">
        <v>7.5999999999999998E-2</v>
      </c>
      <c r="L119" s="7">
        <v>0</v>
      </c>
      <c r="M119" s="11">
        <f t="shared" si="2"/>
        <v>0</v>
      </c>
      <c r="N119" s="11">
        <f t="shared" si="3"/>
        <v>0</v>
      </c>
      <c r="O119" s="11">
        <f t="shared" si="4"/>
        <v>0</v>
      </c>
      <c r="P119" s="11">
        <f t="shared" si="5"/>
        <v>0</v>
      </c>
    </row>
    <row r="120" spans="1:16" ht="15" hidden="1" customHeight="1">
      <c r="A120" s="44"/>
      <c r="B120" s="5">
        <f t="shared" si="13"/>
        <v>45658</v>
      </c>
      <c r="C120" s="1" t="s">
        <v>533</v>
      </c>
      <c r="D120" s="195"/>
      <c r="E120" s="186"/>
      <c r="F120" s="2"/>
      <c r="G120" s="3">
        <f t="shared" si="11"/>
        <v>0</v>
      </c>
      <c r="H120" s="187"/>
      <c r="I120" s="7"/>
      <c r="J120" s="7">
        <v>1.6500000000000001E-2</v>
      </c>
      <c r="K120" s="7">
        <v>7.5999999999999998E-2</v>
      </c>
      <c r="L120" s="7">
        <v>0</v>
      </c>
      <c r="M120" s="11">
        <f t="shared" si="2"/>
        <v>0</v>
      </c>
      <c r="N120" s="11">
        <f t="shared" si="3"/>
        <v>0</v>
      </c>
      <c r="O120" s="11">
        <f t="shared" si="4"/>
        <v>0</v>
      </c>
      <c r="P120" s="11">
        <f t="shared" si="5"/>
        <v>0</v>
      </c>
    </row>
    <row r="121" spans="1:16" ht="15" hidden="1" customHeight="1">
      <c r="A121" s="44"/>
      <c r="B121" s="5">
        <f t="shared" si="13"/>
        <v>45658</v>
      </c>
      <c r="C121" s="1" t="s">
        <v>533</v>
      </c>
      <c r="D121" s="195"/>
      <c r="E121" s="186"/>
      <c r="F121" s="2"/>
      <c r="G121" s="3">
        <f t="shared" si="11"/>
        <v>0</v>
      </c>
      <c r="H121" s="187"/>
      <c r="I121" s="7"/>
      <c r="J121" s="7">
        <v>1.6500000000000001E-2</v>
      </c>
      <c r="K121" s="7">
        <v>7.5999999999999998E-2</v>
      </c>
      <c r="L121" s="7">
        <v>0</v>
      </c>
      <c r="M121" s="11">
        <f t="shared" si="2"/>
        <v>0</v>
      </c>
      <c r="N121" s="11">
        <f t="shared" si="3"/>
        <v>0</v>
      </c>
      <c r="O121" s="11">
        <f t="shared" si="4"/>
        <v>0</v>
      </c>
      <c r="P121" s="11">
        <f t="shared" si="5"/>
        <v>0</v>
      </c>
    </row>
    <row r="122" spans="1:16" ht="15" hidden="1" customHeight="1">
      <c r="A122" s="44"/>
      <c r="B122" s="5">
        <f t="shared" si="13"/>
        <v>45658</v>
      </c>
      <c r="C122" s="1" t="s">
        <v>533</v>
      </c>
      <c r="D122" s="195"/>
      <c r="E122" s="186"/>
      <c r="F122" s="2"/>
      <c r="G122" s="3">
        <f t="shared" si="11"/>
        <v>0</v>
      </c>
      <c r="H122" s="187"/>
      <c r="I122" s="7"/>
      <c r="J122" s="7">
        <v>1.6500000000000001E-2</v>
      </c>
      <c r="K122" s="7">
        <v>7.5999999999999998E-2</v>
      </c>
      <c r="L122" s="7">
        <v>0</v>
      </c>
      <c r="M122" s="11">
        <f t="shared" si="2"/>
        <v>0</v>
      </c>
      <c r="N122" s="11">
        <f t="shared" si="3"/>
        <v>0</v>
      </c>
      <c r="O122" s="11">
        <f t="shared" si="4"/>
        <v>0</v>
      </c>
      <c r="P122" s="11">
        <f t="shared" si="5"/>
        <v>0</v>
      </c>
    </row>
    <row r="123" spans="1:16" ht="15" hidden="1" customHeight="1">
      <c r="A123" s="44"/>
      <c r="B123" s="5">
        <f t="shared" si="13"/>
        <v>45658</v>
      </c>
      <c r="C123" s="1" t="s">
        <v>533</v>
      </c>
      <c r="D123" s="195"/>
      <c r="E123" s="186"/>
      <c r="F123" s="2"/>
      <c r="G123" s="3">
        <f t="shared" si="11"/>
        <v>0</v>
      </c>
      <c r="H123" s="187"/>
      <c r="I123" s="7"/>
      <c r="J123" s="7">
        <v>1.6500000000000001E-2</v>
      </c>
      <c r="K123" s="7">
        <v>7.5999999999999998E-2</v>
      </c>
      <c r="L123" s="7">
        <v>0</v>
      </c>
      <c r="M123" s="11">
        <f t="shared" si="2"/>
        <v>0</v>
      </c>
      <c r="N123" s="11">
        <f t="shared" si="3"/>
        <v>0</v>
      </c>
      <c r="O123" s="11">
        <f t="shared" si="4"/>
        <v>0</v>
      </c>
      <c r="P123" s="11">
        <f t="shared" si="5"/>
        <v>0</v>
      </c>
    </row>
    <row r="124" spans="1:16" ht="15" hidden="1" customHeight="1">
      <c r="A124" s="44"/>
      <c r="B124" s="5">
        <f t="shared" si="13"/>
        <v>45658</v>
      </c>
      <c r="C124" s="1" t="s">
        <v>533</v>
      </c>
      <c r="D124" s="195"/>
      <c r="E124" s="186"/>
      <c r="F124" s="2"/>
      <c r="G124" s="3">
        <f t="shared" si="11"/>
        <v>0</v>
      </c>
      <c r="H124" s="187"/>
      <c r="I124" s="7"/>
      <c r="J124" s="7">
        <v>1.6500000000000001E-2</v>
      </c>
      <c r="K124" s="7">
        <v>7.5999999999999998E-2</v>
      </c>
      <c r="L124" s="7">
        <v>0</v>
      </c>
      <c r="M124" s="11">
        <f t="shared" si="2"/>
        <v>0</v>
      </c>
      <c r="N124" s="11">
        <f t="shared" si="3"/>
        <v>0</v>
      </c>
      <c r="O124" s="11">
        <f t="shared" si="4"/>
        <v>0</v>
      </c>
      <c r="P124" s="11">
        <f t="shared" si="5"/>
        <v>0</v>
      </c>
    </row>
    <row r="125" spans="1:16" ht="15" hidden="1" customHeight="1">
      <c r="A125" s="44"/>
      <c r="B125" s="5">
        <f t="shared" si="13"/>
        <v>45658</v>
      </c>
      <c r="C125" s="1" t="s">
        <v>533</v>
      </c>
      <c r="D125" s="195"/>
      <c r="E125" s="186"/>
      <c r="F125" s="2"/>
      <c r="G125" s="3">
        <f t="shared" si="11"/>
        <v>0</v>
      </c>
      <c r="H125" s="187"/>
      <c r="I125" s="7"/>
      <c r="J125" s="7">
        <v>1.6500000000000001E-2</v>
      </c>
      <c r="K125" s="7">
        <v>7.5999999999999998E-2</v>
      </c>
      <c r="L125" s="7">
        <v>0</v>
      </c>
      <c r="M125" s="11">
        <f t="shared" si="2"/>
        <v>0</v>
      </c>
      <c r="N125" s="11">
        <f t="shared" si="3"/>
        <v>0</v>
      </c>
      <c r="O125" s="11">
        <f t="shared" si="4"/>
        <v>0</v>
      </c>
      <c r="P125" s="11">
        <f t="shared" si="5"/>
        <v>0</v>
      </c>
    </row>
    <row r="126" spans="1:16" ht="15" hidden="1" customHeight="1">
      <c r="A126" s="44"/>
      <c r="B126" s="5">
        <f t="shared" si="13"/>
        <v>45658</v>
      </c>
      <c r="C126" s="1" t="s">
        <v>533</v>
      </c>
      <c r="D126" s="195"/>
      <c r="E126" s="186"/>
      <c r="F126" s="2"/>
      <c r="G126" s="3">
        <f t="shared" si="11"/>
        <v>0</v>
      </c>
      <c r="H126" s="187"/>
      <c r="I126" s="7"/>
      <c r="J126" s="7">
        <v>1.6500000000000001E-2</v>
      </c>
      <c r="K126" s="7">
        <v>7.5999999999999998E-2</v>
      </c>
      <c r="L126" s="7">
        <v>0</v>
      </c>
      <c r="M126" s="11">
        <f t="shared" si="2"/>
        <v>0</v>
      </c>
      <c r="N126" s="11">
        <f t="shared" si="3"/>
        <v>0</v>
      </c>
      <c r="O126" s="11">
        <f t="shared" si="4"/>
        <v>0</v>
      </c>
      <c r="P126" s="11">
        <f t="shared" si="5"/>
        <v>0</v>
      </c>
    </row>
    <row r="127" spans="1:16" ht="15" hidden="1" customHeight="1">
      <c r="A127" s="44"/>
      <c r="B127" s="5">
        <f t="shared" si="13"/>
        <v>45658</v>
      </c>
      <c r="C127" s="1" t="s">
        <v>533</v>
      </c>
      <c r="D127" s="195"/>
      <c r="E127" s="186"/>
      <c r="F127" s="2"/>
      <c r="G127" s="3">
        <f t="shared" si="11"/>
        <v>0</v>
      </c>
      <c r="H127" s="187"/>
      <c r="I127" s="7"/>
      <c r="J127" s="7">
        <v>1.6500000000000001E-2</v>
      </c>
      <c r="K127" s="7">
        <v>7.5999999999999998E-2</v>
      </c>
      <c r="L127" s="7">
        <v>0</v>
      </c>
      <c r="M127" s="11">
        <f t="shared" si="2"/>
        <v>0</v>
      </c>
      <c r="N127" s="11">
        <f t="shared" si="3"/>
        <v>0</v>
      </c>
      <c r="O127" s="11">
        <f t="shared" si="4"/>
        <v>0</v>
      </c>
      <c r="P127" s="11">
        <f t="shared" si="5"/>
        <v>0</v>
      </c>
    </row>
    <row r="128" spans="1:16" ht="15" hidden="1" customHeight="1">
      <c r="A128" s="44"/>
      <c r="B128" s="5">
        <f t="shared" si="13"/>
        <v>45658</v>
      </c>
      <c r="C128" s="1" t="s">
        <v>533</v>
      </c>
      <c r="D128" s="195"/>
      <c r="E128" s="186"/>
      <c r="F128" s="2"/>
      <c r="G128" s="3">
        <f t="shared" si="11"/>
        <v>0</v>
      </c>
      <c r="H128" s="187"/>
      <c r="I128" s="7"/>
      <c r="J128" s="7">
        <v>1.6500000000000001E-2</v>
      </c>
      <c r="K128" s="7">
        <v>7.5999999999999998E-2</v>
      </c>
      <c r="L128" s="7">
        <v>0</v>
      </c>
      <c r="M128" s="11">
        <f t="shared" si="2"/>
        <v>0</v>
      </c>
      <c r="N128" s="11">
        <f t="shared" si="3"/>
        <v>0</v>
      </c>
      <c r="O128" s="11">
        <f t="shared" si="4"/>
        <v>0</v>
      </c>
      <c r="P128" s="11">
        <f t="shared" si="5"/>
        <v>0</v>
      </c>
    </row>
    <row r="129" spans="1:16" ht="15" hidden="1" customHeight="1">
      <c r="A129" s="44"/>
      <c r="B129" s="5">
        <f t="shared" si="13"/>
        <v>45658</v>
      </c>
      <c r="C129" s="1" t="s">
        <v>533</v>
      </c>
      <c r="D129" s="195"/>
      <c r="E129" s="186"/>
      <c r="F129" s="2"/>
      <c r="G129" s="3">
        <f t="shared" si="11"/>
        <v>0</v>
      </c>
      <c r="H129" s="187"/>
      <c r="I129" s="7"/>
      <c r="J129" s="7">
        <v>1.6500000000000001E-2</v>
      </c>
      <c r="K129" s="7">
        <v>7.5999999999999998E-2</v>
      </c>
      <c r="L129" s="7">
        <v>0</v>
      </c>
      <c r="M129" s="11">
        <f t="shared" si="2"/>
        <v>0</v>
      </c>
      <c r="N129" s="11">
        <f t="shared" si="3"/>
        <v>0</v>
      </c>
      <c r="O129" s="11">
        <f t="shared" si="4"/>
        <v>0</v>
      </c>
      <c r="P129" s="11">
        <f t="shared" si="5"/>
        <v>0</v>
      </c>
    </row>
    <row r="130" spans="1:16" ht="15" hidden="1" customHeight="1">
      <c r="A130" s="44"/>
      <c r="B130" s="5">
        <f t="shared" si="13"/>
        <v>45658</v>
      </c>
      <c r="C130" s="1" t="s">
        <v>533</v>
      </c>
      <c r="D130" s="195"/>
      <c r="E130" s="186"/>
      <c r="F130" s="2"/>
      <c r="G130" s="3">
        <f t="shared" si="11"/>
        <v>0</v>
      </c>
      <c r="H130" s="187"/>
      <c r="I130" s="7"/>
      <c r="J130" s="7">
        <v>1.6500000000000001E-2</v>
      </c>
      <c r="K130" s="7">
        <v>7.5999999999999998E-2</v>
      </c>
      <c r="L130" s="7">
        <v>0</v>
      </c>
      <c r="M130" s="11">
        <f t="shared" si="2"/>
        <v>0</v>
      </c>
      <c r="N130" s="11">
        <f t="shared" si="3"/>
        <v>0</v>
      </c>
      <c r="O130" s="11">
        <f t="shared" si="4"/>
        <v>0</v>
      </c>
      <c r="P130" s="11">
        <f t="shared" si="5"/>
        <v>0</v>
      </c>
    </row>
    <row r="131" spans="1:16" ht="15" hidden="1" customHeight="1">
      <c r="A131" s="44"/>
      <c r="B131" s="5">
        <f t="shared" si="13"/>
        <v>45658</v>
      </c>
      <c r="C131" s="1" t="s">
        <v>533</v>
      </c>
      <c r="D131" s="195"/>
      <c r="E131" s="186"/>
      <c r="F131" s="2"/>
      <c r="G131" s="3">
        <f t="shared" si="11"/>
        <v>0</v>
      </c>
      <c r="H131" s="187"/>
      <c r="I131" s="7"/>
      <c r="J131" s="7">
        <v>1.6500000000000001E-2</v>
      </c>
      <c r="K131" s="7">
        <v>7.5999999999999998E-2</v>
      </c>
      <c r="L131" s="7">
        <v>0</v>
      </c>
      <c r="M131" s="11">
        <f t="shared" si="2"/>
        <v>0</v>
      </c>
      <c r="N131" s="11">
        <f t="shared" si="3"/>
        <v>0</v>
      </c>
      <c r="O131" s="11">
        <f t="shared" si="4"/>
        <v>0</v>
      </c>
      <c r="P131" s="11">
        <f t="shared" si="5"/>
        <v>0</v>
      </c>
    </row>
    <row r="132" spans="1:16" ht="15" hidden="1" customHeight="1">
      <c r="A132" s="44"/>
      <c r="B132" s="5">
        <f t="shared" si="13"/>
        <v>45658</v>
      </c>
      <c r="C132" s="1" t="s">
        <v>533</v>
      </c>
      <c r="D132" s="195"/>
      <c r="E132" s="186"/>
      <c r="F132" s="2"/>
      <c r="G132" s="3">
        <f t="shared" si="11"/>
        <v>0</v>
      </c>
      <c r="H132" s="187"/>
      <c r="I132" s="7"/>
      <c r="J132" s="7">
        <v>1.6500000000000001E-2</v>
      </c>
      <c r="K132" s="7">
        <v>7.5999999999999998E-2</v>
      </c>
      <c r="L132" s="7">
        <v>0</v>
      </c>
      <c r="M132" s="11">
        <f t="shared" si="2"/>
        <v>0</v>
      </c>
      <c r="N132" s="11">
        <f t="shared" si="3"/>
        <v>0</v>
      </c>
      <c r="O132" s="11">
        <f t="shared" si="4"/>
        <v>0</v>
      </c>
      <c r="P132" s="11">
        <f t="shared" si="5"/>
        <v>0</v>
      </c>
    </row>
    <row r="133" spans="1:16" ht="15" hidden="1" customHeight="1">
      <c r="A133" s="44"/>
      <c r="B133" s="5">
        <f t="shared" si="13"/>
        <v>45658</v>
      </c>
      <c r="C133" s="1" t="s">
        <v>533</v>
      </c>
      <c r="D133" s="195"/>
      <c r="E133" s="186"/>
      <c r="F133" s="2"/>
      <c r="G133" s="3">
        <f t="shared" si="11"/>
        <v>0</v>
      </c>
      <c r="H133" s="187"/>
      <c r="I133" s="7"/>
      <c r="J133" s="7">
        <v>1.6500000000000001E-2</v>
      </c>
      <c r="K133" s="7">
        <v>7.5999999999999998E-2</v>
      </c>
      <c r="L133" s="7">
        <v>0</v>
      </c>
      <c r="M133" s="11">
        <f t="shared" si="2"/>
        <v>0</v>
      </c>
      <c r="N133" s="11">
        <f t="shared" si="3"/>
        <v>0</v>
      </c>
      <c r="O133" s="11">
        <f t="shared" si="4"/>
        <v>0</v>
      </c>
      <c r="P133" s="11">
        <f t="shared" si="5"/>
        <v>0</v>
      </c>
    </row>
    <row r="134" spans="1:16" ht="15" hidden="1" customHeight="1">
      <c r="A134" s="44"/>
      <c r="B134" s="5">
        <f t="shared" si="13"/>
        <v>45658</v>
      </c>
      <c r="C134" s="1" t="s">
        <v>533</v>
      </c>
      <c r="D134" s="195"/>
      <c r="E134" s="186"/>
      <c r="F134" s="2"/>
      <c r="G134" s="3">
        <f t="shared" si="11"/>
        <v>0</v>
      </c>
      <c r="H134" s="187"/>
      <c r="I134" s="7"/>
      <c r="J134" s="7">
        <v>1.6500000000000001E-2</v>
      </c>
      <c r="K134" s="7">
        <v>7.5999999999999998E-2</v>
      </c>
      <c r="L134" s="7">
        <v>0</v>
      </c>
      <c r="M134" s="11">
        <f t="shared" si="2"/>
        <v>0</v>
      </c>
      <c r="N134" s="11">
        <f t="shared" si="3"/>
        <v>0</v>
      </c>
      <c r="O134" s="11">
        <f t="shared" si="4"/>
        <v>0</v>
      </c>
      <c r="P134" s="11">
        <f t="shared" ref="P134:P177" si="14">L134*(F134)</f>
        <v>0</v>
      </c>
    </row>
    <row r="135" spans="1:16" ht="15" hidden="1" customHeight="1">
      <c r="A135" s="44"/>
      <c r="B135" s="5">
        <f t="shared" si="13"/>
        <v>45658</v>
      </c>
      <c r="C135" s="1" t="s">
        <v>533</v>
      </c>
      <c r="D135" s="195"/>
      <c r="E135" s="186"/>
      <c r="F135" s="2"/>
      <c r="G135" s="3">
        <f t="shared" si="11"/>
        <v>0</v>
      </c>
      <c r="H135" s="187"/>
      <c r="I135" s="7"/>
      <c r="J135" s="7">
        <v>1.6500000000000001E-2</v>
      </c>
      <c r="K135" s="7">
        <v>7.5999999999999998E-2</v>
      </c>
      <c r="L135" s="7">
        <v>0</v>
      </c>
      <c r="M135" s="11">
        <f t="shared" si="2"/>
        <v>0</v>
      </c>
      <c r="N135" s="11">
        <f t="shared" si="3"/>
        <v>0</v>
      </c>
      <c r="O135" s="11">
        <f t="shared" si="4"/>
        <v>0</v>
      </c>
      <c r="P135" s="11">
        <f t="shared" si="14"/>
        <v>0</v>
      </c>
    </row>
    <row r="136" spans="1:16" ht="15" hidden="1" customHeight="1">
      <c r="A136" s="44"/>
      <c r="B136" s="5">
        <f t="shared" si="13"/>
        <v>45658</v>
      </c>
      <c r="C136" s="1" t="s">
        <v>533</v>
      </c>
      <c r="D136" s="195"/>
      <c r="E136" s="186"/>
      <c r="F136" s="2"/>
      <c r="G136" s="3">
        <f t="shared" ref="G136:G174" si="15">F136-SUM(M136:P136)</f>
        <v>0</v>
      </c>
      <c r="H136" s="187"/>
      <c r="I136" s="7"/>
      <c r="J136" s="7">
        <v>1.6500000000000001E-2</v>
      </c>
      <c r="K136" s="7">
        <v>7.5999999999999998E-2</v>
      </c>
      <c r="L136" s="7">
        <v>0</v>
      </c>
      <c r="M136" s="11">
        <f t="shared" si="2"/>
        <v>0</v>
      </c>
      <c r="N136" s="11">
        <f t="shared" si="3"/>
        <v>0</v>
      </c>
      <c r="O136" s="11">
        <f t="shared" si="4"/>
        <v>0</v>
      </c>
      <c r="P136" s="11">
        <f t="shared" si="14"/>
        <v>0</v>
      </c>
    </row>
    <row r="137" spans="1:16" ht="15" hidden="1" customHeight="1">
      <c r="A137" s="44"/>
      <c r="B137" s="5">
        <f t="shared" si="13"/>
        <v>45658</v>
      </c>
      <c r="C137" s="1" t="s">
        <v>533</v>
      </c>
      <c r="D137" s="195"/>
      <c r="E137" s="186"/>
      <c r="F137" s="2"/>
      <c r="G137" s="3">
        <f t="shared" si="15"/>
        <v>0</v>
      </c>
      <c r="H137" s="187"/>
      <c r="I137" s="7"/>
      <c r="J137" s="7">
        <v>1.6500000000000001E-2</v>
      </c>
      <c r="K137" s="7">
        <v>7.5999999999999998E-2</v>
      </c>
      <c r="L137" s="7">
        <v>0</v>
      </c>
      <c r="M137" s="11">
        <f t="shared" si="2"/>
        <v>0</v>
      </c>
      <c r="N137" s="11">
        <f t="shared" si="3"/>
        <v>0</v>
      </c>
      <c r="O137" s="11">
        <f t="shared" si="4"/>
        <v>0</v>
      </c>
      <c r="P137" s="11">
        <f t="shared" si="14"/>
        <v>0</v>
      </c>
    </row>
    <row r="138" spans="1:16" ht="15" hidden="1" customHeight="1">
      <c r="A138" s="44"/>
      <c r="B138" s="5">
        <f t="shared" si="13"/>
        <v>45658</v>
      </c>
      <c r="C138" s="1" t="s">
        <v>533</v>
      </c>
      <c r="D138" s="195"/>
      <c r="E138" s="186"/>
      <c r="F138" s="2"/>
      <c r="G138" s="3">
        <f t="shared" si="15"/>
        <v>0</v>
      </c>
      <c r="H138" s="187"/>
      <c r="I138" s="7"/>
      <c r="J138" s="7">
        <v>1.6500000000000001E-2</v>
      </c>
      <c r="K138" s="7">
        <v>7.5999999999999998E-2</v>
      </c>
      <c r="L138" s="7">
        <v>0</v>
      </c>
      <c r="M138" s="11">
        <f t="shared" si="2"/>
        <v>0</v>
      </c>
      <c r="N138" s="11">
        <f t="shared" si="3"/>
        <v>0</v>
      </c>
      <c r="O138" s="11">
        <f t="shared" si="4"/>
        <v>0</v>
      </c>
      <c r="P138" s="11">
        <f t="shared" si="14"/>
        <v>0</v>
      </c>
    </row>
    <row r="139" spans="1:16" ht="15" hidden="1" customHeight="1">
      <c r="A139" s="44"/>
      <c r="B139" s="5">
        <f t="shared" si="13"/>
        <v>45658</v>
      </c>
      <c r="C139" s="1" t="s">
        <v>533</v>
      </c>
      <c r="D139" s="195"/>
      <c r="E139" s="186"/>
      <c r="F139" s="2"/>
      <c r="G139" s="3">
        <f t="shared" si="15"/>
        <v>0</v>
      </c>
      <c r="H139" s="187"/>
      <c r="I139" s="7"/>
      <c r="J139" s="7">
        <v>1.6500000000000001E-2</v>
      </c>
      <c r="K139" s="7">
        <v>7.5999999999999998E-2</v>
      </c>
      <c r="L139" s="7">
        <v>0</v>
      </c>
      <c r="M139" s="11">
        <f t="shared" si="2"/>
        <v>0</v>
      </c>
      <c r="N139" s="11">
        <f t="shared" si="3"/>
        <v>0</v>
      </c>
      <c r="O139" s="11">
        <f t="shared" si="4"/>
        <v>0</v>
      </c>
      <c r="P139" s="11">
        <f t="shared" si="14"/>
        <v>0</v>
      </c>
    </row>
    <row r="140" spans="1:16" ht="15" hidden="1" customHeight="1">
      <c r="A140" s="44"/>
      <c r="B140" s="5">
        <f t="shared" si="13"/>
        <v>45658</v>
      </c>
      <c r="C140" s="1" t="s">
        <v>533</v>
      </c>
      <c r="D140" s="195"/>
      <c r="E140" s="186"/>
      <c r="F140" s="2"/>
      <c r="G140" s="3">
        <f t="shared" si="15"/>
        <v>0</v>
      </c>
      <c r="H140" s="187"/>
      <c r="I140" s="7"/>
      <c r="J140" s="7">
        <v>1.6500000000000001E-2</v>
      </c>
      <c r="K140" s="7">
        <v>7.5999999999999998E-2</v>
      </c>
      <c r="L140" s="7">
        <v>0</v>
      </c>
      <c r="M140" s="11">
        <f t="shared" si="2"/>
        <v>0</v>
      </c>
      <c r="N140" s="11">
        <f t="shared" si="3"/>
        <v>0</v>
      </c>
      <c r="O140" s="11">
        <f t="shared" si="4"/>
        <v>0</v>
      </c>
      <c r="P140" s="11">
        <f t="shared" si="14"/>
        <v>0</v>
      </c>
    </row>
    <row r="141" spans="1:16" ht="15" hidden="1" customHeight="1">
      <c r="A141" s="44"/>
      <c r="B141" s="5">
        <f t="shared" si="13"/>
        <v>45658</v>
      </c>
      <c r="C141" s="1" t="s">
        <v>533</v>
      </c>
      <c r="D141" s="195"/>
      <c r="E141" s="186"/>
      <c r="F141" s="2"/>
      <c r="G141" s="3">
        <f t="shared" si="15"/>
        <v>0</v>
      </c>
      <c r="H141" s="187"/>
      <c r="I141" s="7"/>
      <c r="J141" s="7">
        <v>1.6500000000000001E-2</v>
      </c>
      <c r="K141" s="7">
        <v>7.5999999999999998E-2</v>
      </c>
      <c r="L141" s="7">
        <v>0</v>
      </c>
      <c r="M141" s="11">
        <f t="shared" si="2"/>
        <v>0</v>
      </c>
      <c r="N141" s="11">
        <f t="shared" si="3"/>
        <v>0</v>
      </c>
      <c r="O141" s="11">
        <f t="shared" si="4"/>
        <v>0</v>
      </c>
      <c r="P141" s="11">
        <f t="shared" si="14"/>
        <v>0</v>
      </c>
    </row>
    <row r="142" spans="1:16" ht="15" hidden="1" customHeight="1">
      <c r="A142" s="44"/>
      <c r="B142" s="5">
        <f t="shared" si="13"/>
        <v>45658</v>
      </c>
      <c r="C142" s="1" t="s">
        <v>533</v>
      </c>
      <c r="D142" s="195"/>
      <c r="E142" s="186"/>
      <c r="F142" s="2"/>
      <c r="G142" s="3">
        <f t="shared" si="15"/>
        <v>0</v>
      </c>
      <c r="H142" s="187"/>
      <c r="I142" s="7"/>
      <c r="J142" s="7">
        <v>1.6500000000000001E-2</v>
      </c>
      <c r="K142" s="7">
        <v>7.5999999999999998E-2</v>
      </c>
      <c r="L142" s="7">
        <v>0</v>
      </c>
      <c r="M142" s="11">
        <f t="shared" si="2"/>
        <v>0</v>
      </c>
      <c r="N142" s="11">
        <f t="shared" si="3"/>
        <v>0</v>
      </c>
      <c r="O142" s="11">
        <f t="shared" si="4"/>
        <v>0</v>
      </c>
      <c r="P142" s="11">
        <f t="shared" si="14"/>
        <v>0</v>
      </c>
    </row>
    <row r="143" spans="1:16" ht="15" hidden="1" customHeight="1">
      <c r="A143" s="44"/>
      <c r="B143" s="5">
        <f t="shared" si="13"/>
        <v>45658</v>
      </c>
      <c r="C143" s="1" t="s">
        <v>533</v>
      </c>
      <c r="D143" s="195"/>
      <c r="E143" s="186"/>
      <c r="F143" s="2"/>
      <c r="G143" s="3">
        <f t="shared" si="15"/>
        <v>0</v>
      </c>
      <c r="H143" s="187"/>
      <c r="I143" s="7"/>
      <c r="J143" s="7">
        <v>1.6500000000000001E-2</v>
      </c>
      <c r="K143" s="7">
        <v>7.5999999999999998E-2</v>
      </c>
      <c r="L143" s="7">
        <v>0</v>
      </c>
      <c r="M143" s="11">
        <f t="shared" si="2"/>
        <v>0</v>
      </c>
      <c r="N143" s="11">
        <f t="shared" si="3"/>
        <v>0</v>
      </c>
      <c r="O143" s="11">
        <f t="shared" si="4"/>
        <v>0</v>
      </c>
      <c r="P143" s="11">
        <f t="shared" si="14"/>
        <v>0</v>
      </c>
    </row>
    <row r="144" spans="1:16" ht="15" hidden="1" customHeight="1">
      <c r="A144" s="44"/>
      <c r="B144" s="5">
        <f t="shared" si="13"/>
        <v>45658</v>
      </c>
      <c r="C144" s="1" t="s">
        <v>533</v>
      </c>
      <c r="D144" s="195"/>
      <c r="E144" s="186"/>
      <c r="F144" s="2"/>
      <c r="G144" s="3">
        <f t="shared" si="15"/>
        <v>0</v>
      </c>
      <c r="H144" s="187"/>
      <c r="I144" s="7"/>
      <c r="J144" s="7">
        <v>1.6500000000000001E-2</v>
      </c>
      <c r="K144" s="7">
        <v>7.5999999999999998E-2</v>
      </c>
      <c r="L144" s="7">
        <v>0</v>
      </c>
      <c r="M144" s="11">
        <f t="shared" si="2"/>
        <v>0</v>
      </c>
      <c r="N144" s="11">
        <f t="shared" si="3"/>
        <v>0</v>
      </c>
      <c r="O144" s="11">
        <f t="shared" si="4"/>
        <v>0</v>
      </c>
      <c r="P144" s="11">
        <f t="shared" si="14"/>
        <v>0</v>
      </c>
    </row>
    <row r="145" spans="1:16" ht="15" hidden="1" customHeight="1">
      <c r="A145" s="44"/>
      <c r="B145" s="5">
        <f t="shared" si="13"/>
        <v>45658</v>
      </c>
      <c r="C145" s="1" t="s">
        <v>533</v>
      </c>
      <c r="D145" s="195"/>
      <c r="E145" s="186"/>
      <c r="F145" s="2"/>
      <c r="G145" s="3">
        <f t="shared" si="15"/>
        <v>0</v>
      </c>
      <c r="H145" s="187"/>
      <c r="I145" s="7"/>
      <c r="J145" s="7">
        <v>1.6500000000000001E-2</v>
      </c>
      <c r="K145" s="7">
        <v>7.5999999999999998E-2</v>
      </c>
      <c r="L145" s="7">
        <v>0</v>
      </c>
      <c r="M145" s="11">
        <f t="shared" si="2"/>
        <v>0</v>
      </c>
      <c r="N145" s="11">
        <f t="shared" si="3"/>
        <v>0</v>
      </c>
      <c r="O145" s="11">
        <f t="shared" si="4"/>
        <v>0</v>
      </c>
      <c r="P145" s="11">
        <f t="shared" si="14"/>
        <v>0</v>
      </c>
    </row>
    <row r="146" spans="1:16" ht="15" hidden="1" customHeight="1">
      <c r="A146" s="44"/>
      <c r="B146" s="5">
        <f t="shared" si="13"/>
        <v>45658</v>
      </c>
      <c r="C146" s="1" t="s">
        <v>533</v>
      </c>
      <c r="D146" s="195"/>
      <c r="E146" s="186"/>
      <c r="F146" s="2"/>
      <c r="G146" s="3">
        <f t="shared" si="15"/>
        <v>0</v>
      </c>
      <c r="H146" s="187"/>
      <c r="I146" s="7"/>
      <c r="J146" s="7">
        <v>1.6500000000000001E-2</v>
      </c>
      <c r="K146" s="7">
        <v>7.5999999999999998E-2</v>
      </c>
      <c r="L146" s="7">
        <v>0</v>
      </c>
      <c r="M146" s="11">
        <f t="shared" si="2"/>
        <v>0</v>
      </c>
      <c r="N146" s="11">
        <f t="shared" si="3"/>
        <v>0</v>
      </c>
      <c r="O146" s="11">
        <f t="shared" si="4"/>
        <v>0</v>
      </c>
      <c r="P146" s="11">
        <f t="shared" si="14"/>
        <v>0</v>
      </c>
    </row>
    <row r="147" spans="1:16" ht="15" hidden="1" customHeight="1">
      <c r="A147" s="44"/>
      <c r="B147" s="5">
        <f t="shared" si="13"/>
        <v>45658</v>
      </c>
      <c r="C147" s="1" t="s">
        <v>533</v>
      </c>
      <c r="D147" s="195"/>
      <c r="E147" s="186"/>
      <c r="F147" s="2"/>
      <c r="G147" s="3">
        <f t="shared" si="15"/>
        <v>0</v>
      </c>
      <c r="H147" s="187"/>
      <c r="I147" s="7"/>
      <c r="J147" s="7">
        <v>1.6500000000000001E-2</v>
      </c>
      <c r="K147" s="7">
        <v>7.5999999999999998E-2</v>
      </c>
      <c r="L147" s="7">
        <v>0</v>
      </c>
      <c r="M147" s="11">
        <f t="shared" si="2"/>
        <v>0</v>
      </c>
      <c r="N147" s="11">
        <f t="shared" si="3"/>
        <v>0</v>
      </c>
      <c r="O147" s="11">
        <f t="shared" si="4"/>
        <v>0</v>
      </c>
      <c r="P147" s="11">
        <f t="shared" si="14"/>
        <v>0</v>
      </c>
    </row>
    <row r="148" spans="1:16" ht="15" hidden="1" customHeight="1">
      <c r="A148" s="44"/>
      <c r="B148" s="5">
        <f t="shared" si="13"/>
        <v>45658</v>
      </c>
      <c r="C148" s="1" t="s">
        <v>533</v>
      </c>
      <c r="D148" s="195"/>
      <c r="E148" s="186"/>
      <c r="F148" s="2"/>
      <c r="G148" s="3">
        <f t="shared" si="15"/>
        <v>0</v>
      </c>
      <c r="H148" s="187"/>
      <c r="I148" s="7"/>
      <c r="J148" s="7">
        <v>1.6500000000000001E-2</v>
      </c>
      <c r="K148" s="7">
        <v>7.5999999999999998E-2</v>
      </c>
      <c r="L148" s="7">
        <v>0</v>
      </c>
      <c r="M148" s="11">
        <f t="shared" si="2"/>
        <v>0</v>
      </c>
      <c r="N148" s="11">
        <f t="shared" si="3"/>
        <v>0</v>
      </c>
      <c r="O148" s="11">
        <f t="shared" si="4"/>
        <v>0</v>
      </c>
      <c r="P148" s="11">
        <f t="shared" si="14"/>
        <v>0</v>
      </c>
    </row>
    <row r="149" spans="1:16" ht="15" hidden="1" customHeight="1">
      <c r="A149" s="44"/>
      <c r="B149" s="5">
        <f t="shared" si="13"/>
        <v>45658</v>
      </c>
      <c r="C149" s="1" t="s">
        <v>533</v>
      </c>
      <c r="D149" s="195"/>
      <c r="E149" s="186"/>
      <c r="F149" s="2"/>
      <c r="G149" s="3">
        <f t="shared" si="15"/>
        <v>0</v>
      </c>
      <c r="H149" s="187"/>
      <c r="I149" s="7"/>
      <c r="J149" s="7">
        <v>1.6500000000000001E-2</v>
      </c>
      <c r="K149" s="7">
        <v>7.5999999999999998E-2</v>
      </c>
      <c r="L149" s="7">
        <v>0</v>
      </c>
      <c r="M149" s="11">
        <f t="shared" si="2"/>
        <v>0</v>
      </c>
      <c r="N149" s="11">
        <f t="shared" si="3"/>
        <v>0</v>
      </c>
      <c r="O149" s="11">
        <f t="shared" si="4"/>
        <v>0</v>
      </c>
      <c r="P149" s="11">
        <f t="shared" si="14"/>
        <v>0</v>
      </c>
    </row>
    <row r="150" spans="1:16" ht="15" hidden="1" customHeight="1">
      <c r="A150" s="44"/>
      <c r="B150" s="5">
        <f t="shared" si="13"/>
        <v>45658</v>
      </c>
      <c r="C150" s="1" t="s">
        <v>533</v>
      </c>
      <c r="D150" s="195"/>
      <c r="E150" s="186"/>
      <c r="F150" s="2"/>
      <c r="G150" s="3">
        <f t="shared" si="15"/>
        <v>0</v>
      </c>
      <c r="H150" s="187"/>
      <c r="I150" s="7"/>
      <c r="J150" s="7">
        <v>1.6500000000000001E-2</v>
      </c>
      <c r="K150" s="7">
        <v>7.5999999999999998E-2</v>
      </c>
      <c r="L150" s="7">
        <v>0</v>
      </c>
      <c r="M150" s="11">
        <f t="shared" si="2"/>
        <v>0</v>
      </c>
      <c r="N150" s="11">
        <f t="shared" si="3"/>
        <v>0</v>
      </c>
      <c r="O150" s="11">
        <f t="shared" si="4"/>
        <v>0</v>
      </c>
      <c r="P150" s="11">
        <f t="shared" si="14"/>
        <v>0</v>
      </c>
    </row>
    <row r="151" spans="1:16" ht="15" hidden="1" customHeight="1">
      <c r="A151" s="44"/>
      <c r="B151" s="5">
        <f t="shared" si="13"/>
        <v>45658</v>
      </c>
      <c r="C151" s="1" t="s">
        <v>533</v>
      </c>
      <c r="D151" s="195"/>
      <c r="E151" s="186"/>
      <c r="F151" s="2"/>
      <c r="G151" s="3">
        <f t="shared" si="15"/>
        <v>0</v>
      </c>
      <c r="H151" s="187"/>
      <c r="I151" s="7"/>
      <c r="J151" s="7">
        <v>1.6500000000000001E-2</v>
      </c>
      <c r="K151" s="7">
        <v>7.5999999999999998E-2</v>
      </c>
      <c r="L151" s="7">
        <v>0</v>
      </c>
      <c r="M151" s="11">
        <f t="shared" si="2"/>
        <v>0</v>
      </c>
      <c r="N151" s="11">
        <f t="shared" si="3"/>
        <v>0</v>
      </c>
      <c r="O151" s="11">
        <f t="shared" si="4"/>
        <v>0</v>
      </c>
      <c r="P151" s="11">
        <f t="shared" si="14"/>
        <v>0</v>
      </c>
    </row>
    <row r="152" spans="1:16" ht="15" hidden="1" customHeight="1">
      <c r="A152" s="44"/>
      <c r="B152" s="5">
        <f t="shared" si="13"/>
        <v>45658</v>
      </c>
      <c r="C152" s="1" t="s">
        <v>533</v>
      </c>
      <c r="D152" s="195"/>
      <c r="E152" s="186"/>
      <c r="F152" s="2"/>
      <c r="G152" s="3">
        <f t="shared" si="15"/>
        <v>0</v>
      </c>
      <c r="H152" s="187"/>
      <c r="I152" s="7"/>
      <c r="J152" s="7">
        <v>1.6500000000000001E-2</v>
      </c>
      <c r="K152" s="7">
        <v>7.5999999999999998E-2</v>
      </c>
      <c r="L152" s="7">
        <v>0</v>
      </c>
      <c r="M152" s="11">
        <f t="shared" si="2"/>
        <v>0</v>
      </c>
      <c r="N152" s="11">
        <f t="shared" si="3"/>
        <v>0</v>
      </c>
      <c r="O152" s="11">
        <f t="shared" si="4"/>
        <v>0</v>
      </c>
      <c r="P152" s="11">
        <f t="shared" si="14"/>
        <v>0</v>
      </c>
    </row>
    <row r="153" spans="1:16" ht="15" hidden="1" customHeight="1">
      <c r="A153" s="44"/>
      <c r="B153" s="5">
        <f t="shared" si="13"/>
        <v>45658</v>
      </c>
      <c r="C153" s="1" t="s">
        <v>533</v>
      </c>
      <c r="D153" s="195"/>
      <c r="E153" s="186"/>
      <c r="F153" s="2"/>
      <c r="G153" s="3">
        <f t="shared" si="15"/>
        <v>0</v>
      </c>
      <c r="H153" s="187"/>
      <c r="I153" s="7"/>
      <c r="J153" s="7">
        <v>1.6500000000000001E-2</v>
      </c>
      <c r="K153" s="7">
        <v>7.5999999999999998E-2</v>
      </c>
      <c r="L153" s="7">
        <v>0</v>
      </c>
      <c r="M153" s="11">
        <f t="shared" si="2"/>
        <v>0</v>
      </c>
      <c r="N153" s="11">
        <f t="shared" si="3"/>
        <v>0</v>
      </c>
      <c r="O153" s="11">
        <f t="shared" si="4"/>
        <v>0</v>
      </c>
      <c r="P153" s="11">
        <f t="shared" si="14"/>
        <v>0</v>
      </c>
    </row>
    <row r="154" spans="1:16" ht="15" hidden="1" customHeight="1">
      <c r="A154" s="44"/>
      <c r="B154" s="5">
        <f t="shared" si="13"/>
        <v>45658</v>
      </c>
      <c r="C154" s="1" t="s">
        <v>533</v>
      </c>
      <c r="D154" s="195"/>
      <c r="E154" s="186"/>
      <c r="F154" s="2"/>
      <c r="G154" s="3">
        <f t="shared" si="15"/>
        <v>0</v>
      </c>
      <c r="H154" s="187"/>
      <c r="I154" s="7"/>
      <c r="J154" s="7">
        <v>1.6500000000000001E-2</v>
      </c>
      <c r="K154" s="7">
        <v>7.5999999999999998E-2</v>
      </c>
      <c r="L154" s="7">
        <v>0</v>
      </c>
      <c r="M154" s="11">
        <f t="shared" si="2"/>
        <v>0</v>
      </c>
      <c r="N154" s="11">
        <f t="shared" si="3"/>
        <v>0</v>
      </c>
      <c r="O154" s="11">
        <f t="shared" si="4"/>
        <v>0</v>
      </c>
      <c r="P154" s="11">
        <f t="shared" si="14"/>
        <v>0</v>
      </c>
    </row>
    <row r="155" spans="1:16" ht="15" hidden="1" customHeight="1">
      <c r="A155" s="44"/>
      <c r="B155" s="5">
        <f t="shared" si="13"/>
        <v>45658</v>
      </c>
      <c r="C155" s="1" t="s">
        <v>533</v>
      </c>
      <c r="D155" s="195"/>
      <c r="E155" s="186"/>
      <c r="F155" s="2"/>
      <c r="G155" s="3">
        <f t="shared" si="15"/>
        <v>0</v>
      </c>
      <c r="H155" s="187"/>
      <c r="I155" s="7"/>
      <c r="J155" s="7">
        <v>1.6500000000000001E-2</v>
      </c>
      <c r="K155" s="7">
        <v>7.5999999999999998E-2</v>
      </c>
      <c r="L155" s="7">
        <v>0</v>
      </c>
      <c r="M155" s="11">
        <f t="shared" si="2"/>
        <v>0</v>
      </c>
      <c r="N155" s="11">
        <f t="shared" si="3"/>
        <v>0</v>
      </c>
      <c r="O155" s="11">
        <f t="shared" si="4"/>
        <v>0</v>
      </c>
      <c r="P155" s="11">
        <f t="shared" si="14"/>
        <v>0</v>
      </c>
    </row>
    <row r="156" spans="1:16" ht="15" hidden="1" customHeight="1">
      <c r="A156" s="44"/>
      <c r="B156" s="5">
        <f t="shared" si="13"/>
        <v>45658</v>
      </c>
      <c r="C156" s="1" t="s">
        <v>533</v>
      </c>
      <c r="D156" s="195"/>
      <c r="E156" s="186"/>
      <c r="F156" s="2"/>
      <c r="G156" s="3">
        <f t="shared" si="15"/>
        <v>0</v>
      </c>
      <c r="H156" s="187"/>
      <c r="I156" s="7"/>
      <c r="J156" s="7">
        <v>1.6500000000000001E-2</v>
      </c>
      <c r="K156" s="7">
        <v>7.5999999999999998E-2</v>
      </c>
      <c r="L156" s="7">
        <v>0</v>
      </c>
      <c r="M156" s="11">
        <f t="shared" si="2"/>
        <v>0</v>
      </c>
      <c r="N156" s="11">
        <f t="shared" si="3"/>
        <v>0</v>
      </c>
      <c r="O156" s="11">
        <f t="shared" si="4"/>
        <v>0</v>
      </c>
      <c r="P156" s="11">
        <f t="shared" si="14"/>
        <v>0</v>
      </c>
    </row>
    <row r="157" spans="1:16" ht="15" hidden="1" customHeight="1">
      <c r="A157" s="44"/>
      <c r="B157" s="5">
        <f t="shared" si="13"/>
        <v>45658</v>
      </c>
      <c r="C157" s="1" t="s">
        <v>533</v>
      </c>
      <c r="D157" s="195"/>
      <c r="E157" s="186"/>
      <c r="F157" s="2"/>
      <c r="G157" s="3">
        <f t="shared" si="15"/>
        <v>0</v>
      </c>
      <c r="H157" s="187"/>
      <c r="I157" s="7"/>
      <c r="J157" s="7">
        <v>1.6500000000000001E-2</v>
      </c>
      <c r="K157" s="7">
        <v>7.5999999999999998E-2</v>
      </c>
      <c r="L157" s="7">
        <v>0</v>
      </c>
      <c r="M157" s="11">
        <f t="shared" si="2"/>
        <v>0</v>
      </c>
      <c r="N157" s="11">
        <f t="shared" si="3"/>
        <v>0</v>
      </c>
      <c r="O157" s="11">
        <f t="shared" si="4"/>
        <v>0</v>
      </c>
      <c r="P157" s="11">
        <f t="shared" si="14"/>
        <v>0</v>
      </c>
    </row>
    <row r="158" spans="1:16" ht="15" hidden="1" customHeight="1">
      <c r="A158" s="44"/>
      <c r="B158" s="5">
        <f t="shared" si="13"/>
        <v>45658</v>
      </c>
      <c r="C158" s="1" t="s">
        <v>533</v>
      </c>
      <c r="D158" s="195"/>
      <c r="E158" s="186"/>
      <c r="F158" s="2"/>
      <c r="G158" s="3">
        <f t="shared" si="15"/>
        <v>0</v>
      </c>
      <c r="H158" s="187"/>
      <c r="I158" s="7"/>
      <c r="J158" s="7">
        <v>1.6500000000000001E-2</v>
      </c>
      <c r="K158" s="7">
        <v>7.5999999999999998E-2</v>
      </c>
      <c r="L158" s="7">
        <v>0</v>
      </c>
      <c r="M158" s="11">
        <f t="shared" si="2"/>
        <v>0</v>
      </c>
      <c r="N158" s="11">
        <f t="shared" si="3"/>
        <v>0</v>
      </c>
      <c r="O158" s="11">
        <f t="shared" si="4"/>
        <v>0</v>
      </c>
      <c r="P158" s="11">
        <f t="shared" si="14"/>
        <v>0</v>
      </c>
    </row>
    <row r="159" spans="1:16" ht="15" hidden="1" customHeight="1">
      <c r="A159" s="44"/>
      <c r="B159" s="5">
        <f t="shared" si="13"/>
        <v>45658</v>
      </c>
      <c r="C159" s="1" t="s">
        <v>533</v>
      </c>
      <c r="D159" s="195"/>
      <c r="E159" s="186"/>
      <c r="F159" s="2"/>
      <c r="G159" s="3">
        <f t="shared" si="15"/>
        <v>0</v>
      </c>
      <c r="H159" s="187"/>
      <c r="I159" s="7"/>
      <c r="J159" s="7">
        <v>1.6500000000000001E-2</v>
      </c>
      <c r="K159" s="7">
        <v>7.5999999999999998E-2</v>
      </c>
      <c r="L159" s="7">
        <v>0</v>
      </c>
      <c r="M159" s="11">
        <f t="shared" si="2"/>
        <v>0</v>
      </c>
      <c r="N159" s="11">
        <f t="shared" si="3"/>
        <v>0</v>
      </c>
      <c r="O159" s="11">
        <f t="shared" si="4"/>
        <v>0</v>
      </c>
      <c r="P159" s="11">
        <f t="shared" si="14"/>
        <v>0</v>
      </c>
    </row>
    <row r="160" spans="1:16" ht="15" hidden="1" customHeight="1">
      <c r="A160" s="44"/>
      <c r="B160" s="5">
        <f t="shared" si="13"/>
        <v>45658</v>
      </c>
      <c r="C160" s="1" t="s">
        <v>533</v>
      </c>
      <c r="D160" s="195"/>
      <c r="E160" s="186"/>
      <c r="F160" s="2"/>
      <c r="G160" s="3">
        <f t="shared" si="15"/>
        <v>0</v>
      </c>
      <c r="H160" s="187"/>
      <c r="I160" s="7"/>
      <c r="J160" s="7">
        <v>1.6500000000000001E-2</v>
      </c>
      <c r="K160" s="7">
        <v>7.5999999999999998E-2</v>
      </c>
      <c r="L160" s="7">
        <v>0</v>
      </c>
      <c r="M160" s="11">
        <f t="shared" si="2"/>
        <v>0</v>
      </c>
      <c r="N160" s="11">
        <f t="shared" si="3"/>
        <v>0</v>
      </c>
      <c r="O160" s="11">
        <f t="shared" si="4"/>
        <v>0</v>
      </c>
      <c r="P160" s="11">
        <f t="shared" si="14"/>
        <v>0</v>
      </c>
    </row>
    <row r="161" spans="1:16" ht="15" hidden="1" customHeight="1">
      <c r="A161" s="44"/>
      <c r="B161" s="5">
        <f t="shared" si="13"/>
        <v>45658</v>
      </c>
      <c r="C161" s="1" t="s">
        <v>533</v>
      </c>
      <c r="D161" s="195"/>
      <c r="E161" s="186"/>
      <c r="F161" s="2"/>
      <c r="G161" s="3">
        <f t="shared" si="15"/>
        <v>0</v>
      </c>
      <c r="H161" s="187"/>
      <c r="I161" s="7"/>
      <c r="J161" s="7">
        <v>1.6500000000000001E-2</v>
      </c>
      <c r="K161" s="7">
        <v>7.5999999999999998E-2</v>
      </c>
      <c r="L161" s="7">
        <v>0</v>
      </c>
      <c r="M161" s="11">
        <f t="shared" si="2"/>
        <v>0</v>
      </c>
      <c r="N161" s="11">
        <f t="shared" si="3"/>
        <v>0</v>
      </c>
      <c r="O161" s="11">
        <f t="shared" si="4"/>
        <v>0</v>
      </c>
      <c r="P161" s="11">
        <f t="shared" si="14"/>
        <v>0</v>
      </c>
    </row>
    <row r="162" spans="1:16" ht="15" hidden="1" customHeight="1">
      <c r="A162" s="44"/>
      <c r="B162" s="5">
        <f t="shared" si="13"/>
        <v>45658</v>
      </c>
      <c r="C162" s="1" t="s">
        <v>533</v>
      </c>
      <c r="D162" s="195"/>
      <c r="E162" s="186"/>
      <c r="F162" s="2"/>
      <c r="G162" s="3">
        <f t="shared" si="15"/>
        <v>0</v>
      </c>
      <c r="H162" s="187"/>
      <c r="I162" s="7"/>
      <c r="J162" s="7">
        <v>1.6500000000000001E-2</v>
      </c>
      <c r="K162" s="7">
        <v>7.5999999999999998E-2</v>
      </c>
      <c r="L162" s="7">
        <v>0</v>
      </c>
      <c r="M162" s="11">
        <f t="shared" si="2"/>
        <v>0</v>
      </c>
      <c r="N162" s="11">
        <f t="shared" si="3"/>
        <v>0</v>
      </c>
      <c r="O162" s="11">
        <f t="shared" si="4"/>
        <v>0</v>
      </c>
      <c r="P162" s="11">
        <f t="shared" si="14"/>
        <v>0</v>
      </c>
    </row>
    <row r="163" spans="1:16" ht="15" hidden="1" customHeight="1">
      <c r="A163" s="44"/>
      <c r="B163" s="5">
        <f t="shared" si="13"/>
        <v>45658</v>
      </c>
      <c r="C163" s="1" t="s">
        <v>533</v>
      </c>
      <c r="D163" s="195"/>
      <c r="E163" s="186"/>
      <c r="F163" s="2"/>
      <c r="G163" s="3">
        <f t="shared" si="15"/>
        <v>0</v>
      </c>
      <c r="H163" s="187"/>
      <c r="I163" s="7"/>
      <c r="J163" s="7">
        <v>1.6500000000000001E-2</v>
      </c>
      <c r="K163" s="7">
        <v>7.5999999999999998E-2</v>
      </c>
      <c r="L163" s="7">
        <v>0</v>
      </c>
      <c r="M163" s="11">
        <f t="shared" si="2"/>
        <v>0</v>
      </c>
      <c r="N163" s="11">
        <f t="shared" si="3"/>
        <v>0</v>
      </c>
      <c r="O163" s="11">
        <f t="shared" si="4"/>
        <v>0</v>
      </c>
      <c r="P163" s="11">
        <f t="shared" si="14"/>
        <v>0</v>
      </c>
    </row>
    <row r="164" spans="1:16" ht="15" hidden="1" customHeight="1">
      <c r="A164" s="44"/>
      <c r="B164" s="5">
        <f t="shared" si="13"/>
        <v>45658</v>
      </c>
      <c r="C164" s="1" t="s">
        <v>533</v>
      </c>
      <c r="D164" s="195"/>
      <c r="E164" s="186"/>
      <c r="F164" s="2"/>
      <c r="G164" s="3">
        <f t="shared" si="15"/>
        <v>0</v>
      </c>
      <c r="H164" s="187"/>
      <c r="I164" s="7"/>
      <c r="J164" s="7">
        <v>1.6500000000000001E-2</v>
      </c>
      <c r="K164" s="7">
        <v>7.5999999999999998E-2</v>
      </c>
      <c r="L164" s="7">
        <v>0</v>
      </c>
      <c r="M164" s="11">
        <f t="shared" si="2"/>
        <v>0</v>
      </c>
      <c r="N164" s="11">
        <f t="shared" si="3"/>
        <v>0</v>
      </c>
      <c r="O164" s="11">
        <f t="shared" si="4"/>
        <v>0</v>
      </c>
      <c r="P164" s="11">
        <f t="shared" si="14"/>
        <v>0</v>
      </c>
    </row>
    <row r="165" spans="1:16" ht="15" hidden="1" customHeight="1">
      <c r="A165" s="44"/>
      <c r="B165" s="5">
        <f t="shared" si="13"/>
        <v>45658</v>
      </c>
      <c r="C165" s="1" t="s">
        <v>533</v>
      </c>
      <c r="D165" s="195"/>
      <c r="E165" s="186"/>
      <c r="F165" s="2"/>
      <c r="G165" s="3">
        <f t="shared" si="15"/>
        <v>0</v>
      </c>
      <c r="H165" s="187"/>
      <c r="I165" s="7"/>
      <c r="J165" s="7">
        <v>1.6500000000000001E-2</v>
      </c>
      <c r="K165" s="7">
        <v>7.5999999999999998E-2</v>
      </c>
      <c r="L165" s="7">
        <v>0</v>
      </c>
      <c r="M165" s="11">
        <f t="shared" si="2"/>
        <v>0</v>
      </c>
      <c r="N165" s="11">
        <f t="shared" si="3"/>
        <v>0</v>
      </c>
      <c r="O165" s="11">
        <f t="shared" si="4"/>
        <v>0</v>
      </c>
      <c r="P165" s="11">
        <f t="shared" si="14"/>
        <v>0</v>
      </c>
    </row>
    <row r="166" spans="1:16" ht="15" hidden="1" customHeight="1">
      <c r="A166" s="44"/>
      <c r="B166" s="5">
        <f t="shared" si="13"/>
        <v>45658</v>
      </c>
      <c r="C166" s="1" t="s">
        <v>533</v>
      </c>
      <c r="D166" s="195"/>
      <c r="E166" s="186"/>
      <c r="F166" s="2"/>
      <c r="G166" s="3">
        <f t="shared" si="15"/>
        <v>0</v>
      </c>
      <c r="H166" s="187"/>
      <c r="I166" s="7"/>
      <c r="J166" s="7">
        <v>1.6500000000000001E-2</v>
      </c>
      <c r="K166" s="7">
        <v>7.5999999999999998E-2</v>
      </c>
      <c r="L166" s="7">
        <v>0</v>
      </c>
      <c r="M166" s="11">
        <f t="shared" si="2"/>
        <v>0</v>
      </c>
      <c r="N166" s="11">
        <f t="shared" si="3"/>
        <v>0</v>
      </c>
      <c r="O166" s="11">
        <f t="shared" si="4"/>
        <v>0</v>
      </c>
      <c r="P166" s="11">
        <f t="shared" si="14"/>
        <v>0</v>
      </c>
    </row>
    <row r="167" spans="1:16" ht="15" hidden="1" customHeight="1">
      <c r="A167" s="44"/>
      <c r="B167" s="5">
        <f t="shared" si="13"/>
        <v>45658</v>
      </c>
      <c r="C167" s="1" t="s">
        <v>533</v>
      </c>
      <c r="D167" s="195"/>
      <c r="E167" s="186"/>
      <c r="F167" s="2"/>
      <c r="G167" s="3">
        <f t="shared" si="15"/>
        <v>0</v>
      </c>
      <c r="H167" s="187"/>
      <c r="I167" s="7"/>
      <c r="J167" s="7">
        <v>1.6500000000000001E-2</v>
      </c>
      <c r="K167" s="7">
        <v>7.5999999999999998E-2</v>
      </c>
      <c r="L167" s="7">
        <v>0</v>
      </c>
      <c r="M167" s="11">
        <f t="shared" si="2"/>
        <v>0</v>
      </c>
      <c r="N167" s="11">
        <f t="shared" si="3"/>
        <v>0</v>
      </c>
      <c r="O167" s="11">
        <f t="shared" si="4"/>
        <v>0</v>
      </c>
      <c r="P167" s="11">
        <f t="shared" si="14"/>
        <v>0</v>
      </c>
    </row>
    <row r="168" spans="1:16" ht="15" hidden="1" customHeight="1">
      <c r="A168" s="44"/>
      <c r="B168" s="5">
        <f t="shared" si="13"/>
        <v>45658</v>
      </c>
      <c r="C168" s="1" t="s">
        <v>533</v>
      </c>
      <c r="D168" s="195"/>
      <c r="E168" s="186"/>
      <c r="F168" s="2"/>
      <c r="G168" s="3">
        <f t="shared" si="15"/>
        <v>0</v>
      </c>
      <c r="H168" s="187"/>
      <c r="I168" s="7"/>
      <c r="J168" s="7">
        <v>1.6500000000000001E-2</v>
      </c>
      <c r="K168" s="7">
        <v>7.5999999999999998E-2</v>
      </c>
      <c r="L168" s="7">
        <v>0</v>
      </c>
      <c r="M168" s="11">
        <f t="shared" si="2"/>
        <v>0</v>
      </c>
      <c r="N168" s="11">
        <f t="shared" si="3"/>
        <v>0</v>
      </c>
      <c r="O168" s="11">
        <f t="shared" si="4"/>
        <v>0</v>
      </c>
      <c r="P168" s="11">
        <f t="shared" si="14"/>
        <v>0</v>
      </c>
    </row>
    <row r="169" spans="1:16" ht="15" hidden="1" customHeight="1">
      <c r="A169" s="44"/>
      <c r="B169" s="5">
        <f t="shared" si="13"/>
        <v>45658</v>
      </c>
      <c r="C169" s="1" t="s">
        <v>533</v>
      </c>
      <c r="D169" s="195"/>
      <c r="E169" s="186"/>
      <c r="F169" s="2"/>
      <c r="G169" s="3">
        <f t="shared" si="15"/>
        <v>0</v>
      </c>
      <c r="H169" s="187"/>
      <c r="I169" s="7"/>
      <c r="J169" s="7">
        <v>1.6500000000000001E-2</v>
      </c>
      <c r="K169" s="7">
        <v>7.5999999999999998E-2</v>
      </c>
      <c r="L169" s="7">
        <v>0</v>
      </c>
      <c r="M169" s="11">
        <f t="shared" si="2"/>
        <v>0</v>
      </c>
      <c r="N169" s="11">
        <f t="shared" si="3"/>
        <v>0</v>
      </c>
      <c r="O169" s="11">
        <f t="shared" si="4"/>
        <v>0</v>
      </c>
      <c r="P169" s="11">
        <f t="shared" si="14"/>
        <v>0</v>
      </c>
    </row>
    <row r="170" spans="1:16" ht="15" hidden="1" customHeight="1">
      <c r="A170" s="44"/>
      <c r="B170" s="5">
        <f t="shared" si="13"/>
        <v>45658</v>
      </c>
      <c r="C170" s="1" t="s">
        <v>533</v>
      </c>
      <c r="D170" s="195"/>
      <c r="E170" s="186"/>
      <c r="F170" s="2"/>
      <c r="G170" s="3">
        <f t="shared" si="15"/>
        <v>0</v>
      </c>
      <c r="H170" s="187"/>
      <c r="I170" s="7"/>
      <c r="J170" s="7">
        <v>1.6500000000000001E-2</v>
      </c>
      <c r="K170" s="7">
        <v>7.5999999999999998E-2</v>
      </c>
      <c r="L170" s="7">
        <v>0</v>
      </c>
      <c r="M170" s="11">
        <f t="shared" si="2"/>
        <v>0</v>
      </c>
      <c r="N170" s="11">
        <f t="shared" si="3"/>
        <v>0</v>
      </c>
      <c r="O170" s="11">
        <f t="shared" si="4"/>
        <v>0</v>
      </c>
      <c r="P170" s="11">
        <f t="shared" si="14"/>
        <v>0</v>
      </c>
    </row>
    <row r="171" spans="1:16" ht="15" hidden="1" customHeight="1">
      <c r="A171" s="44"/>
      <c r="B171" s="5">
        <f t="shared" ref="B171:B177" si="16">B170</f>
        <v>45658</v>
      </c>
      <c r="C171" s="1" t="s">
        <v>533</v>
      </c>
      <c r="D171" s="195"/>
      <c r="E171" s="186"/>
      <c r="F171" s="2"/>
      <c r="G171" s="3">
        <f t="shared" si="15"/>
        <v>0</v>
      </c>
      <c r="H171" s="187"/>
      <c r="I171" s="7"/>
      <c r="J171" s="7">
        <v>1.6500000000000001E-2</v>
      </c>
      <c r="K171" s="7">
        <v>7.5999999999999998E-2</v>
      </c>
      <c r="L171" s="7">
        <v>0</v>
      </c>
      <c r="M171" s="11">
        <f t="shared" si="2"/>
        <v>0</v>
      </c>
      <c r="N171" s="11">
        <f t="shared" si="3"/>
        <v>0</v>
      </c>
      <c r="O171" s="11">
        <f t="shared" si="4"/>
        <v>0</v>
      </c>
      <c r="P171" s="11">
        <f t="shared" si="14"/>
        <v>0</v>
      </c>
    </row>
    <row r="172" spans="1:16" ht="15" hidden="1" customHeight="1">
      <c r="A172" s="44"/>
      <c r="B172" s="5">
        <f t="shared" si="16"/>
        <v>45658</v>
      </c>
      <c r="C172" s="1" t="s">
        <v>533</v>
      </c>
      <c r="D172" s="195"/>
      <c r="E172" s="186"/>
      <c r="F172" s="2"/>
      <c r="G172" s="3">
        <f t="shared" si="15"/>
        <v>0</v>
      </c>
      <c r="H172" s="187"/>
      <c r="I172" s="7"/>
      <c r="J172" s="7">
        <v>1.6500000000000001E-2</v>
      </c>
      <c r="K172" s="7">
        <v>7.5999999999999998E-2</v>
      </c>
      <c r="L172" s="7">
        <v>0</v>
      </c>
      <c r="M172" s="11">
        <f t="shared" si="2"/>
        <v>0</v>
      </c>
      <c r="N172" s="11">
        <f t="shared" si="3"/>
        <v>0</v>
      </c>
      <c r="O172" s="11">
        <f t="shared" si="4"/>
        <v>0</v>
      </c>
      <c r="P172" s="11">
        <f t="shared" si="14"/>
        <v>0</v>
      </c>
    </row>
    <row r="173" spans="1:16" ht="15" hidden="1" customHeight="1">
      <c r="A173" s="44"/>
      <c r="B173" s="5">
        <f t="shared" si="16"/>
        <v>45658</v>
      </c>
      <c r="C173" s="1" t="s">
        <v>533</v>
      </c>
      <c r="D173" s="195"/>
      <c r="E173" s="186"/>
      <c r="F173" s="2"/>
      <c r="G173" s="3">
        <f t="shared" si="15"/>
        <v>0</v>
      </c>
      <c r="H173" s="187"/>
      <c r="I173" s="7"/>
      <c r="J173" s="7">
        <v>1.6500000000000001E-2</v>
      </c>
      <c r="K173" s="7">
        <v>7.5999999999999998E-2</v>
      </c>
      <c r="L173" s="7">
        <v>0</v>
      </c>
      <c r="M173" s="11">
        <f t="shared" si="2"/>
        <v>0</v>
      </c>
      <c r="N173" s="11">
        <f t="shared" si="3"/>
        <v>0</v>
      </c>
      <c r="O173" s="11">
        <f t="shared" si="4"/>
        <v>0</v>
      </c>
      <c r="P173" s="11">
        <f t="shared" si="14"/>
        <v>0</v>
      </c>
    </row>
    <row r="174" spans="1:16" ht="15" hidden="1" customHeight="1">
      <c r="A174" s="44"/>
      <c r="B174" s="5">
        <f t="shared" si="16"/>
        <v>45658</v>
      </c>
      <c r="C174" s="1" t="s">
        <v>533</v>
      </c>
      <c r="D174" s="195"/>
      <c r="E174" s="186"/>
      <c r="F174" s="2"/>
      <c r="G174" s="3">
        <f t="shared" si="15"/>
        <v>0</v>
      </c>
      <c r="H174" s="187"/>
      <c r="I174" s="7"/>
      <c r="J174" s="7">
        <v>1.6500000000000001E-2</v>
      </c>
      <c r="K174" s="7">
        <v>7.5999999999999998E-2</v>
      </c>
      <c r="L174" s="7">
        <v>0</v>
      </c>
      <c r="M174" s="11">
        <f t="shared" si="2"/>
        <v>0</v>
      </c>
      <c r="N174" s="11">
        <f t="shared" si="3"/>
        <v>0</v>
      </c>
      <c r="O174" s="11">
        <f t="shared" si="4"/>
        <v>0</v>
      </c>
      <c r="P174" s="11">
        <f t="shared" si="14"/>
        <v>0</v>
      </c>
    </row>
    <row r="175" spans="1:16" ht="15" hidden="1" customHeight="1">
      <c r="A175" s="44"/>
      <c r="B175" s="5">
        <f t="shared" si="16"/>
        <v>45658</v>
      </c>
      <c r="C175" s="1" t="s">
        <v>533</v>
      </c>
      <c r="D175" s="195"/>
      <c r="E175" s="186"/>
      <c r="F175" s="2"/>
      <c r="G175" s="3">
        <f t="shared" si="11"/>
        <v>0</v>
      </c>
      <c r="H175" s="187"/>
      <c r="I175" s="7"/>
      <c r="J175" s="7">
        <v>1.6500000000000001E-2</v>
      </c>
      <c r="K175" s="7">
        <v>7.5999999999999998E-2</v>
      </c>
      <c r="L175" s="7">
        <v>0</v>
      </c>
      <c r="M175" s="11">
        <f t="shared" si="2"/>
        <v>0</v>
      </c>
      <c r="N175" s="11">
        <f t="shared" si="3"/>
        <v>0</v>
      </c>
      <c r="O175" s="11">
        <f t="shared" si="4"/>
        <v>0</v>
      </c>
      <c r="P175" s="11">
        <f t="shared" si="14"/>
        <v>0</v>
      </c>
    </row>
    <row r="176" spans="1:16" ht="15" hidden="1" customHeight="1">
      <c r="A176" s="44"/>
      <c r="B176" s="5">
        <f t="shared" si="16"/>
        <v>45658</v>
      </c>
      <c r="C176" s="1" t="s">
        <v>533</v>
      </c>
      <c r="D176" s="195"/>
      <c r="E176" s="186"/>
      <c r="F176" s="2"/>
      <c r="G176" s="3">
        <f t="shared" si="11"/>
        <v>0</v>
      </c>
      <c r="H176" s="187"/>
      <c r="I176" s="7"/>
      <c r="J176" s="7">
        <v>1.6500000000000001E-2</v>
      </c>
      <c r="K176" s="7">
        <v>7.5999999999999998E-2</v>
      </c>
      <c r="L176" s="7">
        <v>0</v>
      </c>
      <c r="M176" s="11">
        <f t="shared" si="2"/>
        <v>0</v>
      </c>
      <c r="N176" s="11">
        <f t="shared" si="3"/>
        <v>0</v>
      </c>
      <c r="O176" s="11">
        <f t="shared" si="4"/>
        <v>0</v>
      </c>
      <c r="P176" s="11">
        <f t="shared" si="14"/>
        <v>0</v>
      </c>
    </row>
    <row r="177" spans="1:16" hidden="1">
      <c r="A177" s="44"/>
      <c r="B177" s="5">
        <f t="shared" si="16"/>
        <v>45658</v>
      </c>
      <c r="C177" s="1" t="s">
        <v>533</v>
      </c>
      <c r="D177" s="195"/>
      <c r="E177" s="186"/>
      <c r="F177" s="2"/>
      <c r="G177" s="3">
        <f t="shared" si="11"/>
        <v>0</v>
      </c>
      <c r="H177" s="187"/>
      <c r="I177" s="7"/>
      <c r="J177" s="7">
        <v>1.6500000000000001E-2</v>
      </c>
      <c r="K177" s="7">
        <v>7.5999999999999998E-2</v>
      </c>
      <c r="L177" s="7">
        <v>0</v>
      </c>
      <c r="M177" s="11">
        <f t="shared" si="2"/>
        <v>0</v>
      </c>
      <c r="N177" s="11">
        <f t="shared" si="3"/>
        <v>0</v>
      </c>
      <c r="O177" s="11">
        <f t="shared" si="4"/>
        <v>0</v>
      </c>
      <c r="P177" s="11">
        <f t="shared" si="14"/>
        <v>0</v>
      </c>
    </row>
    <row r="178" spans="1:16">
      <c r="B178" s="5"/>
      <c r="C178" s="1"/>
      <c r="E178" s="1"/>
      <c r="F178" s="2"/>
      <c r="G178" s="4"/>
      <c r="H178" s="4"/>
      <c r="I178" s="7"/>
      <c r="J178" s="7"/>
      <c r="K178" s="7"/>
      <c r="L178" s="7"/>
    </row>
    <row r="179" spans="1:16">
      <c r="E179" s="28">
        <f>SUM(E19:E178)</f>
        <v>41183207.560000002</v>
      </c>
      <c r="F179" s="133"/>
      <c r="G179" s="29">
        <f>SUM(G19:G178)</f>
        <v>97285199.250586882</v>
      </c>
    </row>
    <row r="180" spans="1:16">
      <c r="E180" s="137"/>
      <c r="F180" s="41"/>
    </row>
    <row r="181" spans="1:16" ht="15.75" thickBot="1"/>
    <row r="182" spans="1:16">
      <c r="B182" s="391" t="s">
        <v>795</v>
      </c>
      <c r="C182" s="383"/>
      <c r="D182" s="383"/>
      <c r="E182" s="383"/>
      <c r="F182" s="383"/>
      <c r="G182" s="383"/>
      <c r="H182" s="383"/>
      <c r="I182" s="383"/>
      <c r="J182" s="383"/>
      <c r="K182" s="383"/>
      <c r="L182" s="383"/>
      <c r="M182" s="383"/>
      <c r="N182" s="383"/>
      <c r="O182" s="384"/>
    </row>
    <row r="183" spans="1:16">
      <c r="B183" s="385"/>
      <c r="C183" s="386"/>
      <c r="D183" s="386"/>
      <c r="E183" s="386"/>
      <c r="F183" s="386"/>
      <c r="G183" s="386"/>
      <c r="H183" s="386"/>
      <c r="I183" s="386"/>
      <c r="J183" s="386"/>
      <c r="K183" s="386"/>
      <c r="L183" s="386"/>
      <c r="M183" s="386"/>
      <c r="N183" s="386"/>
      <c r="O183" s="387"/>
    </row>
    <row r="184" spans="1:16">
      <c r="B184" s="385"/>
      <c r="C184" s="386"/>
      <c r="D184" s="386"/>
      <c r="E184" s="386"/>
      <c r="F184" s="386"/>
      <c r="G184" s="386"/>
      <c r="H184" s="386"/>
      <c r="I184" s="386"/>
      <c r="J184" s="386"/>
      <c r="K184" s="386"/>
      <c r="L184" s="386"/>
      <c r="M184" s="386"/>
      <c r="N184" s="386"/>
      <c r="O184" s="387"/>
    </row>
    <row r="185" spans="1:16">
      <c r="B185" s="385"/>
      <c r="C185" s="386"/>
      <c r="D185" s="386"/>
      <c r="E185" s="386"/>
      <c r="F185" s="386"/>
      <c r="G185" s="386"/>
      <c r="H185" s="386"/>
      <c r="I185" s="386"/>
      <c r="J185" s="386"/>
      <c r="K185" s="386"/>
      <c r="L185" s="386"/>
      <c r="M185" s="386"/>
      <c r="N185" s="386"/>
      <c r="O185" s="387"/>
    </row>
    <row r="186" spans="1:16" ht="27" customHeight="1">
      <c r="B186" s="385"/>
      <c r="C186" s="386"/>
      <c r="D186" s="386"/>
      <c r="E186" s="386"/>
      <c r="F186" s="386"/>
      <c r="G186" s="386"/>
      <c r="H186" s="386"/>
      <c r="I186" s="386"/>
      <c r="J186" s="386"/>
      <c r="K186" s="386"/>
      <c r="L186" s="386"/>
      <c r="M186" s="386"/>
      <c r="N186" s="386"/>
      <c r="O186" s="387"/>
    </row>
    <row r="187" spans="1:16" ht="44.25" customHeight="1" thickBot="1">
      <c r="B187" s="388"/>
      <c r="C187" s="389"/>
      <c r="D187" s="389"/>
      <c r="E187" s="389"/>
      <c r="F187" s="389"/>
      <c r="G187" s="389"/>
      <c r="H187" s="389"/>
      <c r="I187" s="389"/>
      <c r="J187" s="389"/>
      <c r="K187" s="389"/>
      <c r="L187" s="389"/>
      <c r="M187" s="389"/>
      <c r="N187" s="389"/>
      <c r="O187" s="390"/>
    </row>
  </sheetData>
  <mergeCells count="3">
    <mergeCell ref="C2:M2"/>
    <mergeCell ref="M17:P17"/>
    <mergeCell ref="B182:O187"/>
  </mergeCells>
  <conditionalFormatting sqref="D1:D1048576">
    <cfRule type="duplicateValues" dxfId="76" priority="1"/>
    <cfRule type="duplicateValues" dxfId="75" priority="2"/>
  </conditionalFormatting>
  <conditionalFormatting sqref="D7 D10">
    <cfRule type="duplicateValues" dxfId="74" priority="3"/>
  </conditionalFormatting>
  <conditionalFormatting sqref="D19:D40">
    <cfRule type="duplicateValues" dxfId="73" priority="5"/>
  </conditionalFormatting>
  <conditionalFormatting sqref="D181:D1048576 D1:D179">
    <cfRule type="duplicateValues" dxfId="72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2611-3DFC-4F7A-AA63-EE1A419A62D7}">
  <sheetPr>
    <pageSetUpPr fitToPage="1"/>
  </sheetPr>
  <dimension ref="A2:P194"/>
  <sheetViews>
    <sheetView showGridLines="0" zoomScale="90" zoomScaleNormal="90" workbookViewId="0"/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3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3" ht="23.25">
      <c r="C3" s="13">
        <v>45689</v>
      </c>
    </row>
    <row r="5" spans="3:13">
      <c r="C5" t="s">
        <v>17</v>
      </c>
      <c r="D5" s="14">
        <f t="shared" ref="D5:D11" ca="1" si="0">SUMIF($C$19:$G$184,$C$5:$C$11,$G$19:$G$184)/SUMIF($C$19:$G$184,$C$5:$C$11,$E$19:$E$184)</f>
        <v>2.3868925338407729</v>
      </c>
    </row>
    <row r="6" spans="3:13">
      <c r="C6" t="s">
        <v>440</v>
      </c>
      <c r="D6" s="14">
        <f t="shared" ca="1" si="0"/>
        <v>2.1301085024999997</v>
      </c>
    </row>
    <row r="7" spans="3:13">
      <c r="C7" t="s">
        <v>491</v>
      </c>
      <c r="D7" s="14">
        <f t="shared" ca="1" si="0"/>
        <v>2.119799999589643</v>
      </c>
    </row>
    <row r="8" spans="3:13">
      <c r="C8" t="s">
        <v>756</v>
      </c>
      <c r="D8" s="14">
        <f t="shared" ca="1" si="0"/>
        <v>3.4350272548129128</v>
      </c>
      <c r="I8" s="19"/>
    </row>
    <row r="9" spans="3:13">
      <c r="C9" t="s">
        <v>757</v>
      </c>
      <c r="D9" s="14">
        <f t="shared" ca="1" si="0"/>
        <v>3.8280079557345159</v>
      </c>
      <c r="E9" s="14"/>
      <c r="F9" s="32"/>
      <c r="H9" s="137"/>
      <c r="I9" s="19"/>
    </row>
    <row r="10" spans="3:13">
      <c r="C10" t="s">
        <v>534</v>
      </c>
      <c r="D10" s="14" t="e">
        <f t="shared" ca="1" si="0"/>
        <v>#DIV/0!</v>
      </c>
    </row>
    <row r="11" spans="3:13">
      <c r="C11" t="s">
        <v>533</v>
      </c>
      <c r="D11" s="14" t="e">
        <f t="shared" ca="1" si="0"/>
        <v>#DIV/0!</v>
      </c>
    </row>
    <row r="12" spans="3:13">
      <c r="C12" s="30" t="s">
        <v>129</v>
      </c>
      <c r="D12" s="31">
        <f>+G186/E186</f>
        <v>2.3593817973306508</v>
      </c>
    </row>
    <row r="13" spans="3:13">
      <c r="D13" s="19"/>
    </row>
    <row r="14" spans="3:13">
      <c r="D14" s="22"/>
    </row>
    <row r="16" spans="3:13">
      <c r="E16" s="137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 ht="18.75" customHeight="1">
      <c r="A19" s="44"/>
      <c r="B19" s="5">
        <f>C3</f>
        <v>45689</v>
      </c>
      <c r="C19" s="1" t="s">
        <v>17</v>
      </c>
      <c r="D19" s="216" t="s">
        <v>833</v>
      </c>
      <c r="E19" s="186"/>
      <c r="F19" s="2">
        <v>15139.56</v>
      </c>
      <c r="G19" s="3">
        <f>F19-SUM(M19:P19)</f>
        <v>12090.452615999999</v>
      </c>
      <c r="H19" s="187"/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ref="M19:M184" si="1">+I19*F19</f>
        <v>1816.7471999999998</v>
      </c>
      <c r="N19" s="11">
        <f t="shared" ref="N19:N184" si="2">J19*(F19-M19)</f>
        <v>219.8264112</v>
      </c>
      <c r="O19" s="11">
        <f t="shared" ref="O19:O184" si="3">K19*(F19-M19)</f>
        <v>1012.5337728</v>
      </c>
      <c r="P19" s="11">
        <f t="shared" ref="P19:P140" si="4">L19*(F19)</f>
        <v>0</v>
      </c>
    </row>
    <row r="20" spans="1:16">
      <c r="A20" s="44"/>
      <c r="B20" s="5">
        <f>B19</f>
        <v>45689</v>
      </c>
      <c r="C20" s="1" t="s">
        <v>17</v>
      </c>
      <c r="D20" s="194" t="s">
        <v>834</v>
      </c>
      <c r="E20" s="186"/>
      <c r="F20" s="2">
        <v>1108.8</v>
      </c>
      <c r="G20" s="3">
        <f t="shared" ref="G20:G45" si="5">F20-SUM(M20:P20)</f>
        <v>885.48767999999995</v>
      </c>
      <c r="H20" s="187"/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1"/>
        <v>133.05599999999998</v>
      </c>
      <c r="N20" s="11">
        <f t="shared" si="2"/>
        <v>16.099775999999999</v>
      </c>
      <c r="O20" s="11">
        <f t="shared" si="3"/>
        <v>74.156543999999997</v>
      </c>
      <c r="P20" s="11">
        <f t="shared" si="4"/>
        <v>0</v>
      </c>
    </row>
    <row r="21" spans="1:16">
      <c r="A21" s="44"/>
      <c r="B21" s="5">
        <f t="shared" ref="B21:B46" si="6">B20</f>
        <v>45689</v>
      </c>
      <c r="C21" s="1" t="s">
        <v>17</v>
      </c>
      <c r="D21" s="194" t="s">
        <v>835</v>
      </c>
      <c r="E21" s="186"/>
      <c r="F21" s="2">
        <v>137961.64000000001</v>
      </c>
      <c r="G21" s="3">
        <f t="shared" si="5"/>
        <v>116436.17511900001</v>
      </c>
      <c r="H21" s="187"/>
      <c r="I21" s="200">
        <v>7.0000000000000007E-2</v>
      </c>
      <c r="J21" s="7">
        <v>1.6500000000000001E-2</v>
      </c>
      <c r="K21" s="7">
        <v>7.5999999999999998E-2</v>
      </c>
      <c r="L21" s="7">
        <v>0</v>
      </c>
      <c r="M21" s="11">
        <f t="shared" si="1"/>
        <v>9657.3148000000019</v>
      </c>
      <c r="N21" s="11">
        <f t="shared" si="2"/>
        <v>2117.0213658000002</v>
      </c>
      <c r="O21" s="11">
        <f t="shared" si="3"/>
        <v>9751.1287152000004</v>
      </c>
      <c r="P21" s="11">
        <f t="shared" si="4"/>
        <v>0</v>
      </c>
    </row>
    <row r="22" spans="1:16">
      <c r="A22" s="44"/>
      <c r="B22" s="5">
        <f t="shared" si="6"/>
        <v>45689</v>
      </c>
      <c r="C22" s="1" t="s">
        <v>17</v>
      </c>
      <c r="D22" s="214" t="s">
        <v>836</v>
      </c>
      <c r="E22" s="186"/>
      <c r="F22" s="2">
        <v>66692.350000000006</v>
      </c>
      <c r="G22" s="3">
        <f t="shared" si="5"/>
        <v>53260.510710000002</v>
      </c>
      <c r="H22" s="187"/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1"/>
        <v>8003.0820000000003</v>
      </c>
      <c r="N22" s="11">
        <f t="shared" si="2"/>
        <v>968.37292200000013</v>
      </c>
      <c r="O22" s="11">
        <f t="shared" si="3"/>
        <v>4460.384368</v>
      </c>
      <c r="P22" s="11">
        <f t="shared" si="4"/>
        <v>0</v>
      </c>
    </row>
    <row r="23" spans="1:16">
      <c r="A23" s="44"/>
      <c r="B23" s="5">
        <f t="shared" si="6"/>
        <v>45689</v>
      </c>
      <c r="C23" s="1" t="s">
        <v>17</v>
      </c>
      <c r="D23" s="195" t="s">
        <v>837</v>
      </c>
      <c r="E23" s="1">
        <v>1278615</v>
      </c>
      <c r="F23" s="2">
        <v>3370894.09</v>
      </c>
      <c r="G23" s="3">
        <f t="shared" si="5"/>
        <v>2691996.0202739998</v>
      </c>
      <c r="H23" s="202">
        <f t="shared" ref="H23:H48" si="7">+IF(G23=0,0,G23/E23)</f>
        <v>2.1053999994321981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1"/>
        <v>404507.29079999996</v>
      </c>
      <c r="N23" s="11">
        <f t="shared" si="2"/>
        <v>48945.382186800001</v>
      </c>
      <c r="O23" s="11">
        <f t="shared" si="3"/>
        <v>225445.39673919999</v>
      </c>
      <c r="P23" s="11">
        <f t="shared" si="4"/>
        <v>0</v>
      </c>
    </row>
    <row r="24" spans="1:16">
      <c r="A24" s="44"/>
      <c r="B24" s="5">
        <f t="shared" si="6"/>
        <v>45689</v>
      </c>
      <c r="C24" s="1" t="s">
        <v>17</v>
      </c>
      <c r="D24" s="194" t="s">
        <v>838</v>
      </c>
      <c r="E24" s="1">
        <v>889647</v>
      </c>
      <c r="F24" s="2">
        <v>2219334.4500000002</v>
      </c>
      <c r="G24" s="3">
        <f t="shared" si="5"/>
        <v>1873062.7924387502</v>
      </c>
      <c r="H24" s="202">
        <f t="shared" si="7"/>
        <v>2.105399998469899</v>
      </c>
      <c r="I24" s="200">
        <v>7.0000000000000007E-2</v>
      </c>
      <c r="J24" s="7">
        <v>1.6500000000000001E-2</v>
      </c>
      <c r="K24" s="7">
        <v>7.5999999999999998E-2</v>
      </c>
      <c r="L24" s="7">
        <v>0</v>
      </c>
      <c r="M24" s="11">
        <f t="shared" si="1"/>
        <v>155353.41150000002</v>
      </c>
      <c r="N24" s="11">
        <f t="shared" si="2"/>
        <v>34055.687135250009</v>
      </c>
      <c r="O24" s="11">
        <f t="shared" si="3"/>
        <v>156862.55892600003</v>
      </c>
      <c r="P24" s="11">
        <f t="shared" si="4"/>
        <v>0</v>
      </c>
    </row>
    <row r="25" spans="1:16">
      <c r="A25" s="44"/>
      <c r="B25" s="5">
        <f t="shared" si="6"/>
        <v>45689</v>
      </c>
      <c r="C25" s="1" t="s">
        <v>17</v>
      </c>
      <c r="D25" s="194" t="s">
        <v>839</v>
      </c>
      <c r="E25" s="1">
        <v>4731</v>
      </c>
      <c r="F25" s="2">
        <v>13427.01</v>
      </c>
      <c r="G25" s="3">
        <f t="shared" si="5"/>
        <v>10722.810186000001</v>
      </c>
      <c r="H25" s="202">
        <f t="shared" si="7"/>
        <v>2.2664997222574508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1"/>
        <v>1611.2411999999999</v>
      </c>
      <c r="N25" s="11">
        <f t="shared" si="2"/>
        <v>194.96018520000001</v>
      </c>
      <c r="O25" s="11">
        <f t="shared" si="3"/>
        <v>897.99842879999994</v>
      </c>
      <c r="P25" s="11">
        <f t="shared" si="4"/>
        <v>0</v>
      </c>
    </row>
    <row r="26" spans="1:16">
      <c r="A26" s="44"/>
      <c r="B26" s="5">
        <f t="shared" si="6"/>
        <v>45689</v>
      </c>
      <c r="C26" s="1" t="s">
        <v>17</v>
      </c>
      <c r="D26" s="196" t="s">
        <v>840</v>
      </c>
      <c r="E26" s="1">
        <v>35854</v>
      </c>
      <c r="F26" s="2">
        <v>94524.18</v>
      </c>
      <c r="G26" s="3">
        <f t="shared" si="5"/>
        <v>75487.010148000001</v>
      </c>
      <c r="H26" s="202">
        <f t="shared" si="7"/>
        <v>2.1053999595024266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1"/>
        <v>11342.901599999999</v>
      </c>
      <c r="N26" s="11">
        <f t="shared" si="2"/>
        <v>1372.4910935999999</v>
      </c>
      <c r="O26" s="11">
        <f t="shared" si="3"/>
        <v>6321.7771583999993</v>
      </c>
      <c r="P26" s="11">
        <f t="shared" si="4"/>
        <v>0</v>
      </c>
    </row>
    <row r="27" spans="1:16">
      <c r="A27" s="44"/>
      <c r="B27" s="5">
        <f t="shared" si="6"/>
        <v>45689</v>
      </c>
      <c r="C27" s="1" t="s">
        <v>17</v>
      </c>
      <c r="D27" s="194" t="s">
        <v>841</v>
      </c>
      <c r="E27" s="1">
        <v>142482</v>
      </c>
      <c r="F27" s="2">
        <v>382636.27</v>
      </c>
      <c r="G27" s="3">
        <f t="shared" si="5"/>
        <v>322935.44597325003</v>
      </c>
      <c r="H27" s="202">
        <f t="shared" si="7"/>
        <v>2.2664999506832442</v>
      </c>
      <c r="I27" s="200">
        <v>7.0000000000000007E-2</v>
      </c>
      <c r="J27" s="7">
        <v>1.6500000000000001E-2</v>
      </c>
      <c r="K27" s="7">
        <v>7.5999999999999998E-2</v>
      </c>
      <c r="L27" s="7">
        <v>0</v>
      </c>
      <c r="M27" s="11">
        <f t="shared" si="1"/>
        <v>26784.538900000003</v>
      </c>
      <c r="N27" s="11">
        <f t="shared" si="2"/>
        <v>5871.5535631500006</v>
      </c>
      <c r="O27" s="11">
        <f t="shared" si="3"/>
        <v>27044.731563600002</v>
      </c>
      <c r="P27" s="11">
        <f t="shared" si="4"/>
        <v>0</v>
      </c>
    </row>
    <row r="28" spans="1:16">
      <c r="A28" s="44"/>
      <c r="B28" s="5">
        <f t="shared" si="6"/>
        <v>45689</v>
      </c>
      <c r="C28" s="1" t="s">
        <v>17</v>
      </c>
      <c r="D28" s="194" t="s">
        <v>842</v>
      </c>
      <c r="E28" s="1">
        <v>248586</v>
      </c>
      <c r="F28" s="2">
        <v>750645.05</v>
      </c>
      <c r="G28" s="3">
        <f t="shared" si="5"/>
        <v>599465.13693000004</v>
      </c>
      <c r="H28" s="202">
        <f t="shared" si="7"/>
        <v>2.4114999916729021</v>
      </c>
      <c r="I28" s="200">
        <v>0.12</v>
      </c>
      <c r="J28" s="7">
        <v>1.6500000000000001E-2</v>
      </c>
      <c r="K28" s="7">
        <v>7.5999999999999998E-2</v>
      </c>
      <c r="L28" s="7">
        <v>0</v>
      </c>
      <c r="M28" s="11">
        <f t="shared" si="1"/>
        <v>90077.406000000003</v>
      </c>
      <c r="N28" s="11">
        <f t="shared" si="2"/>
        <v>10899.366126000003</v>
      </c>
      <c r="O28" s="11">
        <f t="shared" si="3"/>
        <v>50203.140944000006</v>
      </c>
      <c r="P28" s="11">
        <f t="shared" si="4"/>
        <v>0</v>
      </c>
    </row>
    <row r="29" spans="1:16">
      <c r="A29" s="44"/>
      <c r="B29" s="5">
        <f t="shared" si="6"/>
        <v>45689</v>
      </c>
      <c r="C29" s="1" t="s">
        <v>17</v>
      </c>
      <c r="D29" s="194" t="s">
        <v>843</v>
      </c>
      <c r="E29" s="1">
        <v>9618192</v>
      </c>
      <c r="F29" s="2">
        <v>27482176.620000001</v>
      </c>
      <c r="G29" s="3">
        <f t="shared" si="5"/>
        <v>23194270.0128645</v>
      </c>
      <c r="H29" s="202">
        <f>+IF(G29=0,0,G29/E29)</f>
        <v>2.4115000005057605</v>
      </c>
      <c r="I29" s="200">
        <v>7.0000000000000007E-2</v>
      </c>
      <c r="J29" s="7">
        <v>1.6500000000000001E-2</v>
      </c>
      <c r="K29" s="7">
        <v>7.5999999999999998E-2</v>
      </c>
      <c r="L29" s="7">
        <v>0</v>
      </c>
      <c r="M29" s="11">
        <f t="shared" si="1"/>
        <v>1923752.3634000001</v>
      </c>
      <c r="N29" s="11">
        <f t="shared" si="2"/>
        <v>421714.00023390003</v>
      </c>
      <c r="O29" s="11">
        <f t="shared" si="3"/>
        <v>1942440.2435015999</v>
      </c>
      <c r="P29" s="11">
        <f t="shared" si="4"/>
        <v>0</v>
      </c>
    </row>
    <row r="30" spans="1:16">
      <c r="A30" s="44"/>
      <c r="B30" s="5">
        <f t="shared" si="6"/>
        <v>45689</v>
      </c>
      <c r="C30" s="1" t="s">
        <v>17</v>
      </c>
      <c r="D30" s="194" t="s">
        <v>844</v>
      </c>
      <c r="E30" s="1">
        <v>309660</v>
      </c>
      <c r="F30" s="2">
        <v>935067.73</v>
      </c>
      <c r="G30" s="3">
        <f t="shared" si="5"/>
        <v>746745.08917799999</v>
      </c>
      <c r="H30" s="202">
        <f>+IF(G30=0,0,G30/E30)</f>
        <v>2.4114999973454756</v>
      </c>
      <c r="I30" s="200">
        <v>0.12</v>
      </c>
      <c r="J30" s="7">
        <v>1.6500000000000001E-2</v>
      </c>
      <c r="K30" s="7">
        <v>7.5999999999999998E-2</v>
      </c>
      <c r="L30" s="7">
        <v>0</v>
      </c>
      <c r="M30" s="11">
        <f t="shared" si="1"/>
        <v>112208.12759999999</v>
      </c>
      <c r="N30" s="11">
        <f t="shared" si="2"/>
        <v>13577.183439599999</v>
      </c>
      <c r="O30" s="11">
        <f t="shared" si="3"/>
        <v>62537.329782399996</v>
      </c>
      <c r="P30" s="11">
        <f t="shared" si="4"/>
        <v>0</v>
      </c>
    </row>
    <row r="31" spans="1:16">
      <c r="A31" s="44"/>
      <c r="B31" s="5">
        <f t="shared" si="6"/>
        <v>45689</v>
      </c>
      <c r="C31" s="1" t="s">
        <v>17</v>
      </c>
      <c r="D31" s="194" t="s">
        <v>845</v>
      </c>
      <c r="E31" s="1">
        <v>54037</v>
      </c>
      <c r="F31" s="2">
        <v>153361.96</v>
      </c>
      <c r="G31" s="3">
        <f t="shared" ref="G31:G37" si="8">F31-SUM(M31:P31)</f>
        <v>122474.86125599999</v>
      </c>
      <c r="H31" s="202">
        <f t="shared" ref="H31:H37" si="9">+IF(G31=0,0,G31/E31)</f>
        <v>2.2665000139904139</v>
      </c>
      <c r="I31" s="200">
        <v>0.12</v>
      </c>
      <c r="J31" s="7">
        <v>1.6500000000000001E-2</v>
      </c>
      <c r="K31" s="7">
        <v>7.5999999999999998E-2</v>
      </c>
      <c r="L31" s="7">
        <v>0</v>
      </c>
      <c r="M31" s="11">
        <f t="shared" ref="M31:M37" si="10">+I31*F31</f>
        <v>18403.4352</v>
      </c>
      <c r="N31" s="11">
        <f t="shared" ref="N31:N37" si="11">J31*(F31-M31)</f>
        <v>2226.8156592</v>
      </c>
      <c r="O31" s="11">
        <f t="shared" ref="O31:O37" si="12">K31*(F31-M31)</f>
        <v>10256.847884799998</v>
      </c>
      <c r="P31" s="11">
        <f t="shared" ref="P31:P37" si="13">L31*(F31)</f>
        <v>0</v>
      </c>
    </row>
    <row r="32" spans="1:16">
      <c r="A32" s="44"/>
      <c r="B32" s="5">
        <f t="shared" si="6"/>
        <v>45689</v>
      </c>
      <c r="C32" s="1" t="s">
        <v>17</v>
      </c>
      <c r="D32" s="194" t="s">
        <v>846</v>
      </c>
      <c r="E32" s="1">
        <v>12556062</v>
      </c>
      <c r="F32" s="2">
        <v>37915030.689999998</v>
      </c>
      <c r="G32" s="3">
        <f t="shared" si="8"/>
        <v>30278943.509034</v>
      </c>
      <c r="H32" s="202">
        <f t="shared" si="9"/>
        <v>2.4114999996841369</v>
      </c>
      <c r="I32" s="200">
        <v>0.12</v>
      </c>
      <c r="J32" s="7">
        <v>1.6500000000000001E-2</v>
      </c>
      <c r="K32" s="7">
        <v>7.5999999999999998E-2</v>
      </c>
      <c r="L32" s="7">
        <v>0</v>
      </c>
      <c r="M32" s="11">
        <f t="shared" si="10"/>
        <v>4549803.6827999996</v>
      </c>
      <c r="N32" s="11">
        <f t="shared" si="11"/>
        <v>550526.24561880005</v>
      </c>
      <c r="O32" s="11">
        <f t="shared" si="12"/>
        <v>2535757.2525471998</v>
      </c>
      <c r="P32" s="11">
        <f t="shared" si="13"/>
        <v>0</v>
      </c>
    </row>
    <row r="33" spans="1:16">
      <c r="A33" s="44"/>
      <c r="B33" s="5">
        <f t="shared" si="6"/>
        <v>45689</v>
      </c>
      <c r="C33" s="1" t="s">
        <v>17</v>
      </c>
      <c r="D33" s="194" t="s">
        <v>847</v>
      </c>
      <c r="E33" s="1">
        <v>5894</v>
      </c>
      <c r="F33" s="2">
        <v>16727.71</v>
      </c>
      <c r="G33" s="3">
        <f t="shared" si="8"/>
        <v>13358.749206</v>
      </c>
      <c r="H33" s="202">
        <f t="shared" si="9"/>
        <v>2.2664996956226671</v>
      </c>
      <c r="I33" s="200">
        <v>0.12</v>
      </c>
      <c r="J33" s="7">
        <v>1.6500000000000001E-2</v>
      </c>
      <c r="K33" s="7">
        <v>7.5999999999999998E-2</v>
      </c>
      <c r="L33" s="7">
        <v>0</v>
      </c>
      <c r="M33" s="11">
        <f t="shared" si="10"/>
        <v>2007.3251999999998</v>
      </c>
      <c r="N33" s="11">
        <f t="shared" si="11"/>
        <v>242.88634920000001</v>
      </c>
      <c r="O33" s="11">
        <f t="shared" si="12"/>
        <v>1118.7492448</v>
      </c>
      <c r="P33" s="11">
        <f t="shared" si="13"/>
        <v>0</v>
      </c>
    </row>
    <row r="34" spans="1:16">
      <c r="A34" s="44"/>
      <c r="B34" s="5">
        <f t="shared" si="6"/>
        <v>45689</v>
      </c>
      <c r="C34" s="1" t="s">
        <v>17</v>
      </c>
      <c r="D34" s="194" t="s">
        <v>848</v>
      </c>
      <c r="E34" s="1">
        <v>59567</v>
      </c>
      <c r="F34" s="2">
        <v>157040.26999999999</v>
      </c>
      <c r="G34" s="3">
        <f t="shared" si="8"/>
        <v>125412.35962199999</v>
      </c>
      <c r="H34" s="202">
        <f t="shared" si="9"/>
        <v>2.1053999634361307</v>
      </c>
      <c r="I34" s="200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10"/>
        <v>18844.832399999999</v>
      </c>
      <c r="N34" s="11">
        <f t="shared" si="11"/>
        <v>2280.2247204</v>
      </c>
      <c r="O34" s="11">
        <f t="shared" si="12"/>
        <v>10502.8532576</v>
      </c>
      <c r="P34" s="11">
        <f t="shared" si="13"/>
        <v>0</v>
      </c>
    </row>
    <row r="35" spans="1:16">
      <c r="A35" s="44"/>
      <c r="B35" s="5">
        <f t="shared" si="6"/>
        <v>45689</v>
      </c>
      <c r="C35" s="1" t="s">
        <v>17</v>
      </c>
      <c r="D35" s="194" t="s">
        <v>849</v>
      </c>
      <c r="E35" s="1">
        <v>460252</v>
      </c>
      <c r="F35" s="2">
        <v>1213391.6399999999</v>
      </c>
      <c r="G35" s="3">
        <f t="shared" si="8"/>
        <v>969014.56370399985</v>
      </c>
      <c r="H35" s="202">
        <f t="shared" si="9"/>
        <v>2.1054000063095866</v>
      </c>
      <c r="I35" s="200">
        <v>0.12</v>
      </c>
      <c r="J35" s="7">
        <v>1.6500000000000001E-2</v>
      </c>
      <c r="K35" s="7">
        <v>7.5999999999999998E-2</v>
      </c>
      <c r="L35" s="7">
        <v>0</v>
      </c>
      <c r="M35" s="11">
        <f t="shared" si="10"/>
        <v>145606.99679999999</v>
      </c>
      <c r="N35" s="11">
        <f t="shared" si="11"/>
        <v>17618.446612799999</v>
      </c>
      <c r="O35" s="11">
        <f t="shared" si="12"/>
        <v>81151.632883199985</v>
      </c>
      <c r="P35" s="11">
        <f t="shared" si="13"/>
        <v>0</v>
      </c>
    </row>
    <row r="36" spans="1:16">
      <c r="A36" s="44"/>
      <c r="B36" s="5">
        <f t="shared" si="6"/>
        <v>45689</v>
      </c>
      <c r="C36" s="1" t="s">
        <v>17</v>
      </c>
      <c r="D36" s="194" t="s">
        <v>850</v>
      </c>
      <c r="E36" s="1">
        <v>167972</v>
      </c>
      <c r="F36" s="2">
        <v>476719.93</v>
      </c>
      <c r="G36" s="3">
        <f t="shared" si="8"/>
        <v>380708.53609800001</v>
      </c>
      <c r="H36" s="202">
        <f t="shared" si="9"/>
        <v>2.2664999886766841</v>
      </c>
      <c r="I36" s="200">
        <v>0.12</v>
      </c>
      <c r="J36" s="7">
        <v>1.6500000000000001E-2</v>
      </c>
      <c r="K36" s="7">
        <v>7.5999999999999998E-2</v>
      </c>
      <c r="L36" s="7">
        <v>0</v>
      </c>
      <c r="M36" s="11">
        <f t="shared" si="10"/>
        <v>57206.391599999995</v>
      </c>
      <c r="N36" s="11">
        <f t="shared" si="11"/>
        <v>6921.9733836000005</v>
      </c>
      <c r="O36" s="11">
        <f t="shared" si="12"/>
        <v>31883.028918399999</v>
      </c>
      <c r="P36" s="11">
        <f t="shared" si="13"/>
        <v>0</v>
      </c>
    </row>
    <row r="37" spans="1:16">
      <c r="A37" s="44"/>
      <c r="B37" s="5">
        <f t="shared" si="6"/>
        <v>45689</v>
      </c>
      <c r="C37" s="1" t="s">
        <v>17</v>
      </c>
      <c r="D37" s="194" t="s">
        <v>851</v>
      </c>
      <c r="E37" s="1">
        <v>2839248</v>
      </c>
      <c r="F37" s="2">
        <v>8573561.9199999999</v>
      </c>
      <c r="G37" s="3">
        <f t="shared" si="8"/>
        <v>6846846.5493120002</v>
      </c>
      <c r="H37" s="202">
        <f t="shared" si="9"/>
        <v>2.4114999990532704</v>
      </c>
      <c r="I37" s="200">
        <v>0.12</v>
      </c>
      <c r="J37" s="7">
        <v>1.6500000000000001E-2</v>
      </c>
      <c r="K37" s="7">
        <v>7.5999999999999998E-2</v>
      </c>
      <c r="L37" s="7">
        <v>0</v>
      </c>
      <c r="M37" s="11">
        <f t="shared" si="10"/>
        <v>1028827.4304</v>
      </c>
      <c r="N37" s="11">
        <f t="shared" si="11"/>
        <v>124488.11907840001</v>
      </c>
      <c r="O37" s="11">
        <f t="shared" si="12"/>
        <v>573399.82120959996</v>
      </c>
      <c r="P37" s="11">
        <f t="shared" si="13"/>
        <v>0</v>
      </c>
    </row>
    <row r="38" spans="1:16">
      <c r="A38" s="44"/>
      <c r="B38" s="5">
        <f>B30</f>
        <v>45689</v>
      </c>
      <c r="C38" s="1" t="s">
        <v>830</v>
      </c>
      <c r="D38" s="194" t="s">
        <v>853</v>
      </c>
      <c r="E38" s="1">
        <v>2475000</v>
      </c>
      <c r="F38" s="2">
        <v>5958316.04</v>
      </c>
      <c r="G38" s="3">
        <f t="shared" si="5"/>
        <v>4758311.1895439997</v>
      </c>
      <c r="H38" s="202">
        <f>+IF(G38=0,0,G38/E38)</f>
        <v>1.9225499755733333</v>
      </c>
      <c r="I38" s="200">
        <v>0.12</v>
      </c>
      <c r="J38" s="7">
        <v>1.6500000000000001E-2</v>
      </c>
      <c r="K38" s="7">
        <v>7.5999999999999998E-2</v>
      </c>
      <c r="L38" s="7">
        <v>0</v>
      </c>
      <c r="M38" s="11">
        <f t="shared" si="1"/>
        <v>714997.92479999992</v>
      </c>
      <c r="N38" s="11">
        <f t="shared" si="2"/>
        <v>86514.748900799998</v>
      </c>
      <c r="O38" s="11">
        <f t="shared" si="3"/>
        <v>398492.17675519997</v>
      </c>
      <c r="P38" s="11">
        <f t="shared" si="4"/>
        <v>0</v>
      </c>
    </row>
    <row r="39" spans="1:16">
      <c r="A39" s="44"/>
      <c r="B39" s="5">
        <f t="shared" si="6"/>
        <v>45689</v>
      </c>
      <c r="C39" s="1" t="s">
        <v>830</v>
      </c>
      <c r="D39" s="194" t="s">
        <v>854</v>
      </c>
      <c r="E39" s="1">
        <v>3125000</v>
      </c>
      <c r="F39" s="2">
        <v>7506721.6600000001</v>
      </c>
      <c r="G39" s="3">
        <f t="shared" si="5"/>
        <v>5994867.9176759999</v>
      </c>
      <c r="H39" s="202">
        <f t="shared" si="7"/>
        <v>1.91835773365632</v>
      </c>
      <c r="I39" s="200">
        <v>0.12</v>
      </c>
      <c r="J39" s="7">
        <v>1.6500000000000001E-2</v>
      </c>
      <c r="K39" s="7">
        <v>7.5999999999999998E-2</v>
      </c>
      <c r="L39" s="7">
        <v>0</v>
      </c>
      <c r="M39" s="11">
        <f t="shared" si="1"/>
        <v>900806.59919999994</v>
      </c>
      <c r="N39" s="11">
        <f t="shared" si="2"/>
        <v>108997.5985032</v>
      </c>
      <c r="O39" s="11">
        <f t="shared" si="3"/>
        <v>502049.54462080001</v>
      </c>
      <c r="P39" s="11">
        <f t="shared" si="4"/>
        <v>0</v>
      </c>
    </row>
    <row r="40" spans="1:16">
      <c r="A40" s="44"/>
      <c r="B40" s="5">
        <f t="shared" si="6"/>
        <v>45689</v>
      </c>
      <c r="C40" s="1" t="s">
        <v>440</v>
      </c>
      <c r="D40" s="194" t="s">
        <v>856</v>
      </c>
      <c r="E40" s="1">
        <v>280000</v>
      </c>
      <c r="F40" s="2">
        <v>706692</v>
      </c>
      <c r="G40" s="3">
        <f t="shared" si="5"/>
        <v>596430.38069999998</v>
      </c>
      <c r="H40" s="202">
        <f t="shared" si="7"/>
        <v>2.1301085024999997</v>
      </c>
      <c r="I40" s="7">
        <v>7.0000000000000007E-2</v>
      </c>
      <c r="J40" s="7">
        <v>1.6500000000000001E-2</v>
      </c>
      <c r="K40" s="7">
        <v>7.5999999999999998E-2</v>
      </c>
      <c r="L40" s="7">
        <v>0</v>
      </c>
      <c r="M40" s="11">
        <f t="shared" si="1"/>
        <v>49468.44</v>
      </c>
      <c r="N40" s="11">
        <f t="shared" si="2"/>
        <v>10844.188740000001</v>
      </c>
      <c r="O40" s="11">
        <f t="shared" si="3"/>
        <v>49948.990560000006</v>
      </c>
      <c r="P40" s="11">
        <f t="shared" si="4"/>
        <v>0</v>
      </c>
    </row>
    <row r="41" spans="1:16">
      <c r="A41" s="44"/>
      <c r="B41" s="5">
        <f t="shared" si="6"/>
        <v>45689</v>
      </c>
      <c r="C41" s="1" t="s">
        <v>491</v>
      </c>
      <c r="D41" s="194" t="s">
        <v>855</v>
      </c>
      <c r="E41" s="1">
        <v>5600000</v>
      </c>
      <c r="F41" s="2">
        <v>14864613.07</v>
      </c>
      <c r="G41" s="3">
        <f t="shared" si="5"/>
        <v>11870879.997702001</v>
      </c>
      <c r="H41" s="202">
        <f>+IF(G41=0,0,G41/E41)</f>
        <v>2.119799999589643</v>
      </c>
      <c r="I41" s="7">
        <v>0.12</v>
      </c>
      <c r="J41" s="7">
        <v>1.6500000000000001E-2</v>
      </c>
      <c r="K41" s="7">
        <v>7.5999999999999998E-2</v>
      </c>
      <c r="L41" s="7">
        <v>0</v>
      </c>
      <c r="M41" s="11">
        <f t="shared" si="1"/>
        <v>1783753.5684</v>
      </c>
      <c r="N41" s="11">
        <f t="shared" si="2"/>
        <v>215834.18177640002</v>
      </c>
      <c r="O41" s="11">
        <f t="shared" si="3"/>
        <v>994145.32212160004</v>
      </c>
      <c r="P41" s="11">
        <f t="shared" si="4"/>
        <v>0</v>
      </c>
    </row>
    <row r="42" spans="1:16" hidden="1">
      <c r="A42" s="44"/>
      <c r="B42" s="5">
        <f t="shared" si="6"/>
        <v>45689</v>
      </c>
      <c r="C42" s="1" t="s">
        <v>491</v>
      </c>
      <c r="D42" s="194"/>
      <c r="E42" s="185"/>
      <c r="F42" s="2"/>
      <c r="G42" s="3">
        <f t="shared" ref="G42" si="14">F42-SUM(M42:P42)</f>
        <v>0</v>
      </c>
      <c r="H42" s="202">
        <f>+IF(G42=0,0,G42/E42)</f>
        <v>0</v>
      </c>
      <c r="I42" s="7"/>
      <c r="J42" s="7">
        <v>1.6500000000000001E-2</v>
      </c>
      <c r="K42" s="7">
        <v>7.5999999999999998E-2</v>
      </c>
      <c r="L42" s="7">
        <v>0</v>
      </c>
      <c r="M42" s="11">
        <f t="shared" si="1"/>
        <v>0</v>
      </c>
      <c r="N42" s="11">
        <f t="shared" si="2"/>
        <v>0</v>
      </c>
      <c r="O42" s="11">
        <f t="shared" si="3"/>
        <v>0</v>
      </c>
      <c r="P42" s="11">
        <f t="shared" si="4"/>
        <v>0</v>
      </c>
    </row>
    <row r="43" spans="1:16" hidden="1">
      <c r="A43" s="44"/>
      <c r="B43" s="5">
        <f>B39</f>
        <v>45689</v>
      </c>
      <c r="C43" s="1" t="s">
        <v>491</v>
      </c>
      <c r="D43" s="194"/>
      <c r="E43" s="1"/>
      <c r="F43" s="2"/>
      <c r="G43" s="3">
        <f t="shared" ref="G43:G44" si="15">F43-SUM(M43:P43)</f>
        <v>0</v>
      </c>
      <c r="H43" s="202">
        <f t="shared" si="7"/>
        <v>0</v>
      </c>
      <c r="I43" s="7"/>
      <c r="J43" s="7">
        <v>1.6500000000000001E-2</v>
      </c>
      <c r="K43" s="7">
        <v>7.5999999999999998E-2</v>
      </c>
      <c r="L43" s="7">
        <v>0</v>
      </c>
      <c r="M43" s="11">
        <f t="shared" si="1"/>
        <v>0</v>
      </c>
      <c r="N43" s="11">
        <f t="shared" si="2"/>
        <v>0</v>
      </c>
      <c r="O43" s="11">
        <f t="shared" si="3"/>
        <v>0</v>
      </c>
      <c r="P43" s="11">
        <f t="shared" si="4"/>
        <v>0</v>
      </c>
    </row>
    <row r="44" spans="1:16" hidden="1">
      <c r="A44" s="44"/>
      <c r="B44" s="5">
        <f>B40</f>
        <v>45689</v>
      </c>
      <c r="C44" s="1" t="s">
        <v>491</v>
      </c>
      <c r="D44" s="195"/>
      <c r="E44" s="118"/>
      <c r="F44" s="2"/>
      <c r="G44" s="3">
        <f t="shared" si="15"/>
        <v>0</v>
      </c>
      <c r="H44" s="202">
        <f t="shared" si="7"/>
        <v>0</v>
      </c>
      <c r="I44" s="7"/>
      <c r="J44" s="7">
        <v>1.6500000000000001E-2</v>
      </c>
      <c r="K44" s="7">
        <v>7.5999999999999998E-2</v>
      </c>
      <c r="L44" s="7">
        <v>0</v>
      </c>
      <c r="M44" s="11">
        <f t="shared" si="1"/>
        <v>0</v>
      </c>
      <c r="N44" s="11">
        <f t="shared" si="2"/>
        <v>0</v>
      </c>
      <c r="O44" s="11">
        <f t="shared" si="3"/>
        <v>0</v>
      </c>
      <c r="P44" s="11">
        <f t="shared" si="4"/>
        <v>0</v>
      </c>
    </row>
    <row r="45" spans="1:16">
      <c r="A45" s="44"/>
      <c r="B45" s="5">
        <f>B41</f>
        <v>45689</v>
      </c>
      <c r="C45" s="1" t="s">
        <v>756</v>
      </c>
      <c r="D45" s="195" t="s">
        <v>852</v>
      </c>
      <c r="E45" s="118">
        <v>817535.51</v>
      </c>
      <c r="F45" s="2">
        <v>3892450.07</v>
      </c>
      <c r="G45" s="3">
        <f t="shared" si="5"/>
        <v>2808256.7586273747</v>
      </c>
      <c r="H45" s="202">
        <f t="shared" si="7"/>
        <v>3.4350272548129128</v>
      </c>
      <c r="I45" s="7">
        <v>0.20499999999999999</v>
      </c>
      <c r="J45" s="200">
        <v>1.6500000000000001E-2</v>
      </c>
      <c r="K45" s="200">
        <v>7.5999999999999998E-2</v>
      </c>
      <c r="L45" s="200">
        <v>0</v>
      </c>
      <c r="M45" s="11">
        <f t="shared" si="1"/>
        <v>797952.26434999995</v>
      </c>
      <c r="N45" s="11">
        <f t="shared" si="2"/>
        <v>51059.213793225004</v>
      </c>
      <c r="O45" s="11">
        <f t="shared" si="3"/>
        <v>235181.83322939998</v>
      </c>
      <c r="P45" s="11">
        <f t="shared" si="4"/>
        <v>0</v>
      </c>
    </row>
    <row r="46" spans="1:16" hidden="1">
      <c r="A46" s="44"/>
      <c r="B46" s="5">
        <f t="shared" si="6"/>
        <v>45689</v>
      </c>
      <c r="C46" s="1" t="s">
        <v>756</v>
      </c>
      <c r="D46" s="212"/>
      <c r="E46" s="118"/>
      <c r="F46" s="2"/>
      <c r="G46" s="3">
        <f t="shared" ref="G46" si="16">F46-SUM(M46:P46)</f>
        <v>0</v>
      </c>
      <c r="H46" s="202">
        <f t="shared" si="7"/>
        <v>0</v>
      </c>
      <c r="I46" s="7"/>
      <c r="J46" s="200">
        <v>1.6500000000000001E-2</v>
      </c>
      <c r="K46" s="200">
        <v>7.5999999999999998E-2</v>
      </c>
      <c r="L46" s="200">
        <v>0</v>
      </c>
      <c r="M46" s="11">
        <f t="shared" si="1"/>
        <v>0</v>
      </c>
      <c r="N46" s="11">
        <f t="shared" si="2"/>
        <v>0</v>
      </c>
      <c r="O46" s="11">
        <f t="shared" si="3"/>
        <v>0</v>
      </c>
      <c r="P46" s="11">
        <f t="shared" si="4"/>
        <v>0</v>
      </c>
    </row>
    <row r="47" spans="1:16">
      <c r="A47" s="44"/>
      <c r="B47" s="5">
        <f>B46</f>
        <v>45689</v>
      </c>
      <c r="C47" s="1" t="s">
        <v>757</v>
      </c>
      <c r="D47" s="212" t="s">
        <v>32</v>
      </c>
      <c r="E47" s="118">
        <v>111174.43</v>
      </c>
      <c r="F47" s="2">
        <v>589880.42000000004</v>
      </c>
      <c r="G47" s="3">
        <f t="shared" ref="G47:G184" si="17">F47-SUM(M47:P47)</f>
        <v>425576.60251425003</v>
      </c>
      <c r="H47" s="202">
        <f t="shared" si="7"/>
        <v>3.8280079557345159</v>
      </c>
      <c r="I47" s="7">
        <v>0.20499999999999999</v>
      </c>
      <c r="J47" s="7">
        <v>1.6500000000000001E-2</v>
      </c>
      <c r="K47" s="7">
        <v>7.5999999999999998E-2</v>
      </c>
      <c r="L47" s="7">
        <v>0</v>
      </c>
      <c r="M47" s="11">
        <f t="shared" si="1"/>
        <v>120925.48609999999</v>
      </c>
      <c r="N47" s="11">
        <f t="shared" si="2"/>
        <v>7737.7564093500014</v>
      </c>
      <c r="O47" s="11">
        <f t="shared" si="3"/>
        <v>35640.574976400007</v>
      </c>
      <c r="P47" s="11">
        <f t="shared" si="4"/>
        <v>0</v>
      </c>
    </row>
    <row r="48" spans="1:16" ht="15" hidden="1" customHeight="1">
      <c r="A48" s="44"/>
      <c r="B48" s="5">
        <f>B47</f>
        <v>45689</v>
      </c>
      <c r="C48" s="1" t="s">
        <v>757</v>
      </c>
      <c r="D48" s="195"/>
      <c r="E48" s="118"/>
      <c r="F48" s="2"/>
      <c r="G48" s="3">
        <f t="shared" si="17"/>
        <v>0</v>
      </c>
      <c r="H48" s="202">
        <f t="shared" si="7"/>
        <v>0</v>
      </c>
      <c r="I48" s="7"/>
      <c r="J48" s="7">
        <v>1.6500000000000001E-2</v>
      </c>
      <c r="K48" s="7">
        <v>7.5999999999999998E-2</v>
      </c>
      <c r="L48" s="7">
        <v>0</v>
      </c>
      <c r="M48" s="11">
        <f t="shared" si="1"/>
        <v>0</v>
      </c>
      <c r="N48" s="11">
        <f t="shared" si="2"/>
        <v>0</v>
      </c>
      <c r="O48" s="11">
        <f t="shared" si="3"/>
        <v>0</v>
      </c>
      <c r="P48" s="11">
        <f t="shared" si="4"/>
        <v>0</v>
      </c>
    </row>
    <row r="49" spans="1:16" ht="15" customHeight="1">
      <c r="A49" s="44"/>
      <c r="B49" s="5">
        <f>B48</f>
        <v>45689</v>
      </c>
      <c r="C49" s="1" t="s">
        <v>792</v>
      </c>
      <c r="D49" s="195">
        <v>418</v>
      </c>
      <c r="E49" s="186"/>
      <c r="F49" s="2">
        <v>17613.66</v>
      </c>
      <c r="G49" s="3">
        <f t="shared" si="17"/>
        <v>15984.39645</v>
      </c>
      <c r="H49" s="187"/>
      <c r="I49" s="193"/>
      <c r="J49" s="7">
        <v>1.6500000000000001E-2</v>
      </c>
      <c r="K49" s="7">
        <v>7.5999999999999998E-2</v>
      </c>
      <c r="L49" s="7">
        <v>0</v>
      </c>
      <c r="M49" s="11">
        <f t="shared" si="1"/>
        <v>0</v>
      </c>
      <c r="N49" s="11">
        <f t="shared" si="2"/>
        <v>290.62539000000004</v>
      </c>
      <c r="O49" s="11">
        <f t="shared" si="3"/>
        <v>1338.63816</v>
      </c>
      <c r="P49" s="11">
        <f t="shared" si="4"/>
        <v>0</v>
      </c>
    </row>
    <row r="50" spans="1:16" ht="15" hidden="1" customHeight="1">
      <c r="A50" s="44"/>
      <c r="B50" s="5">
        <f t="shared" ref="B50:B113" si="18">B49</f>
        <v>45689</v>
      </c>
      <c r="C50" s="1" t="s">
        <v>533</v>
      </c>
      <c r="D50" s="195"/>
      <c r="E50" s="186"/>
      <c r="F50" s="2"/>
      <c r="G50" s="3">
        <f t="shared" si="17"/>
        <v>0</v>
      </c>
      <c r="H50" s="187"/>
      <c r="I50" s="7"/>
      <c r="J50" s="7">
        <v>1.6500000000000001E-2</v>
      </c>
      <c r="K50" s="7">
        <v>7.5999999999999998E-2</v>
      </c>
      <c r="L50" s="7">
        <v>0</v>
      </c>
      <c r="M50" s="11">
        <f t="shared" si="1"/>
        <v>0</v>
      </c>
      <c r="N50" s="11">
        <f t="shared" si="2"/>
        <v>0</v>
      </c>
      <c r="O50" s="11">
        <f t="shared" si="3"/>
        <v>0</v>
      </c>
      <c r="P50" s="11">
        <f t="shared" si="4"/>
        <v>0</v>
      </c>
    </row>
    <row r="51" spans="1:16" ht="15" hidden="1" customHeight="1">
      <c r="A51" s="44"/>
      <c r="B51" s="5">
        <f t="shared" si="18"/>
        <v>45689</v>
      </c>
      <c r="C51" s="1" t="s">
        <v>533</v>
      </c>
      <c r="D51" s="195"/>
      <c r="E51" s="186"/>
      <c r="F51" s="2"/>
      <c r="G51" s="3">
        <f t="shared" si="17"/>
        <v>0</v>
      </c>
      <c r="H51" s="187"/>
      <c r="I51" s="7"/>
      <c r="J51" s="7">
        <v>1.6500000000000001E-2</v>
      </c>
      <c r="K51" s="7">
        <v>7.5999999999999998E-2</v>
      </c>
      <c r="L51" s="7">
        <v>0</v>
      </c>
      <c r="M51" s="11">
        <f t="shared" si="1"/>
        <v>0</v>
      </c>
      <c r="N51" s="11">
        <f t="shared" si="2"/>
        <v>0</v>
      </c>
      <c r="O51" s="11">
        <f t="shared" si="3"/>
        <v>0</v>
      </c>
      <c r="P51" s="11">
        <f t="shared" si="4"/>
        <v>0</v>
      </c>
    </row>
    <row r="52" spans="1:16" ht="15" hidden="1" customHeight="1">
      <c r="A52" s="44"/>
      <c r="B52" s="5">
        <f t="shared" si="18"/>
        <v>45689</v>
      </c>
      <c r="C52" s="1" t="s">
        <v>533</v>
      </c>
      <c r="D52" s="195"/>
      <c r="E52" s="186"/>
      <c r="F52" s="2"/>
      <c r="G52" s="3">
        <f t="shared" si="17"/>
        <v>0</v>
      </c>
      <c r="H52" s="187"/>
      <c r="I52" s="7"/>
      <c r="J52" s="7">
        <v>1.6500000000000001E-2</v>
      </c>
      <c r="K52" s="7">
        <v>7.5999999999999998E-2</v>
      </c>
      <c r="L52" s="7">
        <v>0</v>
      </c>
      <c r="M52" s="11">
        <f t="shared" si="1"/>
        <v>0</v>
      </c>
      <c r="N52" s="11">
        <f t="shared" si="2"/>
        <v>0</v>
      </c>
      <c r="O52" s="11">
        <f t="shared" si="3"/>
        <v>0</v>
      </c>
      <c r="P52" s="11">
        <f t="shared" si="4"/>
        <v>0</v>
      </c>
    </row>
    <row r="53" spans="1:16" ht="15" hidden="1" customHeight="1">
      <c r="A53" s="44"/>
      <c r="B53" s="5">
        <f t="shared" si="18"/>
        <v>45689</v>
      </c>
      <c r="C53" s="1" t="s">
        <v>533</v>
      </c>
      <c r="D53" s="195"/>
      <c r="E53" s="186"/>
      <c r="F53" s="2"/>
      <c r="G53" s="3">
        <f t="shared" si="17"/>
        <v>0</v>
      </c>
      <c r="H53" s="187"/>
      <c r="I53" s="7"/>
      <c r="J53" s="7">
        <v>1.6500000000000001E-2</v>
      </c>
      <c r="K53" s="7">
        <v>7.5999999999999998E-2</v>
      </c>
      <c r="L53" s="7">
        <v>0</v>
      </c>
      <c r="M53" s="11">
        <f t="shared" si="1"/>
        <v>0</v>
      </c>
      <c r="N53" s="11">
        <f t="shared" si="2"/>
        <v>0</v>
      </c>
      <c r="O53" s="11">
        <f t="shared" si="3"/>
        <v>0</v>
      </c>
      <c r="P53" s="11">
        <f t="shared" si="4"/>
        <v>0</v>
      </c>
    </row>
    <row r="54" spans="1:16" ht="15" hidden="1" customHeight="1">
      <c r="A54" s="44"/>
      <c r="B54" s="5">
        <f t="shared" si="18"/>
        <v>45689</v>
      </c>
      <c r="C54" s="1" t="s">
        <v>533</v>
      </c>
      <c r="D54" s="195"/>
      <c r="E54" s="186"/>
      <c r="F54" s="2"/>
      <c r="G54" s="3">
        <f t="shared" si="17"/>
        <v>0</v>
      </c>
      <c r="H54" s="187"/>
      <c r="I54" s="7"/>
      <c r="J54" s="7">
        <v>1.6500000000000001E-2</v>
      </c>
      <c r="K54" s="7">
        <v>7.5999999999999998E-2</v>
      </c>
      <c r="L54" s="7">
        <v>0</v>
      </c>
      <c r="M54" s="11">
        <f t="shared" si="1"/>
        <v>0</v>
      </c>
      <c r="N54" s="11">
        <f t="shared" si="2"/>
        <v>0</v>
      </c>
      <c r="O54" s="11">
        <f t="shared" si="3"/>
        <v>0</v>
      </c>
      <c r="P54" s="11">
        <f t="shared" si="4"/>
        <v>0</v>
      </c>
    </row>
    <row r="55" spans="1:16" ht="15" hidden="1" customHeight="1">
      <c r="A55" s="44"/>
      <c r="B55" s="5">
        <f t="shared" si="18"/>
        <v>45689</v>
      </c>
      <c r="C55" s="1" t="s">
        <v>533</v>
      </c>
      <c r="D55" s="195"/>
      <c r="E55" s="186"/>
      <c r="F55" s="2"/>
      <c r="G55" s="3">
        <f t="shared" si="17"/>
        <v>0</v>
      </c>
      <c r="H55" s="187"/>
      <c r="I55" s="7"/>
      <c r="J55" s="7">
        <v>1.6500000000000001E-2</v>
      </c>
      <c r="K55" s="7">
        <v>7.5999999999999998E-2</v>
      </c>
      <c r="L55" s="7">
        <v>0</v>
      </c>
      <c r="M55" s="11">
        <f t="shared" si="1"/>
        <v>0</v>
      </c>
      <c r="N55" s="11">
        <f t="shared" si="2"/>
        <v>0</v>
      </c>
      <c r="O55" s="11">
        <f t="shared" si="3"/>
        <v>0</v>
      </c>
      <c r="P55" s="11">
        <f t="shared" si="4"/>
        <v>0</v>
      </c>
    </row>
    <row r="56" spans="1:16" ht="15" hidden="1" customHeight="1">
      <c r="A56" s="44"/>
      <c r="B56" s="5">
        <f t="shared" si="18"/>
        <v>45689</v>
      </c>
      <c r="C56" s="1" t="s">
        <v>533</v>
      </c>
      <c r="D56" s="195"/>
      <c r="E56" s="186"/>
      <c r="F56" s="2"/>
      <c r="G56" s="3">
        <f t="shared" si="17"/>
        <v>0</v>
      </c>
      <c r="H56" s="187"/>
      <c r="I56" s="7"/>
      <c r="J56" s="7">
        <v>1.6500000000000001E-2</v>
      </c>
      <c r="K56" s="7">
        <v>7.5999999999999998E-2</v>
      </c>
      <c r="L56" s="7">
        <v>0</v>
      </c>
      <c r="M56" s="11">
        <f t="shared" si="1"/>
        <v>0</v>
      </c>
      <c r="N56" s="11">
        <f t="shared" si="2"/>
        <v>0</v>
      </c>
      <c r="O56" s="11">
        <f t="shared" si="3"/>
        <v>0</v>
      </c>
      <c r="P56" s="11">
        <f t="shared" si="4"/>
        <v>0</v>
      </c>
    </row>
    <row r="57" spans="1:16" ht="15" hidden="1" customHeight="1">
      <c r="A57" s="44"/>
      <c r="B57" s="5">
        <f t="shared" si="18"/>
        <v>45689</v>
      </c>
      <c r="C57" s="1" t="s">
        <v>533</v>
      </c>
      <c r="D57" s="195"/>
      <c r="E57" s="186"/>
      <c r="F57" s="2"/>
      <c r="G57" s="3">
        <f t="shared" si="17"/>
        <v>0</v>
      </c>
      <c r="H57" s="187"/>
      <c r="I57" s="7"/>
      <c r="J57" s="7">
        <v>1.6500000000000001E-2</v>
      </c>
      <c r="K57" s="7">
        <v>7.5999999999999998E-2</v>
      </c>
      <c r="L57" s="7">
        <v>0</v>
      </c>
      <c r="M57" s="11">
        <f t="shared" si="1"/>
        <v>0</v>
      </c>
      <c r="N57" s="11">
        <f t="shared" si="2"/>
        <v>0</v>
      </c>
      <c r="O57" s="11">
        <f t="shared" si="3"/>
        <v>0</v>
      </c>
      <c r="P57" s="11">
        <f t="shared" si="4"/>
        <v>0</v>
      </c>
    </row>
    <row r="58" spans="1:16" ht="15" hidden="1" customHeight="1">
      <c r="A58" s="44"/>
      <c r="B58" s="5">
        <f t="shared" si="18"/>
        <v>45689</v>
      </c>
      <c r="C58" s="1" t="s">
        <v>533</v>
      </c>
      <c r="D58" s="195"/>
      <c r="E58" s="186"/>
      <c r="F58" s="2"/>
      <c r="G58" s="3">
        <f t="shared" si="17"/>
        <v>0</v>
      </c>
      <c r="H58" s="187"/>
      <c r="I58" s="7"/>
      <c r="J58" s="7">
        <v>1.6500000000000001E-2</v>
      </c>
      <c r="K58" s="7">
        <v>7.5999999999999998E-2</v>
      </c>
      <c r="L58" s="7">
        <v>0</v>
      </c>
      <c r="M58" s="11">
        <f>+I58*F58</f>
        <v>0</v>
      </c>
      <c r="N58" s="11">
        <f t="shared" si="2"/>
        <v>0</v>
      </c>
      <c r="O58" s="11">
        <f t="shared" si="3"/>
        <v>0</v>
      </c>
      <c r="P58" s="11">
        <f t="shared" si="4"/>
        <v>0</v>
      </c>
    </row>
    <row r="59" spans="1:16" ht="15" hidden="1" customHeight="1">
      <c r="A59" s="44"/>
      <c r="B59" s="5">
        <f t="shared" si="18"/>
        <v>45689</v>
      </c>
      <c r="C59" s="1" t="s">
        <v>533</v>
      </c>
      <c r="D59" s="195"/>
      <c r="E59" s="186"/>
      <c r="F59" s="2"/>
      <c r="G59" s="3">
        <f t="shared" si="17"/>
        <v>0</v>
      </c>
      <c r="H59" s="187"/>
      <c r="I59" s="7"/>
      <c r="J59" s="7">
        <v>1.6500000000000001E-2</v>
      </c>
      <c r="K59" s="7">
        <v>7.5999999999999998E-2</v>
      </c>
      <c r="L59" s="7">
        <v>0</v>
      </c>
      <c r="M59" s="11">
        <f>+I59*F59</f>
        <v>0</v>
      </c>
      <c r="N59" s="11">
        <f t="shared" si="2"/>
        <v>0</v>
      </c>
      <c r="O59" s="11">
        <f t="shared" si="3"/>
        <v>0</v>
      </c>
      <c r="P59" s="11">
        <f t="shared" si="4"/>
        <v>0</v>
      </c>
    </row>
    <row r="60" spans="1:16" ht="15" hidden="1" customHeight="1">
      <c r="A60" s="44"/>
      <c r="B60" s="5">
        <f t="shared" si="18"/>
        <v>45689</v>
      </c>
      <c r="C60" s="1" t="s">
        <v>533</v>
      </c>
      <c r="D60" s="195"/>
      <c r="E60" s="186"/>
      <c r="F60" s="2"/>
      <c r="G60" s="3">
        <f t="shared" si="17"/>
        <v>0</v>
      </c>
      <c r="H60" s="187"/>
      <c r="I60" s="7"/>
      <c r="J60" s="7">
        <v>1.6500000000000001E-2</v>
      </c>
      <c r="K60" s="7">
        <v>7.5999999999999998E-2</v>
      </c>
      <c r="L60" s="7">
        <v>0</v>
      </c>
      <c r="M60" s="11">
        <f t="shared" si="1"/>
        <v>0</v>
      </c>
      <c r="N60" s="11">
        <f t="shared" si="2"/>
        <v>0</v>
      </c>
      <c r="O60" s="11">
        <f t="shared" si="3"/>
        <v>0</v>
      </c>
      <c r="P60" s="11">
        <f t="shared" si="4"/>
        <v>0</v>
      </c>
    </row>
    <row r="61" spans="1:16" ht="15" hidden="1" customHeight="1">
      <c r="A61" s="44"/>
      <c r="B61" s="5">
        <f t="shared" si="18"/>
        <v>45689</v>
      </c>
      <c r="C61" s="1" t="s">
        <v>533</v>
      </c>
      <c r="D61" s="195"/>
      <c r="E61" s="186"/>
      <c r="F61" s="2"/>
      <c r="G61" s="3">
        <f t="shared" si="17"/>
        <v>0</v>
      </c>
      <c r="H61" s="187"/>
      <c r="I61" s="7"/>
      <c r="J61" s="7">
        <v>1.6500000000000001E-2</v>
      </c>
      <c r="K61" s="7">
        <v>7.5999999999999998E-2</v>
      </c>
      <c r="L61" s="7">
        <v>0</v>
      </c>
      <c r="M61" s="11">
        <f t="shared" si="1"/>
        <v>0</v>
      </c>
      <c r="N61" s="11">
        <f t="shared" si="2"/>
        <v>0</v>
      </c>
      <c r="O61" s="11">
        <f t="shared" si="3"/>
        <v>0</v>
      </c>
      <c r="P61" s="11">
        <f t="shared" si="4"/>
        <v>0</v>
      </c>
    </row>
    <row r="62" spans="1:16" ht="15" hidden="1" customHeight="1">
      <c r="A62" s="44"/>
      <c r="B62" s="5">
        <f t="shared" si="18"/>
        <v>45689</v>
      </c>
      <c r="C62" s="1" t="s">
        <v>533</v>
      </c>
      <c r="D62" s="195"/>
      <c r="E62" s="186"/>
      <c r="F62" s="2"/>
      <c r="G62" s="3">
        <f t="shared" si="17"/>
        <v>0</v>
      </c>
      <c r="H62" s="187"/>
      <c r="I62" s="7"/>
      <c r="J62" s="7">
        <v>1.6500000000000001E-2</v>
      </c>
      <c r="K62" s="7">
        <v>7.5999999999999998E-2</v>
      </c>
      <c r="L62" s="7">
        <v>0</v>
      </c>
      <c r="M62" s="11">
        <f t="shared" si="1"/>
        <v>0</v>
      </c>
      <c r="N62" s="11">
        <f t="shared" si="2"/>
        <v>0</v>
      </c>
      <c r="O62" s="11">
        <f t="shared" si="3"/>
        <v>0</v>
      </c>
      <c r="P62" s="11">
        <f t="shared" si="4"/>
        <v>0</v>
      </c>
    </row>
    <row r="63" spans="1:16" ht="15" hidden="1" customHeight="1">
      <c r="A63" s="44"/>
      <c r="B63" s="5">
        <f t="shared" si="18"/>
        <v>45689</v>
      </c>
      <c r="C63" s="1" t="s">
        <v>533</v>
      </c>
      <c r="D63" s="195"/>
      <c r="E63" s="186"/>
      <c r="F63" s="2"/>
      <c r="G63" s="3">
        <f t="shared" si="17"/>
        <v>0</v>
      </c>
      <c r="H63" s="187"/>
      <c r="I63" s="7"/>
      <c r="J63" s="7">
        <v>1.6500000000000001E-2</v>
      </c>
      <c r="K63" s="7">
        <v>7.5999999999999998E-2</v>
      </c>
      <c r="L63" s="7">
        <v>0</v>
      </c>
      <c r="M63" s="11">
        <f t="shared" si="1"/>
        <v>0</v>
      </c>
      <c r="N63" s="11">
        <f t="shared" si="2"/>
        <v>0</v>
      </c>
      <c r="O63" s="11">
        <f t="shared" si="3"/>
        <v>0</v>
      </c>
      <c r="P63" s="11">
        <f t="shared" si="4"/>
        <v>0</v>
      </c>
    </row>
    <row r="64" spans="1:16" ht="15" hidden="1" customHeight="1">
      <c r="A64" s="44"/>
      <c r="B64" s="5">
        <f t="shared" si="18"/>
        <v>45689</v>
      </c>
      <c r="C64" s="1" t="s">
        <v>533</v>
      </c>
      <c r="D64" s="195"/>
      <c r="E64" s="186"/>
      <c r="F64" s="2"/>
      <c r="G64" s="3">
        <f t="shared" si="17"/>
        <v>0</v>
      </c>
      <c r="H64" s="187"/>
      <c r="I64" s="7"/>
      <c r="J64" s="7">
        <v>1.6500000000000001E-2</v>
      </c>
      <c r="K64" s="7">
        <v>7.5999999999999998E-2</v>
      </c>
      <c r="L64" s="7">
        <v>0</v>
      </c>
      <c r="M64" s="11">
        <f t="shared" si="1"/>
        <v>0</v>
      </c>
      <c r="N64" s="11">
        <f t="shared" si="2"/>
        <v>0</v>
      </c>
      <c r="O64" s="11">
        <f t="shared" si="3"/>
        <v>0</v>
      </c>
      <c r="P64" s="11">
        <f t="shared" si="4"/>
        <v>0</v>
      </c>
    </row>
    <row r="65" spans="1:16" ht="15" hidden="1" customHeight="1">
      <c r="A65" s="44"/>
      <c r="B65" s="5">
        <f t="shared" si="18"/>
        <v>45689</v>
      </c>
      <c r="C65" s="1" t="s">
        <v>533</v>
      </c>
      <c r="D65" s="195"/>
      <c r="E65" s="186"/>
      <c r="F65" s="2"/>
      <c r="G65" s="3">
        <f t="shared" si="17"/>
        <v>0</v>
      </c>
      <c r="H65" s="187"/>
      <c r="I65" s="7"/>
      <c r="J65" s="7">
        <v>1.6500000000000001E-2</v>
      </c>
      <c r="K65" s="7">
        <v>7.5999999999999998E-2</v>
      </c>
      <c r="L65" s="7">
        <v>0</v>
      </c>
      <c r="M65" s="11">
        <f t="shared" si="1"/>
        <v>0</v>
      </c>
      <c r="N65" s="11">
        <f t="shared" si="2"/>
        <v>0</v>
      </c>
      <c r="O65" s="11">
        <f t="shared" si="3"/>
        <v>0</v>
      </c>
      <c r="P65" s="11">
        <f t="shared" si="4"/>
        <v>0</v>
      </c>
    </row>
    <row r="66" spans="1:16" ht="15" hidden="1" customHeight="1">
      <c r="A66" s="44"/>
      <c r="B66" s="5">
        <f t="shared" si="18"/>
        <v>45689</v>
      </c>
      <c r="C66" s="1" t="s">
        <v>533</v>
      </c>
      <c r="D66" s="195"/>
      <c r="E66" s="186"/>
      <c r="F66" s="2"/>
      <c r="G66" s="3">
        <f t="shared" si="17"/>
        <v>0</v>
      </c>
      <c r="H66" s="187"/>
      <c r="I66" s="7"/>
      <c r="J66" s="7">
        <v>1.6500000000000001E-2</v>
      </c>
      <c r="K66" s="7">
        <v>7.5999999999999998E-2</v>
      </c>
      <c r="L66" s="7">
        <v>0</v>
      </c>
      <c r="M66" s="11">
        <f t="shared" si="1"/>
        <v>0</v>
      </c>
      <c r="N66" s="11">
        <f t="shared" si="2"/>
        <v>0</v>
      </c>
      <c r="O66" s="11">
        <f t="shared" si="3"/>
        <v>0</v>
      </c>
      <c r="P66" s="11">
        <f t="shared" si="4"/>
        <v>0</v>
      </c>
    </row>
    <row r="67" spans="1:16" ht="15" hidden="1" customHeight="1">
      <c r="A67" s="44"/>
      <c r="B67" s="5">
        <f t="shared" si="18"/>
        <v>45689</v>
      </c>
      <c r="C67" s="1" t="s">
        <v>533</v>
      </c>
      <c r="D67" s="195"/>
      <c r="E67" s="186"/>
      <c r="F67" s="2"/>
      <c r="G67" s="3">
        <f t="shared" si="17"/>
        <v>0</v>
      </c>
      <c r="H67" s="187"/>
      <c r="I67" s="7"/>
      <c r="J67" s="7">
        <v>1.6500000000000001E-2</v>
      </c>
      <c r="K67" s="7">
        <v>7.5999999999999998E-2</v>
      </c>
      <c r="L67" s="7">
        <v>0</v>
      </c>
      <c r="M67" s="11">
        <f t="shared" si="1"/>
        <v>0</v>
      </c>
      <c r="N67" s="11">
        <f t="shared" si="2"/>
        <v>0</v>
      </c>
      <c r="O67" s="11">
        <f t="shared" si="3"/>
        <v>0</v>
      </c>
      <c r="P67" s="11">
        <f t="shared" si="4"/>
        <v>0</v>
      </c>
    </row>
    <row r="68" spans="1:16" ht="15" hidden="1" customHeight="1">
      <c r="A68" s="44"/>
      <c r="B68" s="5">
        <f t="shared" si="18"/>
        <v>45689</v>
      </c>
      <c r="C68" s="1" t="s">
        <v>533</v>
      </c>
      <c r="D68" s="195"/>
      <c r="E68" s="186"/>
      <c r="F68" s="2"/>
      <c r="G68" s="3">
        <f t="shared" si="17"/>
        <v>0</v>
      </c>
      <c r="H68" s="187"/>
      <c r="I68" s="7"/>
      <c r="J68" s="7">
        <v>1.6500000000000001E-2</v>
      </c>
      <c r="K68" s="7">
        <v>7.5999999999999998E-2</v>
      </c>
      <c r="L68" s="7">
        <v>0</v>
      </c>
      <c r="M68" s="11">
        <f t="shared" si="1"/>
        <v>0</v>
      </c>
      <c r="N68" s="11">
        <f t="shared" si="2"/>
        <v>0</v>
      </c>
      <c r="O68" s="11">
        <f t="shared" si="3"/>
        <v>0</v>
      </c>
      <c r="P68" s="11">
        <f t="shared" si="4"/>
        <v>0</v>
      </c>
    </row>
    <row r="69" spans="1:16" ht="15" hidden="1" customHeight="1">
      <c r="A69" s="44"/>
      <c r="B69" s="5">
        <f t="shared" si="18"/>
        <v>45689</v>
      </c>
      <c r="C69" s="1" t="s">
        <v>533</v>
      </c>
      <c r="D69" s="195"/>
      <c r="E69" s="186"/>
      <c r="F69" s="2"/>
      <c r="G69" s="3">
        <f t="shared" si="17"/>
        <v>0</v>
      </c>
      <c r="H69" s="187"/>
      <c r="I69" s="7"/>
      <c r="J69" s="7">
        <v>1.6500000000000001E-2</v>
      </c>
      <c r="K69" s="7">
        <v>7.5999999999999998E-2</v>
      </c>
      <c r="L69" s="7">
        <v>0</v>
      </c>
      <c r="M69" s="11">
        <f t="shared" si="1"/>
        <v>0</v>
      </c>
      <c r="N69" s="11">
        <f t="shared" si="2"/>
        <v>0</v>
      </c>
      <c r="O69" s="11">
        <f t="shared" si="3"/>
        <v>0</v>
      </c>
      <c r="P69" s="11">
        <f t="shared" si="4"/>
        <v>0</v>
      </c>
    </row>
    <row r="70" spans="1:16" ht="15" hidden="1" customHeight="1">
      <c r="A70" s="44"/>
      <c r="B70" s="5">
        <f t="shared" si="18"/>
        <v>45689</v>
      </c>
      <c r="C70" s="1" t="s">
        <v>533</v>
      </c>
      <c r="D70" s="195"/>
      <c r="E70" s="186"/>
      <c r="F70" s="2"/>
      <c r="G70" s="3">
        <f t="shared" si="17"/>
        <v>0</v>
      </c>
      <c r="H70" s="187"/>
      <c r="I70" s="7"/>
      <c r="J70" s="7">
        <v>1.6500000000000001E-2</v>
      </c>
      <c r="K70" s="7">
        <v>7.5999999999999998E-2</v>
      </c>
      <c r="L70" s="7">
        <v>0</v>
      </c>
      <c r="M70" s="11">
        <f t="shared" si="1"/>
        <v>0</v>
      </c>
      <c r="N70" s="11">
        <f t="shared" si="2"/>
        <v>0</v>
      </c>
      <c r="O70" s="11">
        <f t="shared" si="3"/>
        <v>0</v>
      </c>
      <c r="P70" s="11">
        <f t="shared" si="4"/>
        <v>0</v>
      </c>
    </row>
    <row r="71" spans="1:16" ht="15" hidden="1" customHeight="1">
      <c r="A71" s="44"/>
      <c r="B71" s="5">
        <f t="shared" si="18"/>
        <v>45689</v>
      </c>
      <c r="C71" s="1" t="s">
        <v>533</v>
      </c>
      <c r="D71" s="195"/>
      <c r="E71" s="186"/>
      <c r="F71" s="2"/>
      <c r="G71" s="3">
        <f t="shared" si="17"/>
        <v>0</v>
      </c>
      <c r="H71" s="187"/>
      <c r="I71" s="7"/>
      <c r="J71" s="7">
        <v>1.6500000000000001E-2</v>
      </c>
      <c r="K71" s="7">
        <v>7.5999999999999998E-2</v>
      </c>
      <c r="L71" s="7">
        <v>0</v>
      </c>
      <c r="M71" s="11">
        <f t="shared" si="1"/>
        <v>0</v>
      </c>
      <c r="N71" s="11">
        <f t="shared" si="2"/>
        <v>0</v>
      </c>
      <c r="O71" s="11">
        <f t="shared" si="3"/>
        <v>0</v>
      </c>
      <c r="P71" s="11">
        <f t="shared" si="4"/>
        <v>0</v>
      </c>
    </row>
    <row r="72" spans="1:16" ht="15" hidden="1" customHeight="1">
      <c r="A72" s="44"/>
      <c r="B72" s="5">
        <f t="shared" si="18"/>
        <v>45689</v>
      </c>
      <c r="C72" s="1" t="s">
        <v>533</v>
      </c>
      <c r="D72" s="195"/>
      <c r="E72" s="186"/>
      <c r="F72" s="2"/>
      <c r="G72" s="3">
        <f t="shared" si="17"/>
        <v>0</v>
      </c>
      <c r="H72" s="187"/>
      <c r="I72" s="7"/>
      <c r="J72" s="7">
        <v>1.6500000000000001E-2</v>
      </c>
      <c r="K72" s="7">
        <v>7.5999999999999998E-2</v>
      </c>
      <c r="L72" s="7">
        <v>0</v>
      </c>
      <c r="M72" s="11">
        <f t="shared" si="1"/>
        <v>0</v>
      </c>
      <c r="N72" s="11">
        <f t="shared" si="2"/>
        <v>0</v>
      </c>
      <c r="O72" s="11">
        <f t="shared" si="3"/>
        <v>0</v>
      </c>
      <c r="P72" s="11">
        <f t="shared" si="4"/>
        <v>0</v>
      </c>
    </row>
    <row r="73" spans="1:16" ht="15" hidden="1" customHeight="1">
      <c r="A73" s="44"/>
      <c r="B73" s="5">
        <f t="shared" si="18"/>
        <v>45689</v>
      </c>
      <c r="C73" s="1" t="s">
        <v>533</v>
      </c>
      <c r="D73" s="195"/>
      <c r="E73" s="186"/>
      <c r="F73" s="2"/>
      <c r="G73" s="3">
        <f t="shared" si="17"/>
        <v>0</v>
      </c>
      <c r="H73" s="187"/>
      <c r="I73" s="7"/>
      <c r="J73" s="7">
        <v>1.6500000000000001E-2</v>
      </c>
      <c r="K73" s="7">
        <v>7.5999999999999998E-2</v>
      </c>
      <c r="L73" s="7">
        <v>0</v>
      </c>
      <c r="M73" s="11">
        <f t="shared" si="1"/>
        <v>0</v>
      </c>
      <c r="N73" s="11">
        <f t="shared" si="2"/>
        <v>0</v>
      </c>
      <c r="O73" s="11">
        <f t="shared" si="3"/>
        <v>0</v>
      </c>
      <c r="P73" s="11">
        <f t="shared" si="4"/>
        <v>0</v>
      </c>
    </row>
    <row r="74" spans="1:16" ht="15" hidden="1" customHeight="1">
      <c r="A74" s="44"/>
      <c r="B74" s="5">
        <f t="shared" si="18"/>
        <v>45689</v>
      </c>
      <c r="C74" s="1" t="s">
        <v>533</v>
      </c>
      <c r="D74" s="195"/>
      <c r="E74" s="186"/>
      <c r="F74" s="2"/>
      <c r="G74" s="3">
        <f t="shared" si="17"/>
        <v>0</v>
      </c>
      <c r="H74" s="187"/>
      <c r="I74" s="7"/>
      <c r="J74" s="7">
        <v>1.6500000000000001E-2</v>
      </c>
      <c r="K74" s="7">
        <v>7.5999999999999998E-2</v>
      </c>
      <c r="L74" s="7">
        <v>0</v>
      </c>
      <c r="M74" s="11">
        <f t="shared" si="1"/>
        <v>0</v>
      </c>
      <c r="N74" s="11">
        <f t="shared" si="2"/>
        <v>0</v>
      </c>
      <c r="O74" s="11">
        <f t="shared" si="3"/>
        <v>0</v>
      </c>
      <c r="P74" s="11">
        <f t="shared" si="4"/>
        <v>0</v>
      </c>
    </row>
    <row r="75" spans="1:16" ht="15" hidden="1" customHeight="1">
      <c r="A75" s="44"/>
      <c r="B75" s="5">
        <f t="shared" si="18"/>
        <v>45689</v>
      </c>
      <c r="C75" s="1" t="s">
        <v>533</v>
      </c>
      <c r="D75" s="195"/>
      <c r="E75" s="186"/>
      <c r="F75" s="2"/>
      <c r="G75" s="3">
        <f t="shared" si="17"/>
        <v>0</v>
      </c>
      <c r="H75" s="187"/>
      <c r="I75" s="7"/>
      <c r="J75" s="7">
        <v>1.6500000000000001E-2</v>
      </c>
      <c r="K75" s="7">
        <v>7.5999999999999998E-2</v>
      </c>
      <c r="L75" s="7">
        <v>0</v>
      </c>
      <c r="M75" s="11">
        <f t="shared" si="1"/>
        <v>0</v>
      </c>
      <c r="N75" s="11">
        <f t="shared" si="2"/>
        <v>0</v>
      </c>
      <c r="O75" s="11">
        <f t="shared" si="3"/>
        <v>0</v>
      </c>
      <c r="P75" s="11">
        <f t="shared" si="4"/>
        <v>0</v>
      </c>
    </row>
    <row r="76" spans="1:16" ht="15" hidden="1" customHeight="1">
      <c r="A76" s="44"/>
      <c r="B76" s="5">
        <f t="shared" si="18"/>
        <v>45689</v>
      </c>
      <c r="C76" s="1" t="s">
        <v>533</v>
      </c>
      <c r="D76" s="195"/>
      <c r="E76" s="186"/>
      <c r="F76" s="2"/>
      <c r="G76" s="3">
        <f t="shared" si="17"/>
        <v>0</v>
      </c>
      <c r="H76" s="187"/>
      <c r="I76" s="7"/>
      <c r="J76" s="7">
        <v>1.6500000000000001E-2</v>
      </c>
      <c r="K76" s="7">
        <v>7.5999999999999998E-2</v>
      </c>
      <c r="L76" s="7">
        <v>0</v>
      </c>
      <c r="M76" s="11">
        <f t="shared" si="1"/>
        <v>0</v>
      </c>
      <c r="N76" s="11">
        <f t="shared" si="2"/>
        <v>0</v>
      </c>
      <c r="O76" s="11">
        <f t="shared" si="3"/>
        <v>0</v>
      </c>
      <c r="P76" s="11">
        <f t="shared" si="4"/>
        <v>0</v>
      </c>
    </row>
    <row r="77" spans="1:16" ht="15" hidden="1" customHeight="1">
      <c r="A77" s="44"/>
      <c r="B77" s="5">
        <f t="shared" si="18"/>
        <v>45689</v>
      </c>
      <c r="C77" s="1" t="s">
        <v>533</v>
      </c>
      <c r="D77" s="195"/>
      <c r="E77" s="186"/>
      <c r="F77" s="2"/>
      <c r="G77" s="3">
        <f t="shared" si="17"/>
        <v>0</v>
      </c>
      <c r="H77" s="187"/>
      <c r="I77" s="7"/>
      <c r="J77" s="7">
        <v>1.6500000000000001E-2</v>
      </c>
      <c r="K77" s="7">
        <v>7.5999999999999998E-2</v>
      </c>
      <c r="L77" s="7">
        <v>0</v>
      </c>
      <c r="M77" s="11">
        <f t="shared" si="1"/>
        <v>0</v>
      </c>
      <c r="N77" s="11">
        <f t="shared" si="2"/>
        <v>0</v>
      </c>
      <c r="O77" s="11">
        <f t="shared" si="3"/>
        <v>0</v>
      </c>
      <c r="P77" s="11">
        <f t="shared" si="4"/>
        <v>0</v>
      </c>
    </row>
    <row r="78" spans="1:16" ht="15" hidden="1" customHeight="1">
      <c r="A78" s="44"/>
      <c r="B78" s="5">
        <f t="shared" si="18"/>
        <v>45689</v>
      </c>
      <c r="C78" s="1" t="s">
        <v>533</v>
      </c>
      <c r="D78" s="195"/>
      <c r="E78" s="186"/>
      <c r="F78" s="2"/>
      <c r="G78" s="3">
        <f t="shared" si="17"/>
        <v>0</v>
      </c>
      <c r="H78" s="187"/>
      <c r="I78" s="7"/>
      <c r="J78" s="7">
        <v>1.6500000000000001E-2</v>
      </c>
      <c r="K78" s="7">
        <v>7.5999999999999998E-2</v>
      </c>
      <c r="L78" s="7">
        <v>0</v>
      </c>
      <c r="M78" s="11">
        <f t="shared" si="1"/>
        <v>0</v>
      </c>
      <c r="N78" s="11">
        <f t="shared" si="2"/>
        <v>0</v>
      </c>
      <c r="O78" s="11">
        <f t="shared" si="3"/>
        <v>0</v>
      </c>
      <c r="P78" s="11">
        <f t="shared" si="4"/>
        <v>0</v>
      </c>
    </row>
    <row r="79" spans="1:16" ht="15" hidden="1" customHeight="1">
      <c r="A79" s="44"/>
      <c r="B79" s="5">
        <f t="shared" si="18"/>
        <v>45689</v>
      </c>
      <c r="C79" s="1" t="s">
        <v>533</v>
      </c>
      <c r="D79" s="195"/>
      <c r="E79" s="186"/>
      <c r="F79" s="2"/>
      <c r="G79" s="3">
        <f t="shared" si="17"/>
        <v>0</v>
      </c>
      <c r="H79" s="187"/>
      <c r="I79" s="7"/>
      <c r="J79" s="7">
        <v>1.6500000000000001E-2</v>
      </c>
      <c r="K79" s="7">
        <v>7.5999999999999998E-2</v>
      </c>
      <c r="L79" s="7">
        <v>0</v>
      </c>
      <c r="M79" s="11">
        <f t="shared" si="1"/>
        <v>0</v>
      </c>
      <c r="N79" s="11">
        <f t="shared" si="2"/>
        <v>0</v>
      </c>
      <c r="O79" s="11">
        <f t="shared" si="3"/>
        <v>0</v>
      </c>
      <c r="P79" s="11">
        <f t="shared" si="4"/>
        <v>0</v>
      </c>
    </row>
    <row r="80" spans="1:16" ht="15" hidden="1" customHeight="1">
      <c r="A80" s="44"/>
      <c r="B80" s="5">
        <f t="shared" si="18"/>
        <v>45689</v>
      </c>
      <c r="C80" s="1" t="s">
        <v>533</v>
      </c>
      <c r="D80" s="195"/>
      <c r="E80" s="186"/>
      <c r="F80" s="2"/>
      <c r="G80" s="3">
        <f t="shared" si="17"/>
        <v>0</v>
      </c>
      <c r="H80" s="187"/>
      <c r="I80" s="7"/>
      <c r="J80" s="7">
        <v>1.6500000000000001E-2</v>
      </c>
      <c r="K80" s="7">
        <v>7.5999999999999998E-2</v>
      </c>
      <c r="L80" s="7">
        <v>0</v>
      </c>
      <c r="M80" s="11">
        <f t="shared" si="1"/>
        <v>0</v>
      </c>
      <c r="N80" s="11">
        <f t="shared" si="2"/>
        <v>0</v>
      </c>
      <c r="O80" s="11">
        <f t="shared" si="3"/>
        <v>0</v>
      </c>
      <c r="P80" s="11">
        <f t="shared" si="4"/>
        <v>0</v>
      </c>
    </row>
    <row r="81" spans="1:16" ht="15" hidden="1" customHeight="1">
      <c r="A81" s="44"/>
      <c r="B81" s="5">
        <f t="shared" si="18"/>
        <v>45689</v>
      </c>
      <c r="C81" s="1" t="s">
        <v>533</v>
      </c>
      <c r="D81" s="195"/>
      <c r="E81" s="186"/>
      <c r="F81" s="2"/>
      <c r="G81" s="3">
        <f t="shared" si="17"/>
        <v>0</v>
      </c>
      <c r="H81" s="187"/>
      <c r="I81" s="7"/>
      <c r="J81" s="7">
        <v>1.6500000000000001E-2</v>
      </c>
      <c r="K81" s="7">
        <v>7.5999999999999998E-2</v>
      </c>
      <c r="L81" s="7">
        <v>0</v>
      </c>
      <c r="M81" s="11">
        <f t="shared" si="1"/>
        <v>0</v>
      </c>
      <c r="N81" s="11">
        <f t="shared" si="2"/>
        <v>0</v>
      </c>
      <c r="O81" s="11">
        <f t="shared" si="3"/>
        <v>0</v>
      </c>
      <c r="P81" s="11">
        <f t="shared" si="4"/>
        <v>0</v>
      </c>
    </row>
    <row r="82" spans="1:16" ht="15" hidden="1" customHeight="1">
      <c r="A82" s="44"/>
      <c r="B82" s="5">
        <f t="shared" si="18"/>
        <v>45689</v>
      </c>
      <c r="C82" s="1" t="s">
        <v>533</v>
      </c>
      <c r="D82" s="195"/>
      <c r="E82" s="186"/>
      <c r="F82" s="2"/>
      <c r="G82" s="3">
        <f t="shared" si="17"/>
        <v>0</v>
      </c>
      <c r="H82" s="187"/>
      <c r="I82" s="7"/>
      <c r="J82" s="7">
        <v>1.6500000000000001E-2</v>
      </c>
      <c r="K82" s="7">
        <v>7.5999999999999998E-2</v>
      </c>
      <c r="L82" s="7">
        <v>0</v>
      </c>
      <c r="M82" s="11">
        <f t="shared" si="1"/>
        <v>0</v>
      </c>
      <c r="N82" s="11">
        <f t="shared" si="2"/>
        <v>0</v>
      </c>
      <c r="O82" s="11">
        <f t="shared" si="3"/>
        <v>0</v>
      </c>
      <c r="P82" s="11">
        <f t="shared" si="4"/>
        <v>0</v>
      </c>
    </row>
    <row r="83" spans="1:16" ht="15" hidden="1" customHeight="1">
      <c r="A83" s="44"/>
      <c r="B83" s="5">
        <f t="shared" si="18"/>
        <v>45689</v>
      </c>
      <c r="C83" s="1" t="s">
        <v>533</v>
      </c>
      <c r="D83" s="195"/>
      <c r="E83" s="186"/>
      <c r="F83" s="2"/>
      <c r="G83" s="3">
        <f t="shared" si="17"/>
        <v>0</v>
      </c>
      <c r="H83" s="187"/>
      <c r="I83" s="7"/>
      <c r="J83" s="7">
        <v>1.6500000000000001E-2</v>
      </c>
      <c r="K83" s="7">
        <v>7.5999999999999998E-2</v>
      </c>
      <c r="L83" s="7">
        <v>0</v>
      </c>
      <c r="M83" s="11">
        <f t="shared" si="1"/>
        <v>0</v>
      </c>
      <c r="N83" s="11">
        <f t="shared" si="2"/>
        <v>0</v>
      </c>
      <c r="O83" s="11">
        <f t="shared" si="3"/>
        <v>0</v>
      </c>
      <c r="P83" s="11">
        <f t="shared" si="4"/>
        <v>0</v>
      </c>
    </row>
    <row r="84" spans="1:16" ht="15" hidden="1" customHeight="1">
      <c r="A84" s="44"/>
      <c r="B84" s="5">
        <f t="shared" si="18"/>
        <v>45689</v>
      </c>
      <c r="C84" s="1" t="s">
        <v>533</v>
      </c>
      <c r="D84" s="195"/>
      <c r="E84" s="186"/>
      <c r="F84" s="2"/>
      <c r="G84" s="3">
        <f t="shared" si="17"/>
        <v>0</v>
      </c>
      <c r="H84" s="187"/>
      <c r="I84" s="7"/>
      <c r="J84" s="7">
        <v>1.6500000000000001E-2</v>
      </c>
      <c r="K84" s="7">
        <v>7.5999999999999998E-2</v>
      </c>
      <c r="L84" s="7">
        <v>0</v>
      </c>
      <c r="M84" s="11">
        <f t="shared" si="1"/>
        <v>0</v>
      </c>
      <c r="N84" s="11">
        <f t="shared" si="2"/>
        <v>0</v>
      </c>
      <c r="O84" s="11">
        <f t="shared" si="3"/>
        <v>0</v>
      </c>
      <c r="P84" s="11">
        <f t="shared" si="4"/>
        <v>0</v>
      </c>
    </row>
    <row r="85" spans="1:16" ht="15" hidden="1" customHeight="1">
      <c r="A85" s="44"/>
      <c r="B85" s="5">
        <f t="shared" si="18"/>
        <v>45689</v>
      </c>
      <c r="C85" s="1" t="s">
        <v>533</v>
      </c>
      <c r="D85" s="195"/>
      <c r="E85" s="186"/>
      <c r="F85" s="2"/>
      <c r="G85" s="3">
        <f t="shared" si="17"/>
        <v>0</v>
      </c>
      <c r="H85" s="187"/>
      <c r="I85" s="7"/>
      <c r="J85" s="7">
        <v>1.6500000000000001E-2</v>
      </c>
      <c r="K85" s="7">
        <v>7.5999999999999998E-2</v>
      </c>
      <c r="L85" s="7">
        <v>0</v>
      </c>
      <c r="M85" s="11">
        <f t="shared" si="1"/>
        <v>0</v>
      </c>
      <c r="N85" s="11">
        <f t="shared" si="2"/>
        <v>0</v>
      </c>
      <c r="O85" s="11">
        <f t="shared" si="3"/>
        <v>0</v>
      </c>
      <c r="P85" s="11">
        <f t="shared" si="4"/>
        <v>0</v>
      </c>
    </row>
    <row r="86" spans="1:16" ht="15" hidden="1" customHeight="1">
      <c r="A86" s="44"/>
      <c r="B86" s="5">
        <f t="shared" si="18"/>
        <v>45689</v>
      </c>
      <c r="C86" s="1" t="s">
        <v>533</v>
      </c>
      <c r="D86" s="195"/>
      <c r="E86" s="186"/>
      <c r="F86" s="2"/>
      <c r="G86" s="3">
        <f t="shared" si="17"/>
        <v>0</v>
      </c>
      <c r="H86" s="187"/>
      <c r="I86" s="7"/>
      <c r="J86" s="7">
        <v>1.6500000000000001E-2</v>
      </c>
      <c r="K86" s="7">
        <v>7.5999999999999998E-2</v>
      </c>
      <c r="L86" s="7">
        <v>0</v>
      </c>
      <c r="M86" s="11">
        <f t="shared" si="1"/>
        <v>0</v>
      </c>
      <c r="N86" s="11">
        <f t="shared" si="2"/>
        <v>0</v>
      </c>
      <c r="O86" s="11">
        <f t="shared" si="3"/>
        <v>0</v>
      </c>
      <c r="P86" s="11">
        <f t="shared" si="4"/>
        <v>0</v>
      </c>
    </row>
    <row r="87" spans="1:16" ht="15" hidden="1" customHeight="1">
      <c r="A87" s="44"/>
      <c r="B87" s="5">
        <f t="shared" si="18"/>
        <v>45689</v>
      </c>
      <c r="C87" s="1" t="s">
        <v>533</v>
      </c>
      <c r="D87" s="195"/>
      <c r="E87" s="186"/>
      <c r="F87" s="2"/>
      <c r="G87" s="3">
        <f t="shared" si="17"/>
        <v>0</v>
      </c>
      <c r="H87" s="187"/>
      <c r="I87" s="7"/>
      <c r="J87" s="7">
        <v>1.6500000000000001E-2</v>
      </c>
      <c r="K87" s="7">
        <v>7.5999999999999998E-2</v>
      </c>
      <c r="L87" s="7">
        <v>0</v>
      </c>
      <c r="M87" s="11">
        <f t="shared" si="1"/>
        <v>0</v>
      </c>
      <c r="N87" s="11">
        <f t="shared" si="2"/>
        <v>0</v>
      </c>
      <c r="O87" s="11">
        <f t="shared" si="3"/>
        <v>0</v>
      </c>
      <c r="P87" s="11">
        <f t="shared" si="4"/>
        <v>0</v>
      </c>
    </row>
    <row r="88" spans="1:16" ht="15" hidden="1" customHeight="1">
      <c r="A88" s="44"/>
      <c r="B88" s="5">
        <f t="shared" si="18"/>
        <v>45689</v>
      </c>
      <c r="C88" s="1" t="s">
        <v>533</v>
      </c>
      <c r="D88" s="195"/>
      <c r="E88" s="186"/>
      <c r="F88" s="2"/>
      <c r="G88" s="3">
        <f t="shared" si="17"/>
        <v>0</v>
      </c>
      <c r="H88" s="187"/>
      <c r="I88" s="7"/>
      <c r="J88" s="7">
        <v>1.6500000000000001E-2</v>
      </c>
      <c r="K88" s="7">
        <v>7.5999999999999998E-2</v>
      </c>
      <c r="L88" s="7">
        <v>0</v>
      </c>
      <c r="M88" s="11">
        <f t="shared" si="1"/>
        <v>0</v>
      </c>
      <c r="N88" s="11">
        <f t="shared" si="2"/>
        <v>0</v>
      </c>
      <c r="O88" s="11">
        <f t="shared" si="3"/>
        <v>0</v>
      </c>
      <c r="P88" s="11">
        <f t="shared" si="4"/>
        <v>0</v>
      </c>
    </row>
    <row r="89" spans="1:16" ht="15" hidden="1" customHeight="1">
      <c r="A89" s="44"/>
      <c r="B89" s="5">
        <f t="shared" si="18"/>
        <v>45689</v>
      </c>
      <c r="C89" s="1" t="s">
        <v>533</v>
      </c>
      <c r="D89" s="195"/>
      <c r="E89" s="186"/>
      <c r="F89" s="2"/>
      <c r="G89" s="3">
        <f t="shared" si="17"/>
        <v>0</v>
      </c>
      <c r="H89" s="187"/>
      <c r="I89" s="7"/>
      <c r="J89" s="7">
        <v>1.6500000000000001E-2</v>
      </c>
      <c r="K89" s="7">
        <v>7.5999999999999998E-2</v>
      </c>
      <c r="L89" s="7">
        <v>0</v>
      </c>
      <c r="M89" s="11">
        <f t="shared" si="1"/>
        <v>0</v>
      </c>
      <c r="N89" s="11">
        <f t="shared" si="2"/>
        <v>0</v>
      </c>
      <c r="O89" s="11">
        <f t="shared" si="3"/>
        <v>0</v>
      </c>
      <c r="P89" s="11">
        <f t="shared" si="4"/>
        <v>0</v>
      </c>
    </row>
    <row r="90" spans="1:16" ht="15" hidden="1" customHeight="1">
      <c r="A90" s="44"/>
      <c r="B90" s="5">
        <f t="shared" si="18"/>
        <v>45689</v>
      </c>
      <c r="C90" s="1" t="s">
        <v>533</v>
      </c>
      <c r="D90" s="195"/>
      <c r="E90" s="186"/>
      <c r="F90" s="2"/>
      <c r="G90" s="3">
        <f t="shared" si="17"/>
        <v>0</v>
      </c>
      <c r="H90" s="187"/>
      <c r="I90" s="7"/>
      <c r="J90" s="7">
        <v>1.6500000000000001E-2</v>
      </c>
      <c r="K90" s="7">
        <v>7.5999999999999998E-2</v>
      </c>
      <c r="L90" s="7">
        <v>0</v>
      </c>
      <c r="M90" s="11">
        <f t="shared" si="1"/>
        <v>0</v>
      </c>
      <c r="N90" s="11">
        <f t="shared" si="2"/>
        <v>0</v>
      </c>
      <c r="O90" s="11">
        <f t="shared" si="3"/>
        <v>0</v>
      </c>
      <c r="P90" s="11">
        <f t="shared" si="4"/>
        <v>0</v>
      </c>
    </row>
    <row r="91" spans="1:16" ht="15" hidden="1" customHeight="1">
      <c r="A91" s="44"/>
      <c r="B91" s="5">
        <f t="shared" si="18"/>
        <v>45689</v>
      </c>
      <c r="C91" s="1" t="s">
        <v>533</v>
      </c>
      <c r="D91" s="195"/>
      <c r="E91" s="186"/>
      <c r="F91" s="2"/>
      <c r="G91" s="3">
        <f t="shared" si="17"/>
        <v>0</v>
      </c>
      <c r="H91" s="187"/>
      <c r="I91" s="7"/>
      <c r="J91" s="7">
        <v>1.6500000000000001E-2</v>
      </c>
      <c r="K91" s="7">
        <v>7.5999999999999998E-2</v>
      </c>
      <c r="L91" s="7">
        <v>0</v>
      </c>
      <c r="M91" s="11">
        <f t="shared" si="1"/>
        <v>0</v>
      </c>
      <c r="N91" s="11">
        <f t="shared" si="2"/>
        <v>0</v>
      </c>
      <c r="O91" s="11">
        <f t="shared" si="3"/>
        <v>0</v>
      </c>
      <c r="P91" s="11">
        <f t="shared" si="4"/>
        <v>0</v>
      </c>
    </row>
    <row r="92" spans="1:16" ht="15" hidden="1" customHeight="1">
      <c r="A92" s="44"/>
      <c r="B92" s="5">
        <f t="shared" si="18"/>
        <v>45689</v>
      </c>
      <c r="C92" s="1" t="s">
        <v>533</v>
      </c>
      <c r="D92" s="195"/>
      <c r="E92" s="186"/>
      <c r="F92" s="2"/>
      <c r="G92" s="3">
        <f t="shared" si="17"/>
        <v>0</v>
      </c>
      <c r="H92" s="187"/>
      <c r="I92" s="7"/>
      <c r="J92" s="7">
        <v>1.6500000000000001E-2</v>
      </c>
      <c r="K92" s="7">
        <v>7.5999999999999998E-2</v>
      </c>
      <c r="L92" s="7">
        <v>0</v>
      </c>
      <c r="M92" s="11">
        <f t="shared" si="1"/>
        <v>0</v>
      </c>
      <c r="N92" s="11">
        <f t="shared" si="2"/>
        <v>0</v>
      </c>
      <c r="O92" s="11">
        <f t="shared" si="3"/>
        <v>0</v>
      </c>
      <c r="P92" s="11">
        <f t="shared" si="4"/>
        <v>0</v>
      </c>
    </row>
    <row r="93" spans="1:16" ht="15" hidden="1" customHeight="1">
      <c r="A93" s="44"/>
      <c r="B93" s="5">
        <f t="shared" si="18"/>
        <v>45689</v>
      </c>
      <c r="C93" s="1" t="s">
        <v>533</v>
      </c>
      <c r="D93" s="195"/>
      <c r="E93" s="186"/>
      <c r="F93" s="2"/>
      <c r="G93" s="3">
        <f t="shared" si="17"/>
        <v>0</v>
      </c>
      <c r="H93" s="187"/>
      <c r="I93" s="7"/>
      <c r="J93" s="7">
        <v>1.6500000000000001E-2</v>
      </c>
      <c r="K93" s="7">
        <v>7.5999999999999998E-2</v>
      </c>
      <c r="L93" s="7">
        <v>0</v>
      </c>
      <c r="M93" s="11">
        <f t="shared" si="1"/>
        <v>0</v>
      </c>
      <c r="N93" s="11">
        <f t="shared" si="2"/>
        <v>0</v>
      </c>
      <c r="O93" s="11">
        <f t="shared" si="3"/>
        <v>0</v>
      </c>
      <c r="P93" s="11">
        <f t="shared" si="4"/>
        <v>0</v>
      </c>
    </row>
    <row r="94" spans="1:16" ht="15" hidden="1" customHeight="1">
      <c r="A94" s="44"/>
      <c r="B94" s="5">
        <f t="shared" si="18"/>
        <v>45689</v>
      </c>
      <c r="C94" s="1" t="s">
        <v>533</v>
      </c>
      <c r="D94" s="195"/>
      <c r="E94" s="186"/>
      <c r="F94" s="2"/>
      <c r="G94" s="3">
        <f t="shared" si="17"/>
        <v>0</v>
      </c>
      <c r="H94" s="187"/>
      <c r="I94" s="7"/>
      <c r="J94" s="7">
        <v>1.6500000000000001E-2</v>
      </c>
      <c r="K94" s="7">
        <v>7.5999999999999998E-2</v>
      </c>
      <c r="L94" s="7">
        <v>0</v>
      </c>
      <c r="M94" s="11">
        <f t="shared" si="1"/>
        <v>0</v>
      </c>
      <c r="N94" s="11">
        <f t="shared" si="2"/>
        <v>0</v>
      </c>
      <c r="O94" s="11">
        <f t="shared" si="3"/>
        <v>0</v>
      </c>
      <c r="P94" s="11">
        <f t="shared" si="4"/>
        <v>0</v>
      </c>
    </row>
    <row r="95" spans="1:16" ht="15" hidden="1" customHeight="1">
      <c r="A95" s="44"/>
      <c r="B95" s="5">
        <f t="shared" si="18"/>
        <v>45689</v>
      </c>
      <c r="C95" s="1" t="s">
        <v>533</v>
      </c>
      <c r="D95" s="195"/>
      <c r="E95" s="186"/>
      <c r="F95" s="2"/>
      <c r="G95" s="3">
        <f t="shared" si="17"/>
        <v>0</v>
      </c>
      <c r="H95" s="187"/>
      <c r="I95" s="7"/>
      <c r="J95" s="7">
        <v>1.6500000000000001E-2</v>
      </c>
      <c r="K95" s="7">
        <v>7.5999999999999998E-2</v>
      </c>
      <c r="L95" s="7">
        <v>0</v>
      </c>
      <c r="M95" s="11">
        <f t="shared" si="1"/>
        <v>0</v>
      </c>
      <c r="N95" s="11">
        <f t="shared" si="2"/>
        <v>0</v>
      </c>
      <c r="O95" s="11">
        <f t="shared" si="3"/>
        <v>0</v>
      </c>
      <c r="P95" s="11">
        <f t="shared" si="4"/>
        <v>0</v>
      </c>
    </row>
    <row r="96" spans="1:16" ht="15" hidden="1" customHeight="1">
      <c r="A96" s="44"/>
      <c r="B96" s="5">
        <f t="shared" si="18"/>
        <v>45689</v>
      </c>
      <c r="C96" s="1" t="s">
        <v>533</v>
      </c>
      <c r="D96" s="195"/>
      <c r="E96" s="186"/>
      <c r="F96" s="2"/>
      <c r="G96" s="3">
        <f t="shared" si="17"/>
        <v>0</v>
      </c>
      <c r="H96" s="187"/>
      <c r="I96" s="7"/>
      <c r="J96" s="7">
        <v>1.6500000000000001E-2</v>
      </c>
      <c r="K96" s="7">
        <v>7.5999999999999998E-2</v>
      </c>
      <c r="L96" s="7">
        <v>0</v>
      </c>
      <c r="M96" s="11">
        <f t="shared" si="1"/>
        <v>0</v>
      </c>
      <c r="N96" s="11">
        <f t="shared" si="2"/>
        <v>0</v>
      </c>
      <c r="O96" s="11">
        <f t="shared" si="3"/>
        <v>0</v>
      </c>
      <c r="P96" s="11">
        <f t="shared" si="4"/>
        <v>0</v>
      </c>
    </row>
    <row r="97" spans="1:16" ht="15" hidden="1" customHeight="1">
      <c r="A97" s="44"/>
      <c r="B97" s="5">
        <f t="shared" si="18"/>
        <v>45689</v>
      </c>
      <c r="C97" s="1" t="s">
        <v>533</v>
      </c>
      <c r="D97" s="195"/>
      <c r="E97" s="186"/>
      <c r="F97" s="2"/>
      <c r="G97" s="3">
        <f t="shared" si="17"/>
        <v>0</v>
      </c>
      <c r="H97" s="187"/>
      <c r="I97" s="7"/>
      <c r="J97" s="7">
        <v>1.6500000000000001E-2</v>
      </c>
      <c r="K97" s="7">
        <v>7.5999999999999998E-2</v>
      </c>
      <c r="L97" s="7">
        <v>0</v>
      </c>
      <c r="M97" s="11">
        <f t="shared" si="1"/>
        <v>0</v>
      </c>
      <c r="N97" s="11">
        <f t="shared" si="2"/>
        <v>0</v>
      </c>
      <c r="O97" s="11">
        <f t="shared" si="3"/>
        <v>0</v>
      </c>
      <c r="P97" s="11">
        <f t="shared" si="4"/>
        <v>0</v>
      </c>
    </row>
    <row r="98" spans="1:16" ht="15" hidden="1" customHeight="1">
      <c r="A98" s="44"/>
      <c r="B98" s="5">
        <f t="shared" si="18"/>
        <v>45689</v>
      </c>
      <c r="C98" s="1" t="s">
        <v>533</v>
      </c>
      <c r="D98" s="195"/>
      <c r="E98" s="186"/>
      <c r="F98" s="2"/>
      <c r="G98" s="3">
        <f t="shared" si="17"/>
        <v>0</v>
      </c>
      <c r="H98" s="187"/>
      <c r="I98" s="7"/>
      <c r="J98" s="7">
        <v>1.6500000000000001E-2</v>
      </c>
      <c r="K98" s="7">
        <v>7.5999999999999998E-2</v>
      </c>
      <c r="L98" s="7">
        <v>0</v>
      </c>
      <c r="M98" s="11">
        <f t="shared" si="1"/>
        <v>0</v>
      </c>
      <c r="N98" s="11">
        <f t="shared" si="2"/>
        <v>0</v>
      </c>
      <c r="O98" s="11">
        <f t="shared" si="3"/>
        <v>0</v>
      </c>
      <c r="P98" s="11">
        <f t="shared" si="4"/>
        <v>0</v>
      </c>
    </row>
    <row r="99" spans="1:16" ht="15" hidden="1" customHeight="1">
      <c r="A99" s="44"/>
      <c r="B99" s="5">
        <f t="shared" si="18"/>
        <v>45689</v>
      </c>
      <c r="C99" s="1" t="s">
        <v>533</v>
      </c>
      <c r="D99" s="195"/>
      <c r="E99" s="186"/>
      <c r="F99" s="2"/>
      <c r="G99" s="3">
        <f t="shared" si="17"/>
        <v>0</v>
      </c>
      <c r="H99" s="187"/>
      <c r="I99" s="7"/>
      <c r="J99" s="7">
        <v>1.6500000000000001E-2</v>
      </c>
      <c r="K99" s="7">
        <v>7.5999999999999998E-2</v>
      </c>
      <c r="L99" s="7">
        <v>0</v>
      </c>
      <c r="M99" s="11">
        <f t="shared" si="1"/>
        <v>0</v>
      </c>
      <c r="N99" s="11">
        <f t="shared" si="2"/>
        <v>0</v>
      </c>
      <c r="O99" s="11">
        <f t="shared" si="3"/>
        <v>0</v>
      </c>
      <c r="P99" s="11">
        <f t="shared" si="4"/>
        <v>0</v>
      </c>
    </row>
    <row r="100" spans="1:16" ht="15" hidden="1" customHeight="1">
      <c r="A100" s="44"/>
      <c r="B100" s="5">
        <f t="shared" si="18"/>
        <v>45689</v>
      </c>
      <c r="C100" s="1" t="s">
        <v>533</v>
      </c>
      <c r="D100" s="195"/>
      <c r="E100" s="186"/>
      <c r="F100" s="2"/>
      <c r="G100" s="3">
        <f t="shared" si="17"/>
        <v>0</v>
      </c>
      <c r="H100" s="187"/>
      <c r="I100" s="7"/>
      <c r="J100" s="7">
        <v>1.6500000000000001E-2</v>
      </c>
      <c r="K100" s="7">
        <v>7.5999999999999998E-2</v>
      </c>
      <c r="L100" s="7">
        <v>0</v>
      </c>
      <c r="M100" s="11">
        <f t="shared" si="1"/>
        <v>0</v>
      </c>
      <c r="N100" s="11">
        <f t="shared" si="2"/>
        <v>0</v>
      </c>
      <c r="O100" s="11">
        <f t="shared" si="3"/>
        <v>0</v>
      </c>
      <c r="P100" s="11">
        <f t="shared" si="4"/>
        <v>0</v>
      </c>
    </row>
    <row r="101" spans="1:16" ht="15" hidden="1" customHeight="1">
      <c r="A101" s="44"/>
      <c r="B101" s="5">
        <f t="shared" si="18"/>
        <v>45689</v>
      </c>
      <c r="C101" s="1" t="s">
        <v>533</v>
      </c>
      <c r="D101" s="195"/>
      <c r="E101" s="186"/>
      <c r="F101" s="2"/>
      <c r="G101" s="3">
        <f t="shared" si="17"/>
        <v>0</v>
      </c>
      <c r="H101" s="187"/>
      <c r="I101" s="7"/>
      <c r="J101" s="7">
        <v>1.6500000000000001E-2</v>
      </c>
      <c r="K101" s="7">
        <v>7.5999999999999998E-2</v>
      </c>
      <c r="L101" s="7">
        <v>0</v>
      </c>
      <c r="M101" s="11">
        <f t="shared" si="1"/>
        <v>0</v>
      </c>
      <c r="N101" s="11">
        <f t="shared" si="2"/>
        <v>0</v>
      </c>
      <c r="O101" s="11">
        <f t="shared" si="3"/>
        <v>0</v>
      </c>
      <c r="P101" s="11">
        <f t="shared" si="4"/>
        <v>0</v>
      </c>
    </row>
    <row r="102" spans="1:16" ht="15" hidden="1" customHeight="1">
      <c r="A102" s="44"/>
      <c r="B102" s="5">
        <f t="shared" si="18"/>
        <v>45689</v>
      </c>
      <c r="C102" s="1" t="s">
        <v>533</v>
      </c>
      <c r="D102" s="195"/>
      <c r="E102" s="186"/>
      <c r="F102" s="2"/>
      <c r="G102" s="3">
        <f t="shared" si="17"/>
        <v>0</v>
      </c>
      <c r="H102" s="187"/>
      <c r="I102" s="7"/>
      <c r="J102" s="7">
        <v>1.6500000000000001E-2</v>
      </c>
      <c r="K102" s="7">
        <v>7.5999999999999998E-2</v>
      </c>
      <c r="L102" s="7">
        <v>0</v>
      </c>
      <c r="M102" s="11">
        <f t="shared" si="1"/>
        <v>0</v>
      </c>
      <c r="N102" s="11">
        <f t="shared" si="2"/>
        <v>0</v>
      </c>
      <c r="O102" s="11">
        <f t="shared" si="3"/>
        <v>0</v>
      </c>
      <c r="P102" s="11">
        <f t="shared" si="4"/>
        <v>0</v>
      </c>
    </row>
    <row r="103" spans="1:16" ht="15" hidden="1" customHeight="1">
      <c r="A103" s="44"/>
      <c r="B103" s="5">
        <f t="shared" si="18"/>
        <v>45689</v>
      </c>
      <c r="C103" s="1" t="s">
        <v>533</v>
      </c>
      <c r="D103" s="195"/>
      <c r="E103" s="186"/>
      <c r="F103" s="2"/>
      <c r="G103" s="3">
        <f t="shared" si="17"/>
        <v>0</v>
      </c>
      <c r="H103" s="187"/>
      <c r="I103" s="7"/>
      <c r="J103" s="7">
        <v>1.6500000000000001E-2</v>
      </c>
      <c r="K103" s="7">
        <v>7.5999999999999998E-2</v>
      </c>
      <c r="L103" s="7">
        <v>0</v>
      </c>
      <c r="M103" s="11">
        <f t="shared" si="1"/>
        <v>0</v>
      </c>
      <c r="N103" s="11">
        <f t="shared" si="2"/>
        <v>0</v>
      </c>
      <c r="O103" s="11">
        <f t="shared" si="3"/>
        <v>0</v>
      </c>
      <c r="P103" s="11">
        <f t="shared" si="4"/>
        <v>0</v>
      </c>
    </row>
    <row r="104" spans="1:16" ht="15" hidden="1" customHeight="1">
      <c r="A104" s="44"/>
      <c r="B104" s="5">
        <f t="shared" si="18"/>
        <v>45689</v>
      </c>
      <c r="C104" s="1" t="s">
        <v>533</v>
      </c>
      <c r="D104" s="195"/>
      <c r="E104" s="186"/>
      <c r="F104" s="2"/>
      <c r="G104" s="3">
        <f t="shared" si="17"/>
        <v>0</v>
      </c>
      <c r="H104" s="187"/>
      <c r="I104" s="7"/>
      <c r="J104" s="7">
        <v>1.6500000000000001E-2</v>
      </c>
      <c r="K104" s="7">
        <v>7.5999999999999998E-2</v>
      </c>
      <c r="L104" s="7">
        <v>0</v>
      </c>
      <c r="M104" s="11">
        <f t="shared" si="1"/>
        <v>0</v>
      </c>
      <c r="N104" s="11">
        <f t="shared" si="2"/>
        <v>0</v>
      </c>
      <c r="O104" s="11">
        <f t="shared" si="3"/>
        <v>0</v>
      </c>
      <c r="P104" s="11">
        <f t="shared" si="4"/>
        <v>0</v>
      </c>
    </row>
    <row r="105" spans="1:16" ht="15" hidden="1" customHeight="1">
      <c r="A105" s="44"/>
      <c r="B105" s="5">
        <f t="shared" si="18"/>
        <v>45689</v>
      </c>
      <c r="C105" s="1" t="s">
        <v>533</v>
      </c>
      <c r="D105" s="195"/>
      <c r="E105" s="186"/>
      <c r="F105" s="2"/>
      <c r="G105" s="3">
        <f t="shared" si="17"/>
        <v>0</v>
      </c>
      <c r="H105" s="187"/>
      <c r="I105" s="7"/>
      <c r="J105" s="7">
        <v>1.6500000000000001E-2</v>
      </c>
      <c r="K105" s="7">
        <v>7.5999999999999998E-2</v>
      </c>
      <c r="L105" s="7">
        <v>0</v>
      </c>
      <c r="M105" s="11">
        <f t="shared" si="1"/>
        <v>0</v>
      </c>
      <c r="N105" s="11">
        <f t="shared" si="2"/>
        <v>0</v>
      </c>
      <c r="O105" s="11">
        <f t="shared" si="3"/>
        <v>0</v>
      </c>
      <c r="P105" s="11">
        <f t="shared" si="4"/>
        <v>0</v>
      </c>
    </row>
    <row r="106" spans="1:16" ht="15" hidden="1" customHeight="1">
      <c r="A106" s="44"/>
      <c r="B106" s="5">
        <f t="shared" si="18"/>
        <v>45689</v>
      </c>
      <c r="C106" s="1" t="s">
        <v>533</v>
      </c>
      <c r="D106" s="195"/>
      <c r="E106" s="186"/>
      <c r="F106" s="2"/>
      <c r="G106" s="3">
        <f>F106-SUM(M106:P106)</f>
        <v>0</v>
      </c>
      <c r="H106" s="187"/>
      <c r="I106" s="7"/>
      <c r="J106" s="7">
        <v>1.6500000000000001E-2</v>
      </c>
      <c r="K106" s="7">
        <v>7.5999999999999998E-2</v>
      </c>
      <c r="L106" s="7">
        <v>0</v>
      </c>
      <c r="M106" s="11">
        <f>+I106*F106</f>
        <v>0</v>
      </c>
      <c r="N106" s="11">
        <f>J106*(F106-M106)</f>
        <v>0</v>
      </c>
      <c r="O106" s="11">
        <f>K106*(F106-M106)</f>
        <v>0</v>
      </c>
      <c r="P106" s="11">
        <f>L106*(F106)</f>
        <v>0</v>
      </c>
    </row>
    <row r="107" spans="1:16" ht="15" hidden="1" customHeight="1">
      <c r="A107" s="44"/>
      <c r="B107" s="5">
        <f t="shared" si="18"/>
        <v>45689</v>
      </c>
      <c r="C107" s="1" t="s">
        <v>533</v>
      </c>
      <c r="D107" s="195"/>
      <c r="E107" s="186"/>
      <c r="F107" s="2"/>
      <c r="G107" s="3">
        <f>F107-SUM(M107:P107)</f>
        <v>0</v>
      </c>
      <c r="H107" s="187"/>
      <c r="I107" s="7"/>
      <c r="J107" s="7">
        <v>1.6500000000000001E-2</v>
      </c>
      <c r="K107" s="7">
        <v>7.5999999999999998E-2</v>
      </c>
      <c r="L107" s="7">
        <v>0</v>
      </c>
      <c r="M107" s="11">
        <f>+I107*F107</f>
        <v>0</v>
      </c>
      <c r="N107" s="11">
        <f>J107*(F107-M107)</f>
        <v>0</v>
      </c>
      <c r="O107" s="11">
        <f>K107*(F107-M107)</f>
        <v>0</v>
      </c>
      <c r="P107" s="11">
        <f>L107*(F107)</f>
        <v>0</v>
      </c>
    </row>
    <row r="108" spans="1:16" ht="15" hidden="1" customHeight="1">
      <c r="A108" s="44"/>
      <c r="B108" s="5">
        <f t="shared" si="18"/>
        <v>45689</v>
      </c>
      <c r="C108" s="1" t="s">
        <v>533</v>
      </c>
      <c r="D108" s="195"/>
      <c r="E108" s="186"/>
      <c r="F108" s="2"/>
      <c r="G108" s="3">
        <f t="shared" si="17"/>
        <v>0</v>
      </c>
      <c r="H108" s="187"/>
      <c r="I108" s="7"/>
      <c r="J108" s="7">
        <v>1.6500000000000001E-2</v>
      </c>
      <c r="K108" s="7">
        <v>7.5999999999999998E-2</v>
      </c>
      <c r="L108" s="7">
        <v>0</v>
      </c>
      <c r="M108" s="11">
        <f t="shared" si="1"/>
        <v>0</v>
      </c>
      <c r="N108" s="11">
        <f t="shared" si="2"/>
        <v>0</v>
      </c>
      <c r="O108" s="11">
        <f t="shared" si="3"/>
        <v>0</v>
      </c>
      <c r="P108" s="11">
        <f t="shared" si="4"/>
        <v>0</v>
      </c>
    </row>
    <row r="109" spans="1:16" ht="15" hidden="1" customHeight="1">
      <c r="A109" s="44"/>
      <c r="B109" s="5">
        <f t="shared" si="18"/>
        <v>45689</v>
      </c>
      <c r="C109" s="1" t="s">
        <v>533</v>
      </c>
      <c r="D109" s="195"/>
      <c r="E109" s="186"/>
      <c r="F109" s="2"/>
      <c r="G109" s="3">
        <f t="shared" si="17"/>
        <v>0</v>
      </c>
      <c r="H109" s="187"/>
      <c r="I109" s="7"/>
      <c r="J109" s="7">
        <v>1.6500000000000001E-2</v>
      </c>
      <c r="K109" s="7">
        <v>7.5999999999999998E-2</v>
      </c>
      <c r="L109" s="7">
        <v>0</v>
      </c>
      <c r="M109" s="11">
        <f t="shared" si="1"/>
        <v>0</v>
      </c>
      <c r="N109" s="11">
        <f t="shared" si="2"/>
        <v>0</v>
      </c>
      <c r="O109" s="11">
        <f t="shared" si="3"/>
        <v>0</v>
      </c>
      <c r="P109" s="11">
        <f t="shared" si="4"/>
        <v>0</v>
      </c>
    </row>
    <row r="110" spans="1:16" ht="15" hidden="1" customHeight="1">
      <c r="A110" s="44"/>
      <c r="B110" s="5">
        <f t="shared" si="18"/>
        <v>45689</v>
      </c>
      <c r="C110" s="1" t="s">
        <v>533</v>
      </c>
      <c r="D110" s="195"/>
      <c r="E110" s="186"/>
      <c r="F110" s="2"/>
      <c r="G110" s="3">
        <f t="shared" si="17"/>
        <v>0</v>
      </c>
      <c r="H110" s="187"/>
      <c r="I110" s="7"/>
      <c r="J110" s="7">
        <v>1.6500000000000001E-2</v>
      </c>
      <c r="K110" s="7">
        <v>7.5999999999999998E-2</v>
      </c>
      <c r="L110" s="7">
        <v>0</v>
      </c>
      <c r="M110" s="11">
        <f t="shared" si="1"/>
        <v>0</v>
      </c>
      <c r="N110" s="11">
        <f t="shared" si="2"/>
        <v>0</v>
      </c>
      <c r="O110" s="11">
        <f t="shared" si="3"/>
        <v>0</v>
      </c>
      <c r="P110" s="11">
        <f t="shared" si="4"/>
        <v>0</v>
      </c>
    </row>
    <row r="111" spans="1:16" ht="15" hidden="1" customHeight="1">
      <c r="A111" s="44"/>
      <c r="B111" s="5">
        <f t="shared" si="18"/>
        <v>45689</v>
      </c>
      <c r="C111" s="1" t="s">
        <v>533</v>
      </c>
      <c r="D111" s="195"/>
      <c r="E111" s="186"/>
      <c r="F111" s="2"/>
      <c r="G111" s="3">
        <f t="shared" si="17"/>
        <v>0</v>
      </c>
      <c r="H111" s="187"/>
      <c r="I111" s="7"/>
      <c r="J111" s="7">
        <v>1.6500000000000001E-2</v>
      </c>
      <c r="K111" s="7">
        <v>7.5999999999999998E-2</v>
      </c>
      <c r="L111" s="7">
        <v>0</v>
      </c>
      <c r="M111" s="11">
        <f t="shared" si="1"/>
        <v>0</v>
      </c>
      <c r="N111" s="11">
        <f t="shared" si="2"/>
        <v>0</v>
      </c>
      <c r="O111" s="11">
        <f t="shared" si="3"/>
        <v>0</v>
      </c>
      <c r="P111" s="11">
        <f t="shared" si="4"/>
        <v>0</v>
      </c>
    </row>
    <row r="112" spans="1:16" ht="15" hidden="1" customHeight="1">
      <c r="A112" s="44"/>
      <c r="B112" s="5">
        <f t="shared" si="18"/>
        <v>45689</v>
      </c>
      <c r="C112" s="1" t="s">
        <v>533</v>
      </c>
      <c r="D112" s="195"/>
      <c r="E112" s="186"/>
      <c r="F112" s="2"/>
      <c r="G112" s="3">
        <f t="shared" si="17"/>
        <v>0</v>
      </c>
      <c r="H112" s="187"/>
      <c r="I112" s="7"/>
      <c r="J112" s="7">
        <v>1.6500000000000001E-2</v>
      </c>
      <c r="K112" s="7">
        <v>7.5999999999999998E-2</v>
      </c>
      <c r="L112" s="7">
        <v>0</v>
      </c>
      <c r="M112" s="11">
        <f t="shared" si="1"/>
        <v>0</v>
      </c>
      <c r="N112" s="11">
        <f t="shared" si="2"/>
        <v>0</v>
      </c>
      <c r="O112" s="11">
        <f t="shared" si="3"/>
        <v>0</v>
      </c>
      <c r="P112" s="11">
        <f t="shared" si="4"/>
        <v>0</v>
      </c>
    </row>
    <row r="113" spans="1:16" ht="15" hidden="1" customHeight="1">
      <c r="A113" s="44"/>
      <c r="B113" s="5">
        <f t="shared" si="18"/>
        <v>45689</v>
      </c>
      <c r="C113" s="1" t="s">
        <v>533</v>
      </c>
      <c r="D113" s="195"/>
      <c r="E113" s="186"/>
      <c r="F113" s="2"/>
      <c r="G113" s="3">
        <f t="shared" si="17"/>
        <v>0</v>
      </c>
      <c r="H113" s="187"/>
      <c r="I113" s="7"/>
      <c r="J113" s="7">
        <v>1.6500000000000001E-2</v>
      </c>
      <c r="K113" s="7">
        <v>7.5999999999999998E-2</v>
      </c>
      <c r="L113" s="7">
        <v>0</v>
      </c>
      <c r="M113" s="11">
        <f t="shared" si="1"/>
        <v>0</v>
      </c>
      <c r="N113" s="11">
        <f t="shared" si="2"/>
        <v>0</v>
      </c>
      <c r="O113" s="11">
        <f t="shared" si="3"/>
        <v>0</v>
      </c>
      <c r="P113" s="11">
        <f t="shared" si="4"/>
        <v>0</v>
      </c>
    </row>
    <row r="114" spans="1:16" ht="15" hidden="1" customHeight="1">
      <c r="A114" s="44"/>
      <c r="B114" s="5">
        <f t="shared" ref="B114:B177" si="19">B113</f>
        <v>45689</v>
      </c>
      <c r="C114" s="1" t="s">
        <v>533</v>
      </c>
      <c r="D114" s="195"/>
      <c r="E114" s="186"/>
      <c r="F114" s="2"/>
      <c r="G114" s="3">
        <f t="shared" si="17"/>
        <v>0</v>
      </c>
      <c r="H114" s="187"/>
      <c r="I114" s="7"/>
      <c r="J114" s="7">
        <v>1.6500000000000001E-2</v>
      </c>
      <c r="K114" s="7">
        <v>7.5999999999999998E-2</v>
      </c>
      <c r="L114" s="7">
        <v>0</v>
      </c>
      <c r="M114" s="11">
        <f t="shared" si="1"/>
        <v>0</v>
      </c>
      <c r="N114" s="11">
        <f t="shared" si="2"/>
        <v>0</v>
      </c>
      <c r="O114" s="11">
        <f t="shared" si="3"/>
        <v>0</v>
      </c>
      <c r="P114" s="11">
        <f t="shared" si="4"/>
        <v>0</v>
      </c>
    </row>
    <row r="115" spans="1:16" ht="15" hidden="1" customHeight="1">
      <c r="A115" s="44"/>
      <c r="B115" s="5">
        <f t="shared" si="19"/>
        <v>45689</v>
      </c>
      <c r="C115" s="1" t="s">
        <v>533</v>
      </c>
      <c r="D115" s="195"/>
      <c r="E115" s="186"/>
      <c r="F115" s="2"/>
      <c r="G115" s="3">
        <f t="shared" si="17"/>
        <v>0</v>
      </c>
      <c r="H115" s="187"/>
      <c r="I115" s="7"/>
      <c r="J115" s="7">
        <v>1.6500000000000001E-2</v>
      </c>
      <c r="K115" s="7">
        <v>7.5999999999999998E-2</v>
      </c>
      <c r="L115" s="7">
        <v>0</v>
      </c>
      <c r="M115" s="11">
        <f t="shared" si="1"/>
        <v>0</v>
      </c>
      <c r="N115" s="11">
        <f t="shared" si="2"/>
        <v>0</v>
      </c>
      <c r="O115" s="11">
        <f t="shared" si="3"/>
        <v>0</v>
      </c>
      <c r="P115" s="11">
        <f t="shared" si="4"/>
        <v>0</v>
      </c>
    </row>
    <row r="116" spans="1:16" ht="15" hidden="1" customHeight="1">
      <c r="A116" s="44"/>
      <c r="B116" s="5">
        <f t="shared" si="19"/>
        <v>45689</v>
      </c>
      <c r="C116" s="1" t="s">
        <v>533</v>
      </c>
      <c r="D116" s="195"/>
      <c r="E116" s="186"/>
      <c r="F116" s="2"/>
      <c r="G116" s="3">
        <f t="shared" si="17"/>
        <v>0</v>
      </c>
      <c r="H116" s="187"/>
      <c r="I116" s="7"/>
      <c r="J116" s="7">
        <v>1.6500000000000001E-2</v>
      </c>
      <c r="K116" s="7">
        <v>7.5999999999999998E-2</v>
      </c>
      <c r="L116" s="7">
        <v>0</v>
      </c>
      <c r="M116" s="11">
        <f t="shared" si="1"/>
        <v>0</v>
      </c>
      <c r="N116" s="11">
        <f t="shared" si="2"/>
        <v>0</v>
      </c>
      <c r="O116" s="11">
        <f t="shared" si="3"/>
        <v>0</v>
      </c>
      <c r="P116" s="11">
        <f t="shared" si="4"/>
        <v>0</v>
      </c>
    </row>
    <row r="117" spans="1:16" ht="15" hidden="1" customHeight="1">
      <c r="A117" s="44"/>
      <c r="B117" s="5">
        <f t="shared" si="19"/>
        <v>45689</v>
      </c>
      <c r="C117" s="1" t="s">
        <v>533</v>
      </c>
      <c r="D117" s="195"/>
      <c r="E117" s="186"/>
      <c r="F117" s="2"/>
      <c r="G117" s="3">
        <f t="shared" si="17"/>
        <v>0</v>
      </c>
      <c r="H117" s="187"/>
      <c r="I117" s="7"/>
      <c r="J117" s="7">
        <v>1.6500000000000001E-2</v>
      </c>
      <c r="K117" s="7">
        <v>7.5999999999999998E-2</v>
      </c>
      <c r="L117" s="7">
        <v>0</v>
      </c>
      <c r="M117" s="11">
        <f t="shared" si="1"/>
        <v>0</v>
      </c>
      <c r="N117" s="11">
        <f t="shared" si="2"/>
        <v>0</v>
      </c>
      <c r="O117" s="11">
        <f t="shared" si="3"/>
        <v>0</v>
      </c>
      <c r="P117" s="11">
        <f t="shared" si="4"/>
        <v>0</v>
      </c>
    </row>
    <row r="118" spans="1:16">
      <c r="A118" s="44"/>
      <c r="B118" s="5">
        <f t="shared" si="19"/>
        <v>45689</v>
      </c>
      <c r="C118" s="1" t="s">
        <v>690</v>
      </c>
      <c r="D118" s="195" t="s">
        <v>858</v>
      </c>
      <c r="E118" s="118">
        <v>273</v>
      </c>
      <c r="F118" s="2">
        <v>757.6</v>
      </c>
      <c r="G118" s="3">
        <f t="shared" si="17"/>
        <v>605.01936000000001</v>
      </c>
      <c r="H118" s="202">
        <f t="shared" ref="H118:H120" si="20">+IF(G118=0,0,G118/E118)</f>
        <v>2.2161881318681318</v>
      </c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1"/>
        <v>90.912000000000006</v>
      </c>
      <c r="N118" s="11">
        <f t="shared" si="2"/>
        <v>11.000351999999999</v>
      </c>
      <c r="O118" s="11">
        <f t="shared" si="3"/>
        <v>50.668287999999997</v>
      </c>
      <c r="P118" s="11">
        <f t="shared" si="4"/>
        <v>0</v>
      </c>
    </row>
    <row r="119" spans="1:16">
      <c r="A119" s="44"/>
      <c r="B119" s="5">
        <f t="shared" si="19"/>
        <v>45689</v>
      </c>
      <c r="C119" s="1" t="s">
        <v>690</v>
      </c>
      <c r="D119" s="195" t="s">
        <v>859</v>
      </c>
      <c r="E119" s="118">
        <v>63</v>
      </c>
      <c r="F119" s="2">
        <v>175.11</v>
      </c>
      <c r="G119" s="3">
        <f t="shared" si="17"/>
        <v>139.84284600000001</v>
      </c>
      <c r="H119" s="202">
        <f t="shared" si="20"/>
        <v>2.2197277142857144</v>
      </c>
      <c r="I119" s="7">
        <v>0.12</v>
      </c>
      <c r="J119" s="7">
        <v>1.6500000000000001E-2</v>
      </c>
      <c r="K119" s="7">
        <v>7.5999999999999998E-2</v>
      </c>
      <c r="L119" s="7">
        <v>0</v>
      </c>
      <c r="M119" s="11">
        <f t="shared" si="1"/>
        <v>21.013200000000001</v>
      </c>
      <c r="N119" s="11">
        <f t="shared" si="2"/>
        <v>2.5425972000000003</v>
      </c>
      <c r="O119" s="11">
        <f t="shared" si="3"/>
        <v>11.711356799999999</v>
      </c>
      <c r="P119" s="11">
        <f t="shared" si="4"/>
        <v>0</v>
      </c>
    </row>
    <row r="120" spans="1:16">
      <c r="A120" s="44"/>
      <c r="B120" s="5">
        <f t="shared" si="19"/>
        <v>45689</v>
      </c>
      <c r="C120" s="1" t="s">
        <v>689</v>
      </c>
      <c r="D120" s="195" t="s">
        <v>860</v>
      </c>
      <c r="E120" s="118">
        <v>393</v>
      </c>
      <c r="F120" s="2">
        <v>1181.08</v>
      </c>
      <c r="G120" s="3">
        <f t="shared" si="17"/>
        <v>943.21048799999994</v>
      </c>
      <c r="H120" s="202">
        <f t="shared" si="20"/>
        <v>2.4000266870229008</v>
      </c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1"/>
        <v>141.72959999999998</v>
      </c>
      <c r="N120" s="11">
        <f t="shared" si="2"/>
        <v>17.149281600000002</v>
      </c>
      <c r="O120" s="11">
        <f t="shared" si="3"/>
        <v>78.990630400000001</v>
      </c>
      <c r="P120" s="11">
        <f t="shared" si="4"/>
        <v>0</v>
      </c>
    </row>
    <row r="121" spans="1:16" ht="15" customHeight="1">
      <c r="A121" s="44"/>
      <c r="B121" s="5">
        <f t="shared" si="19"/>
        <v>45689</v>
      </c>
      <c r="C121" s="1" t="s">
        <v>533</v>
      </c>
      <c r="D121" s="195">
        <v>5382</v>
      </c>
      <c r="E121" s="186"/>
      <c r="F121" s="2">
        <v>172129.05</v>
      </c>
      <c r="G121" s="3">
        <f t="shared" si="17"/>
        <v>137462.25933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1"/>
        <v>20655.485999999997</v>
      </c>
      <c r="N121" s="11">
        <f t="shared" si="2"/>
        <v>2499.3138059999997</v>
      </c>
      <c r="O121" s="11">
        <f t="shared" si="3"/>
        <v>11511.990863999998</v>
      </c>
      <c r="P121" s="11">
        <f t="shared" si="4"/>
        <v>0</v>
      </c>
    </row>
    <row r="122" spans="1:16" ht="15" customHeight="1">
      <c r="A122" s="44"/>
      <c r="B122" s="5">
        <f t="shared" si="19"/>
        <v>45689</v>
      </c>
      <c r="C122" s="1" t="s">
        <v>533</v>
      </c>
      <c r="D122" s="195">
        <v>5383</v>
      </c>
      <c r="E122" s="186"/>
      <c r="F122" s="2">
        <v>3365.94</v>
      </c>
      <c r="G122" s="3">
        <f>F122-SUM(M122:P122)</f>
        <v>2688.0396840000003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1"/>
        <v>403.9128</v>
      </c>
      <c r="N122" s="11">
        <f t="shared" si="2"/>
        <v>48.873448800000006</v>
      </c>
      <c r="O122" s="11">
        <f t="shared" si="3"/>
        <v>225.11406719999999</v>
      </c>
      <c r="P122" s="11">
        <f t="shared" si="4"/>
        <v>0</v>
      </c>
    </row>
    <row r="123" spans="1:16" ht="15" customHeight="1">
      <c r="A123" s="44"/>
      <c r="B123" s="5">
        <f t="shared" si="19"/>
        <v>45689</v>
      </c>
      <c r="C123" s="1" t="s">
        <v>533</v>
      </c>
      <c r="D123" s="195">
        <v>5380</v>
      </c>
      <c r="E123" s="186"/>
      <c r="F123" s="2">
        <v>390031.07</v>
      </c>
      <c r="G123" s="3">
        <f t="shared" si="17"/>
        <v>311478.81250200002</v>
      </c>
      <c r="H123" s="187"/>
      <c r="I123" s="7">
        <v>0.12</v>
      </c>
      <c r="J123" s="7">
        <v>1.6500000000000001E-2</v>
      </c>
      <c r="K123" s="7">
        <v>7.5999999999999998E-2</v>
      </c>
      <c r="L123" s="7">
        <v>0</v>
      </c>
      <c r="M123" s="11">
        <f t="shared" si="1"/>
        <v>46803.7284</v>
      </c>
      <c r="N123" s="11">
        <f t="shared" si="2"/>
        <v>5663.2511364000002</v>
      </c>
      <c r="O123" s="11">
        <f t="shared" si="3"/>
        <v>26085.277961599997</v>
      </c>
      <c r="P123" s="11">
        <f t="shared" si="4"/>
        <v>0</v>
      </c>
    </row>
    <row r="124" spans="1:16" ht="15" customHeight="1">
      <c r="A124" s="44"/>
      <c r="B124" s="5">
        <f t="shared" si="19"/>
        <v>45689</v>
      </c>
      <c r="C124" s="1" t="s">
        <v>533</v>
      </c>
      <c r="D124" s="195">
        <v>5384</v>
      </c>
      <c r="E124" s="186"/>
      <c r="F124" s="2">
        <v>8112.02</v>
      </c>
      <c r="G124" s="3">
        <f t="shared" si="17"/>
        <v>6478.259172</v>
      </c>
      <c r="H124" s="187"/>
      <c r="I124" s="7">
        <v>0.12</v>
      </c>
      <c r="J124" s="7">
        <v>1.6500000000000001E-2</v>
      </c>
      <c r="K124" s="7">
        <v>7.5999999999999998E-2</v>
      </c>
      <c r="L124" s="7">
        <v>0</v>
      </c>
      <c r="M124" s="11">
        <f t="shared" si="1"/>
        <v>973.44240000000002</v>
      </c>
      <c r="N124" s="11">
        <f t="shared" si="2"/>
        <v>117.78653040000002</v>
      </c>
      <c r="O124" s="11">
        <f t="shared" si="3"/>
        <v>542.53189759999998</v>
      </c>
      <c r="P124" s="11">
        <f t="shared" si="4"/>
        <v>0</v>
      </c>
    </row>
    <row r="125" spans="1:16" ht="15" customHeight="1">
      <c r="A125" s="44"/>
      <c r="B125" s="5">
        <f t="shared" si="19"/>
        <v>45689</v>
      </c>
      <c r="C125" s="1" t="s">
        <v>533</v>
      </c>
      <c r="D125" s="195">
        <v>5381</v>
      </c>
      <c r="E125" s="186"/>
      <c r="F125" s="2">
        <v>168657.72</v>
      </c>
      <c r="G125" s="3">
        <f t="shared" si="17"/>
        <v>134690.055192</v>
      </c>
      <c r="H125" s="187"/>
      <c r="I125" s="7">
        <v>0.12</v>
      </c>
      <c r="J125" s="7">
        <v>1.6500000000000001E-2</v>
      </c>
      <c r="K125" s="7">
        <v>7.5999999999999998E-2</v>
      </c>
      <c r="L125" s="7">
        <v>0</v>
      </c>
      <c r="M125" s="11">
        <f t="shared" si="1"/>
        <v>20238.9264</v>
      </c>
      <c r="N125" s="11">
        <f t="shared" si="2"/>
        <v>2448.9100944000002</v>
      </c>
      <c r="O125" s="11">
        <f t="shared" si="3"/>
        <v>11279.828313600001</v>
      </c>
      <c r="P125" s="11">
        <f t="shared" si="4"/>
        <v>0</v>
      </c>
    </row>
    <row r="126" spans="1:16" ht="15" customHeight="1">
      <c r="A126" s="44"/>
      <c r="B126" s="5">
        <f t="shared" si="19"/>
        <v>45689</v>
      </c>
      <c r="C126" s="1" t="s">
        <v>533</v>
      </c>
      <c r="D126" s="195">
        <v>5385</v>
      </c>
      <c r="E126" s="186"/>
      <c r="F126" s="2">
        <v>1628.9</v>
      </c>
      <c r="G126" s="3">
        <f t="shared" si="17"/>
        <v>1300.8395399999999</v>
      </c>
      <c r="H126" s="187"/>
      <c r="I126" s="7">
        <v>0.12</v>
      </c>
      <c r="J126" s="7">
        <v>1.6500000000000001E-2</v>
      </c>
      <c r="K126" s="7">
        <v>7.5999999999999998E-2</v>
      </c>
      <c r="L126" s="7">
        <v>0</v>
      </c>
      <c r="M126" s="11">
        <f t="shared" si="1"/>
        <v>195.46800000000002</v>
      </c>
      <c r="N126" s="11">
        <f t="shared" si="2"/>
        <v>23.651628000000002</v>
      </c>
      <c r="O126" s="11">
        <f t="shared" si="3"/>
        <v>108.940832</v>
      </c>
      <c r="P126" s="11">
        <f t="shared" si="4"/>
        <v>0</v>
      </c>
    </row>
    <row r="127" spans="1:16" ht="15" customHeight="1">
      <c r="A127" s="44"/>
      <c r="B127" s="5">
        <f t="shared" si="19"/>
        <v>45689</v>
      </c>
      <c r="C127" s="1" t="s">
        <v>533</v>
      </c>
      <c r="D127" s="195">
        <v>5386</v>
      </c>
      <c r="E127" s="186"/>
      <c r="F127" s="2">
        <v>196447.06</v>
      </c>
      <c r="G127" s="3">
        <f t="shared" si="17"/>
        <v>156882.62211599998</v>
      </c>
      <c r="H127" s="187"/>
      <c r="I127" s="7">
        <v>0.12</v>
      </c>
      <c r="J127" s="7">
        <v>1.6500000000000001E-2</v>
      </c>
      <c r="K127" s="7">
        <v>7.5999999999999998E-2</v>
      </c>
      <c r="L127" s="7">
        <v>0</v>
      </c>
      <c r="M127" s="11">
        <f t="shared" si="1"/>
        <v>23573.647199999999</v>
      </c>
      <c r="N127" s="11">
        <f t="shared" si="2"/>
        <v>2852.4113112</v>
      </c>
      <c r="O127" s="11">
        <f t="shared" si="3"/>
        <v>13138.379372799998</v>
      </c>
      <c r="P127" s="11">
        <f t="shared" si="4"/>
        <v>0</v>
      </c>
    </row>
    <row r="128" spans="1:16" ht="15" customHeight="1">
      <c r="A128" s="44"/>
      <c r="B128" s="5">
        <f t="shared" si="19"/>
        <v>45689</v>
      </c>
      <c r="C128" s="1" t="s">
        <v>533</v>
      </c>
      <c r="D128" s="195">
        <v>5388</v>
      </c>
      <c r="E128" s="186"/>
      <c r="F128" s="2">
        <v>2030.45</v>
      </c>
      <c r="G128" s="3">
        <f t="shared" si="17"/>
        <v>1621.51737</v>
      </c>
      <c r="H128" s="187"/>
      <c r="I128" s="7">
        <v>0.12</v>
      </c>
      <c r="J128" s="7">
        <v>1.6500000000000001E-2</v>
      </c>
      <c r="K128" s="7">
        <v>7.5999999999999998E-2</v>
      </c>
      <c r="L128" s="7">
        <v>0</v>
      </c>
      <c r="M128" s="11">
        <f t="shared" si="1"/>
        <v>243.654</v>
      </c>
      <c r="N128" s="11">
        <f t="shared" si="2"/>
        <v>29.482134000000002</v>
      </c>
      <c r="O128" s="11">
        <f t="shared" si="3"/>
        <v>135.79649599999999</v>
      </c>
      <c r="P128" s="11">
        <f t="shared" si="4"/>
        <v>0</v>
      </c>
    </row>
    <row r="129" spans="1:16" ht="15" customHeight="1">
      <c r="A129" s="44"/>
      <c r="B129" s="5">
        <f t="shared" si="19"/>
        <v>45689</v>
      </c>
      <c r="C129" s="1" t="s">
        <v>533</v>
      </c>
      <c r="D129" s="195">
        <v>5394</v>
      </c>
      <c r="E129" s="186"/>
      <c r="F129" s="2">
        <v>79164.67</v>
      </c>
      <c r="G129" s="3">
        <f t="shared" si="17"/>
        <v>63220.905461999995</v>
      </c>
      <c r="H129" s="187"/>
      <c r="I129" s="7">
        <v>0.12</v>
      </c>
      <c r="J129" s="7">
        <v>1.6500000000000001E-2</v>
      </c>
      <c r="K129" s="7">
        <v>7.5999999999999998E-2</v>
      </c>
      <c r="L129" s="7">
        <v>0</v>
      </c>
      <c r="M129" s="11">
        <f t="shared" si="1"/>
        <v>9499.7603999999992</v>
      </c>
      <c r="N129" s="11">
        <f t="shared" si="2"/>
        <v>1149.4710084000001</v>
      </c>
      <c r="O129" s="11">
        <f t="shared" si="3"/>
        <v>5294.5331295999995</v>
      </c>
      <c r="P129" s="11">
        <f t="shared" si="4"/>
        <v>0</v>
      </c>
    </row>
    <row r="130" spans="1:16" ht="15" customHeight="1">
      <c r="A130" s="44"/>
      <c r="B130" s="5">
        <f t="shared" si="19"/>
        <v>45689</v>
      </c>
      <c r="C130" s="1" t="s">
        <v>533</v>
      </c>
      <c r="D130" s="195">
        <v>5395</v>
      </c>
      <c r="E130" s="186"/>
      <c r="F130" s="2">
        <v>741.99</v>
      </c>
      <c r="G130" s="3">
        <f t="shared" si="17"/>
        <v>592.55321400000003</v>
      </c>
      <c r="H130" s="187"/>
      <c r="I130" s="7">
        <v>0.12</v>
      </c>
      <c r="J130" s="7">
        <v>1.6500000000000001E-2</v>
      </c>
      <c r="K130" s="7">
        <v>7.5999999999999998E-2</v>
      </c>
      <c r="L130" s="7">
        <v>0</v>
      </c>
      <c r="M130" s="11">
        <f t="shared" si="1"/>
        <v>89.038799999999995</v>
      </c>
      <c r="N130" s="11">
        <f t="shared" si="2"/>
        <v>10.773694799999999</v>
      </c>
      <c r="O130" s="11">
        <f t="shared" si="3"/>
        <v>49.624291199999995</v>
      </c>
      <c r="P130" s="11">
        <f t="shared" si="4"/>
        <v>0</v>
      </c>
    </row>
    <row r="131" spans="1:16" ht="15" customHeight="1">
      <c r="A131" s="44"/>
      <c r="B131" s="5">
        <f t="shared" si="19"/>
        <v>45689</v>
      </c>
      <c r="C131" s="1" t="s">
        <v>533</v>
      </c>
      <c r="D131" s="195">
        <v>5396</v>
      </c>
      <c r="E131" s="186"/>
      <c r="F131" s="2">
        <v>44543.53</v>
      </c>
      <c r="G131" s="3">
        <f t="shared" si="17"/>
        <v>35572.463058000001</v>
      </c>
      <c r="H131" s="187"/>
      <c r="I131" s="7">
        <v>0.12</v>
      </c>
      <c r="J131" s="7">
        <v>1.6500000000000001E-2</v>
      </c>
      <c r="K131" s="7">
        <v>7.5999999999999998E-2</v>
      </c>
      <c r="L131" s="7">
        <v>0</v>
      </c>
      <c r="M131" s="11">
        <f t="shared" si="1"/>
        <v>5345.2235999999994</v>
      </c>
      <c r="N131" s="11">
        <f t="shared" si="2"/>
        <v>646.77205560000004</v>
      </c>
      <c r="O131" s="11">
        <f t="shared" si="3"/>
        <v>2979.0712864000002</v>
      </c>
      <c r="P131" s="11">
        <f t="shared" si="4"/>
        <v>0</v>
      </c>
    </row>
    <row r="132" spans="1:16" ht="15" customHeight="1">
      <c r="A132" s="44"/>
      <c r="B132" s="5">
        <f t="shared" si="19"/>
        <v>45689</v>
      </c>
      <c r="C132" s="1" t="s">
        <v>533</v>
      </c>
      <c r="D132" s="195">
        <v>5397</v>
      </c>
      <c r="E132" s="186"/>
      <c r="F132" s="2">
        <v>431.11</v>
      </c>
      <c r="G132" s="3">
        <f t="shared" si="17"/>
        <v>344.284446</v>
      </c>
      <c r="H132" s="187"/>
      <c r="I132" s="7">
        <v>0.12</v>
      </c>
      <c r="J132" s="7">
        <v>1.6500000000000001E-2</v>
      </c>
      <c r="K132" s="7">
        <v>7.5999999999999998E-2</v>
      </c>
      <c r="L132" s="7">
        <v>0</v>
      </c>
      <c r="M132" s="11">
        <f t="shared" si="1"/>
        <v>51.733199999999997</v>
      </c>
      <c r="N132" s="11">
        <f t="shared" si="2"/>
        <v>6.2597172000000008</v>
      </c>
      <c r="O132" s="11">
        <f t="shared" si="3"/>
        <v>28.8326368</v>
      </c>
      <c r="P132" s="11">
        <f t="shared" si="4"/>
        <v>0</v>
      </c>
    </row>
    <row r="133" spans="1:16" ht="15" customHeight="1">
      <c r="A133" s="44"/>
      <c r="B133" s="5">
        <f t="shared" si="19"/>
        <v>45689</v>
      </c>
      <c r="C133" s="1" t="s">
        <v>533</v>
      </c>
      <c r="D133" s="195">
        <v>5398</v>
      </c>
      <c r="E133" s="186"/>
      <c r="F133" s="2">
        <v>60222</v>
      </c>
      <c r="G133" s="3">
        <f t="shared" si="17"/>
        <v>48093.289199999999</v>
      </c>
      <c r="H133" s="187"/>
      <c r="I133" s="7">
        <v>0.12</v>
      </c>
      <c r="J133" s="7">
        <v>1.6500000000000001E-2</v>
      </c>
      <c r="K133" s="7">
        <v>7.5999999999999998E-2</v>
      </c>
      <c r="L133" s="7">
        <v>0</v>
      </c>
      <c r="M133" s="11">
        <f t="shared" si="1"/>
        <v>7226.6399999999994</v>
      </c>
      <c r="N133" s="11">
        <f t="shared" si="2"/>
        <v>874.42344000000003</v>
      </c>
      <c r="O133" s="11">
        <f t="shared" si="3"/>
        <v>4027.6473599999999</v>
      </c>
      <c r="P133" s="11">
        <f t="shared" si="4"/>
        <v>0</v>
      </c>
    </row>
    <row r="134" spans="1:16" ht="15" customHeight="1">
      <c r="A134" s="44"/>
      <c r="B134" s="5">
        <f t="shared" si="19"/>
        <v>45689</v>
      </c>
      <c r="C134" s="1" t="s">
        <v>533</v>
      </c>
      <c r="D134" s="195">
        <v>5399</v>
      </c>
      <c r="E134" s="186"/>
      <c r="F134" s="2">
        <v>595.99</v>
      </c>
      <c r="G134" s="3">
        <f t="shared" si="17"/>
        <v>475.95761400000004</v>
      </c>
      <c r="H134" s="187"/>
      <c r="I134" s="7">
        <v>0.12</v>
      </c>
      <c r="J134" s="7">
        <v>1.6500000000000001E-2</v>
      </c>
      <c r="K134" s="7">
        <v>7.5999999999999998E-2</v>
      </c>
      <c r="L134" s="7">
        <v>0</v>
      </c>
      <c r="M134" s="11">
        <f t="shared" si="1"/>
        <v>71.518799999999999</v>
      </c>
      <c r="N134" s="11">
        <f t="shared" si="2"/>
        <v>8.653774799999999</v>
      </c>
      <c r="O134" s="11">
        <f t="shared" si="3"/>
        <v>39.859811199999996</v>
      </c>
      <c r="P134" s="11">
        <f t="shared" si="4"/>
        <v>0</v>
      </c>
    </row>
    <row r="135" spans="1:16" ht="15" customHeight="1">
      <c r="A135" s="44"/>
      <c r="B135" s="5">
        <f t="shared" si="19"/>
        <v>45689</v>
      </c>
      <c r="C135" s="1" t="s">
        <v>533</v>
      </c>
      <c r="D135" s="195">
        <v>5400</v>
      </c>
      <c r="E135" s="186"/>
      <c r="F135" s="2">
        <v>234888.51</v>
      </c>
      <c r="G135" s="3">
        <f t="shared" si="17"/>
        <v>187581.96408599999</v>
      </c>
      <c r="H135" s="187"/>
      <c r="I135" s="7">
        <v>0.12</v>
      </c>
      <c r="J135" s="7">
        <v>1.6500000000000001E-2</v>
      </c>
      <c r="K135" s="7">
        <v>7.5999999999999998E-2</v>
      </c>
      <c r="L135" s="7">
        <v>0</v>
      </c>
      <c r="M135" s="11">
        <f t="shared" si="1"/>
        <v>28186.621200000001</v>
      </c>
      <c r="N135" s="11">
        <f t="shared" si="2"/>
        <v>3410.5811652000002</v>
      </c>
      <c r="O135" s="11">
        <f t="shared" si="3"/>
        <v>15709.343548800001</v>
      </c>
      <c r="P135" s="11">
        <f t="shared" si="4"/>
        <v>0</v>
      </c>
    </row>
    <row r="136" spans="1:16" ht="15" customHeight="1">
      <c r="A136" s="44"/>
      <c r="B136" s="5">
        <f t="shared" si="19"/>
        <v>45689</v>
      </c>
      <c r="C136" s="1" t="s">
        <v>533</v>
      </c>
      <c r="D136" s="195">
        <v>5401</v>
      </c>
      <c r="E136" s="186"/>
      <c r="F136" s="2">
        <v>2815.15</v>
      </c>
      <c r="G136" s="3">
        <f t="shared" si="17"/>
        <v>2248.1787899999999</v>
      </c>
      <c r="H136" s="187"/>
      <c r="I136" s="7">
        <v>0.12</v>
      </c>
      <c r="J136" s="7">
        <v>1.6500000000000001E-2</v>
      </c>
      <c r="K136" s="7">
        <v>7.5999999999999998E-2</v>
      </c>
      <c r="L136" s="7">
        <v>0</v>
      </c>
      <c r="M136" s="11">
        <f t="shared" si="1"/>
        <v>337.81799999999998</v>
      </c>
      <c r="N136" s="11">
        <f t="shared" si="2"/>
        <v>40.875978000000011</v>
      </c>
      <c r="O136" s="11">
        <f t="shared" si="3"/>
        <v>188.27723200000003</v>
      </c>
      <c r="P136" s="11">
        <f t="shared" si="4"/>
        <v>0</v>
      </c>
    </row>
    <row r="137" spans="1:16" ht="15" customHeight="1">
      <c r="A137" s="44"/>
      <c r="B137" s="5">
        <f t="shared" si="19"/>
        <v>45689</v>
      </c>
      <c r="C137" s="1" t="s">
        <v>533</v>
      </c>
      <c r="D137" s="195">
        <v>20679</v>
      </c>
      <c r="E137" s="186"/>
      <c r="F137" s="2">
        <v>71074.61</v>
      </c>
      <c r="G137" s="3">
        <f t="shared" si="17"/>
        <v>56760.183546</v>
      </c>
      <c r="H137" s="187"/>
      <c r="I137" s="7">
        <v>0.12</v>
      </c>
      <c r="J137" s="7">
        <v>1.6500000000000001E-2</v>
      </c>
      <c r="K137" s="7">
        <v>7.5999999999999998E-2</v>
      </c>
      <c r="L137" s="7">
        <v>0</v>
      </c>
      <c r="M137" s="11">
        <f t="shared" si="1"/>
        <v>8528.9531999999999</v>
      </c>
      <c r="N137" s="11">
        <f t="shared" si="2"/>
        <v>1032.0033372</v>
      </c>
      <c r="O137" s="11">
        <f t="shared" si="3"/>
        <v>4753.4699167999997</v>
      </c>
      <c r="P137" s="11">
        <f t="shared" si="4"/>
        <v>0</v>
      </c>
    </row>
    <row r="138" spans="1:16" ht="15" customHeight="1">
      <c r="A138" s="44"/>
      <c r="B138" s="5">
        <f t="shared" si="19"/>
        <v>45689</v>
      </c>
      <c r="C138" s="1" t="s">
        <v>533</v>
      </c>
      <c r="D138" s="195">
        <v>20680</v>
      </c>
      <c r="E138" s="186"/>
      <c r="F138" s="2">
        <v>1803.04</v>
      </c>
      <c r="G138" s="3">
        <f t="shared" si="17"/>
        <v>1439.9077440000001</v>
      </c>
      <c r="H138" s="187"/>
      <c r="I138" s="7">
        <v>0.12</v>
      </c>
      <c r="J138" s="7">
        <v>1.6500000000000001E-2</v>
      </c>
      <c r="K138" s="7">
        <v>7.5999999999999998E-2</v>
      </c>
      <c r="L138" s="7">
        <v>0</v>
      </c>
      <c r="M138" s="11">
        <f t="shared" si="1"/>
        <v>216.36479999999997</v>
      </c>
      <c r="N138" s="11">
        <f t="shared" si="2"/>
        <v>26.1801408</v>
      </c>
      <c r="O138" s="11">
        <f t="shared" si="3"/>
        <v>120.58731519999999</v>
      </c>
      <c r="P138" s="11">
        <f t="shared" si="4"/>
        <v>0</v>
      </c>
    </row>
    <row r="139" spans="1:16" ht="15" customHeight="1">
      <c r="A139" s="44"/>
      <c r="B139" s="5">
        <f t="shared" si="19"/>
        <v>45689</v>
      </c>
      <c r="C139" s="1" t="s">
        <v>533</v>
      </c>
      <c r="D139" s="195">
        <v>20681</v>
      </c>
      <c r="E139" s="186"/>
      <c r="F139" s="2">
        <v>161453</v>
      </c>
      <c r="G139" s="3">
        <f t="shared" si="17"/>
        <v>128936.3658</v>
      </c>
      <c r="H139" s="187"/>
      <c r="I139" s="7">
        <v>0.12</v>
      </c>
      <c r="J139" s="7">
        <v>1.6500000000000001E-2</v>
      </c>
      <c r="K139" s="7">
        <v>7.5999999999999998E-2</v>
      </c>
      <c r="L139" s="7">
        <v>0</v>
      </c>
      <c r="M139" s="11">
        <f t="shared" si="1"/>
        <v>19374.36</v>
      </c>
      <c r="N139" s="11">
        <f t="shared" si="2"/>
        <v>2344.2975600000004</v>
      </c>
      <c r="O139" s="11">
        <f t="shared" si="3"/>
        <v>10797.976640000001</v>
      </c>
      <c r="P139" s="11">
        <f t="shared" si="4"/>
        <v>0</v>
      </c>
    </row>
    <row r="140" spans="1:16" ht="15" customHeight="1">
      <c r="A140" s="44"/>
      <c r="B140" s="5">
        <f t="shared" si="19"/>
        <v>45689</v>
      </c>
      <c r="C140" s="1" t="s">
        <v>533</v>
      </c>
      <c r="D140" s="195">
        <v>20682</v>
      </c>
      <c r="E140" s="186"/>
      <c r="F140" s="2">
        <v>4464.93</v>
      </c>
      <c r="G140" s="3">
        <f t="shared" si="17"/>
        <v>3565.6930980000002</v>
      </c>
      <c r="H140" s="187"/>
      <c r="I140" s="7">
        <v>0.12</v>
      </c>
      <c r="J140" s="7">
        <v>1.6500000000000001E-2</v>
      </c>
      <c r="K140" s="7">
        <v>7.5999999999999998E-2</v>
      </c>
      <c r="L140" s="7">
        <v>0</v>
      </c>
      <c r="M140" s="11">
        <f t="shared" si="1"/>
        <v>535.79160000000002</v>
      </c>
      <c r="N140" s="11">
        <f t="shared" si="2"/>
        <v>64.830783600000004</v>
      </c>
      <c r="O140" s="11">
        <f t="shared" si="3"/>
        <v>298.61451840000001</v>
      </c>
      <c r="P140" s="11">
        <f t="shared" si="4"/>
        <v>0</v>
      </c>
    </row>
    <row r="141" spans="1:16" ht="15" customHeight="1">
      <c r="A141" s="44"/>
      <c r="B141" s="5">
        <f t="shared" si="19"/>
        <v>45689</v>
      </c>
      <c r="C141" s="1" t="s">
        <v>533</v>
      </c>
      <c r="D141" s="195">
        <v>20683</v>
      </c>
      <c r="E141" s="186"/>
      <c r="F141" s="2">
        <v>75315.48</v>
      </c>
      <c r="G141" s="3">
        <f t="shared" si="17"/>
        <v>60146.942327999997</v>
      </c>
      <c r="H141" s="187"/>
      <c r="I141" s="7">
        <v>0.12</v>
      </c>
      <c r="J141" s="7">
        <v>1.6500000000000001E-2</v>
      </c>
      <c r="K141" s="7">
        <v>7.5999999999999998E-2</v>
      </c>
      <c r="L141" s="7">
        <v>0</v>
      </c>
      <c r="M141" s="11">
        <f t="shared" si="1"/>
        <v>9037.8575999999994</v>
      </c>
      <c r="N141" s="11">
        <f t="shared" si="2"/>
        <v>1093.5807695999999</v>
      </c>
      <c r="O141" s="11">
        <f t="shared" si="3"/>
        <v>5037.099302399999</v>
      </c>
      <c r="P141" s="11">
        <f t="shared" ref="P141:P184" si="21">L141*(F141)</f>
        <v>0</v>
      </c>
    </row>
    <row r="142" spans="1:16" ht="15" customHeight="1">
      <c r="A142" s="44"/>
      <c r="B142" s="5">
        <f t="shared" si="19"/>
        <v>45689</v>
      </c>
      <c r="C142" s="1" t="s">
        <v>533</v>
      </c>
      <c r="D142" s="195">
        <v>20684</v>
      </c>
      <c r="E142" s="186"/>
      <c r="F142" s="2">
        <v>1036.56</v>
      </c>
      <c r="G142" s="3">
        <f t="shared" si="17"/>
        <v>827.79681600000004</v>
      </c>
      <c r="H142" s="187"/>
      <c r="I142" s="7">
        <v>0.12</v>
      </c>
      <c r="J142" s="7">
        <v>1.6500000000000001E-2</v>
      </c>
      <c r="K142" s="7">
        <v>7.5999999999999998E-2</v>
      </c>
      <c r="L142" s="7">
        <v>0</v>
      </c>
      <c r="M142" s="11">
        <f t="shared" si="1"/>
        <v>124.38719999999999</v>
      </c>
      <c r="N142" s="11">
        <f t="shared" si="2"/>
        <v>15.0508512</v>
      </c>
      <c r="O142" s="11">
        <f t="shared" si="3"/>
        <v>69.325132799999992</v>
      </c>
      <c r="P142" s="11">
        <f t="shared" si="21"/>
        <v>0</v>
      </c>
    </row>
    <row r="143" spans="1:16" ht="15" customHeight="1">
      <c r="A143" s="44"/>
      <c r="B143" s="5">
        <f t="shared" si="19"/>
        <v>45689</v>
      </c>
      <c r="C143" s="1" t="s">
        <v>533</v>
      </c>
      <c r="D143" s="195">
        <v>20685</v>
      </c>
      <c r="E143" s="186"/>
      <c r="F143" s="2">
        <v>88256.36</v>
      </c>
      <c r="G143" s="3">
        <f t="shared" ref="G143:G181" si="22">F143-SUM(M143:P143)</f>
        <v>70481.529095999998</v>
      </c>
      <c r="H143" s="187"/>
      <c r="I143" s="7">
        <v>0.12</v>
      </c>
      <c r="J143" s="7">
        <v>1.6500000000000001E-2</v>
      </c>
      <c r="K143" s="7">
        <v>7.5999999999999998E-2</v>
      </c>
      <c r="L143" s="7">
        <v>0</v>
      </c>
      <c r="M143" s="11">
        <f t="shared" si="1"/>
        <v>10590.763199999999</v>
      </c>
      <c r="N143" s="11">
        <f t="shared" si="2"/>
        <v>1281.4823472</v>
      </c>
      <c r="O143" s="11">
        <f t="shared" si="3"/>
        <v>5902.5853568000002</v>
      </c>
      <c r="P143" s="11">
        <f t="shared" si="21"/>
        <v>0</v>
      </c>
    </row>
    <row r="144" spans="1:16" ht="15" customHeight="1">
      <c r="A144" s="44"/>
      <c r="B144" s="5">
        <f t="shared" si="19"/>
        <v>45689</v>
      </c>
      <c r="C144" s="1" t="s">
        <v>533</v>
      </c>
      <c r="D144" s="195">
        <v>20687</v>
      </c>
      <c r="E144" s="186"/>
      <c r="F144" s="2">
        <v>1306.54</v>
      </c>
      <c r="G144" s="3">
        <f t="shared" si="22"/>
        <v>1043.402844</v>
      </c>
      <c r="H144" s="187"/>
      <c r="I144" s="7">
        <v>0.12</v>
      </c>
      <c r="J144" s="7">
        <v>1.6500000000000001E-2</v>
      </c>
      <c r="K144" s="7">
        <v>7.5999999999999998E-2</v>
      </c>
      <c r="L144" s="7">
        <v>0</v>
      </c>
      <c r="M144" s="11">
        <f t="shared" si="1"/>
        <v>156.78479999999999</v>
      </c>
      <c r="N144" s="11">
        <f t="shared" si="2"/>
        <v>18.9709608</v>
      </c>
      <c r="O144" s="11">
        <f t="shared" si="3"/>
        <v>87.3813952</v>
      </c>
      <c r="P144" s="11">
        <f t="shared" si="21"/>
        <v>0</v>
      </c>
    </row>
    <row r="145" spans="1:16" ht="15" customHeight="1">
      <c r="A145" s="44"/>
      <c r="B145" s="5">
        <f t="shared" si="19"/>
        <v>45689</v>
      </c>
      <c r="C145" s="1" t="s">
        <v>533</v>
      </c>
      <c r="D145" s="195">
        <v>20688</v>
      </c>
      <c r="E145" s="186"/>
      <c r="F145" s="2">
        <v>35043.67</v>
      </c>
      <c r="G145" s="3">
        <f t="shared" si="22"/>
        <v>27985.874861999997</v>
      </c>
      <c r="H145" s="187"/>
      <c r="I145" s="7">
        <v>0.12</v>
      </c>
      <c r="J145" s="7">
        <v>1.6500000000000001E-2</v>
      </c>
      <c r="K145" s="7">
        <v>7.5999999999999998E-2</v>
      </c>
      <c r="L145" s="7">
        <v>0</v>
      </c>
      <c r="M145" s="11">
        <f t="shared" si="1"/>
        <v>4205.2403999999997</v>
      </c>
      <c r="N145" s="11">
        <f t="shared" si="2"/>
        <v>508.83408840000004</v>
      </c>
      <c r="O145" s="11">
        <f t="shared" si="3"/>
        <v>2343.7206495999999</v>
      </c>
      <c r="P145" s="11">
        <f t="shared" si="21"/>
        <v>0</v>
      </c>
    </row>
    <row r="146" spans="1:16" ht="15" customHeight="1">
      <c r="A146" s="44"/>
      <c r="B146" s="5">
        <f t="shared" si="19"/>
        <v>45689</v>
      </c>
      <c r="C146" s="1" t="s">
        <v>533</v>
      </c>
      <c r="D146" s="195">
        <v>20689</v>
      </c>
      <c r="E146" s="186"/>
      <c r="F146" s="2">
        <v>471.68</v>
      </c>
      <c r="G146" s="3">
        <f t="shared" si="22"/>
        <v>376.68364800000001</v>
      </c>
      <c r="H146" s="187"/>
      <c r="I146" s="7">
        <v>0.12</v>
      </c>
      <c r="J146" s="7">
        <v>1.6500000000000001E-2</v>
      </c>
      <c r="K146" s="7">
        <v>7.5999999999999998E-2</v>
      </c>
      <c r="L146" s="7">
        <v>0</v>
      </c>
      <c r="M146" s="11">
        <f t="shared" si="1"/>
        <v>56.601599999999998</v>
      </c>
      <c r="N146" s="11">
        <f t="shared" si="2"/>
        <v>6.8487936000000005</v>
      </c>
      <c r="O146" s="11">
        <f t="shared" si="3"/>
        <v>31.5459584</v>
      </c>
      <c r="P146" s="11">
        <f t="shared" si="21"/>
        <v>0</v>
      </c>
    </row>
    <row r="147" spans="1:16" ht="15" customHeight="1">
      <c r="A147" s="44"/>
      <c r="B147" s="5">
        <f t="shared" si="19"/>
        <v>45689</v>
      </c>
      <c r="C147" s="1" t="s">
        <v>533</v>
      </c>
      <c r="D147" s="195">
        <v>20690</v>
      </c>
      <c r="E147" s="186"/>
      <c r="F147" s="2">
        <v>19920.240000000002</v>
      </c>
      <c r="G147" s="3">
        <f t="shared" si="22"/>
        <v>15908.303664000001</v>
      </c>
      <c r="H147" s="187"/>
      <c r="I147" s="7">
        <v>0.12</v>
      </c>
      <c r="J147" s="7">
        <v>1.6500000000000001E-2</v>
      </c>
      <c r="K147" s="7">
        <v>7.5999999999999998E-2</v>
      </c>
      <c r="L147" s="7">
        <v>0</v>
      </c>
      <c r="M147" s="11">
        <f t="shared" si="1"/>
        <v>2390.4288000000001</v>
      </c>
      <c r="N147" s="11">
        <f t="shared" si="2"/>
        <v>289.24188480000004</v>
      </c>
      <c r="O147" s="11">
        <f t="shared" si="3"/>
        <v>1332.2656511999999</v>
      </c>
      <c r="P147" s="11">
        <f t="shared" si="21"/>
        <v>0</v>
      </c>
    </row>
    <row r="148" spans="1:16" ht="15" customHeight="1">
      <c r="A148" s="44"/>
      <c r="B148" s="5">
        <f t="shared" si="19"/>
        <v>45689</v>
      </c>
      <c r="C148" s="1" t="s">
        <v>533</v>
      </c>
      <c r="D148" s="195">
        <v>20691</v>
      </c>
      <c r="E148" s="186"/>
      <c r="F148" s="2">
        <v>276.05</v>
      </c>
      <c r="G148" s="3">
        <f t="shared" si="22"/>
        <v>220.45353</v>
      </c>
      <c r="H148" s="187"/>
      <c r="I148" s="7">
        <v>0.12</v>
      </c>
      <c r="J148" s="7">
        <v>1.6500000000000001E-2</v>
      </c>
      <c r="K148" s="7">
        <v>7.5999999999999998E-2</v>
      </c>
      <c r="L148" s="7">
        <v>0</v>
      </c>
      <c r="M148" s="11">
        <f t="shared" si="1"/>
        <v>33.125999999999998</v>
      </c>
      <c r="N148" s="11">
        <f t="shared" si="2"/>
        <v>4.0082460000000006</v>
      </c>
      <c r="O148" s="11">
        <f t="shared" si="3"/>
        <v>18.462223999999999</v>
      </c>
      <c r="P148" s="11">
        <f t="shared" si="21"/>
        <v>0</v>
      </c>
    </row>
    <row r="149" spans="1:16" ht="15" customHeight="1">
      <c r="A149" s="44"/>
      <c r="B149" s="5">
        <f t="shared" si="19"/>
        <v>45689</v>
      </c>
      <c r="C149" s="1" t="s">
        <v>533</v>
      </c>
      <c r="D149" s="195">
        <v>20692</v>
      </c>
      <c r="E149" s="186"/>
      <c r="F149" s="2">
        <v>26977.47</v>
      </c>
      <c r="G149" s="3">
        <f t="shared" si="22"/>
        <v>21544.207542</v>
      </c>
      <c r="H149" s="187"/>
      <c r="I149" s="7">
        <v>0.12</v>
      </c>
      <c r="J149" s="7">
        <v>1.6500000000000001E-2</v>
      </c>
      <c r="K149" s="7">
        <v>7.5999999999999998E-2</v>
      </c>
      <c r="L149" s="7">
        <v>0</v>
      </c>
      <c r="M149" s="11">
        <f t="shared" si="1"/>
        <v>3237.2964000000002</v>
      </c>
      <c r="N149" s="11">
        <f t="shared" si="2"/>
        <v>391.71286440000006</v>
      </c>
      <c r="O149" s="11">
        <f t="shared" si="3"/>
        <v>1804.2531936</v>
      </c>
      <c r="P149" s="11">
        <f t="shared" si="21"/>
        <v>0</v>
      </c>
    </row>
    <row r="150" spans="1:16" ht="15" customHeight="1">
      <c r="A150" s="44"/>
      <c r="B150" s="5">
        <f t="shared" si="19"/>
        <v>45689</v>
      </c>
      <c r="C150" s="1" t="s">
        <v>533</v>
      </c>
      <c r="D150" s="195">
        <v>20693</v>
      </c>
      <c r="E150" s="186"/>
      <c r="F150" s="2">
        <v>382.69</v>
      </c>
      <c r="G150" s="3">
        <f t="shared" si="22"/>
        <v>305.61623400000002</v>
      </c>
      <c r="H150" s="187"/>
      <c r="I150" s="7">
        <v>0.12</v>
      </c>
      <c r="J150" s="7">
        <v>1.6500000000000001E-2</v>
      </c>
      <c r="K150" s="7">
        <v>7.5999999999999998E-2</v>
      </c>
      <c r="L150" s="7">
        <v>0</v>
      </c>
      <c r="M150" s="11">
        <f t="shared" si="1"/>
        <v>45.922799999999995</v>
      </c>
      <c r="N150" s="11">
        <f t="shared" si="2"/>
        <v>5.5566588000000001</v>
      </c>
      <c r="O150" s="11">
        <f t="shared" si="3"/>
        <v>25.594307199999999</v>
      </c>
      <c r="P150" s="11">
        <f t="shared" si="21"/>
        <v>0</v>
      </c>
    </row>
    <row r="151" spans="1:16" ht="15" customHeight="1">
      <c r="A151" s="44"/>
      <c r="B151" s="5">
        <f t="shared" si="19"/>
        <v>45689</v>
      </c>
      <c r="C151" s="1" t="s">
        <v>533</v>
      </c>
      <c r="D151" s="195">
        <v>20694</v>
      </c>
      <c r="E151" s="186"/>
      <c r="F151" s="2">
        <v>107348.25</v>
      </c>
      <c r="G151" s="3">
        <f t="shared" si="22"/>
        <v>85728.312449999998</v>
      </c>
      <c r="H151" s="187"/>
      <c r="I151" s="7">
        <v>0.12</v>
      </c>
      <c r="J151" s="7">
        <v>1.6500000000000001E-2</v>
      </c>
      <c r="K151" s="7">
        <v>7.5999999999999998E-2</v>
      </c>
      <c r="L151" s="7">
        <v>0</v>
      </c>
      <c r="M151" s="11">
        <f t="shared" si="1"/>
        <v>12881.789999999999</v>
      </c>
      <c r="N151" s="11">
        <f t="shared" si="2"/>
        <v>1558.6965900000002</v>
      </c>
      <c r="O151" s="11">
        <f t="shared" si="3"/>
        <v>7179.4509600000001</v>
      </c>
      <c r="P151" s="11">
        <f t="shared" si="21"/>
        <v>0</v>
      </c>
    </row>
    <row r="152" spans="1:16" ht="15" customHeight="1">
      <c r="A152" s="44"/>
      <c r="B152" s="5">
        <f t="shared" si="19"/>
        <v>45689</v>
      </c>
      <c r="C152" s="1" t="s">
        <v>533</v>
      </c>
      <c r="D152" s="195">
        <v>20700</v>
      </c>
      <c r="E152" s="186"/>
      <c r="F152" s="2">
        <v>1858.46</v>
      </c>
      <c r="G152" s="3">
        <f t="shared" si="22"/>
        <v>1484.166156</v>
      </c>
      <c r="H152" s="187"/>
      <c r="I152" s="7">
        <v>0.12</v>
      </c>
      <c r="J152" s="7">
        <v>1.6500000000000001E-2</v>
      </c>
      <c r="K152" s="7">
        <v>7.5999999999999998E-2</v>
      </c>
      <c r="L152" s="7">
        <v>0</v>
      </c>
      <c r="M152" s="11">
        <f t="shared" si="1"/>
        <v>223.01519999999999</v>
      </c>
      <c r="N152" s="11">
        <f t="shared" si="2"/>
        <v>26.9848392</v>
      </c>
      <c r="O152" s="11">
        <f t="shared" si="3"/>
        <v>124.29380479999999</v>
      </c>
      <c r="P152" s="11">
        <f t="shared" si="21"/>
        <v>0</v>
      </c>
    </row>
    <row r="153" spans="1:16" ht="15" customHeight="1">
      <c r="A153" s="44"/>
      <c r="B153" s="5">
        <f t="shared" si="19"/>
        <v>45689</v>
      </c>
      <c r="C153" s="1" t="s">
        <v>533</v>
      </c>
      <c r="D153" s="195">
        <v>10066</v>
      </c>
      <c r="E153" s="186"/>
      <c r="F153" s="2">
        <v>59738.98</v>
      </c>
      <c r="G153" s="3">
        <f t="shared" si="22"/>
        <v>47707.549428000006</v>
      </c>
      <c r="H153" s="187"/>
      <c r="I153" s="7">
        <v>0.12</v>
      </c>
      <c r="J153" s="7">
        <v>1.6500000000000001E-2</v>
      </c>
      <c r="K153" s="7">
        <v>7.5999999999999998E-2</v>
      </c>
      <c r="L153" s="7">
        <v>0</v>
      </c>
      <c r="M153" s="11">
        <f t="shared" si="1"/>
        <v>7168.6776</v>
      </c>
      <c r="N153" s="11">
        <f t="shared" si="2"/>
        <v>867.40998960000002</v>
      </c>
      <c r="O153" s="11">
        <f t="shared" si="3"/>
        <v>3995.3429824</v>
      </c>
      <c r="P153" s="11">
        <f t="shared" si="21"/>
        <v>0</v>
      </c>
    </row>
    <row r="154" spans="1:16" ht="15" customHeight="1">
      <c r="A154" s="44"/>
      <c r="B154" s="5">
        <f t="shared" si="19"/>
        <v>45689</v>
      </c>
      <c r="C154" s="1" t="s">
        <v>533</v>
      </c>
      <c r="D154" s="195">
        <v>10067</v>
      </c>
      <c r="E154" s="186"/>
      <c r="F154" s="2">
        <v>1229.98</v>
      </c>
      <c r="G154" s="3">
        <f t="shared" si="22"/>
        <v>982.2620280000001</v>
      </c>
      <c r="H154" s="187"/>
      <c r="I154" s="7">
        <v>0.12</v>
      </c>
      <c r="J154" s="7">
        <v>1.6500000000000001E-2</v>
      </c>
      <c r="K154" s="7">
        <v>7.5999999999999998E-2</v>
      </c>
      <c r="L154" s="7">
        <v>0</v>
      </c>
      <c r="M154" s="11">
        <f t="shared" si="1"/>
        <v>147.5976</v>
      </c>
      <c r="N154" s="11">
        <f t="shared" si="2"/>
        <v>17.8593096</v>
      </c>
      <c r="O154" s="11">
        <f t="shared" si="3"/>
        <v>82.2610624</v>
      </c>
      <c r="P154" s="11">
        <f t="shared" si="21"/>
        <v>0</v>
      </c>
    </row>
    <row r="155" spans="1:16" ht="15" customHeight="1">
      <c r="A155" s="44"/>
      <c r="B155" s="5">
        <f t="shared" si="19"/>
        <v>45689</v>
      </c>
      <c r="C155" s="1" t="s">
        <v>533</v>
      </c>
      <c r="D155" s="195">
        <v>10068</v>
      </c>
      <c r="E155" s="186"/>
      <c r="F155" s="2">
        <v>134374.91</v>
      </c>
      <c r="G155" s="3">
        <f t="shared" si="22"/>
        <v>107311.80312600001</v>
      </c>
      <c r="H155" s="187"/>
      <c r="I155" s="7">
        <v>0.12</v>
      </c>
      <c r="J155" s="7">
        <v>1.6500000000000001E-2</v>
      </c>
      <c r="K155" s="7">
        <v>7.5999999999999998E-2</v>
      </c>
      <c r="L155" s="7">
        <v>0</v>
      </c>
      <c r="M155" s="11">
        <f t="shared" si="1"/>
        <v>16124.9892</v>
      </c>
      <c r="N155" s="11">
        <f t="shared" si="2"/>
        <v>1951.1236932000002</v>
      </c>
      <c r="O155" s="11">
        <f t="shared" si="3"/>
        <v>8986.9939807999999</v>
      </c>
      <c r="P155" s="11">
        <f t="shared" si="21"/>
        <v>0</v>
      </c>
    </row>
    <row r="156" spans="1:16" ht="15" customHeight="1">
      <c r="A156" s="44"/>
      <c r="B156" s="5">
        <f t="shared" si="19"/>
        <v>45689</v>
      </c>
      <c r="C156" s="1" t="s">
        <v>533</v>
      </c>
      <c r="D156" s="195">
        <v>10069</v>
      </c>
      <c r="E156" s="186"/>
      <c r="F156" s="2">
        <v>2918.16</v>
      </c>
      <c r="G156" s="3">
        <f t="shared" si="22"/>
        <v>2330.4425759999999</v>
      </c>
      <c r="H156" s="187"/>
      <c r="I156" s="7">
        <v>0.12</v>
      </c>
      <c r="J156" s="7">
        <v>1.6500000000000001E-2</v>
      </c>
      <c r="K156" s="7">
        <v>7.5999999999999998E-2</v>
      </c>
      <c r="L156" s="7">
        <v>0</v>
      </c>
      <c r="M156" s="11">
        <f t="shared" si="1"/>
        <v>350.17919999999998</v>
      </c>
      <c r="N156" s="11">
        <f t="shared" si="2"/>
        <v>42.3716832</v>
      </c>
      <c r="O156" s="11">
        <f t="shared" si="3"/>
        <v>195.16654079999998</v>
      </c>
      <c r="P156" s="11">
        <f t="shared" si="21"/>
        <v>0</v>
      </c>
    </row>
    <row r="157" spans="1:16" ht="15" customHeight="1">
      <c r="A157" s="44"/>
      <c r="B157" s="5">
        <f t="shared" si="19"/>
        <v>45689</v>
      </c>
      <c r="C157" s="1" t="s">
        <v>533</v>
      </c>
      <c r="D157" s="195">
        <v>10070</v>
      </c>
      <c r="E157" s="186"/>
      <c r="F157" s="2">
        <v>63626.559999999998</v>
      </c>
      <c r="G157" s="3">
        <f t="shared" si="22"/>
        <v>50812.170815999998</v>
      </c>
      <c r="H157" s="187"/>
      <c r="I157" s="7">
        <v>0.12</v>
      </c>
      <c r="J157" s="7">
        <v>1.6500000000000001E-2</v>
      </c>
      <c r="K157" s="7">
        <v>7.5999999999999998E-2</v>
      </c>
      <c r="L157" s="7">
        <v>0</v>
      </c>
      <c r="M157" s="11">
        <f t="shared" si="1"/>
        <v>7635.1871999999994</v>
      </c>
      <c r="N157" s="11">
        <f t="shared" si="2"/>
        <v>923.85765119999996</v>
      </c>
      <c r="O157" s="11">
        <f t="shared" si="3"/>
        <v>4255.3443327999994</v>
      </c>
      <c r="P157" s="11">
        <f t="shared" si="21"/>
        <v>0</v>
      </c>
    </row>
    <row r="158" spans="1:16" ht="15" customHeight="1">
      <c r="A158" s="44"/>
      <c r="B158" s="5">
        <f t="shared" si="19"/>
        <v>45689</v>
      </c>
      <c r="C158" s="1" t="s">
        <v>533</v>
      </c>
      <c r="D158" s="195">
        <v>10065</v>
      </c>
      <c r="E158" s="186"/>
      <c r="F158" s="2">
        <v>610.35</v>
      </c>
      <c r="G158" s="3">
        <f t="shared" si="22"/>
        <v>487.42551000000003</v>
      </c>
      <c r="H158" s="187"/>
      <c r="I158" s="7">
        <v>0.12</v>
      </c>
      <c r="J158" s="7">
        <v>1.6500000000000001E-2</v>
      </c>
      <c r="K158" s="7">
        <v>7.5999999999999998E-2</v>
      </c>
      <c r="L158" s="7">
        <v>0</v>
      </c>
      <c r="M158" s="11">
        <f t="shared" si="1"/>
        <v>73.242000000000004</v>
      </c>
      <c r="N158" s="11">
        <f t="shared" si="2"/>
        <v>8.8622820000000022</v>
      </c>
      <c r="O158" s="11">
        <f t="shared" si="3"/>
        <v>40.820208000000001</v>
      </c>
      <c r="P158" s="11">
        <f t="shared" si="21"/>
        <v>0</v>
      </c>
    </row>
    <row r="159" spans="1:16" ht="15" customHeight="1">
      <c r="A159" s="44"/>
      <c r="B159" s="5">
        <f t="shared" si="19"/>
        <v>45689</v>
      </c>
      <c r="C159" s="1" t="s">
        <v>533</v>
      </c>
      <c r="D159" s="195">
        <v>10071</v>
      </c>
      <c r="E159" s="186"/>
      <c r="F159" s="2">
        <v>73903.31</v>
      </c>
      <c r="G159" s="3">
        <f t="shared" si="22"/>
        <v>59019.183365999997</v>
      </c>
      <c r="H159" s="187"/>
      <c r="I159" s="7">
        <v>0.12</v>
      </c>
      <c r="J159" s="7">
        <v>1.6500000000000001E-2</v>
      </c>
      <c r="K159" s="7">
        <v>7.5999999999999998E-2</v>
      </c>
      <c r="L159" s="7">
        <v>0</v>
      </c>
      <c r="M159" s="11">
        <f t="shared" si="1"/>
        <v>8868.3971999999994</v>
      </c>
      <c r="N159" s="11">
        <f t="shared" si="2"/>
        <v>1073.0760611999999</v>
      </c>
      <c r="O159" s="11">
        <f t="shared" si="3"/>
        <v>4942.6533727999995</v>
      </c>
      <c r="P159" s="11">
        <f t="shared" si="21"/>
        <v>0</v>
      </c>
    </row>
    <row r="160" spans="1:16" ht="15" customHeight="1">
      <c r="A160" s="44"/>
      <c r="B160" s="5">
        <f t="shared" si="19"/>
        <v>45689</v>
      </c>
      <c r="C160" s="1" t="s">
        <v>533</v>
      </c>
      <c r="D160" s="195">
        <v>10074</v>
      </c>
      <c r="E160" s="186"/>
      <c r="F160" s="2">
        <v>743.68</v>
      </c>
      <c r="G160" s="3">
        <f t="shared" si="22"/>
        <v>593.90284799999995</v>
      </c>
      <c r="H160" s="187"/>
      <c r="I160" s="7">
        <v>0.12</v>
      </c>
      <c r="J160" s="7">
        <v>1.6500000000000001E-2</v>
      </c>
      <c r="K160" s="7">
        <v>7.5999999999999998E-2</v>
      </c>
      <c r="L160" s="7">
        <v>0</v>
      </c>
      <c r="M160" s="11">
        <f t="shared" si="1"/>
        <v>89.241599999999991</v>
      </c>
      <c r="N160" s="11">
        <f t="shared" si="2"/>
        <v>10.7982336</v>
      </c>
      <c r="O160" s="11">
        <f t="shared" si="3"/>
        <v>49.737318399999999</v>
      </c>
      <c r="P160" s="11">
        <f t="shared" si="21"/>
        <v>0</v>
      </c>
    </row>
    <row r="161" spans="1:16" ht="15" customHeight="1">
      <c r="A161" s="44"/>
      <c r="B161" s="5">
        <f t="shared" si="19"/>
        <v>45689</v>
      </c>
      <c r="C161" s="1" t="s">
        <v>533</v>
      </c>
      <c r="D161" s="195">
        <v>10075</v>
      </c>
      <c r="E161" s="186"/>
      <c r="F161" s="2">
        <v>30227.07</v>
      </c>
      <c r="G161" s="3">
        <f t="shared" si="22"/>
        <v>24139.338102000002</v>
      </c>
      <c r="H161" s="187"/>
      <c r="I161" s="7">
        <v>0.12</v>
      </c>
      <c r="J161" s="7">
        <v>1.6500000000000001E-2</v>
      </c>
      <c r="K161" s="7">
        <v>7.5999999999999998E-2</v>
      </c>
      <c r="L161" s="7">
        <v>0</v>
      </c>
      <c r="M161" s="11">
        <f t="shared" si="1"/>
        <v>3627.2483999999999</v>
      </c>
      <c r="N161" s="11">
        <f t="shared" si="2"/>
        <v>438.8970564</v>
      </c>
      <c r="O161" s="11">
        <f t="shared" si="3"/>
        <v>2021.5864415999999</v>
      </c>
      <c r="P161" s="11">
        <f t="shared" si="21"/>
        <v>0</v>
      </c>
    </row>
    <row r="162" spans="1:16" ht="15" customHeight="1">
      <c r="A162" s="44"/>
      <c r="B162" s="5">
        <f t="shared" si="19"/>
        <v>45689</v>
      </c>
      <c r="C162" s="1" t="s">
        <v>533</v>
      </c>
      <c r="D162" s="195">
        <v>10076</v>
      </c>
      <c r="E162" s="186"/>
      <c r="F162" s="2">
        <v>278.85000000000002</v>
      </c>
      <c r="G162" s="3">
        <f t="shared" si="22"/>
        <v>222.68961000000002</v>
      </c>
      <c r="H162" s="187"/>
      <c r="I162" s="7">
        <v>0.12</v>
      </c>
      <c r="J162" s="7">
        <v>1.6500000000000001E-2</v>
      </c>
      <c r="K162" s="7">
        <v>7.5999999999999998E-2</v>
      </c>
      <c r="L162" s="7">
        <v>0</v>
      </c>
      <c r="M162" s="11">
        <f t="shared" si="1"/>
        <v>33.462000000000003</v>
      </c>
      <c r="N162" s="11">
        <f t="shared" si="2"/>
        <v>4.0489020000000009</v>
      </c>
      <c r="O162" s="11">
        <f t="shared" si="3"/>
        <v>18.649488000000002</v>
      </c>
      <c r="P162" s="11">
        <f t="shared" si="21"/>
        <v>0</v>
      </c>
    </row>
    <row r="163" spans="1:16" ht="15" customHeight="1">
      <c r="A163" s="44"/>
      <c r="B163" s="5">
        <f t="shared" si="19"/>
        <v>45689</v>
      </c>
      <c r="C163" s="1" t="s">
        <v>533</v>
      </c>
      <c r="D163" s="195">
        <v>10077</v>
      </c>
      <c r="E163" s="186"/>
      <c r="F163" s="2">
        <v>16653.77</v>
      </c>
      <c r="G163" s="3">
        <f t="shared" si="22"/>
        <v>13299.700722000001</v>
      </c>
      <c r="H163" s="187"/>
      <c r="I163" s="7">
        <v>0.12</v>
      </c>
      <c r="J163" s="7">
        <v>1.6500000000000001E-2</v>
      </c>
      <c r="K163" s="7">
        <v>7.5999999999999998E-2</v>
      </c>
      <c r="L163" s="7">
        <v>0</v>
      </c>
      <c r="M163" s="11">
        <f t="shared" si="1"/>
        <v>1998.4523999999999</v>
      </c>
      <c r="N163" s="11">
        <f t="shared" si="2"/>
        <v>241.81274040000002</v>
      </c>
      <c r="O163" s="11">
        <f t="shared" si="3"/>
        <v>1113.8041376000001</v>
      </c>
      <c r="P163" s="11">
        <f t="shared" si="21"/>
        <v>0</v>
      </c>
    </row>
    <row r="164" spans="1:16" ht="15" customHeight="1">
      <c r="A164" s="44"/>
      <c r="B164" s="5">
        <f t="shared" si="19"/>
        <v>45689</v>
      </c>
      <c r="C164" s="1" t="s">
        <v>533</v>
      </c>
      <c r="D164" s="195">
        <v>10078</v>
      </c>
      <c r="E164" s="186"/>
      <c r="F164" s="2">
        <v>158.85</v>
      </c>
      <c r="G164" s="3">
        <f t="shared" si="22"/>
        <v>126.85760999999999</v>
      </c>
      <c r="H164" s="187"/>
      <c r="I164" s="7">
        <v>0.12</v>
      </c>
      <c r="J164" s="7">
        <v>1.6500000000000001E-2</v>
      </c>
      <c r="K164" s="7">
        <v>7.5999999999999998E-2</v>
      </c>
      <c r="L164" s="7">
        <v>0</v>
      </c>
      <c r="M164" s="11">
        <f t="shared" si="1"/>
        <v>19.061999999999998</v>
      </c>
      <c r="N164" s="11">
        <f t="shared" si="2"/>
        <v>2.3065020000000005</v>
      </c>
      <c r="O164" s="11">
        <f t="shared" si="3"/>
        <v>10.623888000000001</v>
      </c>
      <c r="P164" s="11">
        <f t="shared" si="21"/>
        <v>0</v>
      </c>
    </row>
    <row r="165" spans="1:16" ht="15" customHeight="1">
      <c r="A165" s="44"/>
      <c r="B165" s="5">
        <f t="shared" si="19"/>
        <v>45689</v>
      </c>
      <c r="C165" s="1" t="s">
        <v>533</v>
      </c>
      <c r="D165" s="195">
        <v>10079</v>
      </c>
      <c r="E165" s="186"/>
      <c r="F165" s="2">
        <v>22542.01</v>
      </c>
      <c r="G165" s="3">
        <f t="shared" si="22"/>
        <v>18002.049185999997</v>
      </c>
      <c r="H165" s="187"/>
      <c r="I165" s="7">
        <v>0.12</v>
      </c>
      <c r="J165" s="7">
        <v>1.6500000000000001E-2</v>
      </c>
      <c r="K165" s="7">
        <v>7.5999999999999998E-2</v>
      </c>
      <c r="L165" s="7">
        <v>0</v>
      </c>
      <c r="M165" s="11">
        <f t="shared" si="1"/>
        <v>2705.0411999999997</v>
      </c>
      <c r="N165" s="11">
        <f t="shared" si="2"/>
        <v>327.30998519999997</v>
      </c>
      <c r="O165" s="11">
        <f t="shared" si="3"/>
        <v>1507.6096287999999</v>
      </c>
      <c r="P165" s="11">
        <f t="shared" si="21"/>
        <v>0</v>
      </c>
    </row>
    <row r="166" spans="1:16" ht="15" customHeight="1">
      <c r="A166" s="44"/>
      <c r="B166" s="5">
        <f t="shared" si="19"/>
        <v>45689</v>
      </c>
      <c r="C166" s="1" t="s">
        <v>533</v>
      </c>
      <c r="D166" s="195">
        <v>10080</v>
      </c>
      <c r="E166" s="186"/>
      <c r="F166" s="2">
        <v>218.47</v>
      </c>
      <c r="G166" s="3">
        <f t="shared" si="22"/>
        <v>174.47014200000001</v>
      </c>
      <c r="H166" s="187"/>
      <c r="I166" s="7">
        <v>0.12</v>
      </c>
      <c r="J166" s="7">
        <v>1.6500000000000001E-2</v>
      </c>
      <c r="K166" s="7">
        <v>7.5999999999999998E-2</v>
      </c>
      <c r="L166" s="7">
        <v>0</v>
      </c>
      <c r="M166" s="11">
        <f t="shared" si="1"/>
        <v>26.2164</v>
      </c>
      <c r="N166" s="11">
        <f t="shared" si="2"/>
        <v>3.1721844000000003</v>
      </c>
      <c r="O166" s="11">
        <f t="shared" si="3"/>
        <v>14.611273600000001</v>
      </c>
      <c r="P166" s="11">
        <f t="shared" si="21"/>
        <v>0</v>
      </c>
    </row>
    <row r="167" spans="1:16" ht="15" customHeight="1">
      <c r="A167" s="44"/>
      <c r="B167" s="5">
        <f t="shared" si="19"/>
        <v>45689</v>
      </c>
      <c r="C167" s="1" t="s">
        <v>533</v>
      </c>
      <c r="D167" s="195">
        <v>10081</v>
      </c>
      <c r="E167" s="186"/>
      <c r="F167" s="2">
        <v>87459.26</v>
      </c>
      <c r="G167" s="3">
        <f t="shared" si="22"/>
        <v>69844.965035999994</v>
      </c>
      <c r="H167" s="187"/>
      <c r="I167" s="7">
        <v>0.12</v>
      </c>
      <c r="J167" s="7">
        <v>1.6500000000000001E-2</v>
      </c>
      <c r="K167" s="7">
        <v>7.5999999999999998E-2</v>
      </c>
      <c r="L167" s="7">
        <v>0</v>
      </c>
      <c r="M167" s="11">
        <f t="shared" si="1"/>
        <v>10495.111199999999</v>
      </c>
      <c r="N167" s="11">
        <f t="shared" si="2"/>
        <v>1269.9084551999999</v>
      </c>
      <c r="O167" s="11">
        <f t="shared" si="3"/>
        <v>5849.2753087999999</v>
      </c>
      <c r="P167" s="11">
        <f t="shared" si="21"/>
        <v>0</v>
      </c>
    </row>
    <row r="168" spans="1:16" ht="15" customHeight="1">
      <c r="A168" s="44"/>
      <c r="B168" s="5">
        <f t="shared" si="19"/>
        <v>45689</v>
      </c>
      <c r="C168" s="1" t="s">
        <v>533</v>
      </c>
      <c r="D168" s="195">
        <v>10089</v>
      </c>
      <c r="E168" s="186"/>
      <c r="F168" s="2">
        <v>970.9</v>
      </c>
      <c r="G168" s="3">
        <f t="shared" si="22"/>
        <v>775.36073999999996</v>
      </c>
      <c r="H168" s="187"/>
      <c r="I168" s="7">
        <v>0.12</v>
      </c>
      <c r="J168" s="7">
        <v>1.6500000000000001E-2</v>
      </c>
      <c r="K168" s="7">
        <v>7.5999999999999998E-2</v>
      </c>
      <c r="L168" s="7">
        <v>0</v>
      </c>
      <c r="M168" s="11">
        <f t="shared" si="1"/>
        <v>116.508</v>
      </c>
      <c r="N168" s="11">
        <f t="shared" si="2"/>
        <v>14.097467999999999</v>
      </c>
      <c r="O168" s="11">
        <f t="shared" si="3"/>
        <v>64.933791999999997</v>
      </c>
      <c r="P168" s="11">
        <f t="shared" si="21"/>
        <v>0</v>
      </c>
    </row>
    <row r="169" spans="1:16" ht="15" customHeight="1">
      <c r="A169" s="44"/>
      <c r="B169" s="5">
        <f t="shared" si="19"/>
        <v>45689</v>
      </c>
      <c r="C169" s="1" t="s">
        <v>533</v>
      </c>
      <c r="D169" s="195">
        <v>20425</v>
      </c>
      <c r="E169" s="186"/>
      <c r="F169" s="2">
        <v>1936.7</v>
      </c>
      <c r="G169" s="3">
        <f t="shared" si="22"/>
        <v>1634.5263825000002</v>
      </c>
      <c r="H169" s="187"/>
      <c r="I169" s="7">
        <v>7.0000000000000007E-2</v>
      </c>
      <c r="J169" s="7">
        <v>1.6500000000000001E-2</v>
      </c>
      <c r="K169" s="7">
        <v>7.5999999999999998E-2</v>
      </c>
      <c r="L169" s="7">
        <v>0</v>
      </c>
      <c r="M169" s="11">
        <f t="shared" si="1"/>
        <v>135.56900000000002</v>
      </c>
      <c r="N169" s="11">
        <f t="shared" si="2"/>
        <v>29.718661500000003</v>
      </c>
      <c r="O169" s="11">
        <f t="shared" si="3"/>
        <v>136.88595599999999</v>
      </c>
      <c r="P169" s="11">
        <f t="shared" si="21"/>
        <v>0</v>
      </c>
    </row>
    <row r="170" spans="1:16" ht="15" customHeight="1">
      <c r="A170" s="44"/>
      <c r="B170" s="5">
        <f t="shared" si="19"/>
        <v>45689</v>
      </c>
      <c r="C170" s="1" t="s">
        <v>533</v>
      </c>
      <c r="D170" s="195">
        <v>20453</v>
      </c>
      <c r="E170" s="186"/>
      <c r="F170" s="2">
        <v>37.36</v>
      </c>
      <c r="G170" s="3">
        <f t="shared" si="22"/>
        <v>31.530906000000002</v>
      </c>
      <c r="H170" s="187"/>
      <c r="I170" s="7">
        <v>7.0000000000000007E-2</v>
      </c>
      <c r="J170" s="7">
        <v>1.6500000000000001E-2</v>
      </c>
      <c r="K170" s="7">
        <v>7.5999999999999998E-2</v>
      </c>
      <c r="L170" s="7">
        <v>0</v>
      </c>
      <c r="M170" s="11">
        <f t="shared" si="1"/>
        <v>2.6152000000000002</v>
      </c>
      <c r="N170" s="11">
        <f t="shared" si="2"/>
        <v>0.57328919999999994</v>
      </c>
      <c r="O170" s="11">
        <f t="shared" si="3"/>
        <v>2.6406047999999998</v>
      </c>
      <c r="P170" s="11">
        <f t="shared" si="21"/>
        <v>0</v>
      </c>
    </row>
    <row r="171" spans="1:16" ht="15" customHeight="1">
      <c r="A171" s="44"/>
      <c r="B171" s="5">
        <f t="shared" si="19"/>
        <v>45689</v>
      </c>
      <c r="C171" s="1" t="s">
        <v>533</v>
      </c>
      <c r="D171" s="195">
        <v>20454</v>
      </c>
      <c r="E171" s="186"/>
      <c r="F171" s="2">
        <v>4397.37</v>
      </c>
      <c r="G171" s="3">
        <f t="shared" si="22"/>
        <v>3711.2703457500002</v>
      </c>
      <c r="H171" s="187"/>
      <c r="I171" s="7">
        <v>7.0000000000000007E-2</v>
      </c>
      <c r="J171" s="7">
        <v>1.6500000000000001E-2</v>
      </c>
      <c r="K171" s="7">
        <v>7.5999999999999998E-2</v>
      </c>
      <c r="L171" s="7">
        <v>0</v>
      </c>
      <c r="M171" s="11">
        <f t="shared" si="1"/>
        <v>307.8159</v>
      </c>
      <c r="N171" s="11">
        <f t="shared" si="2"/>
        <v>67.477642650000007</v>
      </c>
      <c r="O171" s="11">
        <f t="shared" si="3"/>
        <v>310.80611159999995</v>
      </c>
      <c r="P171" s="11">
        <f t="shared" si="21"/>
        <v>0</v>
      </c>
    </row>
    <row r="172" spans="1:16" ht="15" customHeight="1">
      <c r="A172" s="44"/>
      <c r="B172" s="5">
        <f t="shared" si="19"/>
        <v>45689</v>
      </c>
      <c r="C172" s="1" t="s">
        <v>533</v>
      </c>
      <c r="D172" s="195">
        <v>20455</v>
      </c>
      <c r="E172" s="186"/>
      <c r="F172" s="2">
        <v>90.45</v>
      </c>
      <c r="G172" s="3">
        <f t="shared" si="22"/>
        <v>76.337538750000007</v>
      </c>
      <c r="H172" s="187"/>
      <c r="I172" s="7">
        <v>7.0000000000000007E-2</v>
      </c>
      <c r="J172" s="7">
        <v>1.6500000000000001E-2</v>
      </c>
      <c r="K172" s="7">
        <v>7.5999999999999998E-2</v>
      </c>
      <c r="L172" s="7">
        <v>0</v>
      </c>
      <c r="M172" s="11">
        <f t="shared" si="1"/>
        <v>6.331500000000001</v>
      </c>
      <c r="N172" s="11">
        <f t="shared" si="2"/>
        <v>1.3879552500000001</v>
      </c>
      <c r="O172" s="11">
        <f t="shared" si="3"/>
        <v>6.3930059999999997</v>
      </c>
      <c r="P172" s="11">
        <f t="shared" si="21"/>
        <v>0</v>
      </c>
    </row>
    <row r="173" spans="1:16" ht="15" customHeight="1">
      <c r="A173" s="44"/>
      <c r="B173" s="5">
        <f t="shared" si="19"/>
        <v>45689</v>
      </c>
      <c r="C173" s="1" t="s">
        <v>533</v>
      </c>
      <c r="D173" s="195">
        <v>20456</v>
      </c>
      <c r="E173" s="186"/>
      <c r="F173" s="2">
        <v>12391.74</v>
      </c>
      <c r="G173" s="3">
        <f t="shared" si="22"/>
        <v>10458.3187665</v>
      </c>
      <c r="H173" s="187"/>
      <c r="I173" s="7">
        <v>7.0000000000000007E-2</v>
      </c>
      <c r="J173" s="7">
        <v>1.6500000000000001E-2</v>
      </c>
      <c r="K173" s="7">
        <v>7.5999999999999998E-2</v>
      </c>
      <c r="L173" s="7">
        <v>0</v>
      </c>
      <c r="M173" s="11">
        <f t="shared" si="1"/>
        <v>867.42180000000008</v>
      </c>
      <c r="N173" s="11">
        <f t="shared" si="2"/>
        <v>190.15125030000002</v>
      </c>
      <c r="O173" s="11">
        <f t="shared" si="3"/>
        <v>875.84818319999999</v>
      </c>
      <c r="P173" s="11">
        <f t="shared" si="21"/>
        <v>0</v>
      </c>
    </row>
    <row r="174" spans="1:16" ht="15" customHeight="1">
      <c r="A174" s="44"/>
      <c r="B174" s="5">
        <f t="shared" si="19"/>
        <v>45689</v>
      </c>
      <c r="C174" s="1" t="s">
        <v>533</v>
      </c>
      <c r="D174" s="195">
        <v>20457</v>
      </c>
      <c r="E174" s="186"/>
      <c r="F174" s="2">
        <v>117.41</v>
      </c>
      <c r="G174" s="3">
        <f t="shared" si="22"/>
        <v>99.09110475</v>
      </c>
      <c r="H174" s="187"/>
      <c r="I174" s="7">
        <v>7.0000000000000007E-2</v>
      </c>
      <c r="J174" s="7">
        <v>1.6500000000000001E-2</v>
      </c>
      <c r="K174" s="7">
        <v>7.5999999999999998E-2</v>
      </c>
      <c r="L174" s="7">
        <v>0</v>
      </c>
      <c r="M174" s="11">
        <f t="shared" si="1"/>
        <v>8.2187000000000001</v>
      </c>
      <c r="N174" s="11">
        <f t="shared" si="2"/>
        <v>1.8016564500000001</v>
      </c>
      <c r="O174" s="11">
        <f t="shared" si="3"/>
        <v>8.2985387999999993</v>
      </c>
      <c r="P174" s="11">
        <f t="shared" si="21"/>
        <v>0</v>
      </c>
    </row>
    <row r="175" spans="1:16" ht="15" customHeight="1">
      <c r="A175" s="44"/>
      <c r="B175" s="5">
        <f t="shared" si="19"/>
        <v>45689</v>
      </c>
      <c r="C175" s="1" t="s">
        <v>533</v>
      </c>
      <c r="D175" s="195">
        <v>20458</v>
      </c>
      <c r="E175" s="186"/>
      <c r="F175" s="2">
        <v>14429.82</v>
      </c>
      <c r="G175" s="3">
        <f t="shared" si="22"/>
        <v>12178.4073345</v>
      </c>
      <c r="H175" s="187"/>
      <c r="I175" s="7">
        <v>7.0000000000000007E-2</v>
      </c>
      <c r="J175" s="7">
        <v>1.6500000000000001E-2</v>
      </c>
      <c r="K175" s="7">
        <v>7.5999999999999998E-2</v>
      </c>
      <c r="L175" s="7">
        <v>0</v>
      </c>
      <c r="M175" s="11">
        <f t="shared" si="1"/>
        <v>1010.0874000000001</v>
      </c>
      <c r="N175" s="11">
        <f t="shared" si="2"/>
        <v>221.42558790000001</v>
      </c>
      <c r="O175" s="11">
        <f t="shared" si="3"/>
        <v>1019.8996775999999</v>
      </c>
      <c r="P175" s="11">
        <f t="shared" si="21"/>
        <v>0</v>
      </c>
    </row>
    <row r="176" spans="1:16" ht="15" customHeight="1">
      <c r="A176" s="44"/>
      <c r="B176" s="5">
        <f t="shared" si="19"/>
        <v>45689</v>
      </c>
      <c r="C176" s="1" t="s">
        <v>533</v>
      </c>
      <c r="D176" s="195">
        <v>20459</v>
      </c>
      <c r="E176" s="186"/>
      <c r="F176" s="2">
        <v>146.09</v>
      </c>
      <c r="G176" s="3">
        <f t="shared" si="22"/>
        <v>123.29630775000001</v>
      </c>
      <c r="H176" s="187"/>
      <c r="I176" s="7">
        <v>7.0000000000000007E-2</v>
      </c>
      <c r="J176" s="7">
        <v>1.6500000000000001E-2</v>
      </c>
      <c r="K176" s="7">
        <v>7.5999999999999998E-2</v>
      </c>
      <c r="L176" s="7">
        <v>0</v>
      </c>
      <c r="M176" s="11">
        <f t="shared" si="1"/>
        <v>10.226300000000002</v>
      </c>
      <c r="N176" s="11">
        <f t="shared" si="2"/>
        <v>2.24175105</v>
      </c>
      <c r="O176" s="11">
        <f t="shared" si="3"/>
        <v>10.3256412</v>
      </c>
      <c r="P176" s="11">
        <f t="shared" si="21"/>
        <v>0</v>
      </c>
    </row>
    <row r="177" spans="1:16" ht="15" customHeight="1">
      <c r="A177" s="44"/>
      <c r="B177" s="5">
        <f t="shared" si="19"/>
        <v>45689</v>
      </c>
      <c r="C177" s="1" t="s">
        <v>533</v>
      </c>
      <c r="D177" s="195">
        <v>20460</v>
      </c>
      <c r="E177" s="186"/>
      <c r="F177" s="2">
        <v>5818.44</v>
      </c>
      <c r="G177" s="3">
        <f t="shared" si="22"/>
        <v>4910.6178989999999</v>
      </c>
      <c r="H177" s="187"/>
      <c r="I177" s="7">
        <v>7.0000000000000007E-2</v>
      </c>
      <c r="J177" s="7">
        <v>1.6500000000000001E-2</v>
      </c>
      <c r="K177" s="7">
        <v>7.5999999999999998E-2</v>
      </c>
      <c r="L177" s="7">
        <v>0</v>
      </c>
      <c r="M177" s="11">
        <f t="shared" si="1"/>
        <v>407.29079999999999</v>
      </c>
      <c r="N177" s="11">
        <f t="shared" si="2"/>
        <v>89.2839618</v>
      </c>
      <c r="O177" s="11">
        <f t="shared" si="3"/>
        <v>411.2473392</v>
      </c>
      <c r="P177" s="11">
        <f t="shared" si="21"/>
        <v>0</v>
      </c>
    </row>
    <row r="178" spans="1:16" ht="15" customHeight="1">
      <c r="A178" s="44"/>
      <c r="B178" s="5">
        <f t="shared" ref="B178:B184" si="23">B177</f>
        <v>45689</v>
      </c>
      <c r="C178" s="1" t="s">
        <v>533</v>
      </c>
      <c r="D178" s="195">
        <v>20488</v>
      </c>
      <c r="E178" s="186"/>
      <c r="F178" s="2">
        <v>53.53</v>
      </c>
      <c r="G178" s="3">
        <f t="shared" si="22"/>
        <v>45.177981750000001</v>
      </c>
      <c r="H178" s="187"/>
      <c r="I178" s="7">
        <v>7.0000000000000007E-2</v>
      </c>
      <c r="J178" s="7">
        <v>1.6500000000000001E-2</v>
      </c>
      <c r="K178" s="7">
        <v>7.5999999999999998E-2</v>
      </c>
      <c r="L178" s="7">
        <v>0</v>
      </c>
      <c r="M178" s="11">
        <f t="shared" si="1"/>
        <v>3.7471000000000005</v>
      </c>
      <c r="N178" s="11">
        <f t="shared" si="2"/>
        <v>0.82141785</v>
      </c>
      <c r="O178" s="11">
        <f t="shared" si="3"/>
        <v>3.7835003999999999</v>
      </c>
      <c r="P178" s="11">
        <f t="shared" si="21"/>
        <v>0</v>
      </c>
    </row>
    <row r="179" spans="1:16" ht="15" customHeight="1">
      <c r="A179" s="44"/>
      <c r="B179" s="5">
        <f t="shared" si="23"/>
        <v>45689</v>
      </c>
      <c r="C179" s="1" t="s">
        <v>533</v>
      </c>
      <c r="D179" s="195">
        <v>20489</v>
      </c>
      <c r="E179" s="186"/>
      <c r="F179" s="2">
        <v>3270.8</v>
      </c>
      <c r="G179" s="3">
        <f t="shared" si="22"/>
        <v>2760.47343</v>
      </c>
      <c r="H179" s="187"/>
      <c r="I179" s="7">
        <v>7.0000000000000007E-2</v>
      </c>
      <c r="J179" s="7">
        <v>1.6500000000000001E-2</v>
      </c>
      <c r="K179" s="7">
        <v>7.5999999999999998E-2</v>
      </c>
      <c r="L179" s="7">
        <v>0</v>
      </c>
      <c r="M179" s="11">
        <f t="shared" si="1"/>
        <v>228.95600000000005</v>
      </c>
      <c r="N179" s="11">
        <f t="shared" si="2"/>
        <v>50.190426000000002</v>
      </c>
      <c r="O179" s="11">
        <f t="shared" si="3"/>
        <v>231.18014399999998</v>
      </c>
      <c r="P179" s="11">
        <f t="shared" si="21"/>
        <v>0</v>
      </c>
    </row>
    <row r="180" spans="1:16" ht="15" customHeight="1">
      <c r="A180" s="44"/>
      <c r="B180" s="5">
        <f t="shared" si="23"/>
        <v>45689</v>
      </c>
      <c r="C180" s="1" t="s">
        <v>533</v>
      </c>
      <c r="D180" s="195">
        <v>20490</v>
      </c>
      <c r="E180" s="186"/>
      <c r="F180" s="2">
        <v>31.01</v>
      </c>
      <c r="G180" s="3">
        <f t="shared" si="22"/>
        <v>26.171664750000001</v>
      </c>
      <c r="H180" s="187"/>
      <c r="I180" s="7">
        <v>7.0000000000000007E-2</v>
      </c>
      <c r="J180" s="7">
        <v>1.6500000000000001E-2</v>
      </c>
      <c r="K180" s="7">
        <v>7.5999999999999998E-2</v>
      </c>
      <c r="L180" s="7">
        <v>0</v>
      </c>
      <c r="M180" s="11">
        <f t="shared" si="1"/>
        <v>2.1707000000000005</v>
      </c>
      <c r="N180" s="11">
        <f t="shared" si="2"/>
        <v>0.47584845000000003</v>
      </c>
      <c r="O180" s="11">
        <f t="shared" si="3"/>
        <v>2.1917868</v>
      </c>
      <c r="P180" s="11">
        <f t="shared" si="21"/>
        <v>0</v>
      </c>
    </row>
    <row r="181" spans="1:16" ht="15" customHeight="1">
      <c r="A181" s="44"/>
      <c r="B181" s="5">
        <f t="shared" si="23"/>
        <v>45689</v>
      </c>
      <c r="C181" s="1" t="s">
        <v>533</v>
      </c>
      <c r="D181" s="195">
        <v>20491</v>
      </c>
      <c r="E181" s="186"/>
      <c r="F181" s="2">
        <v>4422.09</v>
      </c>
      <c r="G181" s="3">
        <f t="shared" si="22"/>
        <v>3732.1334077500001</v>
      </c>
      <c r="H181" s="187"/>
      <c r="I181" s="7">
        <v>7.0000000000000007E-2</v>
      </c>
      <c r="J181" s="7">
        <v>1.6500000000000001E-2</v>
      </c>
      <c r="K181" s="7">
        <v>7.5999999999999998E-2</v>
      </c>
      <c r="L181" s="7">
        <v>0</v>
      </c>
      <c r="M181" s="11">
        <f t="shared" si="1"/>
        <v>309.54630000000003</v>
      </c>
      <c r="N181" s="11">
        <f t="shared" si="2"/>
        <v>67.856971050000013</v>
      </c>
      <c r="O181" s="11">
        <f t="shared" si="3"/>
        <v>312.55332120000003</v>
      </c>
      <c r="P181" s="11">
        <f t="shared" si="21"/>
        <v>0</v>
      </c>
    </row>
    <row r="182" spans="1:16" ht="15" customHeight="1">
      <c r="A182" s="44"/>
      <c r="B182" s="5">
        <f t="shared" si="23"/>
        <v>45689</v>
      </c>
      <c r="C182" s="1" t="s">
        <v>533</v>
      </c>
      <c r="D182" s="195">
        <v>20492</v>
      </c>
      <c r="E182" s="186"/>
      <c r="F182" s="2">
        <v>42.86</v>
      </c>
      <c r="G182" s="3">
        <f t="shared" si="17"/>
        <v>36.172768499999997</v>
      </c>
      <c r="H182" s="187"/>
      <c r="I182" s="7">
        <v>7.0000000000000007E-2</v>
      </c>
      <c r="J182" s="7">
        <v>1.6500000000000001E-2</v>
      </c>
      <c r="K182" s="7">
        <v>7.5999999999999998E-2</v>
      </c>
      <c r="L182" s="7">
        <v>0</v>
      </c>
      <c r="M182" s="11">
        <f t="shared" si="1"/>
        <v>3.0002000000000004</v>
      </c>
      <c r="N182" s="11">
        <f t="shared" si="2"/>
        <v>0.65768670000000007</v>
      </c>
      <c r="O182" s="11">
        <f t="shared" si="3"/>
        <v>3.0293448000000001</v>
      </c>
      <c r="P182" s="11">
        <f t="shared" si="21"/>
        <v>0</v>
      </c>
    </row>
    <row r="183" spans="1:16" ht="15" customHeight="1">
      <c r="A183" s="44"/>
      <c r="B183" s="5">
        <f t="shared" si="23"/>
        <v>45689</v>
      </c>
      <c r="C183" s="1" t="s">
        <v>533</v>
      </c>
      <c r="D183" s="195">
        <v>20493</v>
      </c>
      <c r="E183" s="186"/>
      <c r="F183" s="2">
        <v>17231.61</v>
      </c>
      <c r="G183" s="3">
        <f t="shared" si="17"/>
        <v>14543.048049749999</v>
      </c>
      <c r="H183" s="187"/>
      <c r="I183" s="7">
        <v>7.0000000000000007E-2</v>
      </c>
      <c r="J183" s="7">
        <v>1.6500000000000001E-2</v>
      </c>
      <c r="K183" s="7">
        <v>7.5999999999999998E-2</v>
      </c>
      <c r="L183" s="7">
        <v>0</v>
      </c>
      <c r="M183" s="11">
        <f t="shared" si="1"/>
        <v>1206.2127000000003</v>
      </c>
      <c r="N183" s="11">
        <f t="shared" si="2"/>
        <v>264.41905545000003</v>
      </c>
      <c r="O183" s="11">
        <f t="shared" si="3"/>
        <v>1217.9301948</v>
      </c>
      <c r="P183" s="11">
        <f t="shared" si="21"/>
        <v>0</v>
      </c>
    </row>
    <row r="184" spans="1:16">
      <c r="A184" s="44"/>
      <c r="B184" s="5">
        <f t="shared" si="23"/>
        <v>45689</v>
      </c>
      <c r="C184" s="1" t="s">
        <v>533</v>
      </c>
      <c r="D184" s="195">
        <v>20494</v>
      </c>
      <c r="E184" s="186"/>
      <c r="F184" s="2">
        <v>201.49</v>
      </c>
      <c r="G184" s="3">
        <f t="shared" si="17"/>
        <v>170.05252275000001</v>
      </c>
      <c r="H184" s="187"/>
      <c r="I184" s="7">
        <v>7.0000000000000007E-2</v>
      </c>
      <c r="J184" s="7">
        <v>1.6500000000000001E-2</v>
      </c>
      <c r="K184" s="7">
        <v>7.5999999999999998E-2</v>
      </c>
      <c r="L184" s="7">
        <v>0</v>
      </c>
      <c r="M184" s="11">
        <f t="shared" si="1"/>
        <v>14.104300000000002</v>
      </c>
      <c r="N184" s="11">
        <f t="shared" si="2"/>
        <v>3.0918640500000003</v>
      </c>
      <c r="O184" s="11">
        <f t="shared" si="3"/>
        <v>14.2413132</v>
      </c>
      <c r="P184" s="11">
        <f t="shared" si="21"/>
        <v>0</v>
      </c>
    </row>
    <row r="185" spans="1:16">
      <c r="B185" s="5"/>
      <c r="C185" s="1"/>
      <c r="E185" s="1"/>
      <c r="F185" s="2"/>
      <c r="G185" s="4"/>
      <c r="H185" s="4"/>
      <c r="I185" s="7"/>
      <c r="J185" s="7"/>
      <c r="K185" s="7"/>
      <c r="L185" s="7"/>
    </row>
    <row r="186" spans="1:16">
      <c r="E186" s="28">
        <f>SUM(E19:E185)</f>
        <v>41080237.939999998</v>
      </c>
      <c r="F186" s="133"/>
      <c r="G186" s="29">
        <f>SUM(G19:G185)</f>
        <v>96923965.625647977</v>
      </c>
    </row>
    <row r="187" spans="1:16">
      <c r="E187" s="137"/>
      <c r="F187" s="41"/>
    </row>
    <row r="188" spans="1:16" ht="15.75" thickBot="1"/>
    <row r="189" spans="1:16">
      <c r="B189" s="391" t="s">
        <v>861</v>
      </c>
      <c r="C189" s="383"/>
      <c r="D189" s="383"/>
      <c r="E189" s="383"/>
      <c r="F189" s="383"/>
      <c r="G189" s="383"/>
      <c r="H189" s="383"/>
      <c r="I189" s="383"/>
      <c r="J189" s="383"/>
      <c r="K189" s="383"/>
      <c r="L189" s="383"/>
      <c r="M189" s="383"/>
      <c r="N189" s="383"/>
      <c r="O189" s="384"/>
    </row>
    <row r="190" spans="1:16">
      <c r="B190" s="385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7"/>
    </row>
    <row r="191" spans="1:16">
      <c r="B191" s="385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7"/>
    </row>
    <row r="192" spans="1:16">
      <c r="B192" s="385"/>
      <c r="C192" s="386"/>
      <c r="D192" s="386"/>
      <c r="E192" s="386"/>
      <c r="F192" s="386"/>
      <c r="G192" s="386"/>
      <c r="H192" s="386"/>
      <c r="I192" s="386"/>
      <c r="J192" s="386"/>
      <c r="K192" s="386"/>
      <c r="L192" s="386"/>
      <c r="M192" s="386"/>
      <c r="N192" s="386"/>
      <c r="O192" s="387"/>
    </row>
    <row r="193" spans="2:15" ht="27" customHeight="1">
      <c r="B193" s="385"/>
      <c r="C193" s="386"/>
      <c r="D193" s="386"/>
      <c r="E193" s="386"/>
      <c r="F193" s="386"/>
      <c r="G193" s="386"/>
      <c r="H193" s="386"/>
      <c r="I193" s="386"/>
      <c r="J193" s="386"/>
      <c r="K193" s="386"/>
      <c r="L193" s="386"/>
      <c r="M193" s="386"/>
      <c r="N193" s="386"/>
      <c r="O193" s="387"/>
    </row>
    <row r="194" spans="2:15" ht="44.25" customHeight="1" thickBot="1">
      <c r="B194" s="388"/>
      <c r="C194" s="389"/>
      <c r="D194" s="389"/>
      <c r="E194" s="389"/>
      <c r="F194" s="389"/>
      <c r="G194" s="389"/>
      <c r="H194" s="389"/>
      <c r="I194" s="389"/>
      <c r="J194" s="389"/>
      <c r="K194" s="389"/>
      <c r="L194" s="389"/>
      <c r="M194" s="389"/>
      <c r="N194" s="389"/>
      <c r="O194" s="390"/>
    </row>
  </sheetData>
  <mergeCells count="3">
    <mergeCell ref="C2:M2"/>
    <mergeCell ref="M17:P17"/>
    <mergeCell ref="B189:O194"/>
  </mergeCells>
  <conditionalFormatting sqref="D1:D1048576">
    <cfRule type="duplicateValues" dxfId="71" priority="1"/>
    <cfRule type="duplicateValues" dxfId="70" priority="2"/>
  </conditionalFormatting>
  <conditionalFormatting sqref="D7 D10">
    <cfRule type="duplicateValues" dxfId="69" priority="3"/>
  </conditionalFormatting>
  <conditionalFormatting sqref="D19:D47">
    <cfRule type="duplicateValues" dxfId="68" priority="5"/>
  </conditionalFormatting>
  <conditionalFormatting sqref="D188:D1048576 D1:D186">
    <cfRule type="duplicateValues" dxfId="67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F0B1-A164-4CFA-905A-F54BF6CAE060}">
  <sheetPr>
    <pageSetUpPr fitToPage="1"/>
  </sheetPr>
  <dimension ref="A2:P168"/>
  <sheetViews>
    <sheetView showGridLines="0" zoomScale="90" zoomScaleNormal="90" workbookViewId="0"/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3:13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3:13" ht="23.25">
      <c r="C3" s="13">
        <v>45717</v>
      </c>
    </row>
    <row r="5" spans="3:13">
      <c r="C5" t="s">
        <v>17</v>
      </c>
      <c r="D5" s="14">
        <f t="shared" ref="D5:D10" ca="1" si="0">SUMIF($C$19:$G$158,$C$5:$C$11,$G$19:$G$158)/SUMIF($C$19:$G$158,$C$5:$C$11,$E$19:$E$158)</f>
        <v>2.408152947640636</v>
      </c>
    </row>
    <row r="6" spans="3:13">
      <c r="C6" t="s">
        <v>440</v>
      </c>
      <c r="D6" s="14">
        <f t="shared" ca="1" si="0"/>
        <v>2.1375354825000001</v>
      </c>
    </row>
    <row r="7" spans="3:13">
      <c r="C7" t="s">
        <v>491</v>
      </c>
      <c r="D7" s="14">
        <f t="shared" ca="1" si="0"/>
        <v>2.1271000003035483</v>
      </c>
    </row>
    <row r="8" spans="3:13">
      <c r="C8" t="s">
        <v>756</v>
      </c>
      <c r="D8" s="14">
        <f t="shared" ca="1" si="0"/>
        <v>3.4350272478391495</v>
      </c>
      <c r="I8" s="19"/>
    </row>
    <row r="9" spans="3:13">
      <c r="C9" t="s">
        <v>757</v>
      </c>
      <c r="D9" s="14">
        <f t="shared" ca="1" si="0"/>
        <v>3.8280078569250358</v>
      </c>
      <c r="E9" s="14"/>
      <c r="F9" s="32"/>
      <c r="H9" s="137"/>
      <c r="I9" s="19"/>
    </row>
    <row r="10" spans="3:13">
      <c r="C10" t="s">
        <v>534</v>
      </c>
      <c r="D10" s="14" t="e">
        <f t="shared" ca="1" si="0"/>
        <v>#DIV/0!</v>
      </c>
    </row>
    <row r="11" spans="3:13">
      <c r="C11" t="s">
        <v>533</v>
      </c>
      <c r="D11" s="14" t="e">
        <f ca="1">SUMIF($C$19:$G$158,$C$5:$C$11,$G$19:$G$158)/SUMIF($C$19:$G$158,$C$5:$C$11,$E$19:$E$158)</f>
        <v>#DIV/0!</v>
      </c>
    </row>
    <row r="12" spans="3:13">
      <c r="C12" s="30" t="s">
        <v>129</v>
      </c>
      <c r="D12" s="31">
        <f>+G160/E160</f>
        <v>2.3745413815273144</v>
      </c>
    </row>
    <row r="13" spans="3:13">
      <c r="D13" s="19"/>
    </row>
    <row r="14" spans="3:13">
      <c r="D14" s="22"/>
    </row>
    <row r="16" spans="3:13">
      <c r="E16" s="137"/>
    </row>
    <row r="17" spans="1:16" ht="15" customHeight="1"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381" t="s">
        <v>100</v>
      </c>
      <c r="N17" s="381"/>
      <c r="O17" s="381"/>
      <c r="P17" s="381"/>
    </row>
    <row r="18" spans="1:16" ht="28.5" customHeight="1">
      <c r="B18" s="25" t="s">
        <v>16</v>
      </c>
      <c r="C18" s="25" t="s">
        <v>15</v>
      </c>
      <c r="D18" s="25" t="s">
        <v>99</v>
      </c>
      <c r="E18" s="25" t="s">
        <v>0</v>
      </c>
      <c r="F18" s="25" t="s">
        <v>1</v>
      </c>
      <c r="G18" s="25" t="s">
        <v>2</v>
      </c>
      <c r="H18" s="25" t="s">
        <v>4</v>
      </c>
      <c r="I18" s="26" t="s">
        <v>3</v>
      </c>
      <c r="J18" s="26" t="s">
        <v>97</v>
      </c>
      <c r="K18" s="26" t="s">
        <v>98</v>
      </c>
      <c r="L18" s="26" t="s">
        <v>537</v>
      </c>
      <c r="M18" s="27" t="s">
        <v>3</v>
      </c>
      <c r="N18" s="27" t="s">
        <v>97</v>
      </c>
      <c r="O18" s="27" t="s">
        <v>98</v>
      </c>
      <c r="P18" s="27" t="s">
        <v>537</v>
      </c>
    </row>
    <row r="19" spans="1:16" ht="18.75" customHeight="1">
      <c r="A19" s="44"/>
      <c r="B19" s="5">
        <f>C3</f>
        <v>45717</v>
      </c>
      <c r="C19" s="217" t="s">
        <v>17</v>
      </c>
      <c r="D19" s="216" t="s">
        <v>862</v>
      </c>
      <c r="E19" s="186"/>
      <c r="F19" s="2">
        <v>6130.83</v>
      </c>
      <c r="G19" s="3">
        <f>F19-SUM(M19:P19)</f>
        <v>4896.0808379999999</v>
      </c>
      <c r="H19" s="186"/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ref="M19:M158" si="1">+I19*F19</f>
        <v>735.69959999999992</v>
      </c>
      <c r="N19" s="11">
        <f t="shared" ref="N19:N158" si="2">J19*(F19-M19)</f>
        <v>89.019651600000003</v>
      </c>
      <c r="O19" s="11">
        <f t="shared" ref="O19:O158" si="3">K19*(F19-M19)</f>
        <v>410.02991040000001</v>
      </c>
      <c r="P19" s="11">
        <f t="shared" ref="P19:P80" si="4">L19*(F19)</f>
        <v>0</v>
      </c>
    </row>
    <row r="20" spans="1:16">
      <c r="A20" s="44"/>
      <c r="B20" s="5">
        <f>B19</f>
        <v>45717</v>
      </c>
      <c r="C20" s="217" t="s">
        <v>17</v>
      </c>
      <c r="D20" s="194" t="s">
        <v>863</v>
      </c>
      <c r="E20" s="186"/>
      <c r="F20" s="2">
        <v>1960.41</v>
      </c>
      <c r="G20" s="3">
        <f t="shared" ref="G20:G53" si="5">F20-SUM(M20:P20)</f>
        <v>1565.5834260000001</v>
      </c>
      <c r="H20" s="186"/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1"/>
        <v>235.2492</v>
      </c>
      <c r="N20" s="11">
        <f t="shared" si="2"/>
        <v>28.465153200000003</v>
      </c>
      <c r="O20" s="11">
        <f t="shared" si="3"/>
        <v>131.11222080000002</v>
      </c>
      <c r="P20" s="11">
        <f t="shared" si="4"/>
        <v>0</v>
      </c>
    </row>
    <row r="21" spans="1:16">
      <c r="A21" s="44"/>
      <c r="B21" s="5">
        <f t="shared" ref="B21:B54" si="6">B20</f>
        <v>45717</v>
      </c>
      <c r="C21" s="217" t="s">
        <v>17</v>
      </c>
      <c r="D21" s="194" t="s">
        <v>864</v>
      </c>
      <c r="E21" s="186"/>
      <c r="F21" s="2">
        <v>200230.52</v>
      </c>
      <c r="G21" s="3">
        <f t="shared" si="5"/>
        <v>159904.093272</v>
      </c>
      <c r="H21" s="186"/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1"/>
        <v>24027.662399999997</v>
      </c>
      <c r="N21" s="11">
        <f t="shared" si="2"/>
        <v>2907.3471503999999</v>
      </c>
      <c r="O21" s="11">
        <f t="shared" si="3"/>
        <v>13391.417177599998</v>
      </c>
      <c r="P21" s="11">
        <f t="shared" si="4"/>
        <v>0</v>
      </c>
    </row>
    <row r="22" spans="1:16">
      <c r="A22" s="44"/>
      <c r="B22" s="5">
        <f t="shared" si="6"/>
        <v>45717</v>
      </c>
      <c r="C22" s="217" t="s">
        <v>17</v>
      </c>
      <c r="D22" s="214" t="s">
        <v>865</v>
      </c>
      <c r="E22" s="186"/>
      <c r="F22" s="2">
        <v>74215.39</v>
      </c>
      <c r="G22" s="3">
        <f t="shared" si="5"/>
        <v>59268.410453999997</v>
      </c>
      <c r="H22" s="186"/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1"/>
        <v>8905.8467999999993</v>
      </c>
      <c r="N22" s="11">
        <f t="shared" si="2"/>
        <v>1077.6074628000001</v>
      </c>
      <c r="O22" s="11">
        <f t="shared" si="3"/>
        <v>4963.5252831999996</v>
      </c>
      <c r="P22" s="11">
        <f t="shared" si="4"/>
        <v>0</v>
      </c>
    </row>
    <row r="23" spans="1:16">
      <c r="A23" s="44"/>
      <c r="B23" s="5">
        <f t="shared" si="6"/>
        <v>45717</v>
      </c>
      <c r="C23" s="217" t="s">
        <v>17</v>
      </c>
      <c r="D23" s="195" t="s">
        <v>866</v>
      </c>
      <c r="E23" s="186"/>
      <c r="F23" s="2">
        <v>12682.38</v>
      </c>
      <c r="G23" s="3">
        <f t="shared" si="5"/>
        <v>10703.611660499999</v>
      </c>
      <c r="H23" s="186"/>
      <c r="I23" s="200">
        <v>7.0000000000000007E-2</v>
      </c>
      <c r="J23" s="7">
        <v>1.6500000000000001E-2</v>
      </c>
      <c r="K23" s="7">
        <v>7.5999999999999998E-2</v>
      </c>
      <c r="L23" s="7">
        <v>0</v>
      </c>
      <c r="M23" s="11">
        <f t="shared" si="1"/>
        <v>887.76660000000004</v>
      </c>
      <c r="N23" s="11">
        <f t="shared" si="2"/>
        <v>194.61112109999999</v>
      </c>
      <c r="O23" s="11">
        <f t="shared" si="3"/>
        <v>896.39061839999988</v>
      </c>
      <c r="P23" s="11">
        <f t="shared" si="4"/>
        <v>0</v>
      </c>
    </row>
    <row r="24" spans="1:16">
      <c r="A24" s="44"/>
      <c r="B24" s="5">
        <f t="shared" si="6"/>
        <v>45717</v>
      </c>
      <c r="C24" s="217" t="s">
        <v>17</v>
      </c>
      <c r="D24" s="194" t="s">
        <v>867</v>
      </c>
      <c r="E24" s="186"/>
      <c r="F24" s="2">
        <v>3427.35</v>
      </c>
      <c r="G24" s="3">
        <f t="shared" si="5"/>
        <v>2737.0817099999999</v>
      </c>
      <c r="H24" s="186"/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1"/>
        <v>411.28199999999998</v>
      </c>
      <c r="N24" s="11">
        <f t="shared" si="2"/>
        <v>49.765121999999998</v>
      </c>
      <c r="O24" s="11">
        <f t="shared" si="3"/>
        <v>229.22116799999998</v>
      </c>
      <c r="P24" s="11">
        <f t="shared" si="4"/>
        <v>0</v>
      </c>
    </row>
    <row r="25" spans="1:16">
      <c r="A25" s="44"/>
      <c r="B25" s="5">
        <f t="shared" si="6"/>
        <v>45717</v>
      </c>
      <c r="C25" s="217" t="s">
        <v>17</v>
      </c>
      <c r="D25" s="194" t="s">
        <v>868</v>
      </c>
      <c r="E25" s="186"/>
      <c r="F25" s="2">
        <v>3833.25</v>
      </c>
      <c r="G25" s="3">
        <f t="shared" si="5"/>
        <v>3235.1671687500002</v>
      </c>
      <c r="H25" s="186"/>
      <c r="I25" s="200">
        <v>7.0000000000000007E-2</v>
      </c>
      <c r="J25" s="7">
        <v>1.6500000000000001E-2</v>
      </c>
      <c r="K25" s="7">
        <v>7.5999999999999998E-2</v>
      </c>
      <c r="L25" s="7">
        <v>0</v>
      </c>
      <c r="M25" s="11">
        <f t="shared" si="1"/>
        <v>268.32750000000004</v>
      </c>
      <c r="N25" s="11">
        <f t="shared" si="2"/>
        <v>58.821221250000008</v>
      </c>
      <c r="O25" s="11">
        <f t="shared" si="3"/>
        <v>270.93410999999998</v>
      </c>
      <c r="P25" s="11">
        <f t="shared" si="4"/>
        <v>0</v>
      </c>
    </row>
    <row r="26" spans="1:16">
      <c r="A26" s="44"/>
      <c r="B26" s="5">
        <f t="shared" si="6"/>
        <v>45717</v>
      </c>
      <c r="C26" s="217" t="s">
        <v>17</v>
      </c>
      <c r="D26" s="196" t="s">
        <v>869</v>
      </c>
      <c r="E26" s="186"/>
      <c r="F26" s="2">
        <v>1391.74</v>
      </c>
      <c r="G26" s="3">
        <f t="shared" si="5"/>
        <v>1111.4435640000002</v>
      </c>
      <c r="H26" s="186"/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1"/>
        <v>167.00880000000001</v>
      </c>
      <c r="N26" s="11">
        <f t="shared" si="2"/>
        <v>20.208064799999999</v>
      </c>
      <c r="O26" s="11">
        <f t="shared" si="3"/>
        <v>93.07957119999999</v>
      </c>
      <c r="P26" s="11">
        <f t="shared" si="4"/>
        <v>0</v>
      </c>
    </row>
    <row r="27" spans="1:16">
      <c r="A27" s="44"/>
      <c r="B27" s="5">
        <f t="shared" si="6"/>
        <v>45717</v>
      </c>
      <c r="C27" s="217" t="s">
        <v>17</v>
      </c>
      <c r="D27" s="194" t="s">
        <v>870</v>
      </c>
      <c r="E27" s="186"/>
      <c r="F27" s="2">
        <v>101.93</v>
      </c>
      <c r="G27" s="3">
        <f t="shared" si="5"/>
        <v>81.401297999999997</v>
      </c>
      <c r="H27" s="186"/>
      <c r="I27" s="200">
        <v>0.12</v>
      </c>
      <c r="J27" s="7">
        <v>1.6500000000000001E-2</v>
      </c>
      <c r="K27" s="7">
        <v>7.5999999999999998E-2</v>
      </c>
      <c r="L27" s="7">
        <v>0</v>
      </c>
      <c r="M27" s="11">
        <f t="shared" si="1"/>
        <v>12.2316</v>
      </c>
      <c r="N27" s="11">
        <f t="shared" si="2"/>
        <v>1.4800236000000002</v>
      </c>
      <c r="O27" s="11">
        <f t="shared" si="3"/>
        <v>6.8170784000000006</v>
      </c>
      <c r="P27" s="11">
        <f t="shared" si="4"/>
        <v>0</v>
      </c>
    </row>
    <row r="28" spans="1:16">
      <c r="A28" s="44"/>
      <c r="B28" s="5">
        <f t="shared" si="6"/>
        <v>45717</v>
      </c>
      <c r="C28" s="217" t="s">
        <v>17</v>
      </c>
      <c r="D28" s="194" t="s">
        <v>871</v>
      </c>
      <c r="E28" s="186"/>
      <c r="F28" s="2">
        <v>242656.99</v>
      </c>
      <c r="G28" s="3">
        <f t="shared" si="5"/>
        <v>204796.43313525</v>
      </c>
      <c r="H28" s="186"/>
      <c r="I28" s="200">
        <v>7.0000000000000007E-2</v>
      </c>
      <c r="J28" s="7">
        <v>1.6500000000000001E-2</v>
      </c>
      <c r="K28" s="7">
        <v>7.5999999999999998E-2</v>
      </c>
      <c r="L28" s="7">
        <v>0</v>
      </c>
      <c r="M28" s="11">
        <f t="shared" si="1"/>
        <v>16985.989300000001</v>
      </c>
      <c r="N28" s="11">
        <f t="shared" si="2"/>
        <v>3723.5715115499997</v>
      </c>
      <c r="O28" s="11">
        <f t="shared" si="3"/>
        <v>17150.996053199997</v>
      </c>
      <c r="P28" s="11">
        <f t="shared" si="4"/>
        <v>0</v>
      </c>
    </row>
    <row r="29" spans="1:16">
      <c r="A29" s="44"/>
      <c r="B29" s="5">
        <f t="shared" si="6"/>
        <v>45717</v>
      </c>
      <c r="C29" s="217" t="s">
        <v>17</v>
      </c>
      <c r="D29" s="194" t="s">
        <v>872</v>
      </c>
      <c r="E29" s="186"/>
      <c r="F29" s="2">
        <v>65.23</v>
      </c>
      <c r="G29" s="3">
        <f t="shared" si="5"/>
        <v>52.092678000000006</v>
      </c>
      <c r="H29" s="186"/>
      <c r="I29" s="200">
        <v>0.12</v>
      </c>
      <c r="J29" s="7">
        <v>1.6500000000000001E-2</v>
      </c>
      <c r="K29" s="7">
        <v>7.5999999999999998E-2</v>
      </c>
      <c r="L29" s="7">
        <v>0</v>
      </c>
      <c r="M29" s="11">
        <f t="shared" si="1"/>
        <v>7.8276000000000003</v>
      </c>
      <c r="N29" s="11">
        <f t="shared" si="2"/>
        <v>0.94713960000000008</v>
      </c>
      <c r="O29" s="11">
        <f t="shared" si="3"/>
        <v>4.3625824</v>
      </c>
      <c r="P29" s="11">
        <f t="shared" si="4"/>
        <v>0</v>
      </c>
    </row>
    <row r="30" spans="1:16">
      <c r="A30" s="44"/>
      <c r="B30" s="5">
        <f t="shared" si="6"/>
        <v>45717</v>
      </c>
      <c r="C30" s="217" t="s">
        <v>17</v>
      </c>
      <c r="D30" s="194" t="s">
        <v>873</v>
      </c>
      <c r="E30" s="186"/>
      <c r="F30" s="2">
        <v>958.46</v>
      </c>
      <c r="G30" s="3">
        <f t="shared" si="5"/>
        <v>765.42615599999999</v>
      </c>
      <c r="H30" s="186"/>
      <c r="I30" s="200">
        <v>0.12</v>
      </c>
      <c r="J30" s="7">
        <v>1.6500000000000001E-2</v>
      </c>
      <c r="K30" s="7">
        <v>7.5999999999999998E-2</v>
      </c>
      <c r="L30" s="7">
        <v>0</v>
      </c>
      <c r="M30" s="11">
        <f t="shared" si="1"/>
        <v>115.01520000000001</v>
      </c>
      <c r="N30" s="11">
        <f t="shared" si="2"/>
        <v>13.9168392</v>
      </c>
      <c r="O30" s="11">
        <f t="shared" si="3"/>
        <v>64.101804799999996</v>
      </c>
      <c r="P30" s="11">
        <f t="shared" si="4"/>
        <v>0</v>
      </c>
    </row>
    <row r="31" spans="1:16">
      <c r="A31" s="44"/>
      <c r="B31" s="5">
        <f t="shared" si="6"/>
        <v>45717</v>
      </c>
      <c r="C31" s="217" t="s">
        <v>17</v>
      </c>
      <c r="D31" s="194" t="s">
        <v>874</v>
      </c>
      <c r="E31" s="1">
        <v>8929772</v>
      </c>
      <c r="F31" s="2">
        <v>26957042.75</v>
      </c>
      <c r="G31" s="3">
        <f t="shared" ref="G31:G45" si="7">F31-SUM(M31:P31)</f>
        <v>21527894.340149999</v>
      </c>
      <c r="H31" s="202">
        <f t="shared" ref="H31:H45" si="8">+IF(G31=0,0,G31/E31)</f>
        <v>2.4108000002855614</v>
      </c>
      <c r="I31" s="200">
        <v>0.12</v>
      </c>
      <c r="J31" s="7">
        <v>1.6500000000000001E-2</v>
      </c>
      <c r="K31" s="7">
        <v>7.5999999999999998E-2</v>
      </c>
      <c r="L31" s="7">
        <v>0</v>
      </c>
      <c r="M31" s="11">
        <f t="shared" si="1"/>
        <v>3234845.13</v>
      </c>
      <c r="N31" s="11">
        <f t="shared" si="2"/>
        <v>391416.26073000004</v>
      </c>
      <c r="O31" s="11">
        <f t="shared" si="3"/>
        <v>1802887.0191200001</v>
      </c>
      <c r="P31" s="11">
        <f t="shared" si="4"/>
        <v>0</v>
      </c>
    </row>
    <row r="32" spans="1:16">
      <c r="A32" s="44"/>
      <c r="B32" s="5">
        <f t="shared" si="6"/>
        <v>45717</v>
      </c>
      <c r="C32" s="217" t="s">
        <v>17</v>
      </c>
      <c r="D32" s="194" t="s">
        <v>875</v>
      </c>
      <c r="E32" s="1">
        <v>463723</v>
      </c>
      <c r="F32" s="2">
        <v>1222135.99</v>
      </c>
      <c r="G32" s="3">
        <f t="shared" si="7"/>
        <v>975997.801614</v>
      </c>
      <c r="H32" s="202">
        <f t="shared" si="8"/>
        <v>2.1047000075777995</v>
      </c>
      <c r="I32" s="200">
        <v>0.12</v>
      </c>
      <c r="J32" s="7">
        <v>1.6500000000000001E-2</v>
      </c>
      <c r="K32" s="7">
        <v>7.5999999999999998E-2</v>
      </c>
      <c r="L32" s="7">
        <v>0</v>
      </c>
      <c r="M32" s="11">
        <f t="shared" si="1"/>
        <v>146656.31879999998</v>
      </c>
      <c r="N32" s="11">
        <f t="shared" si="2"/>
        <v>17745.414574800001</v>
      </c>
      <c r="O32" s="11">
        <f t="shared" si="3"/>
        <v>81736.4550112</v>
      </c>
      <c r="P32" s="11">
        <f t="shared" si="4"/>
        <v>0</v>
      </c>
    </row>
    <row r="33" spans="1:16">
      <c r="A33" s="44"/>
      <c r="B33" s="5">
        <f t="shared" si="6"/>
        <v>45717</v>
      </c>
      <c r="C33" s="217" t="s">
        <v>17</v>
      </c>
      <c r="D33" s="194" t="s">
        <v>876</v>
      </c>
      <c r="E33" s="1">
        <v>9958857</v>
      </c>
      <c r="F33" s="2">
        <v>30063626.920000002</v>
      </c>
      <c r="G33" s="3">
        <f t="shared" si="7"/>
        <v>24008812.458312001</v>
      </c>
      <c r="H33" s="202">
        <f t="shared" si="8"/>
        <v>2.4108000002723204</v>
      </c>
      <c r="I33" s="200">
        <v>0.12</v>
      </c>
      <c r="J33" s="7">
        <v>1.6500000000000001E-2</v>
      </c>
      <c r="K33" s="7">
        <v>7.5999999999999998E-2</v>
      </c>
      <c r="L33" s="7">
        <v>0</v>
      </c>
      <c r="M33" s="11">
        <f t="shared" si="1"/>
        <v>3607635.2304000002</v>
      </c>
      <c r="N33" s="11">
        <f t="shared" si="2"/>
        <v>436523.86287840008</v>
      </c>
      <c r="O33" s="11">
        <f t="shared" si="3"/>
        <v>2010655.3684096001</v>
      </c>
      <c r="P33" s="11">
        <f t="shared" si="4"/>
        <v>0</v>
      </c>
    </row>
    <row r="34" spans="1:16">
      <c r="A34" s="44"/>
      <c r="B34" s="5">
        <f t="shared" si="6"/>
        <v>45717</v>
      </c>
      <c r="C34" s="217" t="s">
        <v>17</v>
      </c>
      <c r="D34" s="194" t="s">
        <v>877</v>
      </c>
      <c r="E34" s="1">
        <v>72268</v>
      </c>
      <c r="F34" s="2">
        <v>190461.38</v>
      </c>
      <c r="G34" s="3">
        <f t="shared" si="7"/>
        <v>152102.45806800001</v>
      </c>
      <c r="H34" s="202">
        <f t="shared" si="8"/>
        <v>2.1046999788011291</v>
      </c>
      <c r="I34" s="200">
        <v>0.12</v>
      </c>
      <c r="J34" s="7">
        <v>1.6500000000000001E-2</v>
      </c>
      <c r="K34" s="7">
        <v>7.5999999999999998E-2</v>
      </c>
      <c r="L34" s="7">
        <v>0</v>
      </c>
      <c r="M34" s="11">
        <f t="shared" si="1"/>
        <v>22855.365600000001</v>
      </c>
      <c r="N34" s="11">
        <f t="shared" si="2"/>
        <v>2765.4992376000005</v>
      </c>
      <c r="O34" s="11">
        <f t="shared" si="3"/>
        <v>12738.057094400001</v>
      </c>
      <c r="P34" s="11">
        <f t="shared" si="4"/>
        <v>0</v>
      </c>
    </row>
    <row r="35" spans="1:16">
      <c r="A35" s="44"/>
      <c r="B35" s="5">
        <f t="shared" si="6"/>
        <v>45717</v>
      </c>
      <c r="C35" s="217" t="s">
        <v>17</v>
      </c>
      <c r="D35" s="194" t="s">
        <v>878</v>
      </c>
      <c r="E35" s="1">
        <v>11552</v>
      </c>
      <c r="F35" s="2">
        <v>32775.51</v>
      </c>
      <c r="G35" s="3">
        <f t="shared" si="7"/>
        <v>26174.522285999999</v>
      </c>
      <c r="H35" s="202">
        <f t="shared" si="8"/>
        <v>2.2658000593836563</v>
      </c>
      <c r="I35" s="200">
        <v>0.12</v>
      </c>
      <c r="J35" s="7">
        <v>1.6500000000000001E-2</v>
      </c>
      <c r="K35" s="7">
        <v>7.5999999999999998E-2</v>
      </c>
      <c r="L35" s="7">
        <v>0</v>
      </c>
      <c r="M35" s="11">
        <f t="shared" si="1"/>
        <v>3933.0612000000001</v>
      </c>
      <c r="N35" s="11">
        <f t="shared" si="2"/>
        <v>475.90040520000008</v>
      </c>
      <c r="O35" s="11">
        <f t="shared" si="3"/>
        <v>2192.0261088000002</v>
      </c>
      <c r="P35" s="11">
        <f t="shared" si="4"/>
        <v>0</v>
      </c>
    </row>
    <row r="36" spans="1:16">
      <c r="A36" s="44"/>
      <c r="B36" s="5">
        <f t="shared" si="6"/>
        <v>45717</v>
      </c>
      <c r="C36" s="217" t="s">
        <v>17</v>
      </c>
      <c r="D36" s="194" t="s">
        <v>879</v>
      </c>
      <c r="E36" s="1">
        <v>707476</v>
      </c>
      <c r="F36" s="2">
        <v>2135716.4300000002</v>
      </c>
      <c r="G36" s="3">
        <f t="shared" si="7"/>
        <v>1705583.140998</v>
      </c>
      <c r="H36" s="202">
        <f t="shared" si="8"/>
        <v>2.4108000002798682</v>
      </c>
      <c r="I36" s="200">
        <v>0.12</v>
      </c>
      <c r="J36" s="7">
        <v>1.6500000000000001E-2</v>
      </c>
      <c r="K36" s="7">
        <v>7.5999999999999998E-2</v>
      </c>
      <c r="L36" s="7">
        <v>0</v>
      </c>
      <c r="M36" s="11">
        <f t="shared" si="1"/>
        <v>256285.97160000002</v>
      </c>
      <c r="N36" s="11">
        <f t="shared" si="2"/>
        <v>31010.602563600005</v>
      </c>
      <c r="O36" s="11">
        <f t="shared" si="3"/>
        <v>142836.71483840002</v>
      </c>
      <c r="P36" s="11">
        <f t="shared" si="4"/>
        <v>0</v>
      </c>
    </row>
    <row r="37" spans="1:16">
      <c r="A37" s="44"/>
      <c r="B37" s="5">
        <f t="shared" si="6"/>
        <v>45717</v>
      </c>
      <c r="C37" s="217" t="s">
        <v>17</v>
      </c>
      <c r="D37" s="194" t="s">
        <v>880</v>
      </c>
      <c r="E37" s="1">
        <v>131487</v>
      </c>
      <c r="F37" s="2">
        <v>373056.9</v>
      </c>
      <c r="G37" s="3">
        <f t="shared" si="7"/>
        <v>297923.24034000002</v>
      </c>
      <c r="H37" s="202">
        <f t="shared" si="8"/>
        <v>2.2657999676013598</v>
      </c>
      <c r="I37" s="200">
        <v>0.12</v>
      </c>
      <c r="J37" s="7">
        <v>1.6500000000000001E-2</v>
      </c>
      <c r="K37" s="7">
        <v>7.5999999999999998E-2</v>
      </c>
      <c r="L37" s="7">
        <v>0</v>
      </c>
      <c r="M37" s="11">
        <f t="shared" si="1"/>
        <v>44766.828000000001</v>
      </c>
      <c r="N37" s="11">
        <f t="shared" si="2"/>
        <v>5416.7861880000009</v>
      </c>
      <c r="O37" s="11">
        <f t="shared" si="3"/>
        <v>24950.045472000002</v>
      </c>
      <c r="P37" s="11">
        <f t="shared" si="4"/>
        <v>0</v>
      </c>
    </row>
    <row r="38" spans="1:16">
      <c r="A38" s="44"/>
      <c r="B38" s="5">
        <f t="shared" si="6"/>
        <v>45717</v>
      </c>
      <c r="C38" s="217" t="s">
        <v>17</v>
      </c>
      <c r="D38" s="194" t="s">
        <v>881</v>
      </c>
      <c r="E38" s="1">
        <v>8324836</v>
      </c>
      <c r="F38" s="2">
        <v>23779750.149999999</v>
      </c>
      <c r="G38" s="3">
        <f t="shared" si="7"/>
        <v>20069514.632846247</v>
      </c>
      <c r="H38" s="202">
        <f t="shared" si="8"/>
        <v>2.4108000004860455</v>
      </c>
      <c r="I38" s="200">
        <v>7.0000000000000007E-2</v>
      </c>
      <c r="J38" s="7">
        <v>1.6500000000000001E-2</v>
      </c>
      <c r="K38" s="7">
        <v>7.5999999999999998E-2</v>
      </c>
      <c r="L38" s="7">
        <v>0</v>
      </c>
      <c r="M38" s="11">
        <f t="shared" ref="M38:M45" si="9">+I38*F38</f>
        <v>1664582.5105000001</v>
      </c>
      <c r="N38" s="11">
        <f t="shared" ref="N38:N45" si="10">J38*(F38-M38)</f>
        <v>364900.26605174999</v>
      </c>
      <c r="O38" s="11">
        <f t="shared" ref="O38:O45" si="11">K38*(F38-M38)</f>
        <v>1680752.7406019999</v>
      </c>
      <c r="P38" s="11">
        <f t="shared" ref="P38:P45" si="12">L38*(F38)</f>
        <v>0</v>
      </c>
    </row>
    <row r="39" spans="1:16">
      <c r="A39" s="44"/>
      <c r="B39" s="5">
        <f t="shared" si="6"/>
        <v>45717</v>
      </c>
      <c r="C39" s="217" t="s">
        <v>17</v>
      </c>
      <c r="D39" s="194" t="s">
        <v>882</v>
      </c>
      <c r="E39" s="1">
        <v>392943</v>
      </c>
      <c r="F39" s="2">
        <v>979918.99</v>
      </c>
      <c r="G39" s="3">
        <f t="shared" si="7"/>
        <v>827027.12958525005</v>
      </c>
      <c r="H39" s="202">
        <f t="shared" si="8"/>
        <v>2.1046999936002169</v>
      </c>
      <c r="I39" s="200">
        <v>7.0000000000000007E-2</v>
      </c>
      <c r="J39" s="7">
        <v>1.6500000000000001E-2</v>
      </c>
      <c r="K39" s="7">
        <v>7.5999999999999998E-2</v>
      </c>
      <c r="L39" s="7">
        <v>0</v>
      </c>
      <c r="M39" s="11">
        <f t="shared" si="9"/>
        <v>68594.329300000012</v>
      </c>
      <c r="N39" s="11">
        <f t="shared" si="10"/>
        <v>15036.856901550002</v>
      </c>
      <c r="O39" s="11">
        <f t="shared" si="11"/>
        <v>69260.674213199993</v>
      </c>
      <c r="P39" s="11">
        <f t="shared" si="12"/>
        <v>0</v>
      </c>
    </row>
    <row r="40" spans="1:16">
      <c r="A40" s="44"/>
      <c r="B40" s="5">
        <f t="shared" si="6"/>
        <v>45717</v>
      </c>
      <c r="C40" s="217" t="s">
        <v>17</v>
      </c>
      <c r="D40" s="194" t="s">
        <v>883</v>
      </c>
      <c r="E40" s="1">
        <v>1472</v>
      </c>
      <c r="F40" s="2">
        <v>3879.44</v>
      </c>
      <c r="G40" s="3">
        <f t="shared" si="7"/>
        <v>3098.1207839999997</v>
      </c>
      <c r="H40" s="202">
        <f t="shared" si="8"/>
        <v>2.1047016195652173</v>
      </c>
      <c r="I40" s="200">
        <v>0.12</v>
      </c>
      <c r="J40" s="7">
        <v>1.6500000000000001E-2</v>
      </c>
      <c r="K40" s="7">
        <v>7.5999999999999998E-2</v>
      </c>
      <c r="L40" s="7">
        <v>0</v>
      </c>
      <c r="M40" s="11">
        <f t="shared" si="9"/>
        <v>465.53280000000001</v>
      </c>
      <c r="N40" s="11">
        <f t="shared" si="10"/>
        <v>56.329468800000008</v>
      </c>
      <c r="O40" s="11">
        <f t="shared" si="11"/>
        <v>259.4569472</v>
      </c>
      <c r="P40" s="11">
        <f t="shared" si="12"/>
        <v>0</v>
      </c>
    </row>
    <row r="41" spans="1:16">
      <c r="A41" s="44"/>
      <c r="B41" s="5">
        <f t="shared" si="6"/>
        <v>45717</v>
      </c>
      <c r="C41" s="217" t="s">
        <v>17</v>
      </c>
      <c r="D41" s="194" t="s">
        <v>884</v>
      </c>
      <c r="E41" s="1">
        <v>314183</v>
      </c>
      <c r="F41" s="2">
        <v>948450.26</v>
      </c>
      <c r="G41" s="3">
        <f t="shared" si="7"/>
        <v>757432.37763600005</v>
      </c>
      <c r="H41" s="202">
        <f t="shared" si="8"/>
        <v>2.4108000039340132</v>
      </c>
      <c r="I41" s="200">
        <v>0.12</v>
      </c>
      <c r="J41" s="7">
        <v>1.6500000000000001E-2</v>
      </c>
      <c r="K41" s="7">
        <v>7.5999999999999998E-2</v>
      </c>
      <c r="L41" s="7">
        <v>0</v>
      </c>
      <c r="M41" s="11">
        <f t="shared" si="9"/>
        <v>113814.0312</v>
      </c>
      <c r="N41" s="11">
        <f t="shared" si="10"/>
        <v>13771.497775200001</v>
      </c>
      <c r="O41" s="11">
        <f t="shared" si="11"/>
        <v>63432.353388800002</v>
      </c>
      <c r="P41" s="11">
        <f t="shared" si="12"/>
        <v>0</v>
      </c>
    </row>
    <row r="42" spans="1:16">
      <c r="A42" s="44"/>
      <c r="B42" s="5">
        <f t="shared" si="6"/>
        <v>45717</v>
      </c>
      <c r="C42" s="217" t="s">
        <v>17</v>
      </c>
      <c r="D42" s="194" t="s">
        <v>885</v>
      </c>
      <c r="E42" s="1">
        <v>632456</v>
      </c>
      <c r="F42" s="2">
        <v>1666829.63</v>
      </c>
      <c r="G42" s="3">
        <f t="shared" si="7"/>
        <v>1331130.142518</v>
      </c>
      <c r="H42" s="202">
        <f t="shared" si="8"/>
        <v>2.1046999989216642</v>
      </c>
      <c r="I42" s="200">
        <v>0.12</v>
      </c>
      <c r="J42" s="7">
        <v>1.6500000000000001E-2</v>
      </c>
      <c r="K42" s="7">
        <v>7.5999999999999998E-2</v>
      </c>
      <c r="L42" s="7">
        <v>0</v>
      </c>
      <c r="M42" s="11">
        <f t="shared" si="9"/>
        <v>200019.55559999999</v>
      </c>
      <c r="N42" s="11">
        <f t="shared" si="10"/>
        <v>24202.3662276</v>
      </c>
      <c r="O42" s="11">
        <f t="shared" si="11"/>
        <v>111477.56565439998</v>
      </c>
      <c r="P42" s="11">
        <f t="shared" si="12"/>
        <v>0</v>
      </c>
    </row>
    <row r="43" spans="1:16">
      <c r="A43" s="44"/>
      <c r="B43" s="5">
        <f t="shared" si="6"/>
        <v>45717</v>
      </c>
      <c r="C43" s="217" t="s">
        <v>17</v>
      </c>
      <c r="D43" s="194" t="s">
        <v>886</v>
      </c>
      <c r="E43" s="1">
        <v>115544</v>
      </c>
      <c r="F43" s="2">
        <v>327823.19</v>
      </c>
      <c r="G43" s="3">
        <f t="shared" si="7"/>
        <v>261799.59953400001</v>
      </c>
      <c r="H43" s="202">
        <f t="shared" si="8"/>
        <v>2.2658000375095204</v>
      </c>
      <c r="I43" s="200">
        <v>0.12</v>
      </c>
      <c r="J43" s="7">
        <v>1.6500000000000001E-2</v>
      </c>
      <c r="K43" s="7">
        <v>7.5999999999999998E-2</v>
      </c>
      <c r="L43" s="7">
        <v>0</v>
      </c>
      <c r="M43" s="11">
        <f t="shared" si="9"/>
        <v>39338.782800000001</v>
      </c>
      <c r="N43" s="11">
        <f t="shared" si="10"/>
        <v>4759.9927188000001</v>
      </c>
      <c r="O43" s="11">
        <f t="shared" si="11"/>
        <v>21924.8149472</v>
      </c>
      <c r="P43" s="11">
        <f t="shared" si="12"/>
        <v>0</v>
      </c>
    </row>
    <row r="44" spans="1:16">
      <c r="A44" s="44"/>
      <c r="B44" s="5">
        <f t="shared" si="6"/>
        <v>45717</v>
      </c>
      <c r="C44" s="217" t="s">
        <v>17</v>
      </c>
      <c r="D44" s="194" t="s">
        <v>887</v>
      </c>
      <c r="E44" s="1">
        <v>83878</v>
      </c>
      <c r="F44" s="2">
        <v>225185.31</v>
      </c>
      <c r="G44" s="3">
        <f t="shared" si="7"/>
        <v>190050.77200724999</v>
      </c>
      <c r="H44" s="202">
        <f t="shared" si="8"/>
        <v>2.2657999953176042</v>
      </c>
      <c r="I44" s="200">
        <v>7.0000000000000007E-2</v>
      </c>
      <c r="J44" s="7">
        <v>1.6500000000000001E-2</v>
      </c>
      <c r="K44" s="7">
        <v>7.5999999999999998E-2</v>
      </c>
      <c r="L44" s="7">
        <v>0</v>
      </c>
      <c r="M44" s="11">
        <f t="shared" si="9"/>
        <v>15762.971700000002</v>
      </c>
      <c r="N44" s="11">
        <f t="shared" si="10"/>
        <v>3455.46858195</v>
      </c>
      <c r="O44" s="11">
        <f t="shared" si="11"/>
        <v>15916.097710800001</v>
      </c>
      <c r="P44" s="11">
        <f t="shared" si="12"/>
        <v>0</v>
      </c>
    </row>
    <row r="45" spans="1:16">
      <c r="A45" s="44"/>
      <c r="B45" s="5">
        <f t="shared" si="6"/>
        <v>45717</v>
      </c>
      <c r="C45" s="217" t="s">
        <v>17</v>
      </c>
      <c r="D45" s="194" t="s">
        <v>888</v>
      </c>
      <c r="E45" s="1">
        <v>5980</v>
      </c>
      <c r="F45" s="2">
        <v>16966.54</v>
      </c>
      <c r="G45" s="3">
        <f t="shared" si="7"/>
        <v>13549.478844000001</v>
      </c>
      <c r="H45" s="202">
        <f t="shared" si="8"/>
        <v>2.2657991377926425</v>
      </c>
      <c r="I45" s="200">
        <v>0.12</v>
      </c>
      <c r="J45" s="7">
        <v>1.6500000000000001E-2</v>
      </c>
      <c r="K45" s="7">
        <v>7.5999999999999998E-2</v>
      </c>
      <c r="L45" s="7">
        <v>0</v>
      </c>
      <c r="M45" s="11">
        <f t="shared" si="9"/>
        <v>2035.9848</v>
      </c>
      <c r="N45" s="11">
        <f t="shared" si="10"/>
        <v>246.35416080000002</v>
      </c>
      <c r="O45" s="11">
        <f t="shared" si="11"/>
        <v>1134.7221952</v>
      </c>
      <c r="P45" s="11">
        <f t="shared" si="12"/>
        <v>0</v>
      </c>
    </row>
    <row r="46" spans="1:16">
      <c r="A46" s="44"/>
      <c r="B46" s="5">
        <f>B45</f>
        <v>45717</v>
      </c>
      <c r="C46" s="218" t="s">
        <v>830</v>
      </c>
      <c r="D46" s="194" t="s">
        <v>890</v>
      </c>
      <c r="E46" s="1">
        <v>1261205</v>
      </c>
      <c r="F46" s="2">
        <v>3047800.12</v>
      </c>
      <c r="G46" s="3">
        <f t="shared" si="5"/>
        <v>2433973.1758320001</v>
      </c>
      <c r="H46" s="202">
        <f>+IF(G46=0,0,G46/E46)</f>
        <v>1.9298791043739916</v>
      </c>
      <c r="I46" s="200">
        <v>0.12</v>
      </c>
      <c r="J46" s="7">
        <v>1.6500000000000001E-2</v>
      </c>
      <c r="K46" s="7">
        <v>7.5999999999999998E-2</v>
      </c>
      <c r="L46" s="7">
        <v>0</v>
      </c>
      <c r="M46" s="11">
        <f t="shared" si="1"/>
        <v>365736.01439999999</v>
      </c>
      <c r="N46" s="11">
        <f t="shared" si="2"/>
        <v>44254.057742400008</v>
      </c>
      <c r="O46" s="11">
        <f t="shared" si="3"/>
        <v>203836.87202560002</v>
      </c>
      <c r="P46" s="11">
        <f t="shared" si="4"/>
        <v>0</v>
      </c>
    </row>
    <row r="47" spans="1:16">
      <c r="A47" s="44"/>
      <c r="B47" s="5">
        <f t="shared" si="6"/>
        <v>45717</v>
      </c>
      <c r="C47" s="218" t="s">
        <v>830</v>
      </c>
      <c r="D47" s="194" t="s">
        <v>891</v>
      </c>
      <c r="E47" s="1">
        <v>4938795</v>
      </c>
      <c r="F47" s="2">
        <v>11924368.189999999</v>
      </c>
      <c r="G47" s="3">
        <f t="shared" si="5"/>
        <v>9522800.4365339987</v>
      </c>
      <c r="H47" s="202">
        <f t="shared" ref="H47:H56" si="13">+IF(G47=0,0,G47/E47)</f>
        <v>1.9281627272510802</v>
      </c>
      <c r="I47" s="200">
        <v>0.12</v>
      </c>
      <c r="J47" s="7">
        <v>1.6500000000000001E-2</v>
      </c>
      <c r="K47" s="7">
        <v>7.5999999999999998E-2</v>
      </c>
      <c r="L47" s="7">
        <v>0</v>
      </c>
      <c r="M47" s="11">
        <f t="shared" si="1"/>
        <v>1430924.1827999998</v>
      </c>
      <c r="N47" s="11">
        <f t="shared" si="2"/>
        <v>173141.8261188</v>
      </c>
      <c r="O47" s="11">
        <f t="shared" si="3"/>
        <v>797501.74454719992</v>
      </c>
      <c r="P47" s="11">
        <f t="shared" si="4"/>
        <v>0</v>
      </c>
    </row>
    <row r="48" spans="1:16">
      <c r="A48" s="44"/>
      <c r="B48" s="5">
        <f t="shared" si="6"/>
        <v>45717</v>
      </c>
      <c r="C48" s="219" t="s">
        <v>440</v>
      </c>
      <c r="D48" s="194" t="s">
        <v>893</v>
      </c>
      <c r="E48" s="1">
        <v>310000</v>
      </c>
      <c r="F48" s="2">
        <v>785137</v>
      </c>
      <c r="G48" s="3">
        <f t="shared" si="5"/>
        <v>662635.99957500002</v>
      </c>
      <c r="H48" s="202">
        <f t="shared" si="13"/>
        <v>2.1375354825000001</v>
      </c>
      <c r="I48" s="7">
        <v>7.0000000000000007E-2</v>
      </c>
      <c r="J48" s="7">
        <v>1.6500000000000001E-2</v>
      </c>
      <c r="K48" s="7">
        <v>7.5999999999999998E-2</v>
      </c>
      <c r="L48" s="7">
        <v>0</v>
      </c>
      <c r="M48" s="11">
        <f t="shared" si="1"/>
        <v>54959.590000000004</v>
      </c>
      <c r="N48" s="11">
        <f t="shared" si="2"/>
        <v>12047.927265</v>
      </c>
      <c r="O48" s="11">
        <f t="shared" si="3"/>
        <v>55493.483160000003</v>
      </c>
      <c r="P48" s="11">
        <f t="shared" si="4"/>
        <v>0</v>
      </c>
    </row>
    <row r="49" spans="1:16">
      <c r="A49" s="44"/>
      <c r="B49" s="5">
        <f t="shared" si="6"/>
        <v>45717</v>
      </c>
      <c r="C49" s="217" t="s">
        <v>491</v>
      </c>
      <c r="D49" s="194" t="s">
        <v>892</v>
      </c>
      <c r="E49" s="1">
        <v>6200000</v>
      </c>
      <c r="F49" s="2">
        <v>16513924.369999999</v>
      </c>
      <c r="G49" s="3">
        <f t="shared" si="5"/>
        <v>13188020.001882</v>
      </c>
      <c r="H49" s="202">
        <f>+IF(G49=0,0,G49/E49)</f>
        <v>2.1271000003035483</v>
      </c>
      <c r="I49" s="7">
        <v>0.12</v>
      </c>
      <c r="J49" s="7">
        <v>1.6500000000000001E-2</v>
      </c>
      <c r="K49" s="7">
        <v>7.5999999999999998E-2</v>
      </c>
      <c r="L49" s="7">
        <v>0</v>
      </c>
      <c r="M49" s="11">
        <f t="shared" si="1"/>
        <v>1981670.9243999999</v>
      </c>
      <c r="N49" s="11">
        <f t="shared" si="2"/>
        <v>239782.18185240001</v>
      </c>
      <c r="O49" s="11">
        <f t="shared" si="3"/>
        <v>1104451.2618656</v>
      </c>
      <c r="P49" s="11">
        <f t="shared" si="4"/>
        <v>0</v>
      </c>
    </row>
    <row r="50" spans="1:16" hidden="1">
      <c r="A50" s="44"/>
      <c r="B50" s="5">
        <f t="shared" si="6"/>
        <v>45717</v>
      </c>
      <c r="C50" s="1" t="s">
        <v>491</v>
      </c>
      <c r="D50" s="194"/>
      <c r="E50" s="185"/>
      <c r="F50" s="2"/>
      <c r="G50" s="3">
        <f t="shared" ref="G50" si="14">F50-SUM(M50:P50)</f>
        <v>0</v>
      </c>
      <c r="H50" s="202">
        <f>+IF(G50=0,0,G50/E50)</f>
        <v>0</v>
      </c>
      <c r="I50" s="7"/>
      <c r="J50" s="7">
        <v>1.6500000000000001E-2</v>
      </c>
      <c r="K50" s="7">
        <v>7.5999999999999998E-2</v>
      </c>
      <c r="L50" s="7">
        <v>0</v>
      </c>
      <c r="M50" s="11">
        <f t="shared" si="1"/>
        <v>0</v>
      </c>
      <c r="N50" s="11">
        <f t="shared" si="2"/>
        <v>0</v>
      </c>
      <c r="O50" s="11">
        <f t="shared" si="3"/>
        <v>0</v>
      </c>
      <c r="P50" s="11">
        <f t="shared" si="4"/>
        <v>0</v>
      </c>
    </row>
    <row r="51" spans="1:16" hidden="1">
      <c r="A51" s="44"/>
      <c r="B51" s="5">
        <f>B47</f>
        <v>45717</v>
      </c>
      <c r="C51" s="1" t="s">
        <v>491</v>
      </c>
      <c r="D51" s="194"/>
      <c r="E51" s="1"/>
      <c r="F51" s="2"/>
      <c r="G51" s="3">
        <f t="shared" ref="G51:G52" si="15">F51-SUM(M51:P51)</f>
        <v>0</v>
      </c>
      <c r="H51" s="202">
        <f t="shared" si="13"/>
        <v>0</v>
      </c>
      <c r="I51" s="7"/>
      <c r="J51" s="7">
        <v>1.6500000000000001E-2</v>
      </c>
      <c r="K51" s="7">
        <v>7.5999999999999998E-2</v>
      </c>
      <c r="L51" s="7">
        <v>0</v>
      </c>
      <c r="M51" s="11">
        <f t="shared" si="1"/>
        <v>0</v>
      </c>
      <c r="N51" s="11">
        <f t="shared" si="2"/>
        <v>0</v>
      </c>
      <c r="O51" s="11">
        <f t="shared" si="3"/>
        <v>0</v>
      </c>
      <c r="P51" s="11">
        <f t="shared" si="4"/>
        <v>0</v>
      </c>
    </row>
    <row r="52" spans="1:16" hidden="1">
      <c r="A52" s="44"/>
      <c r="B52" s="5">
        <f>B48</f>
        <v>45717</v>
      </c>
      <c r="C52" s="1" t="s">
        <v>491</v>
      </c>
      <c r="D52" s="195"/>
      <c r="E52" s="118"/>
      <c r="F52" s="2"/>
      <c r="G52" s="3">
        <f t="shared" si="15"/>
        <v>0</v>
      </c>
      <c r="H52" s="202">
        <f t="shared" si="13"/>
        <v>0</v>
      </c>
      <c r="I52" s="7"/>
      <c r="J52" s="7">
        <v>1.6500000000000001E-2</v>
      </c>
      <c r="K52" s="7">
        <v>7.5999999999999998E-2</v>
      </c>
      <c r="L52" s="7">
        <v>0</v>
      </c>
      <c r="M52" s="11">
        <f t="shared" si="1"/>
        <v>0</v>
      </c>
      <c r="N52" s="11">
        <f t="shared" si="2"/>
        <v>0</v>
      </c>
      <c r="O52" s="11">
        <f t="shared" si="3"/>
        <v>0</v>
      </c>
      <c r="P52" s="11">
        <f t="shared" si="4"/>
        <v>0</v>
      </c>
    </row>
    <row r="53" spans="1:16">
      <c r="A53" s="44"/>
      <c r="B53" s="5">
        <f>B49</f>
        <v>45717</v>
      </c>
      <c r="C53" s="220" t="s">
        <v>756</v>
      </c>
      <c r="D53" s="195" t="s">
        <v>895</v>
      </c>
      <c r="E53" s="118">
        <v>824545.82</v>
      </c>
      <c r="F53" s="2">
        <v>3925827.55</v>
      </c>
      <c r="G53" s="3">
        <f t="shared" si="5"/>
        <v>2832337.3587918747</v>
      </c>
      <c r="H53" s="202">
        <f t="shared" si="13"/>
        <v>3.4350272478391495</v>
      </c>
      <c r="I53" s="7">
        <v>0.20499999999999999</v>
      </c>
      <c r="J53" s="200">
        <v>1.6500000000000001E-2</v>
      </c>
      <c r="K53" s="200">
        <v>7.5999999999999998E-2</v>
      </c>
      <c r="L53" s="200">
        <v>0</v>
      </c>
      <c r="M53" s="11">
        <f t="shared" si="1"/>
        <v>804794.64774999989</v>
      </c>
      <c r="N53" s="11">
        <f t="shared" si="2"/>
        <v>51497.042887124997</v>
      </c>
      <c r="O53" s="11">
        <f t="shared" si="3"/>
        <v>237198.50057099998</v>
      </c>
      <c r="P53" s="11">
        <f t="shared" si="4"/>
        <v>0</v>
      </c>
    </row>
    <row r="54" spans="1:16" hidden="1">
      <c r="A54" s="44"/>
      <c r="B54" s="5">
        <f t="shared" si="6"/>
        <v>45717</v>
      </c>
      <c r="C54" s="220" t="s">
        <v>756</v>
      </c>
      <c r="D54" s="212"/>
      <c r="E54" s="118"/>
      <c r="F54" s="2"/>
      <c r="G54" s="3">
        <f t="shared" ref="G54" si="16">F54-SUM(M54:P54)</f>
        <v>0</v>
      </c>
      <c r="H54" s="202">
        <f t="shared" si="13"/>
        <v>0</v>
      </c>
      <c r="I54" s="7"/>
      <c r="J54" s="200">
        <v>1.6500000000000001E-2</v>
      </c>
      <c r="K54" s="200">
        <v>7.5999999999999998E-2</v>
      </c>
      <c r="L54" s="200">
        <v>0</v>
      </c>
      <c r="M54" s="11">
        <f t="shared" si="1"/>
        <v>0</v>
      </c>
      <c r="N54" s="11">
        <f t="shared" si="2"/>
        <v>0</v>
      </c>
      <c r="O54" s="11">
        <f t="shared" si="3"/>
        <v>0</v>
      </c>
      <c r="P54" s="11">
        <f t="shared" si="4"/>
        <v>0</v>
      </c>
    </row>
    <row r="55" spans="1:16">
      <c r="A55" s="44"/>
      <c r="B55" s="5">
        <f>B54</f>
        <v>45717</v>
      </c>
      <c r="C55" s="220" t="s">
        <v>757</v>
      </c>
      <c r="D55" s="212" t="s">
        <v>894</v>
      </c>
      <c r="E55" s="118">
        <v>124987.59</v>
      </c>
      <c r="F55" s="2">
        <v>663171.65</v>
      </c>
      <c r="G55" s="3">
        <f t="shared" ref="G55:G158" si="17">F55-SUM(M55:P55)</f>
        <v>478453.47653812502</v>
      </c>
      <c r="H55" s="202">
        <f t="shared" si="13"/>
        <v>3.8280078569250358</v>
      </c>
      <c r="I55" s="7">
        <v>0.20499999999999999</v>
      </c>
      <c r="J55" s="7">
        <v>1.6500000000000001E-2</v>
      </c>
      <c r="K55" s="7">
        <v>7.5999999999999998E-2</v>
      </c>
      <c r="L55" s="7">
        <v>0</v>
      </c>
      <c r="M55" s="11">
        <f t="shared" si="1"/>
        <v>135950.18825000001</v>
      </c>
      <c r="N55" s="11">
        <f t="shared" si="2"/>
        <v>8699.1541188750016</v>
      </c>
      <c r="O55" s="11">
        <f t="shared" si="3"/>
        <v>40068.831093000001</v>
      </c>
      <c r="P55" s="11">
        <f t="shared" si="4"/>
        <v>0</v>
      </c>
    </row>
    <row r="56" spans="1:16" ht="15" hidden="1" customHeight="1">
      <c r="A56" s="44"/>
      <c r="B56" s="5">
        <f>B55</f>
        <v>45717</v>
      </c>
      <c r="C56" s="1" t="s">
        <v>757</v>
      </c>
      <c r="D56" s="195"/>
      <c r="E56" s="118"/>
      <c r="F56" s="2"/>
      <c r="G56" s="3">
        <f t="shared" si="17"/>
        <v>0</v>
      </c>
      <c r="H56" s="202">
        <f t="shared" si="13"/>
        <v>0</v>
      </c>
      <c r="I56" s="7"/>
      <c r="J56" s="7">
        <v>1.6500000000000001E-2</v>
      </c>
      <c r="K56" s="7">
        <v>7.5999999999999998E-2</v>
      </c>
      <c r="L56" s="7">
        <v>0</v>
      </c>
      <c r="M56" s="11">
        <f t="shared" si="1"/>
        <v>0</v>
      </c>
      <c r="N56" s="11">
        <f t="shared" si="2"/>
        <v>0</v>
      </c>
      <c r="O56" s="11">
        <f t="shared" si="3"/>
        <v>0</v>
      </c>
      <c r="P56" s="11">
        <f t="shared" si="4"/>
        <v>0</v>
      </c>
    </row>
    <row r="57" spans="1:16" ht="15" customHeight="1">
      <c r="A57" s="44"/>
      <c r="B57" s="5">
        <f>B56</f>
        <v>45717</v>
      </c>
      <c r="C57" s="221" t="s">
        <v>792</v>
      </c>
      <c r="D57" s="195" t="s">
        <v>896</v>
      </c>
      <c r="E57" s="186"/>
      <c r="F57" s="2">
        <v>320196.15999999997</v>
      </c>
      <c r="G57" s="3">
        <f t="shared" si="17"/>
        <v>290578.01519999997</v>
      </c>
      <c r="H57" s="187"/>
      <c r="I57" s="193"/>
      <c r="J57" s="7">
        <v>1.6500000000000001E-2</v>
      </c>
      <c r="K57" s="7">
        <v>7.5999999999999998E-2</v>
      </c>
      <c r="L57" s="7">
        <v>0</v>
      </c>
      <c r="M57" s="11">
        <f t="shared" si="1"/>
        <v>0</v>
      </c>
      <c r="N57" s="11">
        <f t="shared" si="2"/>
        <v>5283.2366400000001</v>
      </c>
      <c r="O57" s="11">
        <f t="shared" si="3"/>
        <v>24334.908159999999</v>
      </c>
      <c r="P57" s="11">
        <f t="shared" si="4"/>
        <v>0</v>
      </c>
    </row>
    <row r="58" spans="1:16" hidden="1">
      <c r="A58" s="44"/>
      <c r="B58" s="5">
        <f>B57</f>
        <v>45717</v>
      </c>
      <c r="C58" s="1" t="s">
        <v>690</v>
      </c>
      <c r="D58" s="195"/>
      <c r="E58" s="118"/>
      <c r="F58" s="2"/>
      <c r="G58" s="3">
        <f t="shared" si="17"/>
        <v>0</v>
      </c>
      <c r="H58" s="202">
        <f t="shared" ref="H58:H60" si="18">+IF(G58=0,0,G58/E58)</f>
        <v>0</v>
      </c>
      <c r="I58" s="7"/>
      <c r="J58" s="7">
        <v>1.6500000000000001E-2</v>
      </c>
      <c r="K58" s="7">
        <v>7.5999999999999998E-2</v>
      </c>
      <c r="L58" s="7">
        <v>0</v>
      </c>
      <c r="M58" s="11">
        <f t="shared" si="1"/>
        <v>0</v>
      </c>
      <c r="N58" s="11">
        <f t="shared" si="2"/>
        <v>0</v>
      </c>
      <c r="O58" s="11">
        <f t="shared" si="3"/>
        <v>0</v>
      </c>
      <c r="P58" s="11">
        <f t="shared" si="4"/>
        <v>0</v>
      </c>
    </row>
    <row r="59" spans="1:16" hidden="1">
      <c r="A59" s="44"/>
      <c r="B59" s="5">
        <f t="shared" ref="B59:B118" si="19">B58</f>
        <v>45717</v>
      </c>
      <c r="C59" s="1" t="s">
        <v>690</v>
      </c>
      <c r="D59" s="195"/>
      <c r="E59" s="118"/>
      <c r="F59" s="2"/>
      <c r="G59" s="3">
        <f t="shared" si="17"/>
        <v>0</v>
      </c>
      <c r="H59" s="202">
        <f t="shared" si="18"/>
        <v>0</v>
      </c>
      <c r="I59" s="7"/>
      <c r="J59" s="7">
        <v>1.6500000000000001E-2</v>
      </c>
      <c r="K59" s="7">
        <v>7.5999999999999998E-2</v>
      </c>
      <c r="L59" s="7">
        <v>0</v>
      </c>
      <c r="M59" s="11">
        <f t="shared" si="1"/>
        <v>0</v>
      </c>
      <c r="N59" s="11">
        <f t="shared" si="2"/>
        <v>0</v>
      </c>
      <c r="O59" s="11">
        <f t="shared" si="3"/>
        <v>0</v>
      </c>
      <c r="P59" s="11">
        <f t="shared" si="4"/>
        <v>0</v>
      </c>
    </row>
    <row r="60" spans="1:16" hidden="1">
      <c r="A60" s="44"/>
      <c r="B60" s="5">
        <f t="shared" si="19"/>
        <v>45717</v>
      </c>
      <c r="C60" s="1" t="s">
        <v>689</v>
      </c>
      <c r="D60" s="195"/>
      <c r="E60" s="118"/>
      <c r="F60" s="2"/>
      <c r="G60" s="3">
        <f t="shared" si="17"/>
        <v>0</v>
      </c>
      <c r="H60" s="202">
        <f t="shared" si="18"/>
        <v>0</v>
      </c>
      <c r="I60" s="7"/>
      <c r="J60" s="7">
        <v>1.6500000000000001E-2</v>
      </c>
      <c r="K60" s="7">
        <v>7.5999999999999998E-2</v>
      </c>
      <c r="L60" s="7">
        <v>0</v>
      </c>
      <c r="M60" s="11">
        <f t="shared" si="1"/>
        <v>0</v>
      </c>
      <c r="N60" s="11">
        <f t="shared" si="2"/>
        <v>0</v>
      </c>
      <c r="O60" s="11">
        <f t="shared" si="3"/>
        <v>0</v>
      </c>
      <c r="P60" s="11">
        <f t="shared" si="4"/>
        <v>0</v>
      </c>
    </row>
    <row r="61" spans="1:16" ht="15" customHeight="1">
      <c r="A61" s="44"/>
      <c r="B61" s="5">
        <f t="shared" si="19"/>
        <v>45717</v>
      </c>
      <c r="C61" s="218" t="s">
        <v>533</v>
      </c>
      <c r="D61" s="195">
        <v>20840</v>
      </c>
      <c r="E61" s="186"/>
      <c r="F61" s="2">
        <v>151654.15</v>
      </c>
      <c r="G61" s="3">
        <f t="shared" si="17"/>
        <v>121111.00418999999</v>
      </c>
      <c r="H61" s="187"/>
      <c r="I61" s="7">
        <v>0.12</v>
      </c>
      <c r="J61" s="7">
        <v>1.6500000000000001E-2</v>
      </c>
      <c r="K61" s="7">
        <v>7.5999999999999998E-2</v>
      </c>
      <c r="L61" s="7">
        <v>0</v>
      </c>
      <c r="M61" s="11">
        <f t="shared" si="1"/>
        <v>18198.498</v>
      </c>
      <c r="N61" s="11">
        <f t="shared" si="2"/>
        <v>2202.0182580000001</v>
      </c>
      <c r="O61" s="11">
        <f t="shared" si="3"/>
        <v>10142.629552</v>
      </c>
      <c r="P61" s="11">
        <f t="shared" si="4"/>
        <v>0</v>
      </c>
    </row>
    <row r="62" spans="1:16" ht="15" customHeight="1">
      <c r="A62" s="44"/>
      <c r="B62" s="5">
        <f t="shared" si="19"/>
        <v>45717</v>
      </c>
      <c r="C62" s="218" t="s">
        <v>533</v>
      </c>
      <c r="D62" s="195">
        <v>20846</v>
      </c>
      <c r="E62" s="186"/>
      <c r="F62" s="2">
        <v>15165.42</v>
      </c>
      <c r="G62" s="3">
        <f>F62-SUM(M62:P62)</f>
        <v>12111.104412000001</v>
      </c>
      <c r="H62" s="187"/>
      <c r="I62" s="7">
        <v>0.12</v>
      </c>
      <c r="J62" s="7">
        <v>1.6500000000000001E-2</v>
      </c>
      <c r="K62" s="7">
        <v>7.5999999999999998E-2</v>
      </c>
      <c r="L62" s="7">
        <v>0</v>
      </c>
      <c r="M62" s="11">
        <f t="shared" si="1"/>
        <v>1819.8504</v>
      </c>
      <c r="N62" s="11">
        <f t="shared" si="2"/>
        <v>220.20189840000003</v>
      </c>
      <c r="O62" s="11">
        <f t="shared" si="3"/>
        <v>1014.2632896</v>
      </c>
      <c r="P62" s="11">
        <f t="shared" si="4"/>
        <v>0</v>
      </c>
    </row>
    <row r="63" spans="1:16" ht="15" customHeight="1">
      <c r="A63" s="44"/>
      <c r="B63" s="5">
        <f t="shared" si="19"/>
        <v>45717</v>
      </c>
      <c r="C63" s="218" t="s">
        <v>533</v>
      </c>
      <c r="D63" s="195">
        <v>20847</v>
      </c>
      <c r="E63" s="186"/>
      <c r="F63" s="2">
        <v>97658.95</v>
      </c>
      <c r="G63" s="3">
        <f t="shared" si="17"/>
        <v>77990.437470000004</v>
      </c>
      <c r="H63" s="187"/>
      <c r="I63" s="7">
        <v>0.12</v>
      </c>
      <c r="J63" s="7">
        <v>1.6500000000000001E-2</v>
      </c>
      <c r="K63" s="7">
        <v>7.5999999999999998E-2</v>
      </c>
      <c r="L63" s="7">
        <v>0</v>
      </c>
      <c r="M63" s="11">
        <f t="shared" si="1"/>
        <v>11719.073999999999</v>
      </c>
      <c r="N63" s="11">
        <f t="shared" si="2"/>
        <v>1418.0079540000002</v>
      </c>
      <c r="O63" s="11">
        <f t="shared" si="3"/>
        <v>6531.4305759999997</v>
      </c>
      <c r="P63" s="11">
        <f t="shared" si="4"/>
        <v>0</v>
      </c>
    </row>
    <row r="64" spans="1:16" ht="15" customHeight="1">
      <c r="A64" s="44"/>
      <c r="B64" s="5">
        <f t="shared" si="19"/>
        <v>45717</v>
      </c>
      <c r="C64" s="218" t="s">
        <v>533</v>
      </c>
      <c r="D64" s="195">
        <v>20848</v>
      </c>
      <c r="E64" s="186"/>
      <c r="F64" s="2">
        <v>9765.89</v>
      </c>
      <c r="G64" s="3">
        <f t="shared" si="17"/>
        <v>7799.0397539999994</v>
      </c>
      <c r="H64" s="187"/>
      <c r="I64" s="7">
        <v>0.12</v>
      </c>
      <c r="J64" s="7">
        <v>1.6500000000000001E-2</v>
      </c>
      <c r="K64" s="7">
        <v>7.5999999999999998E-2</v>
      </c>
      <c r="L64" s="7">
        <v>0</v>
      </c>
      <c r="M64" s="11">
        <f t="shared" si="1"/>
        <v>1171.9068</v>
      </c>
      <c r="N64" s="11">
        <f t="shared" si="2"/>
        <v>141.80072279999999</v>
      </c>
      <c r="O64" s="11">
        <f t="shared" si="3"/>
        <v>653.14272319999986</v>
      </c>
      <c r="P64" s="11">
        <f t="shared" si="4"/>
        <v>0</v>
      </c>
    </row>
    <row r="65" spans="1:16" ht="15" customHeight="1">
      <c r="A65" s="44"/>
      <c r="B65" s="5">
        <f t="shared" si="19"/>
        <v>45717</v>
      </c>
      <c r="C65" s="218" t="s">
        <v>533</v>
      </c>
      <c r="D65" s="195">
        <v>20849</v>
      </c>
      <c r="E65" s="186"/>
      <c r="F65" s="2">
        <v>108745.61</v>
      </c>
      <c r="G65" s="3">
        <f t="shared" si="17"/>
        <v>86844.244145999997</v>
      </c>
      <c r="H65" s="187"/>
      <c r="I65" s="7">
        <v>0.12</v>
      </c>
      <c r="J65" s="7">
        <v>1.6500000000000001E-2</v>
      </c>
      <c r="K65" s="7">
        <v>7.5999999999999998E-2</v>
      </c>
      <c r="L65" s="7">
        <v>0</v>
      </c>
      <c r="M65" s="11">
        <f t="shared" si="1"/>
        <v>13049.4732</v>
      </c>
      <c r="N65" s="11">
        <f t="shared" si="2"/>
        <v>1578.9862572000002</v>
      </c>
      <c r="O65" s="11">
        <f t="shared" si="3"/>
        <v>7272.9063968</v>
      </c>
      <c r="P65" s="11">
        <f t="shared" si="4"/>
        <v>0</v>
      </c>
    </row>
    <row r="66" spans="1:16" ht="15" customHeight="1">
      <c r="A66" s="44"/>
      <c r="B66" s="5">
        <f t="shared" si="19"/>
        <v>45717</v>
      </c>
      <c r="C66" s="218" t="s">
        <v>533</v>
      </c>
      <c r="D66" s="195">
        <v>20850</v>
      </c>
      <c r="E66" s="186"/>
      <c r="F66" s="2">
        <v>6975.33</v>
      </c>
      <c r="G66" s="3">
        <f t="shared" si="17"/>
        <v>5570.4985379999998</v>
      </c>
      <c r="H66" s="187"/>
      <c r="I66" s="7">
        <v>0.12</v>
      </c>
      <c r="J66" s="7">
        <v>1.6500000000000001E-2</v>
      </c>
      <c r="K66" s="7">
        <v>7.5999999999999998E-2</v>
      </c>
      <c r="L66" s="7">
        <v>0</v>
      </c>
      <c r="M66" s="11">
        <f t="shared" si="1"/>
        <v>837.03959999999995</v>
      </c>
      <c r="N66" s="11">
        <f t="shared" si="2"/>
        <v>101.28179160000001</v>
      </c>
      <c r="O66" s="11">
        <f t="shared" si="3"/>
        <v>466.51007039999996</v>
      </c>
      <c r="P66" s="11">
        <f t="shared" si="4"/>
        <v>0</v>
      </c>
    </row>
    <row r="67" spans="1:16" ht="15" customHeight="1">
      <c r="A67" s="44"/>
      <c r="B67" s="5">
        <f t="shared" si="19"/>
        <v>45717</v>
      </c>
      <c r="C67" s="218" t="s">
        <v>533</v>
      </c>
      <c r="D67" s="195">
        <v>20851</v>
      </c>
      <c r="E67" s="186"/>
      <c r="F67" s="2">
        <v>219.08</v>
      </c>
      <c r="G67" s="3">
        <f t="shared" si="17"/>
        <v>174.95728800000001</v>
      </c>
      <c r="H67" s="187"/>
      <c r="I67" s="7">
        <v>0.12</v>
      </c>
      <c r="J67" s="7">
        <v>1.6500000000000001E-2</v>
      </c>
      <c r="K67" s="7">
        <v>7.5999999999999998E-2</v>
      </c>
      <c r="L67" s="7">
        <v>0</v>
      </c>
      <c r="M67" s="11">
        <f t="shared" si="1"/>
        <v>26.2896</v>
      </c>
      <c r="N67" s="11">
        <f t="shared" si="2"/>
        <v>3.1810416000000004</v>
      </c>
      <c r="O67" s="11">
        <f t="shared" si="3"/>
        <v>14.652070399999999</v>
      </c>
      <c r="P67" s="11">
        <f t="shared" si="4"/>
        <v>0</v>
      </c>
    </row>
    <row r="68" spans="1:16" ht="15" customHeight="1">
      <c r="A68" s="44"/>
      <c r="B68" s="5">
        <f t="shared" si="19"/>
        <v>45717</v>
      </c>
      <c r="C68" s="218" t="s">
        <v>533</v>
      </c>
      <c r="D68" s="195">
        <v>20853</v>
      </c>
      <c r="E68" s="186"/>
      <c r="F68" s="2">
        <v>31287.97</v>
      </c>
      <c r="G68" s="3">
        <f t="shared" si="17"/>
        <v>24986.572842000001</v>
      </c>
      <c r="H68" s="187"/>
      <c r="I68" s="7">
        <v>0.12</v>
      </c>
      <c r="J68" s="7">
        <v>1.6500000000000001E-2</v>
      </c>
      <c r="K68" s="7">
        <v>7.5999999999999998E-2</v>
      </c>
      <c r="L68" s="7">
        <v>0</v>
      </c>
      <c r="M68" s="11">
        <f t="shared" si="1"/>
        <v>3754.5563999999999</v>
      </c>
      <c r="N68" s="11">
        <f t="shared" si="2"/>
        <v>454.3013244</v>
      </c>
      <c r="O68" s="11">
        <f t="shared" si="3"/>
        <v>2092.5394335999999</v>
      </c>
      <c r="P68" s="11">
        <f t="shared" si="4"/>
        <v>0</v>
      </c>
    </row>
    <row r="69" spans="1:16" ht="15" customHeight="1">
      <c r="A69" s="44"/>
      <c r="B69" s="5">
        <f t="shared" si="19"/>
        <v>45717</v>
      </c>
      <c r="C69" s="218" t="s">
        <v>533</v>
      </c>
      <c r="D69" s="195">
        <v>20854</v>
      </c>
      <c r="E69" s="186"/>
      <c r="F69" s="2">
        <v>2005</v>
      </c>
      <c r="G69" s="3">
        <f t="shared" si="17"/>
        <v>1601.193</v>
      </c>
      <c r="H69" s="187"/>
      <c r="I69" s="7">
        <v>0.12</v>
      </c>
      <c r="J69" s="7">
        <v>1.6500000000000001E-2</v>
      </c>
      <c r="K69" s="7">
        <v>7.5999999999999998E-2</v>
      </c>
      <c r="L69" s="7">
        <v>0</v>
      </c>
      <c r="M69" s="11">
        <f t="shared" si="1"/>
        <v>240.6</v>
      </c>
      <c r="N69" s="11">
        <f t="shared" si="2"/>
        <v>29.112600000000004</v>
      </c>
      <c r="O69" s="11">
        <f t="shared" si="3"/>
        <v>134.09440000000001</v>
      </c>
      <c r="P69" s="11">
        <f t="shared" si="4"/>
        <v>0</v>
      </c>
    </row>
    <row r="70" spans="1:16" ht="15" customHeight="1">
      <c r="A70" s="44"/>
      <c r="B70" s="5">
        <f t="shared" si="19"/>
        <v>45717</v>
      </c>
      <c r="C70" s="218" t="s">
        <v>533</v>
      </c>
      <c r="D70" s="195">
        <v>20855</v>
      </c>
      <c r="E70" s="186"/>
      <c r="F70" s="2">
        <v>66.64</v>
      </c>
      <c r="G70" s="3">
        <f t="shared" si="17"/>
        <v>53.218704000000002</v>
      </c>
      <c r="H70" s="187"/>
      <c r="I70" s="7">
        <v>0.12</v>
      </c>
      <c r="J70" s="7">
        <v>1.6500000000000001E-2</v>
      </c>
      <c r="K70" s="7">
        <v>7.5999999999999998E-2</v>
      </c>
      <c r="L70" s="7">
        <v>0</v>
      </c>
      <c r="M70" s="11">
        <f t="shared" si="1"/>
        <v>7.9967999999999995</v>
      </c>
      <c r="N70" s="11">
        <f t="shared" si="2"/>
        <v>0.96761280000000005</v>
      </c>
      <c r="O70" s="11">
        <f t="shared" si="3"/>
        <v>4.4568832</v>
      </c>
      <c r="P70" s="11">
        <f t="shared" si="4"/>
        <v>0</v>
      </c>
    </row>
    <row r="71" spans="1:16" ht="15" customHeight="1">
      <c r="A71" s="44"/>
      <c r="B71" s="5">
        <f t="shared" si="19"/>
        <v>45717</v>
      </c>
      <c r="C71" s="218" t="s">
        <v>533</v>
      </c>
      <c r="D71" s="195">
        <v>20852</v>
      </c>
      <c r="E71" s="186"/>
      <c r="F71" s="2">
        <v>22436.43</v>
      </c>
      <c r="G71" s="3">
        <f t="shared" si="17"/>
        <v>17917.732997999999</v>
      </c>
      <c r="H71" s="187"/>
      <c r="I71" s="7">
        <v>0.12</v>
      </c>
      <c r="J71" s="7">
        <v>1.6500000000000001E-2</v>
      </c>
      <c r="K71" s="7">
        <v>7.5999999999999998E-2</v>
      </c>
      <c r="L71" s="7">
        <v>0</v>
      </c>
      <c r="M71" s="11">
        <f t="shared" si="1"/>
        <v>2692.3715999999999</v>
      </c>
      <c r="N71" s="11">
        <f t="shared" si="2"/>
        <v>325.77696360000004</v>
      </c>
      <c r="O71" s="11">
        <f t="shared" si="3"/>
        <v>1500.5484384000001</v>
      </c>
      <c r="P71" s="11">
        <f t="shared" si="4"/>
        <v>0</v>
      </c>
    </row>
    <row r="72" spans="1:16" ht="15" customHeight="1">
      <c r="A72" s="44"/>
      <c r="B72" s="5">
        <f t="shared" si="19"/>
        <v>45717</v>
      </c>
      <c r="C72" s="218" t="s">
        <v>533</v>
      </c>
      <c r="D72" s="195">
        <v>20856</v>
      </c>
      <c r="E72" s="186"/>
      <c r="F72" s="2">
        <v>1437.6</v>
      </c>
      <c r="G72" s="3">
        <f t="shared" si="17"/>
        <v>1148.06736</v>
      </c>
      <c r="H72" s="187"/>
      <c r="I72" s="7">
        <v>0.12</v>
      </c>
      <c r="J72" s="7">
        <v>1.6500000000000001E-2</v>
      </c>
      <c r="K72" s="7">
        <v>7.5999999999999998E-2</v>
      </c>
      <c r="L72" s="7">
        <v>0</v>
      </c>
      <c r="M72" s="11">
        <f t="shared" si="1"/>
        <v>172.51199999999997</v>
      </c>
      <c r="N72" s="11">
        <f t="shared" si="2"/>
        <v>20.873951999999999</v>
      </c>
      <c r="O72" s="11">
        <f t="shared" si="3"/>
        <v>96.146687999999997</v>
      </c>
      <c r="P72" s="11">
        <f t="shared" si="4"/>
        <v>0</v>
      </c>
    </row>
    <row r="73" spans="1:16" ht="15" customHeight="1">
      <c r="A73" s="44"/>
      <c r="B73" s="5">
        <f t="shared" si="19"/>
        <v>45717</v>
      </c>
      <c r="C73" s="218" t="s">
        <v>533</v>
      </c>
      <c r="D73" s="195">
        <v>20857</v>
      </c>
      <c r="E73" s="186"/>
      <c r="F73" s="2">
        <v>48.11</v>
      </c>
      <c r="G73" s="3">
        <f t="shared" si="17"/>
        <v>38.420645999999998</v>
      </c>
      <c r="H73" s="187"/>
      <c r="I73" s="7">
        <v>0.12</v>
      </c>
      <c r="J73" s="7">
        <v>1.6500000000000001E-2</v>
      </c>
      <c r="K73" s="7">
        <v>7.5999999999999998E-2</v>
      </c>
      <c r="L73" s="7">
        <v>0</v>
      </c>
      <c r="M73" s="11">
        <f t="shared" si="1"/>
        <v>5.7732000000000001</v>
      </c>
      <c r="N73" s="11">
        <f t="shared" si="2"/>
        <v>0.69855719999999999</v>
      </c>
      <c r="O73" s="11">
        <f t="shared" si="3"/>
        <v>3.2175967999999995</v>
      </c>
      <c r="P73" s="11">
        <f t="shared" si="4"/>
        <v>0</v>
      </c>
    </row>
    <row r="74" spans="1:16" ht="15" customHeight="1">
      <c r="A74" s="44"/>
      <c r="B74" s="5">
        <f t="shared" si="19"/>
        <v>45717</v>
      </c>
      <c r="C74" s="218" t="s">
        <v>533</v>
      </c>
      <c r="D74" s="195">
        <v>20859</v>
      </c>
      <c r="E74" s="186"/>
      <c r="F74" s="2">
        <v>85246.07</v>
      </c>
      <c r="G74" s="3">
        <f t="shared" si="17"/>
        <v>68077.511502000008</v>
      </c>
      <c r="H74" s="187"/>
      <c r="I74" s="7">
        <v>0.12</v>
      </c>
      <c r="J74" s="7">
        <v>1.6500000000000001E-2</v>
      </c>
      <c r="K74" s="7">
        <v>7.5999999999999998E-2</v>
      </c>
      <c r="L74" s="7">
        <v>0</v>
      </c>
      <c r="M74" s="11">
        <f t="shared" si="1"/>
        <v>10229.528400000001</v>
      </c>
      <c r="N74" s="11">
        <f t="shared" si="2"/>
        <v>1237.7729364000002</v>
      </c>
      <c r="O74" s="11">
        <f t="shared" si="3"/>
        <v>5701.2571616000005</v>
      </c>
      <c r="P74" s="11">
        <f t="shared" si="4"/>
        <v>0</v>
      </c>
    </row>
    <row r="75" spans="1:16" ht="15" customHeight="1">
      <c r="A75" s="44"/>
      <c r="B75" s="5">
        <f t="shared" si="19"/>
        <v>45717</v>
      </c>
      <c r="C75" s="218" t="s">
        <v>533</v>
      </c>
      <c r="D75" s="195">
        <v>20860</v>
      </c>
      <c r="E75" s="186"/>
      <c r="F75" s="2">
        <v>5462.82</v>
      </c>
      <c r="G75" s="3">
        <f t="shared" si="17"/>
        <v>4362.6080519999996</v>
      </c>
      <c r="H75" s="187"/>
      <c r="I75" s="7">
        <v>0.12</v>
      </c>
      <c r="J75" s="7">
        <v>1.6500000000000001E-2</v>
      </c>
      <c r="K75" s="7">
        <v>7.5999999999999998E-2</v>
      </c>
      <c r="L75" s="7">
        <v>0</v>
      </c>
      <c r="M75" s="11">
        <f t="shared" si="1"/>
        <v>655.53839999999991</v>
      </c>
      <c r="N75" s="11">
        <f t="shared" si="2"/>
        <v>79.320146400000013</v>
      </c>
      <c r="O75" s="11">
        <f t="shared" si="3"/>
        <v>365.35340159999998</v>
      </c>
      <c r="P75" s="11">
        <f t="shared" si="4"/>
        <v>0</v>
      </c>
    </row>
    <row r="76" spans="1:16" ht="15" customHeight="1">
      <c r="A76" s="44"/>
      <c r="B76" s="5">
        <f t="shared" si="19"/>
        <v>45717</v>
      </c>
      <c r="C76" s="218" t="s">
        <v>533</v>
      </c>
      <c r="D76" s="195">
        <v>20861</v>
      </c>
      <c r="E76" s="186"/>
      <c r="F76" s="2">
        <v>181.42</v>
      </c>
      <c r="G76" s="3">
        <f t="shared" si="17"/>
        <v>144.88201199999997</v>
      </c>
      <c r="H76" s="187"/>
      <c r="I76" s="7">
        <v>0.12</v>
      </c>
      <c r="J76" s="7">
        <v>1.6500000000000001E-2</v>
      </c>
      <c r="K76" s="7">
        <v>7.5999999999999998E-2</v>
      </c>
      <c r="L76" s="7">
        <v>0</v>
      </c>
      <c r="M76" s="11">
        <f t="shared" si="1"/>
        <v>21.770399999999999</v>
      </c>
      <c r="N76" s="11">
        <f t="shared" si="2"/>
        <v>2.6342184</v>
      </c>
      <c r="O76" s="11">
        <f t="shared" si="3"/>
        <v>12.1333696</v>
      </c>
      <c r="P76" s="11">
        <f t="shared" si="4"/>
        <v>0</v>
      </c>
    </row>
    <row r="77" spans="1:16" ht="15" customHeight="1">
      <c r="A77" s="44"/>
      <c r="B77" s="5">
        <f t="shared" si="19"/>
        <v>45717</v>
      </c>
      <c r="C77" s="218" t="s">
        <v>533</v>
      </c>
      <c r="D77" s="195">
        <v>20858</v>
      </c>
      <c r="E77" s="186"/>
      <c r="F77" s="2">
        <v>38902.17</v>
      </c>
      <c r="G77" s="3">
        <f t="shared" si="17"/>
        <v>31067.272961999999</v>
      </c>
      <c r="H77" s="187"/>
      <c r="I77" s="7">
        <v>0.12</v>
      </c>
      <c r="J77" s="7">
        <v>1.6500000000000001E-2</v>
      </c>
      <c r="K77" s="7">
        <v>7.5999999999999998E-2</v>
      </c>
      <c r="L77" s="7">
        <v>0</v>
      </c>
      <c r="M77" s="11">
        <f t="shared" si="1"/>
        <v>4668.2603999999992</v>
      </c>
      <c r="N77" s="11">
        <f t="shared" si="2"/>
        <v>564.85950839999998</v>
      </c>
      <c r="O77" s="11">
        <f t="shared" si="3"/>
        <v>2601.7771296000001</v>
      </c>
      <c r="P77" s="11">
        <f t="shared" si="4"/>
        <v>0</v>
      </c>
    </row>
    <row r="78" spans="1:16" ht="15" customHeight="1">
      <c r="A78" s="44"/>
      <c r="B78" s="5">
        <f t="shared" si="19"/>
        <v>45717</v>
      </c>
      <c r="C78" s="218" t="s">
        <v>533</v>
      </c>
      <c r="D78" s="195">
        <v>20862</v>
      </c>
      <c r="E78" s="186"/>
      <c r="F78" s="2">
        <v>2493.4899999999998</v>
      </c>
      <c r="G78" s="3">
        <f t="shared" si="17"/>
        <v>1991.3011139999999</v>
      </c>
      <c r="H78" s="187"/>
      <c r="I78" s="7">
        <v>0.12</v>
      </c>
      <c r="J78" s="7">
        <v>1.6500000000000001E-2</v>
      </c>
      <c r="K78" s="7">
        <v>7.5999999999999998E-2</v>
      </c>
      <c r="L78" s="7">
        <v>0</v>
      </c>
      <c r="M78" s="11">
        <f t="shared" si="1"/>
        <v>299.21879999999999</v>
      </c>
      <c r="N78" s="11">
        <f t="shared" si="2"/>
        <v>36.205474799999998</v>
      </c>
      <c r="O78" s="11">
        <f t="shared" si="3"/>
        <v>166.76461119999996</v>
      </c>
      <c r="P78" s="11">
        <f t="shared" si="4"/>
        <v>0</v>
      </c>
    </row>
    <row r="79" spans="1:16" ht="15" customHeight="1">
      <c r="A79" s="44"/>
      <c r="B79" s="5">
        <f t="shared" si="19"/>
        <v>45717</v>
      </c>
      <c r="C79" s="218" t="s">
        <v>533</v>
      </c>
      <c r="D79" s="195">
        <v>20863</v>
      </c>
      <c r="E79" s="186"/>
      <c r="F79" s="2">
        <v>81.819999999999993</v>
      </c>
      <c r="G79" s="3">
        <f t="shared" si="17"/>
        <v>65.341452000000004</v>
      </c>
      <c r="H79" s="187"/>
      <c r="I79" s="7">
        <v>0.12</v>
      </c>
      <c r="J79" s="7">
        <v>1.6500000000000001E-2</v>
      </c>
      <c r="K79" s="7">
        <v>7.5999999999999998E-2</v>
      </c>
      <c r="L79" s="7">
        <v>0</v>
      </c>
      <c r="M79" s="11">
        <f t="shared" si="1"/>
        <v>9.8183999999999987</v>
      </c>
      <c r="N79" s="11">
        <f t="shared" si="2"/>
        <v>1.1880264</v>
      </c>
      <c r="O79" s="11">
        <f t="shared" si="3"/>
        <v>5.4721215999999995</v>
      </c>
      <c r="P79" s="11">
        <f t="shared" si="4"/>
        <v>0</v>
      </c>
    </row>
    <row r="80" spans="1:16" ht="15" customHeight="1">
      <c r="A80" s="44"/>
      <c r="B80" s="5">
        <f t="shared" si="19"/>
        <v>45717</v>
      </c>
      <c r="C80" s="218" t="s">
        <v>533</v>
      </c>
      <c r="D80" s="195">
        <v>20864</v>
      </c>
      <c r="E80" s="186"/>
      <c r="F80" s="2">
        <v>99764.77</v>
      </c>
      <c r="G80" s="3">
        <f t="shared" si="17"/>
        <v>79672.145321999997</v>
      </c>
      <c r="H80" s="187"/>
      <c r="I80" s="7">
        <v>0.12</v>
      </c>
      <c r="J80" s="7">
        <v>1.6500000000000001E-2</v>
      </c>
      <c r="K80" s="7">
        <v>7.5999999999999998E-2</v>
      </c>
      <c r="L80" s="7">
        <v>0</v>
      </c>
      <c r="M80" s="11">
        <f t="shared" si="1"/>
        <v>11971.7724</v>
      </c>
      <c r="N80" s="11">
        <f t="shared" si="2"/>
        <v>1448.5844604000001</v>
      </c>
      <c r="O80" s="11">
        <f t="shared" si="3"/>
        <v>6672.2678175999999</v>
      </c>
      <c r="P80" s="11">
        <f t="shared" si="4"/>
        <v>0</v>
      </c>
    </row>
    <row r="81" spans="1:16" ht="15" customHeight="1">
      <c r="A81" s="44"/>
      <c r="B81" s="5">
        <f t="shared" si="19"/>
        <v>45717</v>
      </c>
      <c r="C81" s="218" t="s">
        <v>533</v>
      </c>
      <c r="D81" s="195">
        <v>20866</v>
      </c>
      <c r="E81" s="186"/>
      <c r="F81" s="2">
        <v>6390.7</v>
      </c>
      <c r="G81" s="3">
        <f t="shared" si="17"/>
        <v>5103.6130199999998</v>
      </c>
      <c r="H81" s="187"/>
      <c r="I81" s="7">
        <v>0.12</v>
      </c>
      <c r="J81" s="7">
        <v>1.6500000000000001E-2</v>
      </c>
      <c r="K81" s="7">
        <v>7.5999999999999998E-2</v>
      </c>
      <c r="L81" s="7">
        <v>0</v>
      </c>
      <c r="M81" s="11">
        <f t="shared" si="1"/>
        <v>766.8839999999999</v>
      </c>
      <c r="N81" s="11">
        <f t="shared" si="2"/>
        <v>92.792963999999998</v>
      </c>
      <c r="O81" s="11">
        <f t="shared" si="3"/>
        <v>427.41001599999998</v>
      </c>
      <c r="P81" s="11">
        <f t="shared" ref="P81:P158" si="20">L81*(F81)</f>
        <v>0</v>
      </c>
    </row>
    <row r="82" spans="1:16" ht="15" customHeight="1">
      <c r="A82" s="44"/>
      <c r="B82" s="5">
        <f t="shared" si="19"/>
        <v>45717</v>
      </c>
      <c r="C82" s="218" t="s">
        <v>533</v>
      </c>
      <c r="D82" s="195">
        <v>20867</v>
      </c>
      <c r="E82" s="186"/>
      <c r="F82" s="2">
        <v>217.05</v>
      </c>
      <c r="G82" s="3">
        <f t="shared" si="17"/>
        <v>173.33613000000003</v>
      </c>
      <c r="H82" s="187"/>
      <c r="I82" s="7">
        <v>0.12</v>
      </c>
      <c r="J82" s="7">
        <v>1.6500000000000001E-2</v>
      </c>
      <c r="K82" s="7">
        <v>7.5999999999999998E-2</v>
      </c>
      <c r="L82" s="7">
        <v>0</v>
      </c>
      <c r="M82" s="11">
        <f t="shared" si="1"/>
        <v>26.045999999999999</v>
      </c>
      <c r="N82" s="11">
        <f t="shared" si="2"/>
        <v>3.1515660000000003</v>
      </c>
      <c r="O82" s="11">
        <f t="shared" si="3"/>
        <v>14.516304000000002</v>
      </c>
      <c r="P82" s="11">
        <f t="shared" si="20"/>
        <v>0</v>
      </c>
    </row>
    <row r="83" spans="1:16" ht="15" customHeight="1">
      <c r="A83" s="44"/>
      <c r="B83" s="5">
        <f t="shared" si="19"/>
        <v>45717</v>
      </c>
      <c r="C83" s="218" t="s">
        <v>533</v>
      </c>
      <c r="D83" s="195">
        <v>10194</v>
      </c>
      <c r="E83" s="186"/>
      <c r="F83" s="2">
        <v>120568.95</v>
      </c>
      <c r="G83" s="3">
        <f t="shared" ref="G83:G155" si="21">F83-SUM(M83:P83)</f>
        <v>96286.363469999997</v>
      </c>
      <c r="H83" s="187"/>
      <c r="I83" s="7">
        <v>0.12</v>
      </c>
      <c r="J83" s="7">
        <v>1.6500000000000001E-2</v>
      </c>
      <c r="K83" s="7">
        <v>7.5999999999999998E-2</v>
      </c>
      <c r="L83" s="7">
        <v>0</v>
      </c>
      <c r="M83" s="11">
        <f t="shared" si="1"/>
        <v>14468.273999999999</v>
      </c>
      <c r="N83" s="11">
        <f t="shared" si="2"/>
        <v>1750.6611539999999</v>
      </c>
      <c r="O83" s="11">
        <f t="shared" si="3"/>
        <v>8063.6513759999989</v>
      </c>
      <c r="P83" s="11">
        <f t="shared" si="20"/>
        <v>0</v>
      </c>
    </row>
    <row r="84" spans="1:16" ht="15" customHeight="1">
      <c r="A84" s="44"/>
      <c r="B84" s="5">
        <f t="shared" si="19"/>
        <v>45717</v>
      </c>
      <c r="C84" s="218" t="s">
        <v>533</v>
      </c>
      <c r="D84" s="195">
        <v>10195</v>
      </c>
      <c r="E84" s="186"/>
      <c r="F84" s="2">
        <v>12056.9</v>
      </c>
      <c r="G84" s="3">
        <f t="shared" si="21"/>
        <v>9628.6403399999999</v>
      </c>
      <c r="H84" s="187"/>
      <c r="I84" s="7">
        <v>0.12</v>
      </c>
      <c r="J84" s="7">
        <v>1.6500000000000001E-2</v>
      </c>
      <c r="K84" s="7">
        <v>7.5999999999999998E-2</v>
      </c>
      <c r="L84" s="7">
        <v>0</v>
      </c>
      <c r="M84" s="11">
        <f t="shared" si="1"/>
        <v>1446.828</v>
      </c>
      <c r="N84" s="11">
        <f t="shared" si="2"/>
        <v>175.06618800000001</v>
      </c>
      <c r="O84" s="11">
        <f t="shared" si="3"/>
        <v>806.36547199999995</v>
      </c>
      <c r="P84" s="11">
        <f t="shared" si="20"/>
        <v>0</v>
      </c>
    </row>
    <row r="85" spans="1:16" ht="15" customHeight="1">
      <c r="A85" s="44"/>
      <c r="B85" s="5">
        <f t="shared" si="19"/>
        <v>45717</v>
      </c>
      <c r="C85" s="218" t="s">
        <v>533</v>
      </c>
      <c r="D85" s="195">
        <v>10196</v>
      </c>
      <c r="E85" s="186"/>
      <c r="F85" s="2">
        <v>76894.69</v>
      </c>
      <c r="G85" s="3">
        <f t="shared" si="21"/>
        <v>61408.099434000003</v>
      </c>
      <c r="H85" s="187"/>
      <c r="I85" s="7">
        <v>0.12</v>
      </c>
      <c r="J85" s="7">
        <v>1.6500000000000001E-2</v>
      </c>
      <c r="K85" s="7">
        <v>7.5999999999999998E-2</v>
      </c>
      <c r="L85" s="7">
        <v>0</v>
      </c>
      <c r="M85" s="11">
        <f t="shared" si="1"/>
        <v>9227.3628000000008</v>
      </c>
      <c r="N85" s="11">
        <f t="shared" si="2"/>
        <v>1116.5108987999999</v>
      </c>
      <c r="O85" s="11">
        <f t="shared" si="3"/>
        <v>5142.7168671999998</v>
      </c>
      <c r="P85" s="11">
        <f t="shared" si="20"/>
        <v>0</v>
      </c>
    </row>
    <row r="86" spans="1:16" ht="15" customHeight="1">
      <c r="A86" s="44"/>
      <c r="B86" s="5">
        <f t="shared" si="19"/>
        <v>45717</v>
      </c>
      <c r="C86" s="218" t="s">
        <v>533</v>
      </c>
      <c r="D86" s="195">
        <v>10197</v>
      </c>
      <c r="E86" s="186"/>
      <c r="F86" s="2">
        <v>7689.47</v>
      </c>
      <c r="G86" s="3">
        <f t="shared" si="21"/>
        <v>6140.8107419999997</v>
      </c>
      <c r="H86" s="187"/>
      <c r="I86" s="7">
        <v>0.12</v>
      </c>
      <c r="J86" s="7">
        <v>1.6500000000000001E-2</v>
      </c>
      <c r="K86" s="7">
        <v>7.5999999999999998E-2</v>
      </c>
      <c r="L86" s="7">
        <v>0</v>
      </c>
      <c r="M86" s="11">
        <f t="shared" si="1"/>
        <v>922.7364</v>
      </c>
      <c r="N86" s="11">
        <f t="shared" si="2"/>
        <v>111.65110440000001</v>
      </c>
      <c r="O86" s="11">
        <f t="shared" si="3"/>
        <v>514.27175360000001</v>
      </c>
      <c r="P86" s="11">
        <f t="shared" si="20"/>
        <v>0</v>
      </c>
    </row>
    <row r="87" spans="1:16" ht="15" customHeight="1">
      <c r="A87" s="44"/>
      <c r="B87" s="5">
        <f t="shared" si="19"/>
        <v>45717</v>
      </c>
      <c r="C87" s="218" t="s">
        <v>533</v>
      </c>
      <c r="D87" s="195">
        <v>10198</v>
      </c>
      <c r="E87" s="186"/>
      <c r="F87" s="2">
        <v>87162.13</v>
      </c>
      <c r="G87" s="3">
        <f t="shared" si="21"/>
        <v>69607.677018000002</v>
      </c>
      <c r="H87" s="187"/>
      <c r="I87" s="7">
        <v>0.12</v>
      </c>
      <c r="J87" s="7">
        <v>1.6500000000000001E-2</v>
      </c>
      <c r="K87" s="7">
        <v>7.5999999999999998E-2</v>
      </c>
      <c r="L87" s="7">
        <v>0</v>
      </c>
      <c r="M87" s="11">
        <f t="shared" si="1"/>
        <v>10459.455599999999</v>
      </c>
      <c r="N87" s="11">
        <f t="shared" si="2"/>
        <v>1265.5941276000001</v>
      </c>
      <c r="O87" s="11">
        <f t="shared" si="3"/>
        <v>5829.4032544000002</v>
      </c>
      <c r="P87" s="11">
        <f t="shared" si="20"/>
        <v>0</v>
      </c>
    </row>
    <row r="88" spans="1:16" ht="15" customHeight="1">
      <c r="A88" s="44"/>
      <c r="B88" s="5">
        <f t="shared" si="19"/>
        <v>45717</v>
      </c>
      <c r="C88" s="218" t="s">
        <v>533</v>
      </c>
      <c r="D88" s="195">
        <v>10193</v>
      </c>
      <c r="E88" s="186"/>
      <c r="F88" s="2">
        <v>5607.25</v>
      </c>
      <c r="G88" s="3">
        <f t="shared" si="21"/>
        <v>4477.94985</v>
      </c>
      <c r="H88" s="187"/>
      <c r="I88" s="7">
        <v>0.12</v>
      </c>
      <c r="J88" s="7">
        <v>1.6500000000000001E-2</v>
      </c>
      <c r="K88" s="7">
        <v>7.5999999999999998E-2</v>
      </c>
      <c r="L88" s="7">
        <v>0</v>
      </c>
      <c r="M88" s="11">
        <f t="shared" si="1"/>
        <v>672.87</v>
      </c>
      <c r="N88" s="11">
        <f t="shared" si="2"/>
        <v>81.417270000000002</v>
      </c>
      <c r="O88" s="11">
        <f t="shared" si="3"/>
        <v>375.01288</v>
      </c>
      <c r="P88" s="11">
        <f t="shared" si="20"/>
        <v>0</v>
      </c>
    </row>
    <row r="89" spans="1:16" ht="15" customHeight="1">
      <c r="A89" s="44"/>
      <c r="B89" s="5">
        <f t="shared" si="19"/>
        <v>45717</v>
      </c>
      <c r="C89" s="218" t="s">
        <v>533</v>
      </c>
      <c r="D89" s="195">
        <v>10199</v>
      </c>
      <c r="E89" s="186"/>
      <c r="F89" s="2">
        <v>144.88999999999999</v>
      </c>
      <c r="G89" s="3">
        <f t="shared" si="21"/>
        <v>115.70915399999998</v>
      </c>
      <c r="H89" s="187"/>
      <c r="I89" s="7">
        <v>0.12</v>
      </c>
      <c r="J89" s="7">
        <v>1.6500000000000001E-2</v>
      </c>
      <c r="K89" s="7">
        <v>7.5999999999999998E-2</v>
      </c>
      <c r="L89" s="7">
        <v>0</v>
      </c>
      <c r="M89" s="11">
        <f t="shared" si="1"/>
        <v>17.386799999999997</v>
      </c>
      <c r="N89" s="11">
        <f t="shared" si="2"/>
        <v>2.1038028</v>
      </c>
      <c r="O89" s="11">
        <f t="shared" si="3"/>
        <v>9.6902431999999994</v>
      </c>
      <c r="P89" s="11">
        <f t="shared" si="20"/>
        <v>0</v>
      </c>
    </row>
    <row r="90" spans="1:16" ht="15" customHeight="1">
      <c r="A90" s="44"/>
      <c r="B90" s="5">
        <f t="shared" si="19"/>
        <v>45717</v>
      </c>
      <c r="C90" s="218" t="s">
        <v>533</v>
      </c>
      <c r="D90" s="195">
        <v>10200</v>
      </c>
      <c r="E90" s="186"/>
      <c r="F90" s="2">
        <v>24958.799999999999</v>
      </c>
      <c r="G90" s="3">
        <f t="shared" si="21"/>
        <v>19932.097679999999</v>
      </c>
      <c r="H90" s="187"/>
      <c r="I90" s="7">
        <v>0.12</v>
      </c>
      <c r="J90" s="7">
        <v>1.6500000000000001E-2</v>
      </c>
      <c r="K90" s="7">
        <v>7.5999999999999998E-2</v>
      </c>
      <c r="L90" s="7">
        <v>0</v>
      </c>
      <c r="M90" s="11">
        <f t="shared" si="1"/>
        <v>2995.0559999999996</v>
      </c>
      <c r="N90" s="11">
        <f t="shared" si="2"/>
        <v>362.40177599999998</v>
      </c>
      <c r="O90" s="11">
        <f t="shared" si="3"/>
        <v>1669.2445439999999</v>
      </c>
      <c r="P90" s="11">
        <f t="shared" si="20"/>
        <v>0</v>
      </c>
    </row>
    <row r="91" spans="1:16" ht="15" customHeight="1">
      <c r="A91" s="44"/>
      <c r="B91" s="5">
        <f t="shared" si="19"/>
        <v>45717</v>
      </c>
      <c r="C91" s="218" t="s">
        <v>533</v>
      </c>
      <c r="D91" s="195">
        <v>10201</v>
      </c>
      <c r="E91" s="186"/>
      <c r="F91" s="2">
        <v>1604.07</v>
      </c>
      <c r="G91" s="3">
        <f t="shared" si="21"/>
        <v>1281.0103019999999</v>
      </c>
      <c r="H91" s="187"/>
      <c r="I91" s="7">
        <v>0.12</v>
      </c>
      <c r="J91" s="7">
        <v>1.6500000000000001E-2</v>
      </c>
      <c r="K91" s="7">
        <v>7.5999999999999998E-2</v>
      </c>
      <c r="L91" s="7">
        <v>0</v>
      </c>
      <c r="M91" s="11">
        <f t="shared" si="1"/>
        <v>192.48839999999998</v>
      </c>
      <c r="N91" s="11">
        <f t="shared" si="2"/>
        <v>23.291096400000001</v>
      </c>
      <c r="O91" s="11">
        <f t="shared" si="3"/>
        <v>107.2802016</v>
      </c>
      <c r="P91" s="11">
        <f t="shared" si="20"/>
        <v>0</v>
      </c>
    </row>
    <row r="92" spans="1:16" ht="15" customHeight="1">
      <c r="A92" s="44"/>
      <c r="B92" s="5">
        <f t="shared" si="19"/>
        <v>45717</v>
      </c>
      <c r="C92" s="218" t="s">
        <v>533</v>
      </c>
      <c r="D92" s="195">
        <v>10203</v>
      </c>
      <c r="E92" s="186"/>
      <c r="F92" s="2">
        <v>44.42</v>
      </c>
      <c r="G92" s="3">
        <f t="shared" si="21"/>
        <v>35.473812000000002</v>
      </c>
      <c r="H92" s="187"/>
      <c r="I92" s="7">
        <v>0.12</v>
      </c>
      <c r="J92" s="7">
        <v>1.6500000000000001E-2</v>
      </c>
      <c r="K92" s="7">
        <v>7.5999999999999998E-2</v>
      </c>
      <c r="L92" s="7">
        <v>0</v>
      </c>
      <c r="M92" s="11">
        <f t="shared" si="1"/>
        <v>5.3304</v>
      </c>
      <c r="N92" s="11">
        <f t="shared" si="2"/>
        <v>0.64497840000000006</v>
      </c>
      <c r="O92" s="11">
        <f t="shared" si="3"/>
        <v>2.9708096000000004</v>
      </c>
      <c r="P92" s="11">
        <f t="shared" si="20"/>
        <v>0</v>
      </c>
    </row>
    <row r="93" spans="1:16" ht="15" customHeight="1">
      <c r="A93" s="44"/>
      <c r="B93" s="5">
        <f t="shared" si="19"/>
        <v>45717</v>
      </c>
      <c r="C93" s="218" t="s">
        <v>533</v>
      </c>
      <c r="D93" s="195">
        <v>10204</v>
      </c>
      <c r="E93" s="186"/>
      <c r="F93" s="2">
        <v>17615.38</v>
      </c>
      <c r="G93" s="3">
        <f t="shared" si="21"/>
        <v>14067.642468000002</v>
      </c>
      <c r="H93" s="187"/>
      <c r="I93" s="7">
        <v>0.12</v>
      </c>
      <c r="J93" s="7">
        <v>1.6500000000000001E-2</v>
      </c>
      <c r="K93" s="7">
        <v>7.5999999999999998E-2</v>
      </c>
      <c r="L93" s="7">
        <v>0</v>
      </c>
      <c r="M93" s="11">
        <f t="shared" si="1"/>
        <v>2113.8456000000001</v>
      </c>
      <c r="N93" s="11">
        <f t="shared" si="2"/>
        <v>255.77531760000002</v>
      </c>
      <c r="O93" s="11">
        <f t="shared" si="3"/>
        <v>1178.1166144000001</v>
      </c>
      <c r="P93" s="11">
        <f t="shared" si="20"/>
        <v>0</v>
      </c>
    </row>
    <row r="94" spans="1:16" ht="15" customHeight="1">
      <c r="A94" s="44"/>
      <c r="B94" s="5">
        <f t="shared" si="19"/>
        <v>45717</v>
      </c>
      <c r="C94" s="218" t="s">
        <v>533</v>
      </c>
      <c r="D94" s="195">
        <v>10205</v>
      </c>
      <c r="E94" s="186"/>
      <c r="F94" s="2">
        <v>1132.0899999999999</v>
      </c>
      <c r="G94" s="3">
        <f t="shared" si="21"/>
        <v>904.08707399999992</v>
      </c>
      <c r="H94" s="187"/>
      <c r="I94" s="7">
        <v>0.12</v>
      </c>
      <c r="J94" s="7">
        <v>1.6500000000000001E-2</v>
      </c>
      <c r="K94" s="7">
        <v>7.5999999999999998E-2</v>
      </c>
      <c r="L94" s="7">
        <v>0</v>
      </c>
      <c r="M94" s="11">
        <f t="shared" si="1"/>
        <v>135.85079999999999</v>
      </c>
      <c r="N94" s="11">
        <f t="shared" si="2"/>
        <v>16.437946799999999</v>
      </c>
      <c r="O94" s="11">
        <f t="shared" si="3"/>
        <v>75.714179200000004</v>
      </c>
      <c r="P94" s="11">
        <f t="shared" si="20"/>
        <v>0</v>
      </c>
    </row>
    <row r="95" spans="1:16" ht="15" customHeight="1">
      <c r="A95" s="44"/>
      <c r="B95" s="5">
        <f t="shared" si="19"/>
        <v>45717</v>
      </c>
      <c r="C95" s="218" t="s">
        <v>533</v>
      </c>
      <c r="D95" s="195">
        <v>10206</v>
      </c>
      <c r="E95" s="186"/>
      <c r="F95" s="2">
        <v>31.4</v>
      </c>
      <c r="G95" s="3">
        <f t="shared" si="21"/>
        <v>25.076039999999999</v>
      </c>
      <c r="H95" s="187"/>
      <c r="I95" s="7">
        <v>0.12</v>
      </c>
      <c r="J95" s="7">
        <v>1.6500000000000001E-2</v>
      </c>
      <c r="K95" s="7">
        <v>7.5999999999999998E-2</v>
      </c>
      <c r="L95" s="7">
        <v>0</v>
      </c>
      <c r="M95" s="11">
        <f t="shared" si="1"/>
        <v>3.7679999999999998</v>
      </c>
      <c r="N95" s="11">
        <f t="shared" si="2"/>
        <v>0.455928</v>
      </c>
      <c r="O95" s="11">
        <f t="shared" si="3"/>
        <v>2.1000319999999997</v>
      </c>
      <c r="P95" s="11">
        <f t="shared" si="20"/>
        <v>0</v>
      </c>
    </row>
    <row r="96" spans="1:16" ht="15" customHeight="1">
      <c r="A96" s="44"/>
      <c r="B96" s="5">
        <f t="shared" si="19"/>
        <v>45717</v>
      </c>
      <c r="C96" s="218" t="s">
        <v>533</v>
      </c>
      <c r="D96" s="195">
        <v>10202</v>
      </c>
      <c r="E96" s="186"/>
      <c r="F96" s="2">
        <v>67296.929999999993</v>
      </c>
      <c r="G96" s="3">
        <f t="shared" si="21"/>
        <v>53743.328297999993</v>
      </c>
      <c r="H96" s="187"/>
      <c r="I96" s="7">
        <v>0.12</v>
      </c>
      <c r="J96" s="7">
        <v>1.6500000000000001E-2</v>
      </c>
      <c r="K96" s="7">
        <v>7.5999999999999998E-2</v>
      </c>
      <c r="L96" s="7">
        <v>0</v>
      </c>
      <c r="M96" s="11">
        <f t="shared" si="1"/>
        <v>8075.6315999999988</v>
      </c>
      <c r="N96" s="11">
        <f t="shared" si="2"/>
        <v>977.15142359999993</v>
      </c>
      <c r="O96" s="11">
        <f t="shared" si="3"/>
        <v>4500.818678399999</v>
      </c>
      <c r="P96" s="11">
        <f t="shared" si="20"/>
        <v>0</v>
      </c>
    </row>
    <row r="97" spans="1:16" ht="15" customHeight="1">
      <c r="A97" s="44"/>
      <c r="B97" s="5">
        <f t="shared" si="19"/>
        <v>45717</v>
      </c>
      <c r="C97" s="218" t="s">
        <v>533</v>
      </c>
      <c r="D97" s="195">
        <v>10208</v>
      </c>
      <c r="E97" s="186"/>
      <c r="F97" s="2">
        <v>4325.2299999999996</v>
      </c>
      <c r="G97" s="3">
        <f t="shared" si="21"/>
        <v>3454.1286779999996</v>
      </c>
      <c r="H97" s="187"/>
      <c r="I97" s="7">
        <v>0.12</v>
      </c>
      <c r="J97" s="7">
        <v>1.6500000000000001E-2</v>
      </c>
      <c r="K97" s="7">
        <v>7.5999999999999998E-2</v>
      </c>
      <c r="L97" s="7">
        <v>0</v>
      </c>
      <c r="M97" s="11">
        <f t="shared" si="1"/>
        <v>519.02759999999989</v>
      </c>
      <c r="N97" s="11">
        <f t="shared" si="2"/>
        <v>62.802339599999996</v>
      </c>
      <c r="O97" s="11">
        <f t="shared" si="3"/>
        <v>289.27138239999999</v>
      </c>
      <c r="P97" s="11">
        <f t="shared" si="20"/>
        <v>0</v>
      </c>
    </row>
    <row r="98" spans="1:16" ht="15" customHeight="1">
      <c r="A98" s="44"/>
      <c r="B98" s="5">
        <f t="shared" si="19"/>
        <v>45717</v>
      </c>
      <c r="C98" s="218" t="s">
        <v>533</v>
      </c>
      <c r="D98" s="195">
        <v>10209</v>
      </c>
      <c r="E98" s="186"/>
      <c r="F98" s="2">
        <v>119.5</v>
      </c>
      <c r="G98" s="3">
        <f t="shared" si="21"/>
        <v>95.432699999999997</v>
      </c>
      <c r="H98" s="187"/>
      <c r="I98" s="7">
        <v>0.12</v>
      </c>
      <c r="J98" s="7">
        <v>1.6500000000000001E-2</v>
      </c>
      <c r="K98" s="7">
        <v>7.5999999999999998E-2</v>
      </c>
      <c r="L98" s="7">
        <v>0</v>
      </c>
      <c r="M98" s="11">
        <f t="shared" si="1"/>
        <v>14.34</v>
      </c>
      <c r="N98" s="11">
        <f t="shared" si="2"/>
        <v>1.7351400000000001</v>
      </c>
      <c r="O98" s="11">
        <f t="shared" si="3"/>
        <v>7.9921599999999993</v>
      </c>
      <c r="P98" s="11">
        <f t="shared" si="20"/>
        <v>0</v>
      </c>
    </row>
    <row r="99" spans="1:16" ht="15" customHeight="1">
      <c r="A99" s="44"/>
      <c r="B99" s="5">
        <f t="shared" si="19"/>
        <v>45717</v>
      </c>
      <c r="C99" s="218" t="s">
        <v>533</v>
      </c>
      <c r="D99" s="195">
        <v>10207</v>
      </c>
      <c r="E99" s="186"/>
      <c r="F99" s="2">
        <v>30817.64</v>
      </c>
      <c r="G99" s="3">
        <f t="shared" si="21"/>
        <v>24610.967303999998</v>
      </c>
      <c r="H99" s="187"/>
      <c r="I99" s="7">
        <v>0.12</v>
      </c>
      <c r="J99" s="7">
        <v>1.6500000000000001E-2</v>
      </c>
      <c r="K99" s="7">
        <v>7.5999999999999998E-2</v>
      </c>
      <c r="L99" s="7">
        <v>0</v>
      </c>
      <c r="M99" s="11">
        <f t="shared" si="1"/>
        <v>3698.1167999999998</v>
      </c>
      <c r="N99" s="11">
        <f t="shared" si="2"/>
        <v>447.4721328</v>
      </c>
      <c r="O99" s="11">
        <f t="shared" si="3"/>
        <v>2061.0837631999998</v>
      </c>
      <c r="P99" s="11">
        <f t="shared" si="20"/>
        <v>0</v>
      </c>
    </row>
    <row r="100" spans="1:16" ht="15" customHeight="1">
      <c r="A100" s="44"/>
      <c r="B100" s="5">
        <f t="shared" si="19"/>
        <v>45717</v>
      </c>
      <c r="C100" s="218" t="s">
        <v>533</v>
      </c>
      <c r="D100" s="195">
        <v>10213</v>
      </c>
      <c r="E100" s="186"/>
      <c r="F100" s="2">
        <v>1981.12</v>
      </c>
      <c r="G100" s="3">
        <f t="shared" si="21"/>
        <v>1582.1224320000001</v>
      </c>
      <c r="H100" s="187"/>
      <c r="I100" s="7">
        <v>0.12</v>
      </c>
      <c r="J100" s="7">
        <v>1.6500000000000001E-2</v>
      </c>
      <c r="K100" s="7">
        <v>7.5999999999999998E-2</v>
      </c>
      <c r="L100" s="7">
        <v>0</v>
      </c>
      <c r="M100" s="11">
        <f t="shared" si="1"/>
        <v>237.73439999999997</v>
      </c>
      <c r="N100" s="11">
        <f t="shared" si="2"/>
        <v>28.7658624</v>
      </c>
      <c r="O100" s="11">
        <f t="shared" si="3"/>
        <v>132.49730559999998</v>
      </c>
      <c r="P100" s="11">
        <f t="shared" si="20"/>
        <v>0</v>
      </c>
    </row>
    <row r="101" spans="1:16" ht="15" customHeight="1">
      <c r="A101" s="44"/>
      <c r="B101" s="5">
        <f t="shared" si="19"/>
        <v>45717</v>
      </c>
      <c r="C101" s="218" t="s">
        <v>533</v>
      </c>
      <c r="D101" s="195">
        <v>10210</v>
      </c>
      <c r="E101" s="186"/>
      <c r="F101" s="2">
        <v>53.89</v>
      </c>
      <c r="G101" s="3">
        <f t="shared" si="21"/>
        <v>43.036554000000002</v>
      </c>
      <c r="H101" s="187"/>
      <c r="I101" s="7">
        <v>0.12</v>
      </c>
      <c r="J101" s="7">
        <v>1.6500000000000001E-2</v>
      </c>
      <c r="K101" s="7">
        <v>7.5999999999999998E-2</v>
      </c>
      <c r="L101" s="7">
        <v>0</v>
      </c>
      <c r="M101" s="11">
        <f t="shared" si="1"/>
        <v>6.4668000000000001</v>
      </c>
      <c r="N101" s="11">
        <f t="shared" si="2"/>
        <v>0.78248280000000003</v>
      </c>
      <c r="O101" s="11">
        <f t="shared" si="3"/>
        <v>3.6041631999999999</v>
      </c>
      <c r="P101" s="11">
        <f t="shared" si="20"/>
        <v>0</v>
      </c>
    </row>
    <row r="102" spans="1:16" ht="15" customHeight="1">
      <c r="A102" s="44"/>
      <c r="B102" s="5">
        <f t="shared" si="19"/>
        <v>45717</v>
      </c>
      <c r="C102" s="218" t="s">
        <v>533</v>
      </c>
      <c r="D102" s="195">
        <v>10211</v>
      </c>
      <c r="E102" s="186"/>
      <c r="F102" s="2">
        <v>78156.55</v>
      </c>
      <c r="G102" s="3">
        <f t="shared" si="21"/>
        <v>62415.820830000004</v>
      </c>
      <c r="H102" s="187"/>
      <c r="I102" s="7">
        <v>0.12</v>
      </c>
      <c r="J102" s="7">
        <v>1.6500000000000001E-2</v>
      </c>
      <c r="K102" s="7">
        <v>7.5999999999999998E-2</v>
      </c>
      <c r="L102" s="7">
        <v>0</v>
      </c>
      <c r="M102" s="11">
        <f t="shared" si="1"/>
        <v>9378.7860000000001</v>
      </c>
      <c r="N102" s="11">
        <f t="shared" si="2"/>
        <v>1134.833106</v>
      </c>
      <c r="O102" s="11">
        <f t="shared" si="3"/>
        <v>5227.1100639999995</v>
      </c>
      <c r="P102" s="11">
        <f t="shared" si="20"/>
        <v>0</v>
      </c>
    </row>
    <row r="103" spans="1:16" ht="15" customHeight="1">
      <c r="A103" s="44"/>
      <c r="B103" s="5">
        <f t="shared" si="19"/>
        <v>45717</v>
      </c>
      <c r="C103" s="218" t="s">
        <v>533</v>
      </c>
      <c r="D103" s="195">
        <v>10212</v>
      </c>
      <c r="E103" s="186"/>
      <c r="F103" s="2">
        <v>5021.79</v>
      </c>
      <c r="G103" s="3">
        <f t="shared" si="21"/>
        <v>4010.4014939999997</v>
      </c>
      <c r="H103" s="187"/>
      <c r="I103" s="7">
        <v>0.12</v>
      </c>
      <c r="J103" s="7">
        <v>1.6500000000000001E-2</v>
      </c>
      <c r="K103" s="7">
        <v>7.5999999999999998E-2</v>
      </c>
      <c r="L103" s="7">
        <v>0</v>
      </c>
      <c r="M103" s="11">
        <f t="shared" si="1"/>
        <v>602.61479999999995</v>
      </c>
      <c r="N103" s="11">
        <f t="shared" si="2"/>
        <v>72.916390800000002</v>
      </c>
      <c r="O103" s="11">
        <f t="shared" si="3"/>
        <v>335.85731519999996</v>
      </c>
      <c r="P103" s="11">
        <f t="shared" si="20"/>
        <v>0</v>
      </c>
    </row>
    <row r="104" spans="1:16" ht="15" customHeight="1">
      <c r="A104" s="44"/>
      <c r="B104" s="5">
        <f t="shared" si="19"/>
        <v>45717</v>
      </c>
      <c r="C104" s="218" t="s">
        <v>533</v>
      </c>
      <c r="D104" s="195">
        <v>10182</v>
      </c>
      <c r="E104" s="186"/>
      <c r="F104" s="2">
        <v>141.41</v>
      </c>
      <c r="G104" s="3">
        <f t="shared" si="21"/>
        <v>112.930026</v>
      </c>
      <c r="H104" s="187"/>
      <c r="I104" s="7">
        <v>0.12</v>
      </c>
      <c r="J104" s="7">
        <v>1.6500000000000001E-2</v>
      </c>
      <c r="K104" s="7">
        <v>7.5999999999999998E-2</v>
      </c>
      <c r="L104" s="7">
        <v>0</v>
      </c>
      <c r="M104" s="11">
        <f t="shared" si="1"/>
        <v>16.969200000000001</v>
      </c>
      <c r="N104" s="11">
        <f t="shared" si="2"/>
        <v>2.0532732</v>
      </c>
      <c r="O104" s="11">
        <f t="shared" si="3"/>
        <v>9.4575008</v>
      </c>
      <c r="P104" s="11">
        <f t="shared" si="20"/>
        <v>0</v>
      </c>
    </row>
    <row r="105" spans="1:16" ht="15" customHeight="1">
      <c r="A105" s="44"/>
      <c r="B105" s="5">
        <f t="shared" si="19"/>
        <v>45717</v>
      </c>
      <c r="C105" s="218" t="s">
        <v>533</v>
      </c>
      <c r="D105" s="195">
        <v>5589</v>
      </c>
      <c r="E105" s="186"/>
      <c r="F105" s="2">
        <v>285910.27</v>
      </c>
      <c r="G105" s="3">
        <f t="shared" si="21"/>
        <v>228327.94162200001</v>
      </c>
      <c r="H105" s="187"/>
      <c r="I105" s="7">
        <v>0.12</v>
      </c>
      <c r="J105" s="7">
        <v>1.6500000000000001E-2</v>
      </c>
      <c r="K105" s="7">
        <v>7.5999999999999998E-2</v>
      </c>
      <c r="L105" s="7">
        <v>0</v>
      </c>
      <c r="M105" s="11">
        <f t="shared" si="1"/>
        <v>34309.232400000001</v>
      </c>
      <c r="N105" s="11">
        <f t="shared" si="2"/>
        <v>4151.4171204000004</v>
      </c>
      <c r="O105" s="11">
        <f t="shared" si="3"/>
        <v>19121.6788576</v>
      </c>
      <c r="P105" s="11">
        <f t="shared" si="20"/>
        <v>0</v>
      </c>
    </row>
    <row r="106" spans="1:16" ht="15" customHeight="1">
      <c r="A106" s="44"/>
      <c r="B106" s="5">
        <f t="shared" si="19"/>
        <v>45717</v>
      </c>
      <c r="C106" s="218" t="s">
        <v>533</v>
      </c>
      <c r="D106" s="195">
        <v>5590</v>
      </c>
      <c r="E106" s="186"/>
      <c r="F106" s="2">
        <v>28591.03</v>
      </c>
      <c r="G106" s="3">
        <f t="shared" si="21"/>
        <v>22832.796557999998</v>
      </c>
      <c r="H106" s="187"/>
      <c r="I106" s="7">
        <v>0.12</v>
      </c>
      <c r="J106" s="7">
        <v>1.6500000000000001E-2</v>
      </c>
      <c r="K106" s="7">
        <v>7.5999999999999998E-2</v>
      </c>
      <c r="L106" s="7">
        <v>0</v>
      </c>
      <c r="M106" s="11">
        <f t="shared" si="1"/>
        <v>3430.9235999999996</v>
      </c>
      <c r="N106" s="11">
        <f t="shared" si="2"/>
        <v>415.14175560000001</v>
      </c>
      <c r="O106" s="11">
        <f t="shared" si="3"/>
        <v>1912.1680864</v>
      </c>
      <c r="P106" s="11">
        <f t="shared" si="20"/>
        <v>0</v>
      </c>
    </row>
    <row r="107" spans="1:16" ht="15" customHeight="1">
      <c r="A107" s="44"/>
      <c r="B107" s="5">
        <f t="shared" si="19"/>
        <v>45717</v>
      </c>
      <c r="C107" s="218" t="s">
        <v>533</v>
      </c>
      <c r="D107" s="195">
        <v>5593</v>
      </c>
      <c r="E107" s="186"/>
      <c r="F107" s="2">
        <v>183344.57</v>
      </c>
      <c r="G107" s="3">
        <f t="shared" si="21"/>
        <v>146418.97360200001</v>
      </c>
      <c r="H107" s="187"/>
      <c r="I107" s="7">
        <v>0.12</v>
      </c>
      <c r="J107" s="7">
        <v>1.6500000000000001E-2</v>
      </c>
      <c r="K107" s="7">
        <v>7.5999999999999998E-2</v>
      </c>
      <c r="L107" s="7">
        <v>0</v>
      </c>
      <c r="M107" s="11">
        <f t="shared" si="1"/>
        <v>22001.348399999999</v>
      </c>
      <c r="N107" s="11">
        <f t="shared" si="2"/>
        <v>2662.1631564000004</v>
      </c>
      <c r="O107" s="11">
        <f t="shared" si="3"/>
        <v>12262.084841600001</v>
      </c>
      <c r="P107" s="11">
        <f t="shared" si="20"/>
        <v>0</v>
      </c>
    </row>
    <row r="108" spans="1:16" ht="15" customHeight="1">
      <c r="A108" s="44"/>
      <c r="B108" s="5">
        <f t="shared" si="19"/>
        <v>45717</v>
      </c>
      <c r="C108" s="218" t="s">
        <v>533</v>
      </c>
      <c r="D108" s="195">
        <v>5594</v>
      </c>
      <c r="E108" s="186"/>
      <c r="F108" s="2">
        <v>18334.46</v>
      </c>
      <c r="G108" s="3">
        <f t="shared" si="21"/>
        <v>14641.899755999999</v>
      </c>
      <c r="H108" s="187"/>
      <c r="I108" s="7">
        <v>0.12</v>
      </c>
      <c r="J108" s="7">
        <v>1.6500000000000001E-2</v>
      </c>
      <c r="K108" s="7">
        <v>7.5999999999999998E-2</v>
      </c>
      <c r="L108" s="7">
        <v>0</v>
      </c>
      <c r="M108" s="11">
        <f t="shared" si="1"/>
        <v>2200.1351999999997</v>
      </c>
      <c r="N108" s="11">
        <f t="shared" si="2"/>
        <v>266.2163592</v>
      </c>
      <c r="O108" s="11">
        <f t="shared" si="3"/>
        <v>1226.2086847999999</v>
      </c>
      <c r="P108" s="11">
        <f t="shared" si="20"/>
        <v>0</v>
      </c>
    </row>
    <row r="109" spans="1:16" ht="15" customHeight="1">
      <c r="A109" s="44"/>
      <c r="B109" s="5">
        <f t="shared" si="19"/>
        <v>45717</v>
      </c>
      <c r="C109" s="218" t="s">
        <v>533</v>
      </c>
      <c r="D109" s="195">
        <v>21300</v>
      </c>
      <c r="E109" s="186"/>
      <c r="F109" s="2">
        <v>3214.25</v>
      </c>
      <c r="G109" s="3">
        <f t="shared" si="21"/>
        <v>2712.7466437499997</v>
      </c>
      <c r="H109" s="187"/>
      <c r="I109" s="7">
        <v>7.0000000000000007E-2</v>
      </c>
      <c r="J109" s="7">
        <v>1.6500000000000001E-2</v>
      </c>
      <c r="K109" s="7">
        <v>7.5999999999999998E-2</v>
      </c>
      <c r="L109" s="7">
        <v>0</v>
      </c>
      <c r="M109" s="11">
        <f t="shared" si="1"/>
        <v>224.99750000000003</v>
      </c>
      <c r="N109" s="11">
        <f t="shared" si="2"/>
        <v>49.322666250000005</v>
      </c>
      <c r="O109" s="11">
        <f t="shared" si="3"/>
        <v>227.18319</v>
      </c>
      <c r="P109" s="11">
        <f t="shared" si="20"/>
        <v>0</v>
      </c>
    </row>
    <row r="110" spans="1:16" ht="15" customHeight="1">
      <c r="A110" s="44"/>
      <c r="B110" s="5">
        <f t="shared" si="19"/>
        <v>45717</v>
      </c>
      <c r="C110" s="218" t="s">
        <v>533</v>
      </c>
      <c r="D110" s="195">
        <v>21301</v>
      </c>
      <c r="E110" s="186"/>
      <c r="F110" s="2">
        <v>321.42</v>
      </c>
      <c r="G110" s="3">
        <f t="shared" si="21"/>
        <v>271.2704445</v>
      </c>
      <c r="H110" s="187"/>
      <c r="I110" s="7">
        <v>7.0000000000000007E-2</v>
      </c>
      <c r="J110" s="7">
        <v>1.6500000000000001E-2</v>
      </c>
      <c r="K110" s="7">
        <v>7.5999999999999998E-2</v>
      </c>
      <c r="L110" s="7">
        <v>0</v>
      </c>
      <c r="M110" s="11">
        <f t="shared" si="1"/>
        <v>22.499400000000005</v>
      </c>
      <c r="N110" s="11">
        <f t="shared" si="2"/>
        <v>4.9321899000000009</v>
      </c>
      <c r="O110" s="11">
        <f t="shared" si="3"/>
        <v>22.717965600000003</v>
      </c>
      <c r="P110" s="11">
        <f t="shared" si="20"/>
        <v>0</v>
      </c>
    </row>
    <row r="111" spans="1:16" ht="15" customHeight="1">
      <c r="A111" s="44"/>
      <c r="B111" s="5">
        <f t="shared" si="19"/>
        <v>45717</v>
      </c>
      <c r="C111" s="218" t="s">
        <v>533</v>
      </c>
      <c r="D111" s="195">
        <v>21302</v>
      </c>
      <c r="E111" s="186"/>
      <c r="F111" s="2">
        <v>2059.94</v>
      </c>
      <c r="G111" s="3">
        <f t="shared" si="21"/>
        <v>1738.5378615</v>
      </c>
      <c r="H111" s="187"/>
      <c r="I111" s="7">
        <v>7.0000000000000007E-2</v>
      </c>
      <c r="J111" s="7">
        <v>1.6500000000000001E-2</v>
      </c>
      <c r="K111" s="7">
        <v>7.5999999999999998E-2</v>
      </c>
      <c r="L111" s="7">
        <v>0</v>
      </c>
      <c r="M111" s="11">
        <f t="shared" si="1"/>
        <v>144.19580000000002</v>
      </c>
      <c r="N111" s="11">
        <f t="shared" si="2"/>
        <v>31.609779300000003</v>
      </c>
      <c r="O111" s="11">
        <f t="shared" si="3"/>
        <v>145.5965592</v>
      </c>
      <c r="P111" s="11">
        <f t="shared" si="20"/>
        <v>0</v>
      </c>
    </row>
    <row r="112" spans="1:16" ht="15" customHeight="1">
      <c r="A112" s="44"/>
      <c r="B112" s="5">
        <f t="shared" si="19"/>
        <v>45717</v>
      </c>
      <c r="C112" s="218" t="s">
        <v>533</v>
      </c>
      <c r="D112" s="195">
        <v>21303</v>
      </c>
      <c r="E112" s="186"/>
      <c r="F112" s="2">
        <v>205.99</v>
      </c>
      <c r="G112" s="3">
        <f t="shared" si="21"/>
        <v>173.85041025000001</v>
      </c>
      <c r="H112" s="187"/>
      <c r="I112" s="7">
        <v>7.0000000000000007E-2</v>
      </c>
      <c r="J112" s="7">
        <v>1.6500000000000001E-2</v>
      </c>
      <c r="K112" s="7">
        <v>7.5999999999999998E-2</v>
      </c>
      <c r="L112" s="7">
        <v>0</v>
      </c>
      <c r="M112" s="11">
        <f t="shared" si="1"/>
        <v>14.419300000000002</v>
      </c>
      <c r="N112" s="11">
        <f t="shared" si="2"/>
        <v>3.1609165500000005</v>
      </c>
      <c r="O112" s="11">
        <f t="shared" si="3"/>
        <v>14.559373200000001</v>
      </c>
      <c r="P112" s="11">
        <f t="shared" si="20"/>
        <v>0</v>
      </c>
    </row>
    <row r="113" spans="1:16" ht="15" customHeight="1">
      <c r="A113" s="44"/>
      <c r="B113" s="5">
        <f t="shared" si="19"/>
        <v>45717</v>
      </c>
      <c r="C113" s="218" t="s">
        <v>533</v>
      </c>
      <c r="D113" s="195">
        <v>21304</v>
      </c>
      <c r="E113" s="186"/>
      <c r="F113" s="2">
        <v>13903.13</v>
      </c>
      <c r="G113" s="3">
        <f t="shared" si="21"/>
        <v>11733.894141749999</v>
      </c>
      <c r="H113" s="187"/>
      <c r="I113" s="7">
        <v>7.0000000000000007E-2</v>
      </c>
      <c r="J113" s="7">
        <v>1.6500000000000001E-2</v>
      </c>
      <c r="K113" s="7">
        <v>7.5999999999999998E-2</v>
      </c>
      <c r="L113" s="7">
        <v>0</v>
      </c>
      <c r="M113" s="11">
        <f t="shared" si="1"/>
        <v>973.21910000000003</v>
      </c>
      <c r="N113" s="11">
        <f t="shared" si="2"/>
        <v>213.34352984999998</v>
      </c>
      <c r="O113" s="11">
        <f t="shared" si="3"/>
        <v>982.67322839999986</v>
      </c>
      <c r="P113" s="11">
        <f t="shared" si="20"/>
        <v>0</v>
      </c>
    </row>
    <row r="114" spans="1:16" ht="15" customHeight="1">
      <c r="A114" s="44"/>
      <c r="B114" s="5">
        <f t="shared" si="19"/>
        <v>45717</v>
      </c>
      <c r="C114" s="218" t="s">
        <v>533</v>
      </c>
      <c r="D114" s="195">
        <v>21297</v>
      </c>
      <c r="E114" s="186"/>
      <c r="F114" s="2">
        <v>892.96</v>
      </c>
      <c r="G114" s="3">
        <f t="shared" si="21"/>
        <v>753.63591599999995</v>
      </c>
      <c r="H114" s="187"/>
      <c r="I114" s="7">
        <v>7.0000000000000007E-2</v>
      </c>
      <c r="J114" s="7">
        <v>1.6500000000000001E-2</v>
      </c>
      <c r="K114" s="7">
        <v>7.5999999999999998E-2</v>
      </c>
      <c r="L114" s="7">
        <v>0</v>
      </c>
      <c r="M114" s="11">
        <f t="shared" si="1"/>
        <v>62.507200000000012</v>
      </c>
      <c r="N114" s="11">
        <f t="shared" si="2"/>
        <v>13.702471200000002</v>
      </c>
      <c r="O114" s="11">
        <f t="shared" si="3"/>
        <v>63.114412800000004</v>
      </c>
      <c r="P114" s="11">
        <f t="shared" si="20"/>
        <v>0</v>
      </c>
    </row>
    <row r="115" spans="1:16" ht="15" customHeight="1">
      <c r="A115" s="44"/>
      <c r="B115" s="5">
        <f t="shared" si="19"/>
        <v>45717</v>
      </c>
      <c r="C115" s="218" t="s">
        <v>533</v>
      </c>
      <c r="D115" s="195">
        <v>20610</v>
      </c>
      <c r="E115" s="186"/>
      <c r="F115" s="2">
        <v>25.83</v>
      </c>
      <c r="G115" s="3">
        <f t="shared" si="21"/>
        <v>21.799874249999998</v>
      </c>
      <c r="H115" s="187"/>
      <c r="I115" s="7">
        <v>7.0000000000000007E-2</v>
      </c>
      <c r="J115" s="7">
        <v>1.6500000000000001E-2</v>
      </c>
      <c r="K115" s="7">
        <v>7.5999999999999998E-2</v>
      </c>
      <c r="L115" s="7">
        <v>0</v>
      </c>
      <c r="M115" s="11">
        <f t="shared" si="1"/>
        <v>1.8081</v>
      </c>
      <c r="N115" s="11">
        <f t="shared" si="2"/>
        <v>0.39636135</v>
      </c>
      <c r="O115" s="11">
        <f t="shared" si="3"/>
        <v>1.8256644</v>
      </c>
      <c r="P115" s="11">
        <f t="shared" si="20"/>
        <v>0</v>
      </c>
    </row>
    <row r="116" spans="1:16" ht="15" customHeight="1">
      <c r="A116" s="44"/>
      <c r="B116" s="5">
        <f t="shared" si="19"/>
        <v>45717</v>
      </c>
      <c r="C116" s="218" t="s">
        <v>533</v>
      </c>
      <c r="D116" s="195">
        <v>20611</v>
      </c>
      <c r="E116" s="186"/>
      <c r="F116" s="2">
        <v>3991.69</v>
      </c>
      <c r="G116" s="3">
        <f t="shared" si="21"/>
        <v>3368.8865677499998</v>
      </c>
      <c r="H116" s="187"/>
      <c r="I116" s="7">
        <v>7.0000000000000007E-2</v>
      </c>
      <c r="J116" s="7">
        <v>1.6500000000000001E-2</v>
      </c>
      <c r="K116" s="7">
        <v>7.5999999999999998E-2</v>
      </c>
      <c r="L116" s="7">
        <v>0</v>
      </c>
      <c r="M116" s="11">
        <f t="shared" si="1"/>
        <v>279.41830000000004</v>
      </c>
      <c r="N116" s="11">
        <f t="shared" si="2"/>
        <v>61.252483050000009</v>
      </c>
      <c r="O116" s="11">
        <f t="shared" si="3"/>
        <v>282.1326492</v>
      </c>
      <c r="P116" s="11">
        <f t="shared" si="20"/>
        <v>0</v>
      </c>
    </row>
    <row r="117" spans="1:16" ht="15" customHeight="1">
      <c r="A117" s="44"/>
      <c r="B117" s="5">
        <f t="shared" si="19"/>
        <v>45717</v>
      </c>
      <c r="C117" s="218" t="s">
        <v>533</v>
      </c>
      <c r="D117" s="195">
        <v>20612</v>
      </c>
      <c r="E117" s="186"/>
      <c r="F117" s="2">
        <v>256.13</v>
      </c>
      <c r="G117" s="3">
        <f t="shared" si="21"/>
        <v>216.16731675</v>
      </c>
      <c r="H117" s="187"/>
      <c r="I117" s="7">
        <v>7.0000000000000007E-2</v>
      </c>
      <c r="J117" s="7">
        <v>1.6500000000000001E-2</v>
      </c>
      <c r="K117" s="7">
        <v>7.5999999999999998E-2</v>
      </c>
      <c r="L117" s="7">
        <v>0</v>
      </c>
      <c r="M117" s="11">
        <f t="shared" si="1"/>
        <v>17.929100000000002</v>
      </c>
      <c r="N117" s="11">
        <f t="shared" si="2"/>
        <v>3.9303148499999998</v>
      </c>
      <c r="O117" s="11">
        <f t="shared" si="3"/>
        <v>18.103268399999997</v>
      </c>
      <c r="P117" s="11">
        <f t="shared" si="20"/>
        <v>0</v>
      </c>
    </row>
    <row r="118" spans="1:16" ht="15" customHeight="1">
      <c r="A118" s="44"/>
      <c r="B118" s="5">
        <f t="shared" si="19"/>
        <v>45717</v>
      </c>
      <c r="C118" s="218" t="s">
        <v>533</v>
      </c>
      <c r="D118" s="195">
        <v>20608</v>
      </c>
      <c r="E118" s="186"/>
      <c r="F118" s="2">
        <v>7.88</v>
      </c>
      <c r="G118" s="3">
        <f t="shared" si="21"/>
        <v>6.6505229999999997</v>
      </c>
      <c r="H118" s="187"/>
      <c r="I118" s="7">
        <v>7.0000000000000007E-2</v>
      </c>
      <c r="J118" s="7">
        <v>1.6500000000000001E-2</v>
      </c>
      <c r="K118" s="7">
        <v>7.5999999999999998E-2</v>
      </c>
      <c r="L118" s="7">
        <v>0</v>
      </c>
      <c r="M118" s="11">
        <f t="shared" ref="M118:M151" si="22">+I118*F118</f>
        <v>0.55160000000000009</v>
      </c>
      <c r="N118" s="11">
        <f t="shared" ref="N118:N151" si="23">J118*(F118-M118)</f>
        <v>0.12091860000000001</v>
      </c>
      <c r="O118" s="11">
        <f t="shared" ref="O118:O151" si="24">K118*(F118-M118)</f>
        <v>0.55695839999999996</v>
      </c>
      <c r="P118" s="11">
        <f t="shared" ref="P118:P151" si="25">L118*(F118)</f>
        <v>0</v>
      </c>
    </row>
    <row r="119" spans="1:16" ht="15" customHeight="1">
      <c r="A119" s="44"/>
      <c r="B119" s="5">
        <f t="shared" ref="B119:B158" si="26">B118</f>
        <v>45717</v>
      </c>
      <c r="C119" s="218" t="s">
        <v>533</v>
      </c>
      <c r="D119" s="195">
        <v>20609</v>
      </c>
      <c r="E119" s="186"/>
      <c r="F119" s="2">
        <v>2842.39</v>
      </c>
      <c r="G119" s="3">
        <f t="shared" si="21"/>
        <v>2398.9061002499998</v>
      </c>
      <c r="H119" s="187"/>
      <c r="I119" s="7">
        <v>7.0000000000000007E-2</v>
      </c>
      <c r="J119" s="7">
        <v>1.6500000000000001E-2</v>
      </c>
      <c r="K119" s="7">
        <v>7.5999999999999998E-2</v>
      </c>
      <c r="L119" s="7">
        <v>0</v>
      </c>
      <c r="M119" s="11">
        <f t="shared" si="22"/>
        <v>198.96730000000002</v>
      </c>
      <c r="N119" s="11">
        <f t="shared" si="23"/>
        <v>43.616474550000007</v>
      </c>
      <c r="O119" s="11">
        <f t="shared" si="24"/>
        <v>200.90012519999999</v>
      </c>
      <c r="P119" s="11">
        <f t="shared" si="25"/>
        <v>0</v>
      </c>
    </row>
    <row r="120" spans="1:16" ht="15" customHeight="1">
      <c r="A120" s="44"/>
      <c r="B120" s="5">
        <f t="shared" si="26"/>
        <v>45717</v>
      </c>
      <c r="C120" s="218" t="s">
        <v>533</v>
      </c>
      <c r="D120" s="195">
        <v>21040</v>
      </c>
      <c r="E120" s="186"/>
      <c r="F120" s="2">
        <v>182.37</v>
      </c>
      <c r="G120" s="3">
        <f t="shared" si="21"/>
        <v>153.91572074999999</v>
      </c>
      <c r="H120" s="187"/>
      <c r="I120" s="7">
        <v>7.0000000000000007E-2</v>
      </c>
      <c r="J120" s="7">
        <v>1.6500000000000001E-2</v>
      </c>
      <c r="K120" s="7">
        <v>7.5999999999999998E-2</v>
      </c>
      <c r="L120" s="7">
        <v>0</v>
      </c>
      <c r="M120" s="11">
        <f t="shared" si="22"/>
        <v>12.765900000000002</v>
      </c>
      <c r="N120" s="11">
        <f t="shared" si="23"/>
        <v>2.7984676500000005</v>
      </c>
      <c r="O120" s="11">
        <f t="shared" si="24"/>
        <v>12.889911600000001</v>
      </c>
      <c r="P120" s="11">
        <f t="shared" si="25"/>
        <v>0</v>
      </c>
    </row>
    <row r="121" spans="1:16" ht="15" customHeight="1">
      <c r="A121" s="44"/>
      <c r="B121" s="5">
        <f t="shared" si="26"/>
        <v>45717</v>
      </c>
      <c r="C121" s="218" t="s">
        <v>533</v>
      </c>
      <c r="D121" s="195">
        <v>21113</v>
      </c>
      <c r="E121" s="186"/>
      <c r="F121" s="2">
        <v>5.64</v>
      </c>
      <c r="G121" s="3">
        <f t="shared" si="21"/>
        <v>4.7600189999999998</v>
      </c>
      <c r="H121" s="187"/>
      <c r="I121" s="7">
        <v>7.0000000000000007E-2</v>
      </c>
      <c r="J121" s="7">
        <v>1.6500000000000001E-2</v>
      </c>
      <c r="K121" s="7">
        <v>7.5999999999999998E-2</v>
      </c>
      <c r="L121" s="7">
        <v>0</v>
      </c>
      <c r="M121" s="11">
        <f t="shared" si="22"/>
        <v>0.39480000000000004</v>
      </c>
      <c r="N121" s="11">
        <f t="shared" si="23"/>
        <v>8.6545799999999992E-2</v>
      </c>
      <c r="O121" s="11">
        <f t="shared" si="24"/>
        <v>0.39863519999999997</v>
      </c>
      <c r="P121" s="11">
        <f t="shared" si="25"/>
        <v>0</v>
      </c>
    </row>
    <row r="122" spans="1:16" ht="15" customHeight="1">
      <c r="A122" s="44"/>
      <c r="B122" s="5">
        <f t="shared" si="26"/>
        <v>45717</v>
      </c>
      <c r="C122" s="218" t="s">
        <v>533</v>
      </c>
      <c r="D122" s="195">
        <v>21114</v>
      </c>
      <c r="E122" s="186"/>
      <c r="F122" s="2">
        <v>10825.63</v>
      </c>
      <c r="G122" s="3">
        <f t="shared" si="21"/>
        <v>9136.5610792499992</v>
      </c>
      <c r="H122" s="187"/>
      <c r="I122" s="7">
        <v>7.0000000000000007E-2</v>
      </c>
      <c r="J122" s="7">
        <v>1.6500000000000001E-2</v>
      </c>
      <c r="K122" s="7">
        <v>7.5999999999999998E-2</v>
      </c>
      <c r="L122" s="7">
        <v>0</v>
      </c>
      <c r="M122" s="11">
        <f t="shared" si="22"/>
        <v>757.79410000000007</v>
      </c>
      <c r="N122" s="11">
        <f t="shared" si="23"/>
        <v>166.11929234999997</v>
      </c>
      <c r="O122" s="11">
        <f t="shared" si="24"/>
        <v>765.15552839999987</v>
      </c>
      <c r="P122" s="11">
        <f t="shared" si="25"/>
        <v>0</v>
      </c>
    </row>
    <row r="123" spans="1:16" ht="15" customHeight="1">
      <c r="A123" s="44"/>
      <c r="B123" s="5">
        <f t="shared" si="26"/>
        <v>45717</v>
      </c>
      <c r="C123" s="218" t="s">
        <v>533</v>
      </c>
      <c r="D123" s="195">
        <v>21115</v>
      </c>
      <c r="E123" s="186"/>
      <c r="F123" s="2">
        <v>694.64</v>
      </c>
      <c r="G123" s="3">
        <f t="shared" si="21"/>
        <v>586.25879399999997</v>
      </c>
      <c r="H123" s="187"/>
      <c r="I123" s="7">
        <v>7.0000000000000007E-2</v>
      </c>
      <c r="J123" s="7">
        <v>1.6500000000000001E-2</v>
      </c>
      <c r="K123" s="7">
        <v>7.5999999999999998E-2</v>
      </c>
      <c r="L123" s="7">
        <v>0</v>
      </c>
      <c r="M123" s="11">
        <f t="shared" si="22"/>
        <v>48.6248</v>
      </c>
      <c r="N123" s="11">
        <f t="shared" si="23"/>
        <v>10.659250799999999</v>
      </c>
      <c r="O123" s="11">
        <f t="shared" si="24"/>
        <v>49.097155199999996</v>
      </c>
      <c r="P123" s="11">
        <f t="shared" si="25"/>
        <v>0</v>
      </c>
    </row>
    <row r="124" spans="1:16" ht="15" customHeight="1">
      <c r="A124" s="44"/>
      <c r="B124" s="5">
        <f t="shared" si="26"/>
        <v>45717</v>
      </c>
      <c r="C124" s="218" t="s">
        <v>533</v>
      </c>
      <c r="D124" s="195">
        <v>21116</v>
      </c>
      <c r="E124" s="186"/>
      <c r="F124" s="2">
        <v>21.36</v>
      </c>
      <c r="G124" s="3">
        <f t="shared" si="21"/>
        <v>18.027305999999999</v>
      </c>
      <c r="H124" s="187"/>
      <c r="I124" s="7">
        <v>7.0000000000000007E-2</v>
      </c>
      <c r="J124" s="7">
        <v>1.6500000000000001E-2</v>
      </c>
      <c r="K124" s="7">
        <v>7.5999999999999998E-2</v>
      </c>
      <c r="L124" s="7">
        <v>0</v>
      </c>
      <c r="M124" s="11">
        <f t="shared" si="22"/>
        <v>1.4952000000000001</v>
      </c>
      <c r="N124" s="11">
        <f t="shared" si="23"/>
        <v>0.32776919999999998</v>
      </c>
      <c r="O124" s="11">
        <f t="shared" si="24"/>
        <v>1.5097247999999999</v>
      </c>
      <c r="P124" s="11">
        <f t="shared" si="25"/>
        <v>0</v>
      </c>
    </row>
    <row r="125" spans="1:16" ht="15" customHeight="1">
      <c r="A125" s="44"/>
      <c r="B125" s="5">
        <f t="shared" si="26"/>
        <v>45717</v>
      </c>
      <c r="C125" s="218" t="s">
        <v>533</v>
      </c>
      <c r="D125" s="195">
        <v>21111</v>
      </c>
      <c r="E125" s="186"/>
      <c r="F125" s="2">
        <v>4947.8599999999997</v>
      </c>
      <c r="G125" s="3">
        <f t="shared" si="21"/>
        <v>4175.8701434999994</v>
      </c>
      <c r="H125" s="187"/>
      <c r="I125" s="7">
        <v>7.0000000000000007E-2</v>
      </c>
      <c r="J125" s="7">
        <v>1.6500000000000001E-2</v>
      </c>
      <c r="K125" s="7">
        <v>7.5999999999999998E-2</v>
      </c>
      <c r="L125" s="7">
        <v>0</v>
      </c>
      <c r="M125" s="11">
        <f t="shared" si="22"/>
        <v>346.35020000000003</v>
      </c>
      <c r="N125" s="11">
        <f t="shared" si="23"/>
        <v>75.924911699999996</v>
      </c>
      <c r="O125" s="11">
        <f t="shared" si="24"/>
        <v>349.71474480000001</v>
      </c>
      <c r="P125" s="11">
        <f t="shared" si="25"/>
        <v>0</v>
      </c>
    </row>
    <row r="126" spans="1:16" ht="15" customHeight="1">
      <c r="A126" s="44"/>
      <c r="B126" s="5">
        <f t="shared" si="26"/>
        <v>45717</v>
      </c>
      <c r="C126" s="218" t="s">
        <v>533</v>
      </c>
      <c r="D126" s="195">
        <v>21112</v>
      </c>
      <c r="E126" s="186"/>
      <c r="F126" s="2">
        <v>317.55</v>
      </c>
      <c r="G126" s="3">
        <f t="shared" si="21"/>
        <v>268.00426125000001</v>
      </c>
      <c r="H126" s="187"/>
      <c r="I126" s="7">
        <v>7.0000000000000007E-2</v>
      </c>
      <c r="J126" s="7">
        <v>1.6500000000000001E-2</v>
      </c>
      <c r="K126" s="7">
        <v>7.5999999999999998E-2</v>
      </c>
      <c r="L126" s="7">
        <v>0</v>
      </c>
      <c r="M126" s="11">
        <f t="shared" si="22"/>
        <v>22.228500000000004</v>
      </c>
      <c r="N126" s="11">
        <f t="shared" si="23"/>
        <v>4.8728047500000002</v>
      </c>
      <c r="O126" s="11">
        <f t="shared" si="24"/>
        <v>22.444434000000001</v>
      </c>
      <c r="P126" s="11">
        <f t="shared" si="25"/>
        <v>0</v>
      </c>
    </row>
    <row r="127" spans="1:16" ht="15" customHeight="1">
      <c r="A127" s="44"/>
      <c r="B127" s="5">
        <f t="shared" si="26"/>
        <v>45717</v>
      </c>
      <c r="C127" s="218" t="s">
        <v>533</v>
      </c>
      <c r="D127" s="195">
        <v>21151</v>
      </c>
      <c r="E127" s="186"/>
      <c r="F127" s="2">
        <v>9.6300000000000008</v>
      </c>
      <c r="G127" s="3">
        <f t="shared" si="21"/>
        <v>8.1274792500000004</v>
      </c>
      <c r="H127" s="187"/>
      <c r="I127" s="7">
        <v>7.0000000000000007E-2</v>
      </c>
      <c r="J127" s="7">
        <v>1.6500000000000001E-2</v>
      </c>
      <c r="K127" s="7">
        <v>7.5999999999999998E-2</v>
      </c>
      <c r="L127" s="7">
        <v>0</v>
      </c>
      <c r="M127" s="11">
        <f t="shared" si="22"/>
        <v>0.67410000000000014</v>
      </c>
      <c r="N127" s="11">
        <f t="shared" si="23"/>
        <v>0.14777235</v>
      </c>
      <c r="O127" s="11">
        <f t="shared" si="24"/>
        <v>0.68064839999999993</v>
      </c>
      <c r="P127" s="11">
        <f t="shared" si="25"/>
        <v>0</v>
      </c>
    </row>
    <row r="128" spans="1:16" ht="15" customHeight="1">
      <c r="A128" s="44"/>
      <c r="B128" s="5">
        <f t="shared" si="26"/>
        <v>45717</v>
      </c>
      <c r="C128" s="218" t="s">
        <v>533</v>
      </c>
      <c r="D128" s="195">
        <v>21152</v>
      </c>
      <c r="E128" s="186"/>
      <c r="F128" s="2">
        <v>12629.3</v>
      </c>
      <c r="G128" s="3">
        <f t="shared" si="21"/>
        <v>10658.8134675</v>
      </c>
      <c r="H128" s="187"/>
      <c r="I128" s="7">
        <v>7.0000000000000007E-2</v>
      </c>
      <c r="J128" s="7">
        <v>1.6500000000000001E-2</v>
      </c>
      <c r="K128" s="7">
        <v>7.5999999999999998E-2</v>
      </c>
      <c r="L128" s="7">
        <v>0</v>
      </c>
      <c r="M128" s="11">
        <f t="shared" si="22"/>
        <v>884.05100000000004</v>
      </c>
      <c r="N128" s="11">
        <f t="shared" si="23"/>
        <v>193.79660850000002</v>
      </c>
      <c r="O128" s="11">
        <f t="shared" si="24"/>
        <v>892.63892399999997</v>
      </c>
      <c r="P128" s="11">
        <f t="shared" si="25"/>
        <v>0</v>
      </c>
    </row>
    <row r="129" spans="1:16" ht="15" customHeight="1">
      <c r="A129" s="44"/>
      <c r="B129" s="5">
        <f t="shared" si="26"/>
        <v>45717</v>
      </c>
      <c r="C129" s="218" t="s">
        <v>533</v>
      </c>
      <c r="D129" s="195">
        <v>21153</v>
      </c>
      <c r="E129" s="186"/>
      <c r="F129" s="2">
        <v>810.08</v>
      </c>
      <c r="G129" s="3">
        <f t="shared" si="21"/>
        <v>683.68726800000002</v>
      </c>
      <c r="H129" s="187"/>
      <c r="I129" s="7">
        <v>7.0000000000000007E-2</v>
      </c>
      <c r="J129" s="7">
        <v>1.6500000000000001E-2</v>
      </c>
      <c r="K129" s="7">
        <v>7.5999999999999998E-2</v>
      </c>
      <c r="L129" s="7">
        <v>0</v>
      </c>
      <c r="M129" s="11">
        <f t="shared" si="22"/>
        <v>56.705600000000011</v>
      </c>
      <c r="N129" s="11">
        <f t="shared" si="23"/>
        <v>12.430677600000001</v>
      </c>
      <c r="O129" s="11">
        <f t="shared" si="24"/>
        <v>57.256454400000003</v>
      </c>
      <c r="P129" s="11">
        <f t="shared" si="25"/>
        <v>0</v>
      </c>
    </row>
    <row r="130" spans="1:16" ht="15" customHeight="1">
      <c r="A130" s="44"/>
      <c r="B130" s="5">
        <f t="shared" si="26"/>
        <v>45717</v>
      </c>
      <c r="C130" s="218" t="s">
        <v>533</v>
      </c>
      <c r="D130" s="195">
        <v>21154</v>
      </c>
      <c r="E130" s="186"/>
      <c r="F130" s="2">
        <v>25.45</v>
      </c>
      <c r="G130" s="3">
        <f t="shared" si="21"/>
        <v>21.479163749999998</v>
      </c>
      <c r="H130" s="187"/>
      <c r="I130" s="7">
        <v>7.0000000000000007E-2</v>
      </c>
      <c r="J130" s="7">
        <v>1.6500000000000001E-2</v>
      </c>
      <c r="K130" s="7">
        <v>7.5999999999999998E-2</v>
      </c>
      <c r="L130" s="7">
        <v>0</v>
      </c>
      <c r="M130" s="11">
        <f t="shared" si="22"/>
        <v>1.7815000000000001</v>
      </c>
      <c r="N130" s="11">
        <f t="shared" si="23"/>
        <v>0.39053024999999997</v>
      </c>
      <c r="O130" s="11">
        <f t="shared" si="24"/>
        <v>1.7988059999999999</v>
      </c>
      <c r="P130" s="11">
        <f t="shared" si="25"/>
        <v>0</v>
      </c>
    </row>
    <row r="131" spans="1:16" ht="15" customHeight="1">
      <c r="A131" s="44"/>
      <c r="B131" s="5">
        <f t="shared" si="26"/>
        <v>45717</v>
      </c>
      <c r="C131" s="218" t="s">
        <v>533</v>
      </c>
      <c r="D131" s="195">
        <v>5532</v>
      </c>
      <c r="E131" s="186"/>
      <c r="F131" s="2">
        <v>189377.48</v>
      </c>
      <c r="G131" s="3">
        <f t="shared" si="21"/>
        <v>151236.85552800001</v>
      </c>
      <c r="H131" s="187"/>
      <c r="I131" s="7">
        <v>0.12</v>
      </c>
      <c r="J131" s="7">
        <v>1.6500000000000001E-2</v>
      </c>
      <c r="K131" s="7">
        <v>7.5999999999999998E-2</v>
      </c>
      <c r="L131" s="7">
        <v>0</v>
      </c>
      <c r="M131" s="11">
        <f t="shared" si="22"/>
        <v>22725.297600000002</v>
      </c>
      <c r="N131" s="11">
        <f t="shared" si="23"/>
        <v>2749.7610096000003</v>
      </c>
      <c r="O131" s="11">
        <f t="shared" si="24"/>
        <v>12665.565862400001</v>
      </c>
      <c r="P131" s="11">
        <f t="shared" si="25"/>
        <v>0</v>
      </c>
    </row>
    <row r="132" spans="1:16" ht="15" customHeight="1">
      <c r="A132" s="44"/>
      <c r="B132" s="5">
        <f t="shared" si="26"/>
        <v>45717</v>
      </c>
      <c r="C132" s="218" t="s">
        <v>533</v>
      </c>
      <c r="D132" s="195">
        <v>5533</v>
      </c>
      <c r="E132" s="186"/>
      <c r="F132" s="2">
        <v>12163.16</v>
      </c>
      <c r="G132" s="3">
        <f t="shared" si="21"/>
        <v>9713.4995760000002</v>
      </c>
      <c r="H132" s="187"/>
      <c r="I132" s="7">
        <v>0.12</v>
      </c>
      <c r="J132" s="7">
        <v>1.6500000000000001E-2</v>
      </c>
      <c r="K132" s="7">
        <v>7.5999999999999998E-2</v>
      </c>
      <c r="L132" s="7">
        <v>0</v>
      </c>
      <c r="M132" s="11">
        <f t="shared" si="22"/>
        <v>1459.5791999999999</v>
      </c>
      <c r="N132" s="11">
        <f t="shared" si="23"/>
        <v>176.60908320000001</v>
      </c>
      <c r="O132" s="11">
        <f t="shared" si="24"/>
        <v>813.47214079999992</v>
      </c>
      <c r="P132" s="11">
        <f t="shared" si="25"/>
        <v>0</v>
      </c>
    </row>
    <row r="133" spans="1:16" ht="15" customHeight="1">
      <c r="A133" s="44"/>
      <c r="B133" s="5">
        <f t="shared" si="26"/>
        <v>45717</v>
      </c>
      <c r="C133" s="218" t="s">
        <v>533</v>
      </c>
      <c r="D133" s="195">
        <v>5534</v>
      </c>
      <c r="E133" s="186"/>
      <c r="F133" s="2">
        <v>351.84</v>
      </c>
      <c r="G133" s="3">
        <f t="shared" si="21"/>
        <v>280.97942399999999</v>
      </c>
      <c r="H133" s="187"/>
      <c r="I133" s="7">
        <v>0.12</v>
      </c>
      <c r="J133" s="7">
        <v>1.6500000000000001E-2</v>
      </c>
      <c r="K133" s="7">
        <v>7.5999999999999998E-2</v>
      </c>
      <c r="L133" s="7">
        <v>0</v>
      </c>
      <c r="M133" s="11">
        <f t="shared" si="22"/>
        <v>42.220799999999997</v>
      </c>
      <c r="N133" s="11">
        <f t="shared" si="23"/>
        <v>5.1087167999999998</v>
      </c>
      <c r="O133" s="11">
        <f t="shared" si="24"/>
        <v>23.531059199999998</v>
      </c>
      <c r="P133" s="11">
        <f t="shared" si="25"/>
        <v>0</v>
      </c>
    </row>
    <row r="134" spans="1:16" ht="15" customHeight="1">
      <c r="A134" s="44"/>
      <c r="B134" s="5">
        <f t="shared" si="26"/>
        <v>45717</v>
      </c>
      <c r="C134" s="218" t="s">
        <v>533</v>
      </c>
      <c r="D134" s="195">
        <v>5541</v>
      </c>
      <c r="E134" s="186"/>
      <c r="F134" s="2">
        <v>54369.51</v>
      </c>
      <c r="G134" s="3">
        <f t="shared" si="21"/>
        <v>43419.490686000005</v>
      </c>
      <c r="H134" s="187"/>
      <c r="I134" s="7">
        <v>0.12</v>
      </c>
      <c r="J134" s="7">
        <v>1.6500000000000001E-2</v>
      </c>
      <c r="K134" s="7">
        <v>7.5999999999999998E-2</v>
      </c>
      <c r="L134" s="7">
        <v>0</v>
      </c>
      <c r="M134" s="11">
        <f t="shared" si="22"/>
        <v>6524.3411999999998</v>
      </c>
      <c r="N134" s="11">
        <f t="shared" si="23"/>
        <v>789.44528520000006</v>
      </c>
      <c r="O134" s="11">
        <f t="shared" si="24"/>
        <v>3636.2328287999999</v>
      </c>
      <c r="P134" s="11">
        <f t="shared" si="25"/>
        <v>0</v>
      </c>
    </row>
    <row r="135" spans="1:16" ht="15" customHeight="1">
      <c r="A135" s="44"/>
      <c r="B135" s="5">
        <f t="shared" si="26"/>
        <v>45717</v>
      </c>
      <c r="C135" s="218" t="s">
        <v>533</v>
      </c>
      <c r="D135" s="195">
        <v>5542</v>
      </c>
      <c r="E135" s="186"/>
      <c r="F135" s="2">
        <v>3488.62</v>
      </c>
      <c r="G135" s="3">
        <f t="shared" si="21"/>
        <v>2786.0119319999999</v>
      </c>
      <c r="H135" s="187"/>
      <c r="I135" s="7">
        <v>0.12</v>
      </c>
      <c r="J135" s="7">
        <v>1.6500000000000001E-2</v>
      </c>
      <c r="K135" s="7">
        <v>7.5999999999999998E-2</v>
      </c>
      <c r="L135" s="7">
        <v>0</v>
      </c>
      <c r="M135" s="11">
        <f t="shared" si="22"/>
        <v>418.63439999999997</v>
      </c>
      <c r="N135" s="11">
        <f t="shared" si="23"/>
        <v>50.654762400000003</v>
      </c>
      <c r="O135" s="11">
        <f t="shared" si="24"/>
        <v>233.31890559999999</v>
      </c>
      <c r="P135" s="11">
        <f t="shared" si="25"/>
        <v>0</v>
      </c>
    </row>
    <row r="136" spans="1:16" ht="15" customHeight="1">
      <c r="A136" s="44"/>
      <c r="B136" s="5">
        <f t="shared" si="26"/>
        <v>45717</v>
      </c>
      <c r="C136" s="218" t="s">
        <v>533</v>
      </c>
      <c r="D136" s="195">
        <v>5543</v>
      </c>
      <c r="E136" s="186"/>
      <c r="F136" s="2">
        <v>107.35</v>
      </c>
      <c r="G136" s="3">
        <f t="shared" si="21"/>
        <v>85.729709999999997</v>
      </c>
      <c r="H136" s="187"/>
      <c r="I136" s="7">
        <v>0.12</v>
      </c>
      <c r="J136" s="7">
        <v>1.6500000000000001E-2</v>
      </c>
      <c r="K136" s="7">
        <v>7.5999999999999998E-2</v>
      </c>
      <c r="L136" s="7">
        <v>0</v>
      </c>
      <c r="M136" s="11">
        <f t="shared" si="22"/>
        <v>12.882</v>
      </c>
      <c r="N136" s="11">
        <f t="shared" si="23"/>
        <v>1.5587219999999999</v>
      </c>
      <c r="O136" s="11">
        <f t="shared" si="24"/>
        <v>7.1795679999999988</v>
      </c>
      <c r="P136" s="11">
        <f t="shared" si="25"/>
        <v>0</v>
      </c>
    </row>
    <row r="137" spans="1:16" ht="15" customHeight="1">
      <c r="A137" s="44"/>
      <c r="B137" s="5">
        <f t="shared" si="26"/>
        <v>45717</v>
      </c>
      <c r="C137" s="218" t="s">
        <v>533</v>
      </c>
      <c r="D137" s="195">
        <v>5544</v>
      </c>
      <c r="E137" s="186"/>
      <c r="F137" s="2">
        <v>38716.75</v>
      </c>
      <c r="G137" s="3">
        <f t="shared" si="21"/>
        <v>30919.196550000001</v>
      </c>
      <c r="H137" s="187"/>
      <c r="I137" s="7">
        <v>0.12</v>
      </c>
      <c r="J137" s="7">
        <v>1.6500000000000001E-2</v>
      </c>
      <c r="K137" s="7">
        <v>7.5999999999999998E-2</v>
      </c>
      <c r="L137" s="7">
        <v>0</v>
      </c>
      <c r="M137" s="11">
        <f t="shared" si="22"/>
        <v>4646.01</v>
      </c>
      <c r="N137" s="11">
        <f t="shared" si="23"/>
        <v>562.16720999999995</v>
      </c>
      <c r="O137" s="11">
        <f t="shared" si="24"/>
        <v>2589.3762399999996</v>
      </c>
      <c r="P137" s="11">
        <f t="shared" si="25"/>
        <v>0</v>
      </c>
    </row>
    <row r="138" spans="1:16" ht="15" customHeight="1">
      <c r="A138" s="44"/>
      <c r="B138" s="5">
        <f t="shared" si="26"/>
        <v>45717</v>
      </c>
      <c r="C138" s="218" t="s">
        <v>533</v>
      </c>
      <c r="D138" s="195">
        <v>5545</v>
      </c>
      <c r="E138" s="186"/>
      <c r="F138" s="2">
        <v>2484.04</v>
      </c>
      <c r="G138" s="3">
        <f t="shared" si="21"/>
        <v>1983.7543439999999</v>
      </c>
      <c r="H138" s="187"/>
      <c r="I138" s="7">
        <v>0.12</v>
      </c>
      <c r="J138" s="7">
        <v>1.6500000000000001E-2</v>
      </c>
      <c r="K138" s="7">
        <v>7.5999999999999998E-2</v>
      </c>
      <c r="L138" s="7">
        <v>0</v>
      </c>
      <c r="M138" s="11">
        <f t="shared" si="22"/>
        <v>298.08479999999997</v>
      </c>
      <c r="N138" s="11">
        <f t="shared" si="23"/>
        <v>36.068260799999997</v>
      </c>
      <c r="O138" s="11">
        <f t="shared" si="24"/>
        <v>166.1325952</v>
      </c>
      <c r="P138" s="11">
        <f t="shared" si="25"/>
        <v>0</v>
      </c>
    </row>
    <row r="139" spans="1:16" ht="15" customHeight="1">
      <c r="A139" s="44"/>
      <c r="B139" s="5">
        <f t="shared" si="26"/>
        <v>45717</v>
      </c>
      <c r="C139" s="218" t="s">
        <v>533</v>
      </c>
      <c r="D139" s="195">
        <v>5546</v>
      </c>
      <c r="E139" s="186"/>
      <c r="F139" s="2">
        <v>76.86</v>
      </c>
      <c r="G139" s="3">
        <f t="shared" si="21"/>
        <v>61.380395999999998</v>
      </c>
      <c r="H139" s="187"/>
      <c r="I139" s="7">
        <v>0.12</v>
      </c>
      <c r="J139" s="7">
        <v>1.6500000000000001E-2</v>
      </c>
      <c r="K139" s="7">
        <v>7.5999999999999998E-2</v>
      </c>
      <c r="L139" s="7">
        <v>0</v>
      </c>
      <c r="M139" s="11">
        <f t="shared" si="22"/>
        <v>9.2232000000000003</v>
      </c>
      <c r="N139" s="11">
        <f t="shared" si="23"/>
        <v>1.1160071999999999</v>
      </c>
      <c r="O139" s="11">
        <f t="shared" si="24"/>
        <v>5.1403967999999995</v>
      </c>
      <c r="P139" s="11">
        <f t="shared" si="25"/>
        <v>0</v>
      </c>
    </row>
    <row r="140" spans="1:16" ht="15" customHeight="1">
      <c r="A140" s="44"/>
      <c r="B140" s="5">
        <f t="shared" si="26"/>
        <v>45717</v>
      </c>
      <c r="C140" s="218" t="s">
        <v>533</v>
      </c>
      <c r="D140" s="195">
        <v>5547</v>
      </c>
      <c r="E140" s="186"/>
      <c r="F140" s="2">
        <v>147458.23999999999</v>
      </c>
      <c r="G140" s="3">
        <f t="shared" si="21"/>
        <v>117760.15046399999</v>
      </c>
      <c r="H140" s="187"/>
      <c r="I140" s="7">
        <v>0.12</v>
      </c>
      <c r="J140" s="7">
        <v>1.6500000000000001E-2</v>
      </c>
      <c r="K140" s="7">
        <v>7.5999999999999998E-2</v>
      </c>
      <c r="L140" s="7">
        <v>0</v>
      </c>
      <c r="M140" s="11">
        <f t="shared" si="22"/>
        <v>17694.988799999999</v>
      </c>
      <c r="N140" s="11">
        <f t="shared" si="23"/>
        <v>2141.0936448000002</v>
      </c>
      <c r="O140" s="11">
        <f t="shared" si="24"/>
        <v>9862.0070911999992</v>
      </c>
      <c r="P140" s="11">
        <f t="shared" si="25"/>
        <v>0</v>
      </c>
    </row>
    <row r="141" spans="1:16" ht="15" customHeight="1">
      <c r="A141" s="44"/>
      <c r="B141" s="5">
        <f t="shared" si="26"/>
        <v>45717</v>
      </c>
      <c r="C141" s="218" t="s">
        <v>533</v>
      </c>
      <c r="D141" s="195">
        <v>5548</v>
      </c>
      <c r="E141" s="186"/>
      <c r="F141" s="2">
        <v>9461.7800000000007</v>
      </c>
      <c r="G141" s="3">
        <f t="shared" si="21"/>
        <v>7556.1775080000007</v>
      </c>
      <c r="H141" s="187"/>
      <c r="I141" s="7">
        <v>0.12</v>
      </c>
      <c r="J141" s="7">
        <v>1.6500000000000001E-2</v>
      </c>
      <c r="K141" s="7">
        <v>7.5999999999999998E-2</v>
      </c>
      <c r="L141" s="7">
        <v>0</v>
      </c>
      <c r="M141" s="11">
        <f t="shared" si="22"/>
        <v>1135.4136000000001</v>
      </c>
      <c r="N141" s="11">
        <f t="shared" si="23"/>
        <v>137.38504560000001</v>
      </c>
      <c r="O141" s="11">
        <f t="shared" si="24"/>
        <v>632.8038464</v>
      </c>
      <c r="P141" s="11">
        <f t="shared" si="25"/>
        <v>0</v>
      </c>
    </row>
    <row r="142" spans="1:16" ht="15" customHeight="1">
      <c r="A142" s="44"/>
      <c r="B142" s="5">
        <f t="shared" si="26"/>
        <v>45717</v>
      </c>
      <c r="C142" s="218" t="s">
        <v>533</v>
      </c>
      <c r="D142" s="195">
        <v>5558</v>
      </c>
      <c r="E142" s="186"/>
      <c r="F142" s="2">
        <v>290.89</v>
      </c>
      <c r="G142" s="3">
        <f t="shared" si="21"/>
        <v>232.304754</v>
      </c>
      <c r="H142" s="187"/>
      <c r="I142" s="7">
        <v>0.12</v>
      </c>
      <c r="J142" s="7">
        <v>1.6500000000000001E-2</v>
      </c>
      <c r="K142" s="7">
        <v>7.5999999999999998E-2</v>
      </c>
      <c r="L142" s="7">
        <v>0</v>
      </c>
      <c r="M142" s="11">
        <f t="shared" si="22"/>
        <v>34.906799999999997</v>
      </c>
      <c r="N142" s="11">
        <f t="shared" si="23"/>
        <v>4.2237228</v>
      </c>
      <c r="O142" s="11">
        <f t="shared" si="24"/>
        <v>19.454723199999997</v>
      </c>
      <c r="P142" s="11">
        <f t="shared" si="25"/>
        <v>0</v>
      </c>
    </row>
    <row r="143" spans="1:16" ht="15" customHeight="1">
      <c r="A143" s="44"/>
      <c r="B143" s="5">
        <f t="shared" si="26"/>
        <v>45717</v>
      </c>
      <c r="C143" s="218" t="s">
        <v>533</v>
      </c>
      <c r="D143" s="195">
        <v>5559</v>
      </c>
      <c r="E143" s="186"/>
      <c r="F143" s="2">
        <v>67395.820000000007</v>
      </c>
      <c r="G143" s="3">
        <f t="shared" si="21"/>
        <v>53822.301852000004</v>
      </c>
      <c r="H143" s="187"/>
      <c r="I143" s="7">
        <v>0.12</v>
      </c>
      <c r="J143" s="7">
        <v>1.6500000000000001E-2</v>
      </c>
      <c r="K143" s="7">
        <v>7.5999999999999998E-2</v>
      </c>
      <c r="L143" s="7">
        <v>0</v>
      </c>
      <c r="M143" s="11">
        <f t="shared" si="22"/>
        <v>8087.4984000000004</v>
      </c>
      <c r="N143" s="11">
        <f t="shared" si="23"/>
        <v>978.58730640000022</v>
      </c>
      <c r="O143" s="11">
        <f t="shared" si="24"/>
        <v>4507.4324416000009</v>
      </c>
      <c r="P143" s="11">
        <f t="shared" si="25"/>
        <v>0</v>
      </c>
    </row>
    <row r="144" spans="1:16" ht="15" customHeight="1">
      <c r="A144" s="44"/>
      <c r="B144" s="5">
        <f t="shared" si="26"/>
        <v>45717</v>
      </c>
      <c r="C144" s="218" t="s">
        <v>533</v>
      </c>
      <c r="D144" s="195">
        <v>5560</v>
      </c>
      <c r="E144" s="186"/>
      <c r="F144" s="2">
        <v>4325.46</v>
      </c>
      <c r="G144" s="3">
        <f t="shared" si="21"/>
        <v>3454.3123559999999</v>
      </c>
      <c r="H144" s="187"/>
      <c r="I144" s="7">
        <v>0.12</v>
      </c>
      <c r="J144" s="7">
        <v>1.6500000000000001E-2</v>
      </c>
      <c r="K144" s="7">
        <v>7.5999999999999998E-2</v>
      </c>
      <c r="L144" s="7">
        <v>0</v>
      </c>
      <c r="M144" s="11">
        <f t="shared" si="22"/>
        <v>519.05520000000001</v>
      </c>
      <c r="N144" s="11">
        <f t="shared" si="23"/>
        <v>62.805679200000007</v>
      </c>
      <c r="O144" s="11">
        <f t="shared" si="24"/>
        <v>289.28676480000001</v>
      </c>
      <c r="P144" s="11">
        <f t="shared" si="25"/>
        <v>0</v>
      </c>
    </row>
    <row r="145" spans="1:16" ht="15" customHeight="1">
      <c r="A145" s="44"/>
      <c r="B145" s="5">
        <f t="shared" si="26"/>
        <v>45717</v>
      </c>
      <c r="C145" s="218" t="s">
        <v>533</v>
      </c>
      <c r="D145" s="195">
        <v>5561</v>
      </c>
      <c r="E145" s="186"/>
      <c r="F145" s="2">
        <v>131.18</v>
      </c>
      <c r="G145" s="3">
        <f t="shared" si="21"/>
        <v>104.76034800000001</v>
      </c>
      <c r="H145" s="187"/>
      <c r="I145" s="7">
        <v>0.12</v>
      </c>
      <c r="J145" s="7">
        <v>1.6500000000000001E-2</v>
      </c>
      <c r="K145" s="7">
        <v>7.5999999999999998E-2</v>
      </c>
      <c r="L145" s="7">
        <v>0</v>
      </c>
      <c r="M145" s="11">
        <f t="shared" si="22"/>
        <v>15.7416</v>
      </c>
      <c r="N145" s="11">
        <f t="shared" si="23"/>
        <v>1.9047336000000001</v>
      </c>
      <c r="O145" s="11">
        <f t="shared" si="24"/>
        <v>8.7733183999999991</v>
      </c>
      <c r="P145" s="11">
        <f t="shared" si="25"/>
        <v>0</v>
      </c>
    </row>
    <row r="146" spans="1:16" ht="15" customHeight="1">
      <c r="A146" s="44"/>
      <c r="B146" s="5">
        <f t="shared" si="26"/>
        <v>45717</v>
      </c>
      <c r="C146" s="218" t="s">
        <v>533</v>
      </c>
      <c r="D146" s="195">
        <v>5562</v>
      </c>
      <c r="E146" s="186"/>
      <c r="F146" s="2">
        <v>171710.61</v>
      </c>
      <c r="G146" s="3">
        <f t="shared" si="21"/>
        <v>137128.093146</v>
      </c>
      <c r="H146" s="187"/>
      <c r="I146" s="7">
        <v>0.12</v>
      </c>
      <c r="J146" s="7">
        <v>1.6500000000000001E-2</v>
      </c>
      <c r="K146" s="7">
        <v>7.5999999999999998E-2</v>
      </c>
      <c r="L146" s="7">
        <v>0</v>
      </c>
      <c r="M146" s="11">
        <f t="shared" si="22"/>
        <v>20605.273199999996</v>
      </c>
      <c r="N146" s="11">
        <f t="shared" si="23"/>
        <v>2493.2380571999997</v>
      </c>
      <c r="O146" s="11">
        <f t="shared" si="24"/>
        <v>11484.0055968</v>
      </c>
      <c r="P146" s="11">
        <f t="shared" si="25"/>
        <v>0</v>
      </c>
    </row>
    <row r="147" spans="1:16" ht="15" customHeight="1">
      <c r="A147" s="44"/>
      <c r="B147" s="5">
        <f t="shared" si="26"/>
        <v>45717</v>
      </c>
      <c r="C147" s="218" t="s">
        <v>533</v>
      </c>
      <c r="D147" s="195">
        <v>5563</v>
      </c>
      <c r="E147" s="186"/>
      <c r="F147" s="2">
        <v>11014.33</v>
      </c>
      <c r="G147" s="3">
        <f t="shared" si="21"/>
        <v>8796.0439379999989</v>
      </c>
      <c r="H147" s="187"/>
      <c r="I147" s="7">
        <v>0.12</v>
      </c>
      <c r="J147" s="7">
        <v>1.6500000000000001E-2</v>
      </c>
      <c r="K147" s="7">
        <v>7.5999999999999998E-2</v>
      </c>
      <c r="L147" s="7">
        <v>0</v>
      </c>
      <c r="M147" s="11">
        <f t="shared" si="22"/>
        <v>1321.7195999999999</v>
      </c>
      <c r="N147" s="11">
        <f t="shared" si="23"/>
        <v>159.92807160000001</v>
      </c>
      <c r="O147" s="11">
        <f t="shared" si="24"/>
        <v>736.63839039999993</v>
      </c>
      <c r="P147" s="11">
        <f t="shared" si="25"/>
        <v>0</v>
      </c>
    </row>
    <row r="148" spans="1:16" ht="15" customHeight="1">
      <c r="A148" s="44"/>
      <c r="B148" s="5">
        <f t="shared" si="26"/>
        <v>45717</v>
      </c>
      <c r="C148" s="218" t="s">
        <v>533</v>
      </c>
      <c r="D148" s="195">
        <v>5557</v>
      </c>
      <c r="E148" s="186"/>
      <c r="F148" s="2">
        <v>345.54</v>
      </c>
      <c r="G148" s="3">
        <f t="shared" si="21"/>
        <v>275.94824400000005</v>
      </c>
      <c r="H148" s="187"/>
      <c r="I148" s="7">
        <v>0.12</v>
      </c>
      <c r="J148" s="7">
        <v>1.6500000000000001E-2</v>
      </c>
      <c r="K148" s="7">
        <v>7.5999999999999998E-2</v>
      </c>
      <c r="L148" s="7">
        <v>0</v>
      </c>
      <c r="M148" s="11">
        <f t="shared" si="22"/>
        <v>41.464800000000004</v>
      </c>
      <c r="N148" s="11">
        <f t="shared" si="23"/>
        <v>5.0172407999999997</v>
      </c>
      <c r="O148" s="11">
        <f t="shared" si="24"/>
        <v>23.1097152</v>
      </c>
      <c r="P148" s="11">
        <f t="shared" si="25"/>
        <v>0</v>
      </c>
    </row>
    <row r="149" spans="1:16" ht="15" customHeight="1">
      <c r="A149" s="44"/>
      <c r="B149" s="5">
        <f t="shared" si="26"/>
        <v>45717</v>
      </c>
      <c r="C149" s="218" t="s">
        <v>533</v>
      </c>
      <c r="D149" s="195">
        <v>10257</v>
      </c>
      <c r="E149" s="186"/>
      <c r="F149" s="2">
        <v>28.74</v>
      </c>
      <c r="G149" s="3">
        <f t="shared" si="21"/>
        <v>22.951763999999997</v>
      </c>
      <c r="H149" s="187"/>
      <c r="I149" s="7">
        <v>0.12</v>
      </c>
      <c r="J149" s="7">
        <v>1.6500000000000001E-2</v>
      </c>
      <c r="K149" s="7">
        <v>7.5999999999999998E-2</v>
      </c>
      <c r="L149" s="7">
        <v>0</v>
      </c>
      <c r="M149" s="11">
        <f t="shared" si="22"/>
        <v>3.4487999999999999</v>
      </c>
      <c r="N149" s="11">
        <f t="shared" si="23"/>
        <v>0.41730480000000003</v>
      </c>
      <c r="O149" s="11">
        <f t="shared" si="24"/>
        <v>1.9221311999999999</v>
      </c>
      <c r="P149" s="11">
        <f t="shared" si="25"/>
        <v>0</v>
      </c>
    </row>
    <row r="150" spans="1:16" ht="15" customHeight="1">
      <c r="A150" s="44"/>
      <c r="B150" s="5">
        <f t="shared" si="26"/>
        <v>45717</v>
      </c>
      <c r="C150" s="218" t="s">
        <v>533</v>
      </c>
      <c r="D150" s="195">
        <v>10258</v>
      </c>
      <c r="E150" s="186"/>
      <c r="F150" s="2">
        <v>2.87</v>
      </c>
      <c r="G150" s="3">
        <f t="shared" si="21"/>
        <v>2.291982</v>
      </c>
      <c r="H150" s="187"/>
      <c r="I150" s="7">
        <v>0.12</v>
      </c>
      <c r="J150" s="7">
        <v>1.6500000000000001E-2</v>
      </c>
      <c r="K150" s="7">
        <v>7.5999999999999998E-2</v>
      </c>
      <c r="L150" s="7">
        <v>0</v>
      </c>
      <c r="M150" s="11">
        <f t="shared" si="22"/>
        <v>0.34439999999999998</v>
      </c>
      <c r="N150" s="11">
        <f t="shared" si="23"/>
        <v>4.1672400000000005E-2</v>
      </c>
      <c r="O150" s="11">
        <f t="shared" si="24"/>
        <v>0.19194560000000002</v>
      </c>
      <c r="P150" s="11">
        <f t="shared" si="25"/>
        <v>0</v>
      </c>
    </row>
    <row r="151" spans="1:16" ht="15" customHeight="1">
      <c r="A151" s="44"/>
      <c r="B151" s="5">
        <f t="shared" si="26"/>
        <v>45717</v>
      </c>
      <c r="C151" s="218" t="s">
        <v>533</v>
      </c>
      <c r="D151" s="195">
        <v>10259</v>
      </c>
      <c r="E151" s="186"/>
      <c r="F151" s="2">
        <v>25.59</v>
      </c>
      <c r="G151" s="3">
        <f t="shared" si="21"/>
        <v>20.436174000000001</v>
      </c>
      <c r="H151" s="187"/>
      <c r="I151" s="7">
        <v>0.12</v>
      </c>
      <c r="J151" s="7">
        <v>1.6500000000000001E-2</v>
      </c>
      <c r="K151" s="7">
        <v>7.5999999999999998E-2</v>
      </c>
      <c r="L151" s="7">
        <v>0</v>
      </c>
      <c r="M151" s="11">
        <f t="shared" si="22"/>
        <v>3.0707999999999998</v>
      </c>
      <c r="N151" s="11">
        <f t="shared" si="23"/>
        <v>0.37156680000000003</v>
      </c>
      <c r="O151" s="11">
        <f t="shared" si="24"/>
        <v>1.7114592</v>
      </c>
      <c r="P151" s="11">
        <f t="shared" si="25"/>
        <v>0</v>
      </c>
    </row>
    <row r="152" spans="1:16" ht="15" customHeight="1">
      <c r="A152" s="44"/>
      <c r="B152" s="5">
        <f t="shared" si="26"/>
        <v>45717</v>
      </c>
      <c r="C152" s="218" t="s">
        <v>533</v>
      </c>
      <c r="D152" s="195">
        <v>10263</v>
      </c>
      <c r="E152" s="186"/>
      <c r="F152" s="2">
        <v>2.56</v>
      </c>
      <c r="G152" s="3">
        <f t="shared" si="21"/>
        <v>2.044416</v>
      </c>
      <c r="H152" s="187"/>
      <c r="I152" s="7">
        <v>0.12</v>
      </c>
      <c r="J152" s="7">
        <v>1.6500000000000001E-2</v>
      </c>
      <c r="K152" s="7">
        <v>7.5999999999999998E-2</v>
      </c>
      <c r="L152" s="7">
        <v>0</v>
      </c>
      <c r="M152" s="11">
        <f t="shared" si="1"/>
        <v>0.30719999999999997</v>
      </c>
      <c r="N152" s="11">
        <f t="shared" si="2"/>
        <v>3.7171200000000001E-2</v>
      </c>
      <c r="O152" s="11">
        <f t="shared" si="3"/>
        <v>0.1712128</v>
      </c>
      <c r="P152" s="11">
        <f t="shared" si="20"/>
        <v>0</v>
      </c>
    </row>
    <row r="153" spans="1:16" ht="15" customHeight="1">
      <c r="A153" s="44"/>
      <c r="B153" s="5">
        <f t="shared" si="26"/>
        <v>45717</v>
      </c>
      <c r="C153" s="218" t="s">
        <v>533</v>
      </c>
      <c r="D153" s="195">
        <v>20881</v>
      </c>
      <c r="E153" s="186"/>
      <c r="F153" s="2">
        <v>43.65</v>
      </c>
      <c r="G153" s="3">
        <f t="shared" si="21"/>
        <v>34.858890000000002</v>
      </c>
      <c r="H153" s="187"/>
      <c r="I153" s="7">
        <v>0.12</v>
      </c>
      <c r="J153" s="7">
        <v>1.6500000000000001E-2</v>
      </c>
      <c r="K153" s="7">
        <v>7.5999999999999998E-2</v>
      </c>
      <c r="L153" s="7">
        <v>0</v>
      </c>
      <c r="M153" s="11">
        <f t="shared" si="1"/>
        <v>5.2379999999999995</v>
      </c>
      <c r="N153" s="11">
        <f t="shared" si="2"/>
        <v>0.63379799999999997</v>
      </c>
      <c r="O153" s="11">
        <f t="shared" si="3"/>
        <v>2.9193119999999997</v>
      </c>
      <c r="P153" s="11">
        <f t="shared" si="20"/>
        <v>0</v>
      </c>
    </row>
    <row r="154" spans="1:16" ht="15" customHeight="1">
      <c r="A154" s="44"/>
      <c r="B154" s="5">
        <f t="shared" si="26"/>
        <v>45717</v>
      </c>
      <c r="C154" s="218" t="s">
        <v>533</v>
      </c>
      <c r="D154" s="195">
        <v>20882</v>
      </c>
      <c r="E154" s="186"/>
      <c r="F154" s="2">
        <v>4.3600000000000003</v>
      </c>
      <c r="G154" s="3">
        <f t="shared" si="21"/>
        <v>3.4818960000000003</v>
      </c>
      <c r="H154" s="187"/>
      <c r="I154" s="7">
        <v>0.12</v>
      </c>
      <c r="J154" s="7">
        <v>1.6500000000000001E-2</v>
      </c>
      <c r="K154" s="7">
        <v>7.5999999999999998E-2</v>
      </c>
      <c r="L154" s="7">
        <v>0</v>
      </c>
      <c r="M154" s="11">
        <f t="shared" si="1"/>
        <v>0.5232</v>
      </c>
      <c r="N154" s="11">
        <f t="shared" si="2"/>
        <v>6.3307200000000008E-2</v>
      </c>
      <c r="O154" s="11">
        <f t="shared" si="3"/>
        <v>0.29159679999999999</v>
      </c>
      <c r="P154" s="11">
        <f t="shared" si="20"/>
        <v>0</v>
      </c>
    </row>
    <row r="155" spans="1:16" ht="15" customHeight="1">
      <c r="A155" s="44"/>
      <c r="B155" s="5">
        <f t="shared" si="26"/>
        <v>45717</v>
      </c>
      <c r="C155" s="218" t="s">
        <v>533</v>
      </c>
      <c r="D155" s="195">
        <v>20884</v>
      </c>
      <c r="E155" s="186"/>
      <c r="F155" s="2">
        <v>34.64</v>
      </c>
      <c r="G155" s="3">
        <f t="shared" si="21"/>
        <v>27.663504000000003</v>
      </c>
      <c r="H155" s="187"/>
      <c r="I155" s="7">
        <v>0.12</v>
      </c>
      <c r="J155" s="7">
        <v>1.6500000000000001E-2</v>
      </c>
      <c r="K155" s="7">
        <v>7.5999999999999998E-2</v>
      </c>
      <c r="L155" s="7">
        <v>0</v>
      </c>
      <c r="M155" s="11">
        <f t="shared" si="1"/>
        <v>4.1567999999999996</v>
      </c>
      <c r="N155" s="11">
        <f t="shared" si="2"/>
        <v>0.5029728</v>
      </c>
      <c r="O155" s="11">
        <f t="shared" si="3"/>
        <v>2.3167231999999998</v>
      </c>
      <c r="P155" s="11">
        <f t="shared" si="20"/>
        <v>0</v>
      </c>
    </row>
    <row r="156" spans="1:16" ht="15" customHeight="1">
      <c r="A156" s="44"/>
      <c r="B156" s="5">
        <f t="shared" si="26"/>
        <v>45717</v>
      </c>
      <c r="C156" s="218" t="s">
        <v>533</v>
      </c>
      <c r="D156" s="195">
        <v>20885</v>
      </c>
      <c r="E156" s="186"/>
      <c r="F156" s="2">
        <v>3.46</v>
      </c>
      <c r="G156" s="3">
        <f t="shared" si="17"/>
        <v>2.7631559999999999</v>
      </c>
      <c r="H156" s="187"/>
      <c r="I156" s="7">
        <v>0.12</v>
      </c>
      <c r="J156" s="7">
        <v>1.6500000000000001E-2</v>
      </c>
      <c r="K156" s="7">
        <v>7.5999999999999998E-2</v>
      </c>
      <c r="L156" s="7">
        <v>0</v>
      </c>
      <c r="M156" s="11">
        <f t="shared" si="1"/>
        <v>0.41519999999999996</v>
      </c>
      <c r="N156" s="11">
        <f t="shared" si="2"/>
        <v>5.0239200000000005E-2</v>
      </c>
      <c r="O156" s="11">
        <f t="shared" si="3"/>
        <v>0.23140479999999999</v>
      </c>
      <c r="P156" s="11">
        <f t="shared" si="20"/>
        <v>0</v>
      </c>
    </row>
    <row r="157" spans="1:16" ht="15" customHeight="1">
      <c r="A157" s="44"/>
      <c r="B157" s="5">
        <f t="shared" si="26"/>
        <v>45717</v>
      </c>
      <c r="C157" s="218" t="s">
        <v>533</v>
      </c>
      <c r="D157" s="195">
        <v>20878</v>
      </c>
      <c r="E157" s="186"/>
      <c r="F157" s="2">
        <v>6.45</v>
      </c>
      <c r="G157" s="3">
        <f t="shared" si="17"/>
        <v>5.4436387499999999</v>
      </c>
      <c r="H157" s="187"/>
      <c r="I157" s="7">
        <v>7.0000000000000007E-2</v>
      </c>
      <c r="J157" s="7">
        <v>1.6500000000000001E-2</v>
      </c>
      <c r="K157" s="7">
        <v>7.5999999999999998E-2</v>
      </c>
      <c r="L157" s="7">
        <v>0</v>
      </c>
      <c r="M157" s="11">
        <f t="shared" si="1"/>
        <v>0.45150000000000007</v>
      </c>
      <c r="N157" s="11">
        <f t="shared" si="2"/>
        <v>9.8975250000000001E-2</v>
      </c>
      <c r="O157" s="11">
        <f t="shared" si="3"/>
        <v>0.45588599999999996</v>
      </c>
      <c r="P157" s="11">
        <f t="shared" si="20"/>
        <v>0</v>
      </c>
    </row>
    <row r="158" spans="1:16">
      <c r="A158" s="44"/>
      <c r="B158" s="5">
        <f t="shared" si="26"/>
        <v>45717</v>
      </c>
      <c r="C158" s="218" t="s">
        <v>533</v>
      </c>
      <c r="D158" s="195">
        <v>20879</v>
      </c>
      <c r="E158" s="186"/>
      <c r="F158" s="2">
        <v>5.39</v>
      </c>
      <c r="G158" s="3">
        <f t="shared" si="17"/>
        <v>4.5490252499999997</v>
      </c>
      <c r="H158" s="187"/>
      <c r="I158" s="7">
        <v>7.0000000000000007E-2</v>
      </c>
      <c r="J158" s="7">
        <v>1.6500000000000001E-2</v>
      </c>
      <c r="K158" s="7">
        <v>7.5999999999999998E-2</v>
      </c>
      <c r="L158" s="7">
        <v>0</v>
      </c>
      <c r="M158" s="11">
        <f t="shared" si="1"/>
        <v>0.37730000000000002</v>
      </c>
      <c r="N158" s="11">
        <f t="shared" si="2"/>
        <v>8.2709549999999993E-2</v>
      </c>
      <c r="O158" s="11">
        <f t="shared" si="3"/>
        <v>0.38096519999999995</v>
      </c>
      <c r="P158" s="11">
        <f t="shared" si="20"/>
        <v>0</v>
      </c>
    </row>
    <row r="159" spans="1:16">
      <c r="B159" s="5"/>
      <c r="C159" s="1"/>
      <c r="E159" s="1"/>
      <c r="F159" s="2"/>
      <c r="G159" s="4"/>
      <c r="H159" s="4"/>
      <c r="I159" s="7"/>
      <c r="J159" s="7"/>
      <c r="K159" s="7"/>
      <c r="L159" s="7"/>
    </row>
    <row r="160" spans="1:16">
      <c r="E160" s="28">
        <f>SUM(E19:E158)</f>
        <v>43805960.410000004</v>
      </c>
      <c r="F160" s="133"/>
      <c r="G160" s="29">
        <f>SUM(G19:G158)</f>
        <v>104019065.75109226</v>
      </c>
    </row>
    <row r="161" spans="2:15">
      <c r="E161" s="137"/>
      <c r="F161" s="41"/>
    </row>
    <row r="162" spans="2:15" ht="15.75" thickBot="1"/>
    <row r="163" spans="2:15">
      <c r="B163" s="391" t="s">
        <v>889</v>
      </c>
      <c r="C163" s="383"/>
      <c r="D163" s="383"/>
      <c r="E163" s="383"/>
      <c r="F163" s="383"/>
      <c r="G163" s="383"/>
      <c r="H163" s="383"/>
      <c r="I163" s="383"/>
      <c r="J163" s="383"/>
      <c r="K163" s="383"/>
      <c r="L163" s="383"/>
      <c r="M163" s="383"/>
      <c r="N163" s="383"/>
      <c r="O163" s="384"/>
    </row>
    <row r="164" spans="2:15">
      <c r="B164" s="385"/>
      <c r="C164" s="386"/>
      <c r="D164" s="386"/>
      <c r="E164" s="386"/>
      <c r="F164" s="386"/>
      <c r="G164" s="386"/>
      <c r="H164" s="386"/>
      <c r="I164" s="386"/>
      <c r="J164" s="386"/>
      <c r="K164" s="386"/>
      <c r="L164" s="386"/>
      <c r="M164" s="386"/>
      <c r="N164" s="386"/>
      <c r="O164" s="387"/>
    </row>
    <row r="165" spans="2:15">
      <c r="B165" s="385"/>
      <c r="C165" s="386"/>
      <c r="D165" s="386"/>
      <c r="E165" s="386"/>
      <c r="F165" s="386"/>
      <c r="G165" s="386"/>
      <c r="H165" s="386"/>
      <c r="I165" s="386"/>
      <c r="J165" s="386"/>
      <c r="K165" s="386"/>
      <c r="L165" s="386"/>
      <c r="M165" s="386"/>
      <c r="N165" s="386"/>
      <c r="O165" s="387"/>
    </row>
    <row r="166" spans="2:15">
      <c r="B166" s="385"/>
      <c r="C166" s="386"/>
      <c r="D166" s="386"/>
      <c r="E166" s="386"/>
      <c r="F166" s="386"/>
      <c r="G166" s="386"/>
      <c r="H166" s="386"/>
      <c r="I166" s="386"/>
      <c r="J166" s="386"/>
      <c r="K166" s="386"/>
      <c r="L166" s="386"/>
      <c r="M166" s="386"/>
      <c r="N166" s="386"/>
      <c r="O166" s="387"/>
    </row>
    <row r="167" spans="2:15" ht="27" customHeight="1">
      <c r="B167" s="385"/>
      <c r="C167" s="386"/>
      <c r="D167" s="386"/>
      <c r="E167" s="386"/>
      <c r="F167" s="386"/>
      <c r="G167" s="386"/>
      <c r="H167" s="386"/>
      <c r="I167" s="386"/>
      <c r="J167" s="386"/>
      <c r="K167" s="386"/>
      <c r="L167" s="386"/>
      <c r="M167" s="386"/>
      <c r="N167" s="386"/>
      <c r="O167" s="387"/>
    </row>
    <row r="168" spans="2:15" ht="44.25" customHeight="1" thickBot="1">
      <c r="B168" s="388"/>
      <c r="C168" s="389"/>
      <c r="D168" s="389"/>
      <c r="E168" s="389"/>
      <c r="F168" s="389"/>
      <c r="G168" s="389"/>
      <c r="H168" s="389"/>
      <c r="I168" s="389"/>
      <c r="J168" s="389"/>
      <c r="K168" s="389"/>
      <c r="L168" s="389"/>
      <c r="M168" s="389"/>
      <c r="N168" s="389"/>
      <c r="O168" s="390"/>
    </row>
  </sheetData>
  <mergeCells count="3">
    <mergeCell ref="C2:M2"/>
    <mergeCell ref="M17:P17"/>
    <mergeCell ref="B163:O168"/>
  </mergeCells>
  <conditionalFormatting sqref="D1:D1048576">
    <cfRule type="duplicateValues" dxfId="66" priority="1"/>
    <cfRule type="duplicateValues" dxfId="65" priority="2"/>
  </conditionalFormatting>
  <conditionalFormatting sqref="D7 D10">
    <cfRule type="duplicateValues" dxfId="64" priority="3"/>
  </conditionalFormatting>
  <conditionalFormatting sqref="D19:D55">
    <cfRule type="duplicateValues" dxfId="63" priority="42"/>
  </conditionalFormatting>
  <conditionalFormatting sqref="D162:D1048576 D1:D160">
    <cfRule type="duplicateValues" dxfId="62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7755-9B9C-4C9F-990A-DBE4BBC85C57}">
  <sheetPr>
    <pageSetUpPr fitToPage="1"/>
  </sheetPr>
  <dimension ref="A2:P156"/>
  <sheetViews>
    <sheetView showGridLines="0" zoomScale="90" zoomScaleNormal="90" workbookViewId="0"/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6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2:16" ht="23.25">
      <c r="C3" s="13">
        <v>45748</v>
      </c>
    </row>
    <row r="5" spans="2:16">
      <c r="C5" t="s">
        <v>17</v>
      </c>
      <c r="D5" s="14">
        <f t="shared" ref="D5:D10" ca="1" si="0">SUMIF($C$18:$G$146,$C$5:$C$10,$G$18:$G$146)/SUMIF($C$18:$G$146,$C$5:$C$10,$E$18:$E$146)</f>
        <v>2.3906050122015605</v>
      </c>
    </row>
    <row r="6" spans="2:16">
      <c r="C6" t="s">
        <v>440</v>
      </c>
      <c r="D6" s="14">
        <f t="shared" ca="1" si="0"/>
        <v>2.1291801299999999</v>
      </c>
    </row>
    <row r="7" spans="2:16">
      <c r="C7" t="s">
        <v>491</v>
      </c>
      <c r="D7" s="14">
        <f t="shared" ca="1" si="0"/>
        <v>2.1189000004920002</v>
      </c>
    </row>
    <row r="8" spans="2:16">
      <c r="C8" t="s">
        <v>756</v>
      </c>
      <c r="D8" s="14">
        <f t="shared" ca="1" si="0"/>
        <v>3.4350272541985496</v>
      </c>
      <c r="I8" s="19"/>
    </row>
    <row r="9" spans="2:16">
      <c r="C9" t="s">
        <v>757</v>
      </c>
      <c r="D9" s="14">
        <f t="shared" ca="1" si="0"/>
        <v>3.8280078902135295</v>
      </c>
      <c r="E9" s="14"/>
      <c r="F9" s="32"/>
      <c r="H9" s="137"/>
      <c r="I9" s="19"/>
    </row>
    <row r="10" spans="2:16">
      <c r="C10" t="s">
        <v>533</v>
      </c>
      <c r="D10" s="14" t="e">
        <f t="shared" ca="1" si="0"/>
        <v>#DIV/0!</v>
      </c>
    </row>
    <row r="11" spans="2:16">
      <c r="C11" s="30" t="s">
        <v>129</v>
      </c>
      <c r="D11" s="31">
        <f>+G148/E148</f>
        <v>2.3257043620499585</v>
      </c>
    </row>
    <row r="12" spans="2:16">
      <c r="D12" s="19"/>
    </row>
    <row r="13" spans="2:16">
      <c r="D13" s="22"/>
    </row>
    <row r="15" spans="2:16">
      <c r="E15" s="137"/>
    </row>
    <row r="16" spans="2:16" ht="15" customHeight="1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24"/>
      <c r="M16" s="381" t="s">
        <v>100</v>
      </c>
      <c r="N16" s="381"/>
      <c r="O16" s="381"/>
      <c r="P16" s="381"/>
    </row>
    <row r="17" spans="1:16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6" t="s">
        <v>537</v>
      </c>
      <c r="M17" s="27" t="s">
        <v>3</v>
      </c>
      <c r="N17" s="27" t="s">
        <v>97</v>
      </c>
      <c r="O17" s="27" t="s">
        <v>98</v>
      </c>
      <c r="P17" s="27" t="s">
        <v>537</v>
      </c>
    </row>
    <row r="18" spans="1:16" ht="18.75" customHeight="1">
      <c r="A18" s="44"/>
      <c r="B18" s="5">
        <f>C3</f>
        <v>45748</v>
      </c>
      <c r="C18" s="217" t="s">
        <v>17</v>
      </c>
      <c r="D18" s="216" t="s">
        <v>902</v>
      </c>
      <c r="E18" s="1">
        <v>317708</v>
      </c>
      <c r="F18" s="2">
        <v>962035.42</v>
      </c>
      <c r="G18" s="3">
        <f>F18-SUM(M18:P18)</f>
        <v>768281.48641200003</v>
      </c>
      <c r="H18" s="202">
        <f t="shared" ref="H18:H29" si="1">+IF(G18=0,0,G18/E18)</f>
        <v>2.4182000025558059</v>
      </c>
      <c r="I18" s="200">
        <v>0.12</v>
      </c>
      <c r="J18" s="7">
        <v>1.6500000000000001E-2</v>
      </c>
      <c r="K18" s="7">
        <v>7.5999999999999998E-2</v>
      </c>
      <c r="L18" s="7">
        <v>0</v>
      </c>
      <c r="M18" s="11">
        <f t="shared" ref="M18:M146" si="2">+I18*F18</f>
        <v>115444.2504</v>
      </c>
      <c r="N18" s="11">
        <f t="shared" ref="N18:N146" si="3">J18*(F18-M18)</f>
        <v>13968.754298400001</v>
      </c>
      <c r="O18" s="11">
        <f t="shared" ref="O18:O146" si="4">K18*(F18-M18)</f>
        <v>64340.9288896</v>
      </c>
      <c r="P18" s="11">
        <f t="shared" ref="P18:P81" si="5">L18*(F18)</f>
        <v>0</v>
      </c>
    </row>
    <row r="19" spans="1:16">
      <c r="A19" s="44"/>
      <c r="B19" s="5">
        <f>B18</f>
        <v>45748</v>
      </c>
      <c r="C19" s="217" t="s">
        <v>17</v>
      </c>
      <c r="D19" s="194" t="s">
        <v>903</v>
      </c>
      <c r="E19" s="1">
        <v>331115</v>
      </c>
      <c r="F19" s="2">
        <v>942512.67</v>
      </c>
      <c r="G19" s="3">
        <f t="shared" ref="G19:G52" si="6">F19-SUM(M19:P19)</f>
        <v>752690.61826200003</v>
      </c>
      <c r="H19" s="202">
        <f t="shared" si="1"/>
        <v>2.2732000007912658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si="2"/>
        <v>113101.52039999999</v>
      </c>
      <c r="N19" s="11">
        <f t="shared" si="3"/>
        <v>13685.283968400001</v>
      </c>
      <c r="O19" s="11">
        <f t="shared" si="4"/>
        <v>63035.247369600002</v>
      </c>
      <c r="P19" s="11">
        <f t="shared" si="5"/>
        <v>0</v>
      </c>
    </row>
    <row r="20" spans="1:16">
      <c r="A20" s="44"/>
      <c r="B20" s="5">
        <f t="shared" ref="B20:B53" si="7">B19</f>
        <v>45748</v>
      </c>
      <c r="C20" s="217" t="s">
        <v>17</v>
      </c>
      <c r="D20" s="194" t="s">
        <v>904</v>
      </c>
      <c r="E20" s="1">
        <v>2195396</v>
      </c>
      <c r="F20" s="2">
        <v>5806280.8499999996</v>
      </c>
      <c r="G20" s="3">
        <f t="shared" si="6"/>
        <v>4636895.8868099991</v>
      </c>
      <c r="H20" s="202">
        <f t="shared" si="1"/>
        <v>2.1120999978181607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696753.70199999993</v>
      </c>
      <c r="N20" s="11">
        <f t="shared" si="3"/>
        <v>84307.197941999999</v>
      </c>
      <c r="O20" s="11">
        <f t="shared" si="4"/>
        <v>388324.06324799999</v>
      </c>
      <c r="P20" s="11">
        <f t="shared" si="5"/>
        <v>0</v>
      </c>
    </row>
    <row r="21" spans="1:16">
      <c r="A21" s="44"/>
      <c r="B21" s="5">
        <f t="shared" si="7"/>
        <v>45748</v>
      </c>
      <c r="C21" s="217" t="s">
        <v>17</v>
      </c>
      <c r="D21" s="214" t="s">
        <v>905</v>
      </c>
      <c r="E21" s="1">
        <v>1156</v>
      </c>
      <c r="F21" s="2">
        <v>3290.53</v>
      </c>
      <c r="G21" s="3">
        <f t="shared" si="6"/>
        <v>2627.817258</v>
      </c>
      <c r="H21" s="202">
        <f t="shared" si="1"/>
        <v>2.2731983200692043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394.86360000000002</v>
      </c>
      <c r="N21" s="11">
        <f t="shared" si="3"/>
        <v>47.778495600000007</v>
      </c>
      <c r="O21" s="11">
        <f t="shared" si="4"/>
        <v>220.07064639999999</v>
      </c>
      <c r="P21" s="11">
        <f t="shared" si="5"/>
        <v>0</v>
      </c>
    </row>
    <row r="22" spans="1:16">
      <c r="A22" s="44"/>
      <c r="B22" s="5">
        <f t="shared" si="7"/>
        <v>45748</v>
      </c>
      <c r="C22" s="217" t="s">
        <v>17</v>
      </c>
      <c r="D22" s="195" t="s">
        <v>906</v>
      </c>
      <c r="E22" s="1">
        <v>2712480</v>
      </c>
      <c r="F22" s="2">
        <v>7771935.3499999996</v>
      </c>
      <c r="G22" s="3">
        <f t="shared" si="6"/>
        <v>6559319.1370162498</v>
      </c>
      <c r="H22" s="202">
        <f t="shared" si="1"/>
        <v>2.4182000003746569</v>
      </c>
      <c r="I22" s="200">
        <v>7.0000000000000007E-2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544035.47450000001</v>
      </c>
      <c r="N22" s="11">
        <f t="shared" si="3"/>
        <v>119260.34794574999</v>
      </c>
      <c r="O22" s="11">
        <f t="shared" si="4"/>
        <v>549320.39053799992</v>
      </c>
      <c r="P22" s="11">
        <f t="shared" si="5"/>
        <v>0</v>
      </c>
    </row>
    <row r="23" spans="1:16">
      <c r="A23" s="44"/>
      <c r="B23" s="5">
        <f t="shared" si="7"/>
        <v>45748</v>
      </c>
      <c r="C23" s="217" t="s">
        <v>17</v>
      </c>
      <c r="D23" s="194" t="s">
        <v>907</v>
      </c>
      <c r="E23" s="1">
        <v>23194781</v>
      </c>
      <c r="F23" s="2">
        <v>70234935.400000006</v>
      </c>
      <c r="G23" s="3">
        <f t="shared" si="6"/>
        <v>56089619.410440005</v>
      </c>
      <c r="H23" s="202">
        <f t="shared" si="1"/>
        <v>2.4181999998378947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8428192.2479999997</v>
      </c>
      <c r="N23" s="11">
        <f t="shared" si="3"/>
        <v>1019811.2620080002</v>
      </c>
      <c r="O23" s="11">
        <f t="shared" si="4"/>
        <v>4697312.4795520008</v>
      </c>
      <c r="P23" s="11">
        <f t="shared" si="5"/>
        <v>0</v>
      </c>
    </row>
    <row r="24" spans="1:16">
      <c r="A24" s="44"/>
      <c r="B24" s="5">
        <f t="shared" si="7"/>
        <v>45748</v>
      </c>
      <c r="C24" s="217" t="s">
        <v>17</v>
      </c>
      <c r="D24" s="194" t="s">
        <v>908</v>
      </c>
      <c r="E24" s="1">
        <v>3714</v>
      </c>
      <c r="F24" s="2">
        <v>10571.83</v>
      </c>
      <c r="G24" s="3">
        <f t="shared" si="6"/>
        <v>8442.6634379999996</v>
      </c>
      <c r="H24" s="202">
        <f t="shared" si="1"/>
        <v>2.273199633279483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1268.6196</v>
      </c>
      <c r="N24" s="11">
        <f t="shared" si="3"/>
        <v>153.5029716</v>
      </c>
      <c r="O24" s="11">
        <f t="shared" si="4"/>
        <v>707.04399039999998</v>
      </c>
      <c r="P24" s="11">
        <f t="shared" si="5"/>
        <v>0</v>
      </c>
    </row>
    <row r="25" spans="1:16">
      <c r="A25" s="44"/>
      <c r="B25" s="5">
        <f t="shared" si="7"/>
        <v>45748</v>
      </c>
      <c r="C25" s="217" t="s">
        <v>17</v>
      </c>
      <c r="D25" s="196" t="s">
        <v>909</v>
      </c>
      <c r="E25" s="1">
        <v>24005</v>
      </c>
      <c r="F25" s="2">
        <v>63487.3</v>
      </c>
      <c r="G25" s="3">
        <f t="shared" si="6"/>
        <v>50700.957780000004</v>
      </c>
      <c r="H25" s="202">
        <f t="shared" si="1"/>
        <v>2.1120998866902729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7618.4759999999997</v>
      </c>
      <c r="N25" s="11">
        <f t="shared" si="3"/>
        <v>921.83559600000001</v>
      </c>
      <c r="O25" s="11">
        <f t="shared" si="4"/>
        <v>4246.030624</v>
      </c>
      <c r="P25" s="11">
        <f t="shared" si="5"/>
        <v>0</v>
      </c>
    </row>
    <row r="26" spans="1:16">
      <c r="A26" s="44"/>
      <c r="B26" s="5">
        <f t="shared" si="7"/>
        <v>45748</v>
      </c>
      <c r="C26" s="217" t="s">
        <v>17</v>
      </c>
      <c r="D26" s="194" t="s">
        <v>910</v>
      </c>
      <c r="E26" s="1">
        <v>6505</v>
      </c>
      <c r="F26" s="2">
        <v>17204.12</v>
      </c>
      <c r="G26" s="3">
        <f t="shared" si="6"/>
        <v>13739.210231999999</v>
      </c>
      <c r="H26" s="202">
        <f t="shared" si="1"/>
        <v>2.1120999588009224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2064.4943999999996</v>
      </c>
      <c r="N26" s="11">
        <f t="shared" si="3"/>
        <v>249.8038224</v>
      </c>
      <c r="O26" s="11">
        <f t="shared" si="4"/>
        <v>1150.6115456</v>
      </c>
      <c r="P26" s="11">
        <f t="shared" si="5"/>
        <v>0</v>
      </c>
    </row>
    <row r="27" spans="1:16">
      <c r="A27" s="44"/>
      <c r="B27" s="5">
        <f t="shared" si="7"/>
        <v>45748</v>
      </c>
      <c r="C27" s="217" t="s">
        <v>17</v>
      </c>
      <c r="D27" s="194" t="s">
        <v>911</v>
      </c>
      <c r="E27" s="1">
        <v>280896</v>
      </c>
      <c r="F27" s="2">
        <v>850566.88</v>
      </c>
      <c r="G27" s="3">
        <f t="shared" si="6"/>
        <v>679262.71036799997</v>
      </c>
      <c r="H27" s="202">
        <f t="shared" si="1"/>
        <v>2.4182000112781954</v>
      </c>
      <c r="I27" s="200">
        <v>0.12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102068.02559999999</v>
      </c>
      <c r="N27" s="11">
        <f t="shared" si="3"/>
        <v>12350.231097600003</v>
      </c>
      <c r="O27" s="11">
        <f t="shared" si="4"/>
        <v>56885.912934400003</v>
      </c>
      <c r="P27" s="11">
        <f t="shared" si="5"/>
        <v>0</v>
      </c>
    </row>
    <row r="28" spans="1:16">
      <c r="A28" s="44"/>
      <c r="B28" s="5">
        <f t="shared" si="7"/>
        <v>45748</v>
      </c>
      <c r="C28" s="217" t="s">
        <v>17</v>
      </c>
      <c r="D28" s="194" t="s">
        <v>912</v>
      </c>
      <c r="E28" s="1">
        <v>240694</v>
      </c>
      <c r="F28" s="2">
        <v>602351.73</v>
      </c>
      <c r="G28" s="3">
        <f t="shared" si="6"/>
        <v>508369.80132674996</v>
      </c>
      <c r="H28" s="202">
        <f t="shared" si="1"/>
        <v>2.1121000163142827</v>
      </c>
      <c r="I28" s="200">
        <v>7.0000000000000007E-2</v>
      </c>
      <c r="J28" s="7">
        <v>1.6500000000000001E-2</v>
      </c>
      <c r="K28" s="7">
        <v>7.5999999999999998E-2</v>
      </c>
      <c r="L28" s="7">
        <v>0</v>
      </c>
      <c r="M28" s="11">
        <f t="shared" si="2"/>
        <v>42164.621100000004</v>
      </c>
      <c r="N28" s="11">
        <f t="shared" si="3"/>
        <v>9243.0872968500007</v>
      </c>
      <c r="O28" s="11">
        <f t="shared" si="4"/>
        <v>42574.220276399996</v>
      </c>
      <c r="P28" s="11">
        <f t="shared" si="5"/>
        <v>0</v>
      </c>
    </row>
    <row r="29" spans="1:16">
      <c r="A29" s="44"/>
      <c r="B29" s="5">
        <f t="shared" si="7"/>
        <v>45748</v>
      </c>
      <c r="C29" s="217" t="s">
        <v>17</v>
      </c>
      <c r="D29" s="194" t="s">
        <v>913</v>
      </c>
      <c r="E29" s="1">
        <v>42777</v>
      </c>
      <c r="F29" s="2">
        <v>115217.49</v>
      </c>
      <c r="G29" s="3">
        <f t="shared" si="6"/>
        <v>97240.681122750015</v>
      </c>
      <c r="H29" s="202">
        <f t="shared" si="1"/>
        <v>2.2732001104039559</v>
      </c>
      <c r="I29" s="200">
        <v>7.0000000000000007E-2</v>
      </c>
      <c r="J29" s="7">
        <v>1.6500000000000001E-2</v>
      </c>
      <c r="K29" s="7">
        <v>7.5999999999999998E-2</v>
      </c>
      <c r="L29" s="7">
        <v>0</v>
      </c>
      <c r="M29" s="11">
        <f t="shared" si="2"/>
        <v>8065.2243000000008</v>
      </c>
      <c r="N29" s="11">
        <f t="shared" si="3"/>
        <v>1768.01238405</v>
      </c>
      <c r="O29" s="11">
        <f t="shared" si="4"/>
        <v>8143.5721931999997</v>
      </c>
      <c r="P29" s="11">
        <f t="shared" si="5"/>
        <v>0</v>
      </c>
    </row>
    <row r="30" spans="1:16" hidden="1">
      <c r="A30" s="44"/>
      <c r="B30" s="5">
        <f t="shared" si="7"/>
        <v>45748</v>
      </c>
      <c r="C30" s="217" t="s">
        <v>17</v>
      </c>
      <c r="D30" s="194"/>
      <c r="E30" s="1"/>
      <c r="F30" s="2"/>
      <c r="G30" s="3">
        <f t="shared" ref="G30:G44" si="8">F30-SUM(M30:P30)</f>
        <v>0</v>
      </c>
      <c r="H30" s="202">
        <f t="shared" ref="H30:H44" si="9">+IF(G30=0,0,G30/E30)</f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45748</v>
      </c>
      <c r="C31" s="217" t="s">
        <v>17</v>
      </c>
      <c r="D31" s="194"/>
      <c r="E31" s="1"/>
      <c r="F31" s="2"/>
      <c r="G31" s="3">
        <f t="shared" si="8"/>
        <v>0</v>
      </c>
      <c r="H31" s="202">
        <f t="shared" si="9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45748</v>
      </c>
      <c r="C32" s="217" t="s">
        <v>17</v>
      </c>
      <c r="D32" s="194"/>
      <c r="E32" s="1"/>
      <c r="F32" s="2"/>
      <c r="G32" s="3">
        <f t="shared" si="8"/>
        <v>0</v>
      </c>
      <c r="H32" s="202">
        <f t="shared" si="9"/>
        <v>0</v>
      </c>
      <c r="I32" s="200"/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 hidden="1">
      <c r="A33" s="44"/>
      <c r="B33" s="5">
        <f t="shared" si="7"/>
        <v>45748</v>
      </c>
      <c r="C33" s="217" t="s">
        <v>17</v>
      </c>
      <c r="D33" s="194"/>
      <c r="E33" s="1"/>
      <c r="F33" s="2"/>
      <c r="G33" s="3">
        <f t="shared" si="8"/>
        <v>0</v>
      </c>
      <c r="H33" s="202">
        <f t="shared" si="9"/>
        <v>0</v>
      </c>
      <c r="I33" s="200"/>
      <c r="J33" s="7">
        <v>1.6500000000000001E-2</v>
      </c>
      <c r="K33" s="7">
        <v>7.5999999999999998E-2</v>
      </c>
      <c r="L33" s="7">
        <v>0</v>
      </c>
      <c r="M33" s="11">
        <f t="shared" si="2"/>
        <v>0</v>
      </c>
      <c r="N33" s="11">
        <f t="shared" si="3"/>
        <v>0</v>
      </c>
      <c r="O33" s="11">
        <f t="shared" si="4"/>
        <v>0</v>
      </c>
      <c r="P33" s="11">
        <f t="shared" si="5"/>
        <v>0</v>
      </c>
    </row>
    <row r="34" spans="1:16" hidden="1">
      <c r="A34" s="44"/>
      <c r="B34" s="5">
        <f t="shared" si="7"/>
        <v>45748</v>
      </c>
      <c r="C34" s="217" t="s">
        <v>17</v>
      </c>
      <c r="D34" s="194"/>
      <c r="E34" s="1"/>
      <c r="F34" s="2"/>
      <c r="G34" s="3">
        <f t="shared" si="8"/>
        <v>0</v>
      </c>
      <c r="H34" s="202">
        <f t="shared" si="9"/>
        <v>0</v>
      </c>
      <c r="I34" s="200"/>
      <c r="J34" s="7">
        <v>1.6500000000000001E-2</v>
      </c>
      <c r="K34" s="7">
        <v>7.5999999999999998E-2</v>
      </c>
      <c r="L34" s="7">
        <v>0</v>
      </c>
      <c r="M34" s="11">
        <f t="shared" si="2"/>
        <v>0</v>
      </c>
      <c r="N34" s="11">
        <f t="shared" si="3"/>
        <v>0</v>
      </c>
      <c r="O34" s="11">
        <f t="shared" si="4"/>
        <v>0</v>
      </c>
      <c r="P34" s="11">
        <f t="shared" si="5"/>
        <v>0</v>
      </c>
    </row>
    <row r="35" spans="1:16" hidden="1">
      <c r="A35" s="44"/>
      <c r="B35" s="5">
        <f t="shared" si="7"/>
        <v>45748</v>
      </c>
      <c r="C35" s="217" t="s">
        <v>17</v>
      </c>
      <c r="D35" s="194"/>
      <c r="E35" s="1"/>
      <c r="F35" s="2"/>
      <c r="G35" s="3">
        <f t="shared" si="8"/>
        <v>0</v>
      </c>
      <c r="H35" s="202">
        <f t="shared" si="9"/>
        <v>0</v>
      </c>
      <c r="I35" s="200"/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 hidden="1">
      <c r="A36" s="44"/>
      <c r="B36" s="5">
        <f t="shared" si="7"/>
        <v>45748</v>
      </c>
      <c r="C36" s="217" t="s">
        <v>17</v>
      </c>
      <c r="D36" s="194"/>
      <c r="E36" s="1"/>
      <c r="F36" s="2"/>
      <c r="G36" s="3">
        <f t="shared" si="8"/>
        <v>0</v>
      </c>
      <c r="H36" s="202">
        <f t="shared" si="9"/>
        <v>0</v>
      </c>
      <c r="I36" s="200"/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 hidden="1">
      <c r="A37" s="44"/>
      <c r="B37" s="5">
        <f t="shared" si="7"/>
        <v>45748</v>
      </c>
      <c r="C37" s="217" t="s">
        <v>17</v>
      </c>
      <c r="D37" s="194"/>
      <c r="E37" s="1"/>
      <c r="F37" s="2"/>
      <c r="G37" s="3">
        <f t="shared" si="8"/>
        <v>0</v>
      </c>
      <c r="H37" s="202">
        <f t="shared" si="9"/>
        <v>0</v>
      </c>
      <c r="I37" s="200"/>
      <c r="J37" s="7">
        <v>1.6500000000000001E-2</v>
      </c>
      <c r="K37" s="7">
        <v>7.5999999999999998E-2</v>
      </c>
      <c r="L37" s="7">
        <v>0</v>
      </c>
      <c r="M37" s="11">
        <f t="shared" si="2"/>
        <v>0</v>
      </c>
      <c r="N37" s="11">
        <f t="shared" si="3"/>
        <v>0</v>
      </c>
      <c r="O37" s="11">
        <f t="shared" si="4"/>
        <v>0</v>
      </c>
      <c r="P37" s="11">
        <f t="shared" si="5"/>
        <v>0</v>
      </c>
    </row>
    <row r="38" spans="1:16" hidden="1">
      <c r="A38" s="44"/>
      <c r="B38" s="5">
        <f t="shared" si="7"/>
        <v>45748</v>
      </c>
      <c r="C38" s="217" t="s">
        <v>17</v>
      </c>
      <c r="D38" s="194"/>
      <c r="E38" s="1"/>
      <c r="F38" s="2"/>
      <c r="G38" s="3">
        <f t="shared" si="8"/>
        <v>0</v>
      </c>
      <c r="H38" s="202">
        <f t="shared" si="9"/>
        <v>0</v>
      </c>
      <c r="I38" s="200"/>
      <c r="J38" s="7">
        <v>1.6500000000000001E-2</v>
      </c>
      <c r="K38" s="7">
        <v>7.5999999999999998E-2</v>
      </c>
      <c r="L38" s="7">
        <v>0</v>
      </c>
      <c r="M38" s="11">
        <f t="shared" si="2"/>
        <v>0</v>
      </c>
      <c r="N38" s="11">
        <f t="shared" si="3"/>
        <v>0</v>
      </c>
      <c r="O38" s="11">
        <f t="shared" si="4"/>
        <v>0</v>
      </c>
      <c r="P38" s="11">
        <f t="shared" si="5"/>
        <v>0</v>
      </c>
    </row>
    <row r="39" spans="1:16" hidden="1">
      <c r="A39" s="44"/>
      <c r="B39" s="5">
        <f t="shared" si="7"/>
        <v>45748</v>
      </c>
      <c r="C39" s="217" t="s">
        <v>17</v>
      </c>
      <c r="D39" s="194"/>
      <c r="E39" s="1"/>
      <c r="F39" s="2"/>
      <c r="G39" s="3">
        <f t="shared" si="8"/>
        <v>0</v>
      </c>
      <c r="H39" s="202">
        <f t="shared" si="9"/>
        <v>0</v>
      </c>
      <c r="I39" s="200"/>
      <c r="J39" s="7">
        <v>1.6500000000000001E-2</v>
      </c>
      <c r="K39" s="7">
        <v>7.5999999999999998E-2</v>
      </c>
      <c r="L39" s="7">
        <v>0</v>
      </c>
      <c r="M39" s="11">
        <f t="shared" si="2"/>
        <v>0</v>
      </c>
      <c r="N39" s="11">
        <f t="shared" si="3"/>
        <v>0</v>
      </c>
      <c r="O39" s="11">
        <f t="shared" si="4"/>
        <v>0</v>
      </c>
      <c r="P39" s="11">
        <f t="shared" si="5"/>
        <v>0</v>
      </c>
    </row>
    <row r="40" spans="1:16" hidden="1">
      <c r="A40" s="44"/>
      <c r="B40" s="5">
        <f t="shared" si="7"/>
        <v>45748</v>
      </c>
      <c r="C40" s="217" t="s">
        <v>17</v>
      </c>
      <c r="D40" s="194"/>
      <c r="E40" s="1"/>
      <c r="F40" s="2"/>
      <c r="G40" s="3">
        <f t="shared" si="8"/>
        <v>0</v>
      </c>
      <c r="H40" s="202">
        <f t="shared" si="9"/>
        <v>0</v>
      </c>
      <c r="I40" s="200"/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 hidden="1">
      <c r="A41" s="44"/>
      <c r="B41" s="5">
        <f t="shared" si="7"/>
        <v>45748</v>
      </c>
      <c r="C41" s="217" t="s">
        <v>17</v>
      </c>
      <c r="D41" s="194"/>
      <c r="E41" s="1"/>
      <c r="F41" s="2"/>
      <c r="G41" s="3">
        <f t="shared" si="8"/>
        <v>0</v>
      </c>
      <c r="H41" s="202">
        <f t="shared" si="9"/>
        <v>0</v>
      </c>
      <c r="I41" s="200"/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idden="1">
      <c r="A42" s="44"/>
      <c r="B42" s="5">
        <f t="shared" si="7"/>
        <v>45748</v>
      </c>
      <c r="C42" s="217" t="s">
        <v>17</v>
      </c>
      <c r="D42" s="194"/>
      <c r="E42" s="1"/>
      <c r="F42" s="2"/>
      <c r="G42" s="3">
        <f t="shared" si="8"/>
        <v>0</v>
      </c>
      <c r="H42" s="202">
        <f t="shared" si="9"/>
        <v>0</v>
      </c>
      <c r="I42" s="200"/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 hidden="1">
      <c r="A43" s="44"/>
      <c r="B43" s="5">
        <f t="shared" si="7"/>
        <v>45748</v>
      </c>
      <c r="C43" s="217" t="s">
        <v>17</v>
      </c>
      <c r="D43" s="194"/>
      <c r="E43" s="1"/>
      <c r="F43" s="2"/>
      <c r="G43" s="3">
        <f t="shared" si="8"/>
        <v>0</v>
      </c>
      <c r="H43" s="202">
        <f t="shared" si="9"/>
        <v>0</v>
      </c>
      <c r="I43" s="200"/>
      <c r="J43" s="7">
        <v>1.6500000000000001E-2</v>
      </c>
      <c r="K43" s="7">
        <v>7.5999999999999998E-2</v>
      </c>
      <c r="L43" s="7">
        <v>0</v>
      </c>
      <c r="M43" s="11">
        <f t="shared" si="2"/>
        <v>0</v>
      </c>
      <c r="N43" s="11">
        <f t="shared" si="3"/>
        <v>0</v>
      </c>
      <c r="O43" s="11">
        <f t="shared" si="4"/>
        <v>0</v>
      </c>
      <c r="P43" s="11">
        <f t="shared" si="5"/>
        <v>0</v>
      </c>
    </row>
    <row r="44" spans="1:16">
      <c r="A44" s="44"/>
      <c r="B44" s="5">
        <f t="shared" si="7"/>
        <v>45748</v>
      </c>
      <c r="C44" s="218" t="s">
        <v>830</v>
      </c>
      <c r="D44" s="194" t="s">
        <v>914</v>
      </c>
      <c r="E44" s="1">
        <v>3560000</v>
      </c>
      <c r="F44" s="2">
        <v>8808039.7200000007</v>
      </c>
      <c r="G44" s="3">
        <f t="shared" si="8"/>
        <v>7034100.5203920007</v>
      </c>
      <c r="H44" s="202">
        <f t="shared" si="9"/>
        <v>1.9758709326943822</v>
      </c>
      <c r="I44" s="200">
        <v>0.12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1056964.7664000001</v>
      </c>
      <c r="N44" s="11">
        <f t="shared" si="3"/>
        <v>127892.73673440001</v>
      </c>
      <c r="O44" s="11">
        <f t="shared" si="4"/>
        <v>589081.69647359999</v>
      </c>
      <c r="P44" s="11">
        <f t="shared" si="5"/>
        <v>0</v>
      </c>
    </row>
    <row r="45" spans="1:16">
      <c r="A45" s="44"/>
      <c r="B45" s="5">
        <f>B44</f>
        <v>45748</v>
      </c>
      <c r="C45" s="218" t="s">
        <v>830</v>
      </c>
      <c r="D45" s="194" t="s">
        <v>915</v>
      </c>
      <c r="E45" s="1">
        <v>710000</v>
      </c>
      <c r="F45" s="2">
        <v>889055.84</v>
      </c>
      <c r="G45" s="3">
        <f t="shared" si="6"/>
        <v>709999.993824</v>
      </c>
      <c r="H45" s="202">
        <f>+IF(G45=0,0,G45/E45)</f>
        <v>0.99999999130140849</v>
      </c>
      <c r="I45" s="200">
        <v>0.12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106686.70079999999</v>
      </c>
      <c r="N45" s="11">
        <f t="shared" si="3"/>
        <v>12909.090796800001</v>
      </c>
      <c r="O45" s="11">
        <f t="shared" si="4"/>
        <v>59460.054579199998</v>
      </c>
      <c r="P45" s="11">
        <f t="shared" si="5"/>
        <v>0</v>
      </c>
    </row>
    <row r="46" spans="1:16">
      <c r="A46" s="44"/>
      <c r="B46" s="5">
        <f t="shared" si="7"/>
        <v>45748</v>
      </c>
      <c r="C46" s="218" t="s">
        <v>830</v>
      </c>
      <c r="D46" s="194" t="s">
        <v>923</v>
      </c>
      <c r="E46" s="1">
        <v>1240000</v>
      </c>
      <c r="F46" s="2">
        <v>3224937.3</v>
      </c>
      <c r="G46" s="3">
        <f t="shared" si="6"/>
        <v>2575434.92778</v>
      </c>
      <c r="H46" s="202">
        <f t="shared" ref="H46:H55" si="10">+IF(G46=0,0,G46/E46)</f>
        <v>2.0769636514354839</v>
      </c>
      <c r="I46" s="200">
        <v>0.12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386992.47599999997</v>
      </c>
      <c r="N46" s="11">
        <f t="shared" si="3"/>
        <v>46826.089596000005</v>
      </c>
      <c r="O46" s="11">
        <f t="shared" si="4"/>
        <v>215683.80662399999</v>
      </c>
      <c r="P46" s="11">
        <f t="shared" si="5"/>
        <v>0</v>
      </c>
    </row>
    <row r="47" spans="1:16">
      <c r="A47" s="44"/>
      <c r="B47" s="5">
        <f t="shared" si="7"/>
        <v>45748</v>
      </c>
      <c r="C47" s="219" t="s">
        <v>440</v>
      </c>
      <c r="D47" s="194" t="s">
        <v>920</v>
      </c>
      <c r="E47" s="1">
        <v>300000</v>
      </c>
      <c r="F47" s="2">
        <v>756840</v>
      </c>
      <c r="G47" s="3">
        <f t="shared" si="6"/>
        <v>638754.03899999999</v>
      </c>
      <c r="H47" s="202">
        <f t="shared" si="10"/>
        <v>2.1291801299999999</v>
      </c>
      <c r="I47" s="7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52978.8</v>
      </c>
      <c r="N47" s="11">
        <f t="shared" si="3"/>
        <v>11613.709800000001</v>
      </c>
      <c r="O47" s="11">
        <f t="shared" si="4"/>
        <v>53493.451199999996</v>
      </c>
      <c r="P47" s="11">
        <f t="shared" si="5"/>
        <v>0</v>
      </c>
    </row>
    <row r="48" spans="1:16">
      <c r="A48" s="44"/>
      <c r="B48" s="5">
        <f t="shared" si="7"/>
        <v>45748</v>
      </c>
      <c r="C48" s="217" t="s">
        <v>491</v>
      </c>
      <c r="D48" s="194" t="s">
        <v>917</v>
      </c>
      <c r="E48" s="1">
        <v>6000000</v>
      </c>
      <c r="F48" s="2">
        <v>15919609.32</v>
      </c>
      <c r="G48" s="3">
        <f>F48-SUM(M48:P48)</f>
        <v>12713400.002952</v>
      </c>
      <c r="H48" s="202">
        <f>+IF(G48=0,0,G48/E48)</f>
        <v>2.1189000004920002</v>
      </c>
      <c r="I48" s="7">
        <v>0.12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1910353.1184</v>
      </c>
      <c r="N48" s="11">
        <f t="shared" si="3"/>
        <v>231152.72732640003</v>
      </c>
      <c r="O48" s="11">
        <f t="shared" si="4"/>
        <v>1064703.4713216</v>
      </c>
      <c r="P48" s="11">
        <f t="shared" si="5"/>
        <v>0</v>
      </c>
    </row>
    <row r="49" spans="1:16" hidden="1">
      <c r="A49" s="44"/>
      <c r="B49" s="5">
        <f t="shared" si="7"/>
        <v>45748</v>
      </c>
      <c r="C49" s="1" t="s">
        <v>491</v>
      </c>
      <c r="D49" s="194"/>
      <c r="E49" s="185"/>
      <c r="F49" s="2"/>
      <c r="G49" s="3">
        <f t="shared" ref="G49" si="11">F49-SUM(M49:P49)</f>
        <v>0</v>
      </c>
      <c r="H49" s="202">
        <f>+IF(G49=0,0,G49/E49)</f>
        <v>0</v>
      </c>
      <c r="I49" s="7"/>
      <c r="J49" s="7">
        <v>1.6500000000000001E-2</v>
      </c>
      <c r="K49" s="7">
        <v>7.5999999999999998E-2</v>
      </c>
      <c r="L49" s="7">
        <v>0</v>
      </c>
      <c r="M49" s="11">
        <f t="shared" si="2"/>
        <v>0</v>
      </c>
      <c r="N49" s="11">
        <f t="shared" si="3"/>
        <v>0</v>
      </c>
      <c r="O49" s="11">
        <f t="shared" si="4"/>
        <v>0</v>
      </c>
      <c r="P49" s="11">
        <f t="shared" si="5"/>
        <v>0</v>
      </c>
    </row>
    <row r="50" spans="1:16" hidden="1">
      <c r="A50" s="44"/>
      <c r="B50" s="5">
        <f>B46</f>
        <v>45748</v>
      </c>
      <c r="C50" s="1" t="s">
        <v>491</v>
      </c>
      <c r="D50" s="194"/>
      <c r="E50" s="1"/>
      <c r="F50" s="2"/>
      <c r="G50" s="3">
        <f t="shared" ref="G50:G51" si="12">F50-SUM(M50:P50)</f>
        <v>0</v>
      </c>
      <c r="H50" s="202">
        <f t="shared" si="10"/>
        <v>0</v>
      </c>
      <c r="I50" s="7"/>
      <c r="J50" s="7">
        <v>1.6500000000000001E-2</v>
      </c>
      <c r="K50" s="7">
        <v>7.5999999999999998E-2</v>
      </c>
      <c r="L50" s="7">
        <v>0</v>
      </c>
      <c r="M50" s="11">
        <f t="shared" si="2"/>
        <v>0</v>
      </c>
      <c r="N50" s="11">
        <f t="shared" si="3"/>
        <v>0</v>
      </c>
      <c r="O50" s="11">
        <f t="shared" si="4"/>
        <v>0</v>
      </c>
      <c r="P50" s="11">
        <f t="shared" si="5"/>
        <v>0</v>
      </c>
    </row>
    <row r="51" spans="1:16" hidden="1">
      <c r="A51" s="44"/>
      <c r="B51" s="5">
        <f>B47</f>
        <v>45748</v>
      </c>
      <c r="C51" s="1" t="s">
        <v>491</v>
      </c>
      <c r="D51" s="195"/>
      <c r="E51" s="118"/>
      <c r="F51" s="2"/>
      <c r="G51" s="3">
        <f t="shared" si="12"/>
        <v>0</v>
      </c>
      <c r="H51" s="202">
        <f t="shared" si="10"/>
        <v>0</v>
      </c>
      <c r="I51" s="7"/>
      <c r="J51" s="7">
        <v>1.6500000000000001E-2</v>
      </c>
      <c r="K51" s="7">
        <v>7.5999999999999998E-2</v>
      </c>
      <c r="L51" s="7">
        <v>0</v>
      </c>
      <c r="M51" s="11">
        <f t="shared" si="2"/>
        <v>0</v>
      </c>
      <c r="N51" s="11">
        <f t="shared" si="3"/>
        <v>0</v>
      </c>
      <c r="O51" s="11">
        <f t="shared" si="4"/>
        <v>0</v>
      </c>
      <c r="P51" s="11">
        <f t="shared" si="5"/>
        <v>0</v>
      </c>
    </row>
    <row r="52" spans="1:16" hidden="1">
      <c r="A52" s="44"/>
      <c r="B52" s="5">
        <f>B48</f>
        <v>45748</v>
      </c>
      <c r="C52" s="220" t="s">
        <v>756</v>
      </c>
      <c r="D52" s="195"/>
      <c r="E52" s="118"/>
      <c r="F52" s="2"/>
      <c r="G52" s="3">
        <f t="shared" si="6"/>
        <v>0</v>
      </c>
      <c r="H52" s="202">
        <f t="shared" si="10"/>
        <v>0</v>
      </c>
      <c r="I52" s="7"/>
      <c r="J52" s="200">
        <v>1.6500000000000001E-2</v>
      </c>
      <c r="K52" s="200">
        <v>7.5999999999999998E-2</v>
      </c>
      <c r="L52" s="200">
        <v>0</v>
      </c>
      <c r="M52" s="11">
        <f t="shared" si="2"/>
        <v>0</v>
      </c>
      <c r="N52" s="11">
        <f t="shared" si="3"/>
        <v>0</v>
      </c>
      <c r="O52" s="11">
        <f t="shared" si="4"/>
        <v>0</v>
      </c>
      <c r="P52" s="11">
        <f t="shared" si="5"/>
        <v>0</v>
      </c>
    </row>
    <row r="53" spans="1:16">
      <c r="A53" s="44"/>
      <c r="B53" s="5">
        <f t="shared" si="7"/>
        <v>45748</v>
      </c>
      <c r="C53" s="220" t="s">
        <v>756</v>
      </c>
      <c r="D53" s="212" t="s">
        <v>916</v>
      </c>
      <c r="E53" s="118">
        <v>774169.05</v>
      </c>
      <c r="F53" s="2">
        <v>3685973.68</v>
      </c>
      <c r="G53" s="3">
        <f t="shared" ref="G53" si="13">F53-SUM(M53:P53)</f>
        <v>2659291.786107</v>
      </c>
      <c r="H53" s="202">
        <f t="shared" si="10"/>
        <v>3.4350272541985496</v>
      </c>
      <c r="I53" s="7">
        <v>0.20499999999999999</v>
      </c>
      <c r="J53" s="200">
        <v>1.6500000000000001E-2</v>
      </c>
      <c r="K53" s="200">
        <v>7.5999999999999998E-2</v>
      </c>
      <c r="L53" s="200">
        <v>0</v>
      </c>
      <c r="M53" s="11">
        <f t="shared" si="2"/>
        <v>755624.60439999995</v>
      </c>
      <c r="N53" s="11">
        <f t="shared" si="3"/>
        <v>48350.759747400007</v>
      </c>
      <c r="O53" s="11">
        <f t="shared" si="4"/>
        <v>222706.52974560001</v>
      </c>
      <c r="P53" s="11">
        <f t="shared" si="5"/>
        <v>0</v>
      </c>
    </row>
    <row r="54" spans="1:16">
      <c r="A54" s="44"/>
      <c r="B54" s="5">
        <f>B53</f>
        <v>45748</v>
      </c>
      <c r="C54" s="220" t="s">
        <v>757</v>
      </c>
      <c r="D54" s="212" t="s">
        <v>124</v>
      </c>
      <c r="E54" s="118">
        <v>119892.05</v>
      </c>
      <c r="F54" s="2">
        <v>636135.23</v>
      </c>
      <c r="G54" s="3">
        <f t="shared" ref="G54:G81" si="14">F54-SUM(M54:P54)</f>
        <v>458947.71337387501</v>
      </c>
      <c r="H54" s="202">
        <f t="shared" si="10"/>
        <v>3.8280078902135295</v>
      </c>
      <c r="I54" s="7">
        <v>0.20499999999999999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130407.72214999999</v>
      </c>
      <c r="N54" s="11">
        <f t="shared" si="3"/>
        <v>8344.5038795250002</v>
      </c>
      <c r="O54" s="11">
        <f t="shared" si="4"/>
        <v>38435.290596599996</v>
      </c>
      <c r="P54" s="11">
        <f t="shared" si="5"/>
        <v>0</v>
      </c>
    </row>
    <row r="55" spans="1:16" ht="15" hidden="1" customHeight="1">
      <c r="A55" s="44"/>
      <c r="B55" s="5">
        <f>B54</f>
        <v>45748</v>
      </c>
      <c r="C55" s="220" t="s">
        <v>757</v>
      </c>
      <c r="D55" s="195"/>
      <c r="E55" s="118"/>
      <c r="F55" s="2"/>
      <c r="G55" s="3">
        <f t="shared" si="14"/>
        <v>0</v>
      </c>
      <c r="H55" s="202">
        <f t="shared" si="10"/>
        <v>0</v>
      </c>
      <c r="I55" s="7"/>
      <c r="J55" s="7">
        <v>1.6500000000000001E-2</v>
      </c>
      <c r="K55" s="7">
        <v>7.5999999999999998E-2</v>
      </c>
      <c r="L55" s="7">
        <v>0</v>
      </c>
      <c r="M55" s="11">
        <f t="shared" si="2"/>
        <v>0</v>
      </c>
      <c r="N55" s="11">
        <f t="shared" si="3"/>
        <v>0</v>
      </c>
      <c r="O55" s="11">
        <f t="shared" si="4"/>
        <v>0</v>
      </c>
      <c r="P55" s="11">
        <f t="shared" si="5"/>
        <v>0</v>
      </c>
    </row>
    <row r="56" spans="1:16" ht="15" customHeight="1">
      <c r="A56" s="44"/>
      <c r="B56" s="5">
        <f>B55</f>
        <v>45748</v>
      </c>
      <c r="C56" s="221" t="s">
        <v>792</v>
      </c>
      <c r="D56" s="195" t="s">
        <v>900</v>
      </c>
      <c r="E56" s="186"/>
      <c r="F56" s="2">
        <v>271198.23</v>
      </c>
      <c r="G56" s="3">
        <f t="shared" si="14"/>
        <v>246112.39372499997</v>
      </c>
      <c r="H56" s="187"/>
      <c r="I56" s="193"/>
      <c r="J56" s="7">
        <v>1.6500000000000001E-2</v>
      </c>
      <c r="K56" s="7">
        <v>7.5999999999999998E-2</v>
      </c>
      <c r="L56" s="7">
        <v>0</v>
      </c>
      <c r="M56" s="11">
        <f t="shared" si="2"/>
        <v>0</v>
      </c>
      <c r="N56" s="11">
        <f t="shared" si="3"/>
        <v>4474.7707949999995</v>
      </c>
      <c r="O56" s="11">
        <f t="shared" si="4"/>
        <v>20611.065479999997</v>
      </c>
      <c r="P56" s="11">
        <f t="shared" si="5"/>
        <v>0</v>
      </c>
    </row>
    <row r="57" spans="1:16">
      <c r="A57" s="44"/>
      <c r="B57" s="5">
        <f>B56</f>
        <v>45748</v>
      </c>
      <c r="C57" s="221" t="s">
        <v>792</v>
      </c>
      <c r="D57" s="195" t="s">
        <v>901</v>
      </c>
      <c r="E57" s="186"/>
      <c r="F57" s="2">
        <v>454694.7</v>
      </c>
      <c r="G57" s="3">
        <f t="shared" si="14"/>
        <v>412635.44024999999</v>
      </c>
      <c r="H57" s="187"/>
      <c r="I57" s="193"/>
      <c r="J57" s="7">
        <v>1.6500000000000001E-2</v>
      </c>
      <c r="K57" s="7">
        <v>7.5999999999999998E-2</v>
      </c>
      <c r="L57" s="7">
        <v>0</v>
      </c>
      <c r="M57" s="11">
        <f t="shared" si="2"/>
        <v>0</v>
      </c>
      <c r="N57" s="11">
        <f t="shared" si="3"/>
        <v>7502.4625500000002</v>
      </c>
      <c r="O57" s="11">
        <f t="shared" si="4"/>
        <v>34556.797200000001</v>
      </c>
      <c r="P57" s="11">
        <f t="shared" si="5"/>
        <v>0</v>
      </c>
    </row>
    <row r="58" spans="1:16">
      <c r="A58" s="44"/>
      <c r="B58" s="5">
        <f>B57</f>
        <v>45748</v>
      </c>
      <c r="C58" s="1" t="s">
        <v>33</v>
      </c>
      <c r="D58" s="195" t="s">
        <v>921</v>
      </c>
      <c r="E58" s="118">
        <v>900000</v>
      </c>
      <c r="F58" s="2">
        <v>1279656</v>
      </c>
      <c r="G58" s="3">
        <f t="shared" si="14"/>
        <v>1079997.6725999999</v>
      </c>
      <c r="H58" s="202">
        <f t="shared" ref="H58:H59" si="15">+IF(G58=0,0,G58/E58)</f>
        <v>1.1999974139999998</v>
      </c>
      <c r="I58" s="7">
        <v>7.0000000000000007E-2</v>
      </c>
      <c r="J58" s="7">
        <v>1.6500000000000001E-2</v>
      </c>
      <c r="K58" s="7">
        <v>7.5999999999999998E-2</v>
      </c>
      <c r="L58" s="7">
        <v>0</v>
      </c>
      <c r="M58" s="11">
        <f t="shared" si="2"/>
        <v>89575.920000000013</v>
      </c>
      <c r="N58" s="11">
        <f t="shared" si="3"/>
        <v>19636.321320000003</v>
      </c>
      <c r="O58" s="11">
        <f t="shared" si="4"/>
        <v>90446.086080000008</v>
      </c>
      <c r="P58" s="11">
        <f t="shared" si="5"/>
        <v>0</v>
      </c>
    </row>
    <row r="59" spans="1:16">
      <c r="A59" s="44"/>
      <c r="B59" s="5">
        <f t="shared" ref="B59:B121" si="16">B58</f>
        <v>45748</v>
      </c>
      <c r="C59" s="1" t="s">
        <v>33</v>
      </c>
      <c r="D59" s="195" t="s">
        <v>922</v>
      </c>
      <c r="E59" s="118">
        <v>1000000</v>
      </c>
      <c r="F59" s="2">
        <v>1433690</v>
      </c>
      <c r="G59" s="3">
        <f t="shared" si="14"/>
        <v>1209998.5177500001</v>
      </c>
      <c r="H59" s="202">
        <f t="shared" si="15"/>
        <v>1.2099985177500001</v>
      </c>
      <c r="I59" s="7">
        <v>7.0000000000000007E-2</v>
      </c>
      <c r="J59" s="7">
        <v>1.6500000000000001E-2</v>
      </c>
      <c r="K59" s="7">
        <v>7.5999999999999998E-2</v>
      </c>
      <c r="L59" s="7">
        <v>0</v>
      </c>
      <c r="M59" s="11">
        <f t="shared" si="2"/>
        <v>100358.3</v>
      </c>
      <c r="N59" s="11">
        <f t="shared" si="3"/>
        <v>21999.973050000001</v>
      </c>
      <c r="O59" s="11">
        <f t="shared" si="4"/>
        <v>101333.2092</v>
      </c>
      <c r="P59" s="11">
        <f t="shared" si="5"/>
        <v>0</v>
      </c>
    </row>
    <row r="60" spans="1:16" ht="15" customHeight="1">
      <c r="A60" s="44"/>
      <c r="B60" s="5">
        <f t="shared" si="16"/>
        <v>45748</v>
      </c>
      <c r="C60" s="218" t="s">
        <v>533</v>
      </c>
      <c r="D60" s="195">
        <v>21795</v>
      </c>
      <c r="E60" s="186"/>
      <c r="F60" s="2">
        <v>3837.11</v>
      </c>
      <c r="G60" s="3">
        <f>F60-SUM(M60:P60)</f>
        <v>3238.42491225</v>
      </c>
      <c r="H60" s="187"/>
      <c r="I60" s="7">
        <v>7.0000000000000007E-2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268.59770000000003</v>
      </c>
      <c r="N60" s="11">
        <f t="shared" si="3"/>
        <v>58.880452950000006</v>
      </c>
      <c r="O60" s="11">
        <f t="shared" si="4"/>
        <v>271.2069348</v>
      </c>
      <c r="P60" s="11">
        <f t="shared" si="5"/>
        <v>0</v>
      </c>
    </row>
    <row r="61" spans="1:16" ht="15" customHeight="1">
      <c r="A61" s="44"/>
      <c r="B61" s="5">
        <f t="shared" si="16"/>
        <v>45748</v>
      </c>
      <c r="C61" s="218" t="s">
        <v>533</v>
      </c>
      <c r="D61" s="195">
        <v>21794</v>
      </c>
      <c r="E61" s="186"/>
      <c r="F61" s="2">
        <v>383.71</v>
      </c>
      <c r="G61" s="3">
        <f>F61-SUM(M61:P61)</f>
        <v>323.84164724999999</v>
      </c>
      <c r="H61" s="187"/>
      <c r="I61" s="7">
        <v>7.0000000000000007E-2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26.8597</v>
      </c>
      <c r="N61" s="11">
        <f t="shared" si="3"/>
        <v>5.88802995</v>
      </c>
      <c r="O61" s="11">
        <f t="shared" si="4"/>
        <v>27.1206228</v>
      </c>
      <c r="P61" s="11">
        <f t="shared" si="5"/>
        <v>0</v>
      </c>
    </row>
    <row r="62" spans="1:16" ht="15" customHeight="1">
      <c r="A62" s="44"/>
      <c r="B62" s="5">
        <f t="shared" si="16"/>
        <v>45748</v>
      </c>
      <c r="C62" s="218" t="s">
        <v>533</v>
      </c>
      <c r="D62" s="195">
        <v>21090</v>
      </c>
      <c r="E62" s="186"/>
      <c r="F62" s="2">
        <v>251819.92</v>
      </c>
      <c r="G62" s="3">
        <f t="shared" si="14"/>
        <v>201103.38811200002</v>
      </c>
      <c r="H62" s="187"/>
      <c r="I62" s="7">
        <v>0.12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30218.3904</v>
      </c>
      <c r="N62" s="11">
        <f t="shared" si="3"/>
        <v>3656.4252384000001</v>
      </c>
      <c r="O62" s="11">
        <f t="shared" si="4"/>
        <v>16841.716249600002</v>
      </c>
      <c r="P62" s="11">
        <f t="shared" si="5"/>
        <v>0</v>
      </c>
    </row>
    <row r="63" spans="1:16" ht="15" customHeight="1">
      <c r="A63" s="44"/>
      <c r="B63" s="5">
        <f t="shared" si="16"/>
        <v>45748</v>
      </c>
      <c r="C63" s="218" t="s">
        <v>533</v>
      </c>
      <c r="D63" s="195">
        <v>21117</v>
      </c>
      <c r="E63" s="186"/>
      <c r="F63" s="2">
        <v>25181.99</v>
      </c>
      <c r="G63" s="3">
        <f t="shared" si="14"/>
        <v>20110.337214000003</v>
      </c>
      <c r="H63" s="187"/>
      <c r="I63" s="7">
        <v>0.12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3021.8388</v>
      </c>
      <c r="N63" s="11">
        <f t="shared" si="3"/>
        <v>365.64249480000001</v>
      </c>
      <c r="O63" s="11">
        <f t="shared" si="4"/>
        <v>1684.1714912</v>
      </c>
      <c r="P63" s="11">
        <f t="shared" si="5"/>
        <v>0</v>
      </c>
    </row>
    <row r="64" spans="1:16" ht="15" customHeight="1">
      <c r="A64" s="44"/>
      <c r="B64" s="5">
        <f t="shared" si="16"/>
        <v>45748</v>
      </c>
      <c r="C64" s="218" t="s">
        <v>533</v>
      </c>
      <c r="D64" s="195">
        <v>5693</v>
      </c>
      <c r="E64" s="186"/>
      <c r="F64" s="2">
        <v>330371.69</v>
      </c>
      <c r="G64" s="3">
        <f t="shared" si="14"/>
        <v>263834.831634</v>
      </c>
      <c r="H64" s="187"/>
      <c r="I64" s="7">
        <v>0.12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39644.602800000001</v>
      </c>
      <c r="N64" s="11">
        <f t="shared" si="3"/>
        <v>4796.9969388</v>
      </c>
      <c r="O64" s="11">
        <f t="shared" si="4"/>
        <v>22095.258627200001</v>
      </c>
      <c r="P64" s="11">
        <f t="shared" si="5"/>
        <v>0</v>
      </c>
    </row>
    <row r="65" spans="1:16" ht="15" customHeight="1">
      <c r="A65" s="44"/>
      <c r="B65" s="5">
        <f t="shared" si="16"/>
        <v>45748</v>
      </c>
      <c r="C65" s="218" t="s">
        <v>533</v>
      </c>
      <c r="D65" s="195">
        <v>5694</v>
      </c>
      <c r="E65" s="186"/>
      <c r="F65" s="2">
        <v>33037.17</v>
      </c>
      <c r="G65" s="3">
        <f t="shared" si="14"/>
        <v>26383.483961999998</v>
      </c>
      <c r="H65" s="187"/>
      <c r="I65" s="7">
        <v>0.12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3964.4603999999995</v>
      </c>
      <c r="N65" s="11">
        <f t="shared" si="3"/>
        <v>479.69970840000002</v>
      </c>
      <c r="O65" s="11">
        <f t="shared" si="4"/>
        <v>2209.5259295999999</v>
      </c>
      <c r="P65" s="11">
        <f t="shared" si="5"/>
        <v>0</v>
      </c>
    </row>
    <row r="66" spans="1:16" ht="15" customHeight="1">
      <c r="A66" s="44"/>
      <c r="B66" s="5">
        <f t="shared" si="16"/>
        <v>45748</v>
      </c>
      <c r="C66" s="218" t="s">
        <v>533</v>
      </c>
      <c r="D66" s="195">
        <v>10395</v>
      </c>
      <c r="E66" s="186"/>
      <c r="F66" s="2">
        <v>63020.39</v>
      </c>
      <c r="G66" s="3">
        <f t="shared" si="14"/>
        <v>50328.083454</v>
      </c>
      <c r="H66" s="187"/>
      <c r="I66" s="7">
        <v>0.12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7562.4467999999997</v>
      </c>
      <c r="N66" s="11">
        <f t="shared" si="3"/>
        <v>915.05606280000006</v>
      </c>
      <c r="O66" s="11">
        <f t="shared" si="4"/>
        <v>4214.8036831999998</v>
      </c>
      <c r="P66" s="11">
        <f t="shared" si="5"/>
        <v>0</v>
      </c>
    </row>
    <row r="67" spans="1:16" ht="15" customHeight="1">
      <c r="A67" s="44"/>
      <c r="B67" s="5">
        <f t="shared" si="16"/>
        <v>45748</v>
      </c>
      <c r="C67" s="218" t="s">
        <v>533</v>
      </c>
      <c r="D67" s="195">
        <v>10396</v>
      </c>
      <c r="E67" s="186"/>
      <c r="F67" s="2">
        <v>6302.04</v>
      </c>
      <c r="G67" s="3">
        <f t="shared" si="14"/>
        <v>5032.8091439999998</v>
      </c>
      <c r="H67" s="187"/>
      <c r="I67" s="7">
        <v>0.12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756.24479999999994</v>
      </c>
      <c r="N67" s="11">
        <f t="shared" si="3"/>
        <v>91.505620800000017</v>
      </c>
      <c r="O67" s="11">
        <f t="shared" si="4"/>
        <v>421.48043520000004</v>
      </c>
      <c r="P67" s="11">
        <f t="shared" si="5"/>
        <v>0</v>
      </c>
    </row>
    <row r="68" spans="1:16" ht="15" customHeight="1">
      <c r="A68" s="44"/>
      <c r="B68" s="5">
        <f t="shared" si="16"/>
        <v>45748</v>
      </c>
      <c r="C68" s="218" t="s">
        <v>533</v>
      </c>
      <c r="D68" s="195">
        <v>10439</v>
      </c>
      <c r="E68" s="186"/>
      <c r="F68" s="2">
        <v>48081.03</v>
      </c>
      <c r="G68" s="3">
        <f t="shared" si="14"/>
        <v>38397.510558000002</v>
      </c>
      <c r="H68" s="187"/>
      <c r="I68" s="7">
        <v>0.12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5769.7235999999994</v>
      </c>
      <c r="N68" s="11">
        <f t="shared" si="3"/>
        <v>698.13655560000007</v>
      </c>
      <c r="O68" s="11">
        <f t="shared" si="4"/>
        <v>3215.6592863999999</v>
      </c>
      <c r="P68" s="11">
        <f t="shared" si="5"/>
        <v>0</v>
      </c>
    </row>
    <row r="69" spans="1:16" ht="15" customHeight="1">
      <c r="A69" s="44"/>
      <c r="B69" s="5">
        <f t="shared" si="16"/>
        <v>45748</v>
      </c>
      <c r="C69" s="218" t="s">
        <v>533</v>
      </c>
      <c r="D69" s="195">
        <v>10440</v>
      </c>
      <c r="E69" s="186"/>
      <c r="F69" s="2">
        <v>3124.2</v>
      </c>
      <c r="G69" s="3">
        <f t="shared" si="14"/>
        <v>2494.98612</v>
      </c>
      <c r="H69" s="187"/>
      <c r="I69" s="7">
        <v>0.12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374.90399999999994</v>
      </c>
      <c r="N69" s="11">
        <f t="shared" si="3"/>
        <v>45.363383999999996</v>
      </c>
      <c r="O69" s="11">
        <f t="shared" si="4"/>
        <v>208.94649599999997</v>
      </c>
      <c r="P69" s="11">
        <f t="shared" si="5"/>
        <v>0</v>
      </c>
    </row>
    <row r="70" spans="1:16" ht="15" customHeight="1">
      <c r="A70" s="44"/>
      <c r="B70" s="5">
        <f t="shared" si="16"/>
        <v>45748</v>
      </c>
      <c r="C70" s="218" t="s">
        <v>533</v>
      </c>
      <c r="D70" s="195">
        <v>10441</v>
      </c>
      <c r="E70" s="186"/>
      <c r="F70" s="2">
        <v>21.21</v>
      </c>
      <c r="G70" s="3">
        <f t="shared" si="14"/>
        <v>16.938306000000001</v>
      </c>
      <c r="H70" s="187"/>
      <c r="I70" s="7">
        <v>0.12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2.5451999999999999</v>
      </c>
      <c r="N70" s="11">
        <f t="shared" si="3"/>
        <v>0.3079692</v>
      </c>
      <c r="O70" s="11">
        <f t="shared" si="4"/>
        <v>1.4185247999999999</v>
      </c>
      <c r="P70" s="11">
        <f t="shared" si="5"/>
        <v>0</v>
      </c>
    </row>
    <row r="71" spans="1:16" ht="15" customHeight="1">
      <c r="A71" s="44"/>
      <c r="B71" s="5">
        <f t="shared" si="16"/>
        <v>45748</v>
      </c>
      <c r="C71" s="218" t="s">
        <v>533</v>
      </c>
      <c r="D71" s="195">
        <v>5750</v>
      </c>
      <c r="E71" s="186"/>
      <c r="F71" s="2">
        <v>225323.55</v>
      </c>
      <c r="G71" s="3">
        <f t="shared" si="14"/>
        <v>179943.38702999998</v>
      </c>
      <c r="H71" s="187"/>
      <c r="I71" s="7">
        <v>0.12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27038.825999999997</v>
      </c>
      <c r="N71" s="11">
        <f t="shared" si="3"/>
        <v>3271.6979459999998</v>
      </c>
      <c r="O71" s="11">
        <f t="shared" si="4"/>
        <v>15069.639023999998</v>
      </c>
      <c r="P71" s="11">
        <f t="shared" si="5"/>
        <v>0</v>
      </c>
    </row>
    <row r="72" spans="1:16" ht="15" customHeight="1">
      <c r="A72" s="44"/>
      <c r="B72" s="5">
        <f t="shared" si="16"/>
        <v>45748</v>
      </c>
      <c r="C72" s="218" t="s">
        <v>533</v>
      </c>
      <c r="D72" s="195">
        <v>5751</v>
      </c>
      <c r="E72" s="186"/>
      <c r="F72" s="2">
        <v>14658.86</v>
      </c>
      <c r="G72" s="3">
        <f t="shared" si="14"/>
        <v>11706.565596</v>
      </c>
      <c r="H72" s="187"/>
      <c r="I72" s="7">
        <v>0.12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1759.0632000000001</v>
      </c>
      <c r="N72" s="11">
        <f t="shared" si="3"/>
        <v>212.84664720000001</v>
      </c>
      <c r="O72" s="11">
        <f t="shared" si="4"/>
        <v>980.38455679999993</v>
      </c>
      <c r="P72" s="11">
        <f t="shared" si="5"/>
        <v>0</v>
      </c>
    </row>
    <row r="73" spans="1:16" ht="15" customHeight="1">
      <c r="A73" s="44"/>
      <c r="B73" s="5">
        <f t="shared" si="16"/>
        <v>45748</v>
      </c>
      <c r="C73" s="218" t="s">
        <v>533</v>
      </c>
      <c r="D73" s="195">
        <v>5752</v>
      </c>
      <c r="E73" s="186"/>
      <c r="F73" s="2">
        <v>66.56</v>
      </c>
      <c r="G73" s="3">
        <f t="shared" si="14"/>
        <v>53.154816000000004</v>
      </c>
      <c r="H73" s="187"/>
      <c r="I73" s="7">
        <v>0.12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7.9871999999999996</v>
      </c>
      <c r="N73" s="11">
        <f t="shared" si="3"/>
        <v>0.96645120000000007</v>
      </c>
      <c r="O73" s="11">
        <f t="shared" si="4"/>
        <v>4.4515327999999998</v>
      </c>
      <c r="P73" s="11">
        <f t="shared" si="5"/>
        <v>0</v>
      </c>
    </row>
    <row r="74" spans="1:16" ht="15" customHeight="1">
      <c r="A74" s="44"/>
      <c r="B74" s="5">
        <f t="shared" si="16"/>
        <v>45748</v>
      </c>
      <c r="C74" s="218" t="s">
        <v>533</v>
      </c>
      <c r="D74" s="195">
        <v>22106</v>
      </c>
      <c r="E74" s="186"/>
      <c r="F74" s="2">
        <v>16470.830000000002</v>
      </c>
      <c r="G74" s="3">
        <f t="shared" si="14"/>
        <v>13900.968749250002</v>
      </c>
      <c r="H74" s="187"/>
      <c r="I74" s="7">
        <v>7.0000000000000007E-2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1152.9581000000003</v>
      </c>
      <c r="N74" s="11">
        <f t="shared" si="3"/>
        <v>252.74488635000003</v>
      </c>
      <c r="O74" s="11">
        <f t="shared" si="4"/>
        <v>1164.1582644</v>
      </c>
      <c r="P74" s="11">
        <f t="shared" si="5"/>
        <v>0</v>
      </c>
    </row>
    <row r="75" spans="1:16" ht="15" customHeight="1">
      <c r="A75" s="44"/>
      <c r="B75" s="5">
        <f t="shared" si="16"/>
        <v>45748</v>
      </c>
      <c r="C75" s="218" t="s">
        <v>533</v>
      </c>
      <c r="D75" s="195">
        <v>22107</v>
      </c>
      <c r="E75" s="186"/>
      <c r="F75" s="2">
        <v>1071.53</v>
      </c>
      <c r="G75" s="3">
        <f t="shared" si="14"/>
        <v>904.34453174999999</v>
      </c>
      <c r="H75" s="187"/>
      <c r="I75" s="7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75.007100000000008</v>
      </c>
      <c r="N75" s="11">
        <f t="shared" si="3"/>
        <v>16.442627850000001</v>
      </c>
      <c r="O75" s="11">
        <f t="shared" si="4"/>
        <v>75.735740399999997</v>
      </c>
      <c r="P75" s="11">
        <f t="shared" si="5"/>
        <v>0</v>
      </c>
    </row>
    <row r="76" spans="1:16" ht="15" customHeight="1">
      <c r="A76" s="44"/>
      <c r="B76" s="5">
        <f t="shared" si="16"/>
        <v>45748</v>
      </c>
      <c r="C76" s="218" t="s">
        <v>533</v>
      </c>
      <c r="D76" s="195">
        <v>22108</v>
      </c>
      <c r="E76" s="186"/>
      <c r="F76" s="2">
        <v>4.8899999999999997</v>
      </c>
      <c r="G76" s="3">
        <f t="shared" si="14"/>
        <v>4.1270377499999995</v>
      </c>
      <c r="H76" s="187"/>
      <c r="I76" s="7">
        <v>7.0000000000000007E-2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0.34229999999999999</v>
      </c>
      <c r="N76" s="11">
        <f t="shared" si="3"/>
        <v>7.5037050000000008E-2</v>
      </c>
      <c r="O76" s="11">
        <f t="shared" si="4"/>
        <v>0.34562519999999997</v>
      </c>
      <c r="P76" s="11">
        <f t="shared" si="5"/>
        <v>0</v>
      </c>
    </row>
    <row r="77" spans="1:16" ht="15" customHeight="1">
      <c r="A77" s="44"/>
      <c r="B77" s="5">
        <f t="shared" si="16"/>
        <v>45748</v>
      </c>
      <c r="C77" s="218" t="s">
        <v>533</v>
      </c>
      <c r="D77" s="195">
        <v>21248</v>
      </c>
      <c r="E77" s="186"/>
      <c r="F77" s="2">
        <v>184779.55</v>
      </c>
      <c r="G77" s="3">
        <f t="shared" si="14"/>
        <v>147564.94863</v>
      </c>
      <c r="H77" s="187"/>
      <c r="I77" s="7">
        <v>0.12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22173.545999999998</v>
      </c>
      <c r="N77" s="11">
        <f t="shared" si="3"/>
        <v>2682.9990659999999</v>
      </c>
      <c r="O77" s="11">
        <f t="shared" si="4"/>
        <v>12358.056303999998</v>
      </c>
      <c r="P77" s="11">
        <f t="shared" si="5"/>
        <v>0</v>
      </c>
    </row>
    <row r="78" spans="1:16" ht="15" customHeight="1">
      <c r="A78" s="44"/>
      <c r="B78" s="5">
        <f t="shared" si="16"/>
        <v>45748</v>
      </c>
      <c r="C78" s="218" t="s">
        <v>533</v>
      </c>
      <c r="D78" s="195">
        <v>21249</v>
      </c>
      <c r="E78" s="186"/>
      <c r="F78" s="2">
        <v>12024.96</v>
      </c>
      <c r="G78" s="3">
        <f t="shared" si="14"/>
        <v>9603.1330559999988</v>
      </c>
      <c r="H78" s="187"/>
      <c r="I78" s="7">
        <v>0.12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1442.9951999999998</v>
      </c>
      <c r="N78" s="11">
        <f t="shared" si="3"/>
        <v>174.60241920000001</v>
      </c>
      <c r="O78" s="11">
        <f t="shared" si="4"/>
        <v>804.22932479999997</v>
      </c>
      <c r="P78" s="11">
        <f t="shared" si="5"/>
        <v>0</v>
      </c>
    </row>
    <row r="79" spans="1:16" ht="15" customHeight="1">
      <c r="A79" s="44"/>
      <c r="B79" s="5">
        <f t="shared" si="16"/>
        <v>45748</v>
      </c>
      <c r="C79" s="218" t="s">
        <v>533</v>
      </c>
      <c r="D79" s="195">
        <v>21290</v>
      </c>
      <c r="E79" s="186"/>
      <c r="F79" s="2">
        <v>47.64</v>
      </c>
      <c r="G79" s="3">
        <f t="shared" si="14"/>
        <v>38.045304000000002</v>
      </c>
      <c r="H79" s="187"/>
      <c r="I79" s="7">
        <v>0.12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5.7168000000000001</v>
      </c>
      <c r="N79" s="11">
        <f t="shared" si="3"/>
        <v>0.69173280000000004</v>
      </c>
      <c r="O79" s="11">
        <f t="shared" si="4"/>
        <v>3.1861632000000002</v>
      </c>
      <c r="P79" s="11">
        <f t="shared" si="5"/>
        <v>0</v>
      </c>
    </row>
    <row r="80" spans="1:16" ht="15" customHeight="1">
      <c r="A80" s="44"/>
      <c r="B80" s="5">
        <f t="shared" si="16"/>
        <v>45748</v>
      </c>
      <c r="C80" s="218" t="s">
        <v>533</v>
      </c>
      <c r="D80" s="195">
        <v>10473</v>
      </c>
      <c r="E80" s="186"/>
      <c r="F80" s="2">
        <v>12645.51</v>
      </c>
      <c r="G80" s="3">
        <f t="shared" si="14"/>
        <v>10098.704286</v>
      </c>
      <c r="H80" s="187"/>
      <c r="I80" s="7">
        <v>0.12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1517.4612</v>
      </c>
      <c r="N80" s="11">
        <f t="shared" si="3"/>
        <v>183.61280520000003</v>
      </c>
      <c r="O80" s="11">
        <f t="shared" si="4"/>
        <v>845.73170879999998</v>
      </c>
      <c r="P80" s="11">
        <f t="shared" si="5"/>
        <v>0</v>
      </c>
    </row>
    <row r="81" spans="1:16" ht="15" customHeight="1">
      <c r="A81" s="44"/>
      <c r="B81" s="5">
        <f t="shared" si="16"/>
        <v>45748</v>
      </c>
      <c r="C81" s="218" t="s">
        <v>533</v>
      </c>
      <c r="D81" s="195">
        <v>10474</v>
      </c>
      <c r="E81" s="186"/>
      <c r="F81" s="2">
        <v>821.74</v>
      </c>
      <c r="G81" s="3">
        <f t="shared" si="14"/>
        <v>656.24156399999993</v>
      </c>
      <c r="H81" s="187"/>
      <c r="I81" s="7">
        <v>0.12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98.608800000000002</v>
      </c>
      <c r="N81" s="11">
        <f t="shared" si="3"/>
        <v>11.931664800000002</v>
      </c>
      <c r="O81" s="11">
        <f t="shared" si="4"/>
        <v>54.957971200000003</v>
      </c>
      <c r="P81" s="11">
        <f t="shared" si="5"/>
        <v>0</v>
      </c>
    </row>
    <row r="82" spans="1:16" ht="15" customHeight="1">
      <c r="A82" s="44"/>
      <c r="B82" s="5">
        <f t="shared" si="16"/>
        <v>45748</v>
      </c>
      <c r="C82" s="218" t="s">
        <v>533</v>
      </c>
      <c r="D82" s="195">
        <v>10475</v>
      </c>
      <c r="E82" s="186"/>
      <c r="F82" s="2">
        <v>5.47</v>
      </c>
      <c r="G82" s="3">
        <f t="shared" ref="G82:G146" si="17">F82-SUM(M82:P82)</f>
        <v>4.3683420000000002</v>
      </c>
      <c r="H82" s="187"/>
      <c r="I82" s="7">
        <v>0.12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0.65639999999999998</v>
      </c>
      <c r="N82" s="11">
        <f t="shared" si="3"/>
        <v>7.9424400000000006E-2</v>
      </c>
      <c r="O82" s="11">
        <f t="shared" si="4"/>
        <v>0.36583359999999998</v>
      </c>
      <c r="P82" s="11">
        <f t="shared" ref="P82:P146" si="18">L82*(F82)</f>
        <v>0</v>
      </c>
    </row>
    <row r="83" spans="1:16" ht="15" customHeight="1">
      <c r="A83" s="44"/>
      <c r="B83" s="5">
        <f t="shared" si="16"/>
        <v>45748</v>
      </c>
      <c r="C83" s="218" t="s">
        <v>533</v>
      </c>
      <c r="D83" s="195">
        <v>5660</v>
      </c>
      <c r="E83" s="186"/>
      <c r="F83" s="2">
        <v>59510.61</v>
      </c>
      <c r="G83" s="3">
        <f t="shared" si="17"/>
        <v>47525.173146000001</v>
      </c>
      <c r="H83" s="187"/>
      <c r="I83" s="7">
        <v>0.12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7141.2731999999996</v>
      </c>
      <c r="N83" s="11">
        <f t="shared" si="3"/>
        <v>864.09405720000007</v>
      </c>
      <c r="O83" s="11">
        <f t="shared" si="4"/>
        <v>3980.0695968000005</v>
      </c>
      <c r="P83" s="11">
        <f t="shared" si="18"/>
        <v>0</v>
      </c>
    </row>
    <row r="84" spans="1:16" ht="15" customHeight="1">
      <c r="A84" s="44"/>
      <c r="B84" s="5">
        <f t="shared" si="16"/>
        <v>45748</v>
      </c>
      <c r="C84" s="218" t="s">
        <v>533</v>
      </c>
      <c r="D84" s="195">
        <v>5661</v>
      </c>
      <c r="E84" s="186"/>
      <c r="F84" s="2">
        <v>3871.49</v>
      </c>
      <c r="G84" s="3">
        <f t="shared" si="17"/>
        <v>3091.7719139999999</v>
      </c>
      <c r="H84" s="187"/>
      <c r="I84" s="7">
        <v>0.12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464.57879999999994</v>
      </c>
      <c r="N84" s="11">
        <f t="shared" si="3"/>
        <v>56.2140348</v>
      </c>
      <c r="O84" s="11">
        <f t="shared" si="4"/>
        <v>258.92525119999999</v>
      </c>
      <c r="P84" s="11">
        <f t="shared" si="18"/>
        <v>0</v>
      </c>
    </row>
    <row r="85" spans="1:16" ht="15" customHeight="1">
      <c r="A85" s="44"/>
      <c r="B85" s="5">
        <f t="shared" si="16"/>
        <v>45748</v>
      </c>
      <c r="C85" s="218" t="s">
        <v>533</v>
      </c>
      <c r="D85" s="195">
        <v>5662</v>
      </c>
      <c r="E85" s="186"/>
      <c r="F85" s="2">
        <v>17.73</v>
      </c>
      <c r="G85" s="3">
        <f t="shared" si="17"/>
        <v>14.159178000000001</v>
      </c>
      <c r="H85" s="187"/>
      <c r="I85" s="7">
        <v>0.12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2.1276000000000002</v>
      </c>
      <c r="N85" s="11">
        <f t="shared" si="3"/>
        <v>0.25743959999999999</v>
      </c>
      <c r="O85" s="11">
        <f t="shared" si="4"/>
        <v>1.1857823999999999</v>
      </c>
      <c r="P85" s="11">
        <f t="shared" si="18"/>
        <v>0</v>
      </c>
    </row>
    <row r="86" spans="1:16" ht="15" customHeight="1">
      <c r="A86" s="44"/>
      <c r="B86" s="5">
        <f t="shared" si="16"/>
        <v>45748</v>
      </c>
      <c r="C86" s="218" t="s">
        <v>533</v>
      </c>
      <c r="D86" s="195">
        <v>21671</v>
      </c>
      <c r="E86" s="186"/>
      <c r="F86" s="2">
        <v>4354.46</v>
      </c>
      <c r="G86" s="3">
        <f t="shared" si="17"/>
        <v>3675.0553785000002</v>
      </c>
      <c r="H86" s="187"/>
      <c r="I86" s="7">
        <v>7.0000000000000007E-2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304.81220000000002</v>
      </c>
      <c r="N86" s="11">
        <f t="shared" si="3"/>
        <v>66.819188700000012</v>
      </c>
      <c r="O86" s="11">
        <f t="shared" si="4"/>
        <v>307.77323280000002</v>
      </c>
      <c r="P86" s="11">
        <f t="shared" si="18"/>
        <v>0</v>
      </c>
    </row>
    <row r="87" spans="1:16" ht="15" customHeight="1">
      <c r="A87" s="44"/>
      <c r="B87" s="5">
        <f t="shared" si="16"/>
        <v>45748</v>
      </c>
      <c r="C87" s="218" t="s">
        <v>533</v>
      </c>
      <c r="D87" s="195">
        <v>21669</v>
      </c>
      <c r="E87" s="186"/>
      <c r="F87" s="2">
        <v>283.27999999999997</v>
      </c>
      <c r="G87" s="3">
        <f t="shared" si="17"/>
        <v>239.08123799999998</v>
      </c>
      <c r="H87" s="187"/>
      <c r="I87" s="7">
        <v>7.0000000000000007E-2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19.829599999999999</v>
      </c>
      <c r="N87" s="11">
        <f t="shared" si="3"/>
        <v>4.3469315999999996</v>
      </c>
      <c r="O87" s="11">
        <f t="shared" si="4"/>
        <v>20.022230399999994</v>
      </c>
      <c r="P87" s="11">
        <f t="shared" si="18"/>
        <v>0</v>
      </c>
    </row>
    <row r="88" spans="1:16" ht="15" customHeight="1">
      <c r="A88" s="44"/>
      <c r="B88" s="5">
        <f t="shared" si="16"/>
        <v>45748</v>
      </c>
      <c r="C88" s="218" t="s">
        <v>533</v>
      </c>
      <c r="D88" s="195">
        <v>21670</v>
      </c>
      <c r="E88" s="186"/>
      <c r="F88" s="2">
        <v>1.3</v>
      </c>
      <c r="G88" s="3">
        <f t="shared" si="17"/>
        <v>1.0971675000000001</v>
      </c>
      <c r="H88" s="187"/>
      <c r="I88" s="7">
        <v>7.0000000000000007E-2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9.1000000000000011E-2</v>
      </c>
      <c r="N88" s="11">
        <f t="shared" si="3"/>
        <v>1.9948500000000001E-2</v>
      </c>
      <c r="O88" s="11">
        <f t="shared" si="4"/>
        <v>9.1884000000000007E-2</v>
      </c>
      <c r="P88" s="11">
        <f t="shared" si="18"/>
        <v>0</v>
      </c>
    </row>
    <row r="89" spans="1:16" ht="15" customHeight="1">
      <c r="A89" s="44"/>
      <c r="B89" s="5">
        <f t="shared" si="16"/>
        <v>45748</v>
      </c>
      <c r="C89" s="218" t="s">
        <v>533</v>
      </c>
      <c r="D89" s="195">
        <v>21060</v>
      </c>
      <c r="E89" s="186"/>
      <c r="F89" s="2">
        <v>48937.24</v>
      </c>
      <c r="G89" s="3">
        <f t="shared" si="17"/>
        <v>39081.279863999996</v>
      </c>
      <c r="H89" s="187"/>
      <c r="I89" s="7">
        <v>0.12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5872.4687999999996</v>
      </c>
      <c r="N89" s="11">
        <f t="shared" si="3"/>
        <v>710.56872479999993</v>
      </c>
      <c r="O89" s="11">
        <f t="shared" si="4"/>
        <v>3272.9226111999997</v>
      </c>
      <c r="P89" s="11">
        <f t="shared" si="18"/>
        <v>0</v>
      </c>
    </row>
    <row r="90" spans="1:16" ht="15" customHeight="1">
      <c r="A90" s="44"/>
      <c r="B90" s="5">
        <f t="shared" si="16"/>
        <v>45748</v>
      </c>
      <c r="C90" s="218" t="s">
        <v>533</v>
      </c>
      <c r="D90" s="195">
        <v>21061</v>
      </c>
      <c r="E90" s="186"/>
      <c r="F90" s="2">
        <v>3184.57</v>
      </c>
      <c r="G90" s="3">
        <f t="shared" si="17"/>
        <v>2543.1976020000002</v>
      </c>
      <c r="H90" s="187"/>
      <c r="I90" s="7">
        <v>0.12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382.14839999999998</v>
      </c>
      <c r="N90" s="11">
        <f t="shared" si="3"/>
        <v>46.239956400000004</v>
      </c>
      <c r="O90" s="11">
        <f t="shared" si="4"/>
        <v>212.98404160000001</v>
      </c>
      <c r="P90" s="11">
        <f t="shared" si="18"/>
        <v>0</v>
      </c>
    </row>
    <row r="91" spans="1:16" ht="15" customHeight="1">
      <c r="A91" s="44"/>
      <c r="B91" s="5">
        <f t="shared" si="16"/>
        <v>45748</v>
      </c>
      <c r="C91" s="218" t="s">
        <v>533</v>
      </c>
      <c r="D91" s="195">
        <v>21072</v>
      </c>
      <c r="E91" s="186"/>
      <c r="F91" s="2">
        <v>12.87</v>
      </c>
      <c r="G91" s="3">
        <f t="shared" si="17"/>
        <v>10.277982</v>
      </c>
      <c r="H91" s="187"/>
      <c r="I91" s="7">
        <v>0.12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1.5443999999999998</v>
      </c>
      <c r="N91" s="11">
        <f t="shared" si="3"/>
        <v>0.18687239999999999</v>
      </c>
      <c r="O91" s="11">
        <f t="shared" si="4"/>
        <v>0.8607456</v>
      </c>
      <c r="P91" s="11">
        <f t="shared" si="18"/>
        <v>0</v>
      </c>
    </row>
    <row r="92" spans="1:16" ht="15" customHeight="1">
      <c r="A92" s="44"/>
      <c r="B92" s="5">
        <f t="shared" si="16"/>
        <v>45748</v>
      </c>
      <c r="C92" s="218" t="s">
        <v>533</v>
      </c>
      <c r="D92" s="195">
        <v>10367</v>
      </c>
      <c r="E92" s="186"/>
      <c r="F92" s="2">
        <v>8186.34</v>
      </c>
      <c r="G92" s="3">
        <f t="shared" si="17"/>
        <v>6537.6111240000009</v>
      </c>
      <c r="H92" s="187"/>
      <c r="I92" s="7">
        <v>0.12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982.36079999999993</v>
      </c>
      <c r="N92" s="11">
        <f t="shared" si="3"/>
        <v>118.8656568</v>
      </c>
      <c r="O92" s="11">
        <f t="shared" si="4"/>
        <v>547.50241919999996</v>
      </c>
      <c r="P92" s="11">
        <f t="shared" si="18"/>
        <v>0</v>
      </c>
    </row>
    <row r="93" spans="1:16" ht="15" customHeight="1">
      <c r="A93" s="44"/>
      <c r="B93" s="5">
        <f t="shared" si="16"/>
        <v>45748</v>
      </c>
      <c r="C93" s="218" t="s">
        <v>533</v>
      </c>
      <c r="D93" s="195">
        <v>10368</v>
      </c>
      <c r="E93" s="186"/>
      <c r="F93" s="2">
        <v>531.84</v>
      </c>
      <c r="G93" s="3">
        <f t="shared" si="17"/>
        <v>424.72742400000004</v>
      </c>
      <c r="H93" s="187"/>
      <c r="I93" s="7">
        <v>0.12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63.820799999999998</v>
      </c>
      <c r="N93" s="11">
        <f t="shared" si="3"/>
        <v>7.7223168000000006</v>
      </c>
      <c r="O93" s="11">
        <f t="shared" si="4"/>
        <v>35.569459199999997</v>
      </c>
      <c r="P93" s="11">
        <f t="shared" si="18"/>
        <v>0</v>
      </c>
    </row>
    <row r="94" spans="1:16" ht="15" customHeight="1">
      <c r="A94" s="44"/>
      <c r="B94" s="5">
        <f t="shared" si="16"/>
        <v>45748</v>
      </c>
      <c r="C94" s="218" t="s">
        <v>533</v>
      </c>
      <c r="D94" s="195">
        <v>10369</v>
      </c>
      <c r="E94" s="186"/>
      <c r="F94" s="2">
        <v>3.77</v>
      </c>
      <c r="G94" s="3">
        <f t="shared" si="17"/>
        <v>3.0107220000000003</v>
      </c>
      <c r="H94" s="187"/>
      <c r="I94" s="7">
        <v>0.12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0.45239999999999997</v>
      </c>
      <c r="N94" s="11">
        <f t="shared" si="3"/>
        <v>5.4740400000000002E-2</v>
      </c>
      <c r="O94" s="11">
        <f t="shared" si="4"/>
        <v>0.25213760000000002</v>
      </c>
      <c r="P94" s="11">
        <f t="shared" si="18"/>
        <v>0</v>
      </c>
    </row>
    <row r="95" spans="1:16" ht="15" customHeight="1">
      <c r="A95" s="44"/>
      <c r="B95" s="5">
        <f t="shared" si="16"/>
        <v>45748</v>
      </c>
      <c r="C95" s="218" t="s">
        <v>533</v>
      </c>
      <c r="D95" s="195">
        <v>5673</v>
      </c>
      <c r="E95" s="186"/>
      <c r="F95" s="2">
        <v>39169.11</v>
      </c>
      <c r="G95" s="3">
        <f t="shared" si="17"/>
        <v>31280.451246000001</v>
      </c>
      <c r="H95" s="187"/>
      <c r="I95" s="7">
        <v>0.12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4700.2932000000001</v>
      </c>
      <c r="N95" s="11">
        <f t="shared" si="3"/>
        <v>568.73547719999999</v>
      </c>
      <c r="O95" s="11">
        <f t="shared" si="4"/>
        <v>2619.6300768000001</v>
      </c>
      <c r="P95" s="11">
        <f t="shared" si="18"/>
        <v>0</v>
      </c>
    </row>
    <row r="96" spans="1:16" ht="15" customHeight="1">
      <c r="A96" s="44"/>
      <c r="B96" s="5">
        <f t="shared" si="16"/>
        <v>45748</v>
      </c>
      <c r="C96" s="218" t="s">
        <v>533</v>
      </c>
      <c r="D96" s="195">
        <v>5672</v>
      </c>
      <c r="E96" s="186"/>
      <c r="F96" s="2">
        <v>2547.81</v>
      </c>
      <c r="G96" s="3">
        <f t="shared" si="17"/>
        <v>2034.6810660000001</v>
      </c>
      <c r="H96" s="187"/>
      <c r="I96" s="7">
        <v>0.12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305.73719999999997</v>
      </c>
      <c r="N96" s="11">
        <f t="shared" si="3"/>
        <v>36.994201199999999</v>
      </c>
      <c r="O96" s="11">
        <f t="shared" si="4"/>
        <v>170.39753279999999</v>
      </c>
      <c r="P96" s="11">
        <f t="shared" si="18"/>
        <v>0</v>
      </c>
    </row>
    <row r="97" spans="1:16" ht="15" customHeight="1">
      <c r="A97" s="44"/>
      <c r="B97" s="5">
        <f t="shared" si="16"/>
        <v>45748</v>
      </c>
      <c r="C97" s="218" t="s">
        <v>533</v>
      </c>
      <c r="D97" s="195">
        <v>5674</v>
      </c>
      <c r="E97" s="186"/>
      <c r="F97" s="2">
        <v>12.33</v>
      </c>
      <c r="G97" s="3">
        <f t="shared" si="17"/>
        <v>9.8467380000000002</v>
      </c>
      <c r="H97" s="187"/>
      <c r="I97" s="7">
        <v>0.12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1.4796</v>
      </c>
      <c r="N97" s="11">
        <f t="shared" si="3"/>
        <v>0.17903160000000001</v>
      </c>
      <c r="O97" s="11">
        <f t="shared" si="4"/>
        <v>0.82463039999999999</v>
      </c>
      <c r="P97" s="11">
        <f t="shared" si="18"/>
        <v>0</v>
      </c>
    </row>
    <row r="98" spans="1:16" ht="15" customHeight="1">
      <c r="A98" s="44"/>
      <c r="B98" s="5">
        <f t="shared" si="16"/>
        <v>45748</v>
      </c>
      <c r="C98" s="218" t="s">
        <v>533</v>
      </c>
      <c r="D98" s="195">
        <v>21711</v>
      </c>
      <c r="E98" s="186"/>
      <c r="F98" s="2">
        <v>2855.87</v>
      </c>
      <c r="G98" s="3">
        <f t="shared" si="17"/>
        <v>2410.2828832499999</v>
      </c>
      <c r="H98" s="187"/>
      <c r="I98" s="7">
        <v>7.0000000000000007E-2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199.9109</v>
      </c>
      <c r="N98" s="11">
        <f t="shared" si="3"/>
        <v>43.823325150000002</v>
      </c>
      <c r="O98" s="11">
        <f t="shared" si="4"/>
        <v>201.85289159999999</v>
      </c>
      <c r="P98" s="11">
        <f t="shared" si="18"/>
        <v>0</v>
      </c>
    </row>
    <row r="99" spans="1:16" ht="15" customHeight="1">
      <c r="A99" s="44"/>
      <c r="B99" s="5">
        <f t="shared" si="16"/>
        <v>45748</v>
      </c>
      <c r="C99" s="218" t="s">
        <v>533</v>
      </c>
      <c r="D99" s="195">
        <v>21760</v>
      </c>
      <c r="E99" s="186"/>
      <c r="F99" s="2">
        <v>185.76</v>
      </c>
      <c r="G99" s="3">
        <f t="shared" si="17"/>
        <v>156.77679599999999</v>
      </c>
      <c r="H99" s="187"/>
      <c r="I99" s="7">
        <v>7.0000000000000007E-2</v>
      </c>
      <c r="J99" s="7">
        <v>1.6500000000000001E-2</v>
      </c>
      <c r="K99" s="7">
        <v>7.5999999999999998E-2</v>
      </c>
      <c r="L99" s="7">
        <v>0</v>
      </c>
      <c r="M99" s="11">
        <f t="shared" si="2"/>
        <v>13.003200000000001</v>
      </c>
      <c r="N99" s="11">
        <f t="shared" si="3"/>
        <v>2.8504871999999999</v>
      </c>
      <c r="O99" s="11">
        <f t="shared" si="4"/>
        <v>13.129516799999999</v>
      </c>
      <c r="P99" s="11">
        <f t="shared" si="18"/>
        <v>0</v>
      </c>
    </row>
    <row r="100" spans="1:16" ht="15" customHeight="1">
      <c r="A100" s="44"/>
      <c r="B100" s="5">
        <f t="shared" si="16"/>
        <v>45748</v>
      </c>
      <c r="C100" s="218" t="s">
        <v>533</v>
      </c>
      <c r="D100" s="195">
        <v>21081</v>
      </c>
      <c r="E100" s="186"/>
      <c r="F100" s="2">
        <v>32196.080000000002</v>
      </c>
      <c r="G100" s="3">
        <f t="shared" si="17"/>
        <v>25711.789488000002</v>
      </c>
      <c r="H100" s="187"/>
      <c r="I100" s="7">
        <v>0.12</v>
      </c>
      <c r="J100" s="7">
        <v>1.6500000000000001E-2</v>
      </c>
      <c r="K100" s="7">
        <v>7.5999999999999998E-2</v>
      </c>
      <c r="L100" s="7">
        <v>0</v>
      </c>
      <c r="M100" s="11">
        <f t="shared" si="2"/>
        <v>3863.5295999999998</v>
      </c>
      <c r="N100" s="11">
        <f t="shared" si="3"/>
        <v>467.48708160000001</v>
      </c>
      <c r="O100" s="11">
        <f t="shared" si="4"/>
        <v>2153.2738304</v>
      </c>
      <c r="P100" s="11">
        <f t="shared" si="18"/>
        <v>0</v>
      </c>
    </row>
    <row r="101" spans="1:16" ht="15" customHeight="1">
      <c r="A101" s="44"/>
      <c r="B101" s="5">
        <f t="shared" si="16"/>
        <v>45748</v>
      </c>
      <c r="C101" s="218" t="s">
        <v>533</v>
      </c>
      <c r="D101" s="195">
        <v>21082</v>
      </c>
      <c r="E101" s="186"/>
      <c r="F101" s="2">
        <v>2094.86</v>
      </c>
      <c r="G101" s="3">
        <f t="shared" si="17"/>
        <v>1672.9551960000001</v>
      </c>
      <c r="H101" s="187"/>
      <c r="I101" s="7">
        <v>0.12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251.38320000000002</v>
      </c>
      <c r="N101" s="11">
        <f t="shared" si="3"/>
        <v>30.417367200000005</v>
      </c>
      <c r="O101" s="11">
        <f t="shared" si="4"/>
        <v>140.1042368</v>
      </c>
      <c r="P101" s="11">
        <f t="shared" si="18"/>
        <v>0</v>
      </c>
    </row>
    <row r="102" spans="1:16" ht="15" customHeight="1">
      <c r="A102" s="44"/>
      <c r="B102" s="5">
        <f t="shared" si="16"/>
        <v>45748</v>
      </c>
      <c r="C102" s="218" t="s">
        <v>533</v>
      </c>
      <c r="D102" s="195">
        <v>21083</v>
      </c>
      <c r="E102" s="186"/>
      <c r="F102" s="2">
        <v>8.99</v>
      </c>
      <c r="G102" s="3">
        <f t="shared" si="17"/>
        <v>7.1794140000000004</v>
      </c>
      <c r="H102" s="187"/>
      <c r="I102" s="7">
        <v>0.12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1.0788</v>
      </c>
      <c r="N102" s="11">
        <f t="shared" si="3"/>
        <v>0.13053480000000001</v>
      </c>
      <c r="O102" s="11">
        <f t="shared" si="4"/>
        <v>0.60125119999999999</v>
      </c>
      <c r="P102" s="11">
        <f t="shared" si="18"/>
        <v>0</v>
      </c>
    </row>
    <row r="103" spans="1:16" ht="15" customHeight="1">
      <c r="A103" s="44"/>
      <c r="B103" s="5">
        <f t="shared" si="16"/>
        <v>45748</v>
      </c>
      <c r="C103" s="218" t="s">
        <v>533</v>
      </c>
      <c r="D103" s="195">
        <v>10375</v>
      </c>
      <c r="E103" s="186"/>
      <c r="F103" s="2">
        <v>35636.01</v>
      </c>
      <c r="G103" s="3">
        <f t="shared" si="17"/>
        <v>28458.917586000003</v>
      </c>
      <c r="H103" s="187"/>
      <c r="I103" s="7">
        <v>0.12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4276.3212000000003</v>
      </c>
      <c r="N103" s="11">
        <f t="shared" si="3"/>
        <v>517.4348652000001</v>
      </c>
      <c r="O103" s="11">
        <f t="shared" si="4"/>
        <v>2383.3363488</v>
      </c>
      <c r="P103" s="11">
        <f t="shared" si="18"/>
        <v>0</v>
      </c>
    </row>
    <row r="104" spans="1:16" ht="15" customHeight="1">
      <c r="A104" s="44"/>
      <c r="B104" s="5">
        <f t="shared" si="16"/>
        <v>45748</v>
      </c>
      <c r="C104" s="218" t="s">
        <v>533</v>
      </c>
      <c r="D104" s="195">
        <v>10373</v>
      </c>
      <c r="E104" s="186"/>
      <c r="F104" s="2">
        <v>2315.3200000000002</v>
      </c>
      <c r="G104" s="3">
        <f t="shared" si="17"/>
        <v>1849.0145520000001</v>
      </c>
      <c r="H104" s="187"/>
      <c r="I104" s="7">
        <v>0.12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277.83840000000004</v>
      </c>
      <c r="N104" s="11">
        <f t="shared" si="3"/>
        <v>33.618446400000003</v>
      </c>
      <c r="O104" s="11">
        <f t="shared" si="4"/>
        <v>154.84860159999999</v>
      </c>
      <c r="P104" s="11">
        <f t="shared" si="18"/>
        <v>0</v>
      </c>
    </row>
    <row r="105" spans="1:16" ht="15" customHeight="1">
      <c r="A105" s="44"/>
      <c r="B105" s="5">
        <f t="shared" si="16"/>
        <v>45748</v>
      </c>
      <c r="C105" s="218" t="s">
        <v>533</v>
      </c>
      <c r="D105" s="195">
        <v>10374</v>
      </c>
      <c r="E105" s="186"/>
      <c r="F105" s="2">
        <v>16.13</v>
      </c>
      <c r="G105" s="3">
        <f t="shared" si="17"/>
        <v>12.881418</v>
      </c>
      <c r="H105" s="187"/>
      <c r="I105" s="7">
        <v>0.12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1.9355999999999998</v>
      </c>
      <c r="N105" s="11">
        <f t="shared" si="3"/>
        <v>0.23420760000000002</v>
      </c>
      <c r="O105" s="11">
        <f t="shared" si="4"/>
        <v>1.0787743999999999</v>
      </c>
      <c r="P105" s="11">
        <f t="shared" si="18"/>
        <v>0</v>
      </c>
    </row>
    <row r="106" spans="1:16" ht="15" customHeight="1">
      <c r="A106" s="44"/>
      <c r="B106" s="5">
        <f t="shared" si="16"/>
        <v>45748</v>
      </c>
      <c r="C106" s="218" t="s">
        <v>533</v>
      </c>
      <c r="D106" s="195">
        <v>5687</v>
      </c>
      <c r="E106" s="186"/>
      <c r="F106" s="2">
        <v>169397.26</v>
      </c>
      <c r="G106" s="3">
        <f t="shared" si="17"/>
        <v>135280.651836</v>
      </c>
      <c r="H106" s="187"/>
      <c r="I106" s="7">
        <v>0.12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20327.671200000001</v>
      </c>
      <c r="N106" s="11">
        <f t="shared" si="3"/>
        <v>2459.6482151999999</v>
      </c>
      <c r="O106" s="11">
        <f t="shared" si="4"/>
        <v>11329.2887488</v>
      </c>
      <c r="P106" s="11">
        <f t="shared" si="18"/>
        <v>0</v>
      </c>
    </row>
    <row r="107" spans="1:16" ht="15" customHeight="1">
      <c r="A107" s="44"/>
      <c r="B107" s="5">
        <f t="shared" si="16"/>
        <v>45748</v>
      </c>
      <c r="C107" s="218" t="s">
        <v>533</v>
      </c>
      <c r="D107" s="195">
        <v>5691</v>
      </c>
      <c r="E107" s="186"/>
      <c r="F107" s="2">
        <v>11020.42</v>
      </c>
      <c r="G107" s="3">
        <f t="shared" si="17"/>
        <v>8800.9074120000005</v>
      </c>
      <c r="H107" s="187"/>
      <c r="I107" s="7">
        <v>0.12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1322.4503999999999</v>
      </c>
      <c r="N107" s="11">
        <f t="shared" si="3"/>
        <v>160.01649840000002</v>
      </c>
      <c r="O107" s="11">
        <f t="shared" si="4"/>
        <v>737.04568960000006</v>
      </c>
      <c r="P107" s="11">
        <f t="shared" si="18"/>
        <v>0</v>
      </c>
    </row>
    <row r="108" spans="1:16" ht="15" customHeight="1">
      <c r="A108" s="44"/>
      <c r="B108" s="5">
        <f t="shared" si="16"/>
        <v>45748</v>
      </c>
      <c r="C108" s="218" t="s">
        <v>533</v>
      </c>
      <c r="D108" s="195">
        <v>5692</v>
      </c>
      <c r="E108" s="186"/>
      <c r="F108" s="2">
        <v>50.11</v>
      </c>
      <c r="G108" s="3">
        <f t="shared" si="17"/>
        <v>40.017845999999999</v>
      </c>
      <c r="H108" s="187"/>
      <c r="I108" s="7">
        <v>0.12</v>
      </c>
      <c r="J108" s="7">
        <v>1.6500000000000001E-2</v>
      </c>
      <c r="K108" s="7">
        <v>7.5999999999999998E-2</v>
      </c>
      <c r="L108" s="7">
        <v>0</v>
      </c>
      <c r="M108" s="11">
        <f t="shared" si="2"/>
        <v>6.0131999999999994</v>
      </c>
      <c r="N108" s="11">
        <f t="shared" si="3"/>
        <v>0.72759720000000006</v>
      </c>
      <c r="O108" s="11">
        <f t="shared" si="4"/>
        <v>3.3513568</v>
      </c>
      <c r="P108" s="11">
        <f t="shared" si="18"/>
        <v>0</v>
      </c>
    </row>
    <row r="109" spans="1:16" ht="15" customHeight="1">
      <c r="A109" s="44"/>
      <c r="B109" s="5">
        <f t="shared" si="16"/>
        <v>45748</v>
      </c>
      <c r="C109" s="218" t="s">
        <v>533</v>
      </c>
      <c r="D109" s="195">
        <v>21796</v>
      </c>
      <c r="E109" s="186"/>
      <c r="F109" s="2">
        <v>12413.24</v>
      </c>
      <c r="G109" s="3">
        <f t="shared" si="17"/>
        <v>10476.464228999999</v>
      </c>
      <c r="H109" s="187"/>
      <c r="I109" s="7">
        <v>7.0000000000000007E-2</v>
      </c>
      <c r="J109" s="7">
        <v>1.6500000000000001E-2</v>
      </c>
      <c r="K109" s="7">
        <v>7.5999999999999998E-2</v>
      </c>
      <c r="L109" s="7">
        <v>0</v>
      </c>
      <c r="M109" s="11">
        <f t="shared" si="2"/>
        <v>868.92680000000007</v>
      </c>
      <c r="N109" s="11">
        <f t="shared" si="3"/>
        <v>190.48116780000001</v>
      </c>
      <c r="O109" s="11">
        <f t="shared" si="4"/>
        <v>877.36780320000003</v>
      </c>
      <c r="P109" s="11">
        <f t="shared" si="18"/>
        <v>0</v>
      </c>
    </row>
    <row r="110" spans="1:16" ht="15" customHeight="1">
      <c r="A110" s="44"/>
      <c r="B110" s="5">
        <f t="shared" si="16"/>
        <v>45748</v>
      </c>
      <c r="C110" s="218" t="s">
        <v>533</v>
      </c>
      <c r="D110" s="195">
        <v>21797</v>
      </c>
      <c r="E110" s="186"/>
      <c r="F110" s="2">
        <v>807.56</v>
      </c>
      <c r="G110" s="3">
        <f t="shared" si="17"/>
        <v>681.56045099999994</v>
      </c>
      <c r="H110" s="187"/>
      <c r="I110" s="7">
        <v>7.0000000000000007E-2</v>
      </c>
      <c r="J110" s="7">
        <v>1.6500000000000001E-2</v>
      </c>
      <c r="K110" s="7">
        <v>7.5999999999999998E-2</v>
      </c>
      <c r="L110" s="7">
        <v>0</v>
      </c>
      <c r="M110" s="11">
        <f t="shared" si="2"/>
        <v>56.529200000000003</v>
      </c>
      <c r="N110" s="11">
        <f t="shared" si="3"/>
        <v>12.392008200000001</v>
      </c>
      <c r="O110" s="11">
        <f t="shared" si="4"/>
        <v>57.078340799999999</v>
      </c>
      <c r="P110" s="11">
        <f t="shared" si="18"/>
        <v>0</v>
      </c>
    </row>
    <row r="111" spans="1:16" ht="15" customHeight="1">
      <c r="A111" s="44"/>
      <c r="B111" s="5">
        <f t="shared" si="16"/>
        <v>45748</v>
      </c>
      <c r="C111" s="218" t="s">
        <v>533</v>
      </c>
      <c r="D111" s="195">
        <v>21798</v>
      </c>
      <c r="E111" s="186"/>
      <c r="F111" s="2">
        <v>3.68</v>
      </c>
      <c r="G111" s="3">
        <f t="shared" si="17"/>
        <v>3.1058279999999998</v>
      </c>
      <c r="H111" s="187"/>
      <c r="I111" s="7">
        <v>7.0000000000000007E-2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0.25760000000000005</v>
      </c>
      <c r="N111" s="11">
        <f t="shared" si="3"/>
        <v>5.6469600000000002E-2</v>
      </c>
      <c r="O111" s="11">
        <f t="shared" si="4"/>
        <v>0.26010240000000001</v>
      </c>
      <c r="P111" s="11">
        <f t="shared" si="18"/>
        <v>0</v>
      </c>
    </row>
    <row r="112" spans="1:16" ht="15" customHeight="1">
      <c r="A112" s="44"/>
      <c r="B112" s="5">
        <f t="shared" si="16"/>
        <v>45748</v>
      </c>
      <c r="C112" s="218" t="s">
        <v>533</v>
      </c>
      <c r="D112" s="195">
        <v>21091</v>
      </c>
      <c r="E112" s="186"/>
      <c r="F112" s="2">
        <v>139948.14000000001</v>
      </c>
      <c r="G112" s="3">
        <f t="shared" si="17"/>
        <v>111762.584604</v>
      </c>
      <c r="H112" s="187"/>
      <c r="I112" s="7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16793.7768</v>
      </c>
      <c r="N112" s="11">
        <f t="shared" si="3"/>
        <v>2032.0469928000005</v>
      </c>
      <c r="O112" s="11">
        <f t="shared" si="4"/>
        <v>9359.7316032000017</v>
      </c>
      <c r="P112" s="11">
        <f t="shared" si="18"/>
        <v>0</v>
      </c>
    </row>
    <row r="113" spans="1:16" ht="15" customHeight="1">
      <c r="A113" s="44"/>
      <c r="B113" s="5">
        <f t="shared" si="16"/>
        <v>45748</v>
      </c>
      <c r="C113" s="218" t="s">
        <v>533</v>
      </c>
      <c r="D113" s="195">
        <v>21092</v>
      </c>
      <c r="E113" s="186"/>
      <c r="F113" s="2">
        <v>9107.65</v>
      </c>
      <c r="G113" s="3">
        <f t="shared" si="17"/>
        <v>7273.3692899999996</v>
      </c>
      <c r="H113" s="187"/>
      <c r="I113" s="7">
        <v>0.12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1092.9179999999999</v>
      </c>
      <c r="N113" s="11">
        <f t="shared" si="3"/>
        <v>132.243078</v>
      </c>
      <c r="O113" s="11">
        <f t="shared" si="4"/>
        <v>609.11963200000002</v>
      </c>
      <c r="P113" s="11">
        <f t="shared" si="18"/>
        <v>0</v>
      </c>
    </row>
    <row r="114" spans="1:16" ht="15" customHeight="1">
      <c r="A114" s="44"/>
      <c r="B114" s="5">
        <f t="shared" si="16"/>
        <v>45748</v>
      </c>
      <c r="C114" s="218" t="s">
        <v>533</v>
      </c>
      <c r="D114" s="195">
        <v>21093</v>
      </c>
      <c r="E114" s="186"/>
      <c r="F114" s="2">
        <v>35.71</v>
      </c>
      <c r="G114" s="3">
        <f t="shared" si="17"/>
        <v>28.518006</v>
      </c>
      <c r="H114" s="187"/>
      <c r="I114" s="7">
        <v>0.12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4.2851999999999997</v>
      </c>
      <c r="N114" s="11">
        <f t="shared" si="3"/>
        <v>0.5185092</v>
      </c>
      <c r="O114" s="11">
        <f t="shared" si="4"/>
        <v>2.3882848000000001</v>
      </c>
      <c r="P114" s="11">
        <f t="shared" si="18"/>
        <v>0</v>
      </c>
    </row>
    <row r="115" spans="1:16" ht="15" customHeight="1">
      <c r="A115" s="44"/>
      <c r="B115" s="5">
        <f t="shared" si="16"/>
        <v>45748</v>
      </c>
      <c r="C115" s="218" t="s">
        <v>533</v>
      </c>
      <c r="D115" s="195">
        <v>10416</v>
      </c>
      <c r="E115" s="186"/>
      <c r="F115" s="2">
        <v>15836.03</v>
      </c>
      <c r="G115" s="3">
        <f t="shared" si="17"/>
        <v>12646.653558000002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1900.3235999999999</v>
      </c>
      <c r="N115" s="11">
        <f t="shared" si="3"/>
        <v>229.93915560000002</v>
      </c>
      <c r="O115" s="11">
        <f t="shared" si="4"/>
        <v>1059.1136864</v>
      </c>
      <c r="P115" s="11">
        <f t="shared" si="18"/>
        <v>0</v>
      </c>
    </row>
    <row r="116" spans="1:16" ht="15" customHeight="1">
      <c r="A116" s="44"/>
      <c r="B116" s="5">
        <f t="shared" si="16"/>
        <v>45748</v>
      </c>
      <c r="C116" s="218" t="s">
        <v>533</v>
      </c>
      <c r="D116" s="195">
        <v>10419</v>
      </c>
      <c r="E116" s="186"/>
      <c r="F116" s="2">
        <v>1028.69</v>
      </c>
      <c r="G116" s="3">
        <f t="shared" si="17"/>
        <v>821.51183400000002</v>
      </c>
      <c r="H116" s="187"/>
      <c r="I116" s="7">
        <v>0.12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123.44280000000001</v>
      </c>
      <c r="N116" s="11">
        <f t="shared" si="3"/>
        <v>14.936578800000001</v>
      </c>
      <c r="O116" s="11">
        <f t="shared" si="4"/>
        <v>68.798787200000007</v>
      </c>
      <c r="P116" s="11">
        <f t="shared" si="18"/>
        <v>0</v>
      </c>
    </row>
    <row r="117" spans="1:16" ht="15" customHeight="1">
      <c r="A117" s="44"/>
      <c r="B117" s="5">
        <f t="shared" si="16"/>
        <v>45748</v>
      </c>
      <c r="C117" s="218" t="s">
        <v>533</v>
      </c>
      <c r="D117" s="195">
        <v>10420</v>
      </c>
      <c r="E117" s="186"/>
      <c r="F117" s="2">
        <v>7.54</v>
      </c>
      <c r="G117" s="3">
        <f t="shared" si="17"/>
        <v>6.0214440000000007</v>
      </c>
      <c r="H117" s="187"/>
      <c r="I117" s="7">
        <v>0.12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0.90479999999999994</v>
      </c>
      <c r="N117" s="11">
        <f t="shared" si="3"/>
        <v>0.1094808</v>
      </c>
      <c r="O117" s="11">
        <f t="shared" si="4"/>
        <v>0.50427520000000003</v>
      </c>
      <c r="P117" s="11">
        <f t="shared" si="18"/>
        <v>0</v>
      </c>
    </row>
    <row r="118" spans="1:16" ht="15" customHeight="1">
      <c r="A118" s="44"/>
      <c r="B118" s="5">
        <f t="shared" si="16"/>
        <v>45748</v>
      </c>
      <c r="C118" s="218" t="s">
        <v>533</v>
      </c>
      <c r="D118" s="195">
        <v>5723</v>
      </c>
      <c r="E118" s="186"/>
      <c r="F118" s="2">
        <v>75205.75</v>
      </c>
      <c r="G118" s="3">
        <f t="shared" si="17"/>
        <v>60059.311950000003</v>
      </c>
      <c r="H118" s="187"/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9024.69</v>
      </c>
      <c r="N118" s="11">
        <f t="shared" si="3"/>
        <v>1091.98749</v>
      </c>
      <c r="O118" s="11">
        <f t="shared" si="4"/>
        <v>5029.7605599999997</v>
      </c>
      <c r="P118" s="11">
        <f t="shared" si="18"/>
        <v>0</v>
      </c>
    </row>
    <row r="119" spans="1:16" ht="15" customHeight="1">
      <c r="A119" s="44"/>
      <c r="B119" s="5">
        <f t="shared" si="16"/>
        <v>45748</v>
      </c>
      <c r="C119" s="218" t="s">
        <v>533</v>
      </c>
      <c r="D119" s="195">
        <v>5724</v>
      </c>
      <c r="E119" s="186"/>
      <c r="F119" s="2">
        <v>4892.0600000000004</v>
      </c>
      <c r="G119" s="3">
        <f t="shared" si="17"/>
        <v>3906.7991160000001</v>
      </c>
      <c r="H119" s="187"/>
      <c r="I119" s="7">
        <v>0.12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587.04719999999998</v>
      </c>
      <c r="N119" s="11">
        <f t="shared" si="3"/>
        <v>71.032711200000008</v>
      </c>
      <c r="O119" s="11">
        <f t="shared" si="4"/>
        <v>327.18097280000001</v>
      </c>
      <c r="P119" s="11">
        <f t="shared" si="18"/>
        <v>0</v>
      </c>
    </row>
    <row r="120" spans="1:16" ht="15" customHeight="1">
      <c r="A120" s="44"/>
      <c r="B120" s="5">
        <f t="shared" si="16"/>
        <v>45748</v>
      </c>
      <c r="C120" s="218" t="s">
        <v>533</v>
      </c>
      <c r="D120" s="195">
        <v>5725</v>
      </c>
      <c r="E120" s="186"/>
      <c r="F120" s="2">
        <v>23.31</v>
      </c>
      <c r="G120" s="3">
        <f t="shared" si="17"/>
        <v>18.615366000000002</v>
      </c>
      <c r="H120" s="187"/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2.7971999999999997</v>
      </c>
      <c r="N120" s="11">
        <f t="shared" si="3"/>
        <v>0.33846120000000002</v>
      </c>
      <c r="O120" s="11">
        <f t="shared" si="4"/>
        <v>1.5589727999999998</v>
      </c>
      <c r="P120" s="11">
        <f t="shared" si="18"/>
        <v>0</v>
      </c>
    </row>
    <row r="121" spans="1:16" ht="15" customHeight="1">
      <c r="A121" s="44"/>
      <c r="B121" s="5">
        <f t="shared" si="16"/>
        <v>45748</v>
      </c>
      <c r="C121" s="218" t="s">
        <v>533</v>
      </c>
      <c r="D121" s="195">
        <v>21964</v>
      </c>
      <c r="E121" s="186"/>
      <c r="F121" s="2">
        <v>5502.09</v>
      </c>
      <c r="G121" s="3">
        <f t="shared" si="17"/>
        <v>4643.62640775</v>
      </c>
      <c r="H121" s="187"/>
      <c r="I121" s="7">
        <v>7.0000000000000007E-2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385.14630000000005</v>
      </c>
      <c r="N121" s="11">
        <f t="shared" si="3"/>
        <v>84.429571050000007</v>
      </c>
      <c r="O121" s="11">
        <f t="shared" si="4"/>
        <v>388.88772119999999</v>
      </c>
      <c r="P121" s="11">
        <f t="shared" si="18"/>
        <v>0</v>
      </c>
    </row>
    <row r="122" spans="1:16" ht="15" customHeight="1">
      <c r="A122" s="44"/>
      <c r="B122" s="5">
        <f t="shared" ref="B122:B146" si="19">B121</f>
        <v>45748</v>
      </c>
      <c r="C122" s="218" t="s">
        <v>533</v>
      </c>
      <c r="D122" s="195">
        <v>21965</v>
      </c>
      <c r="E122" s="186"/>
      <c r="F122" s="2">
        <v>357.9</v>
      </c>
      <c r="G122" s="3">
        <f t="shared" si="17"/>
        <v>302.05865249999999</v>
      </c>
      <c r="H122" s="187"/>
      <c r="I122" s="7">
        <v>7.0000000000000007E-2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25.053000000000001</v>
      </c>
      <c r="N122" s="11">
        <f t="shared" si="3"/>
        <v>5.4919754999999997</v>
      </c>
      <c r="O122" s="11">
        <f t="shared" si="4"/>
        <v>25.296371999999998</v>
      </c>
      <c r="P122" s="11">
        <f t="shared" si="18"/>
        <v>0</v>
      </c>
    </row>
    <row r="123" spans="1:16" ht="15" customHeight="1">
      <c r="A123" s="44"/>
      <c r="B123" s="5">
        <f t="shared" si="19"/>
        <v>45748</v>
      </c>
      <c r="C123" s="218" t="s">
        <v>533</v>
      </c>
      <c r="D123" s="195">
        <v>21966</v>
      </c>
      <c r="E123" s="186"/>
      <c r="F123" s="2">
        <v>1.71</v>
      </c>
      <c r="G123" s="3">
        <f t="shared" si="17"/>
        <v>1.4431972499999999</v>
      </c>
      <c r="H123" s="187"/>
      <c r="I123" s="7">
        <v>7.0000000000000007E-2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0.11970000000000001</v>
      </c>
      <c r="N123" s="11">
        <f t="shared" si="3"/>
        <v>2.6239950000000001E-2</v>
      </c>
      <c r="O123" s="11">
        <f t="shared" si="4"/>
        <v>0.12086280000000001</v>
      </c>
      <c r="P123" s="11">
        <f t="shared" si="18"/>
        <v>0</v>
      </c>
    </row>
    <row r="124" spans="1:16" ht="15" customHeight="1">
      <c r="A124" s="44"/>
      <c r="B124" s="5">
        <f t="shared" si="19"/>
        <v>45748</v>
      </c>
      <c r="C124" s="218" t="s">
        <v>533</v>
      </c>
      <c r="D124" s="195">
        <v>21202</v>
      </c>
      <c r="E124" s="186"/>
      <c r="F124" s="2">
        <v>61971.79</v>
      </c>
      <c r="G124" s="3">
        <f t="shared" si="17"/>
        <v>49490.671494000002</v>
      </c>
      <c r="H124" s="187"/>
      <c r="I124" s="7">
        <v>0.12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7436.6147999999994</v>
      </c>
      <c r="N124" s="11">
        <f t="shared" si="3"/>
        <v>899.83039080000003</v>
      </c>
      <c r="O124" s="11">
        <f t="shared" si="4"/>
        <v>4144.6733151999997</v>
      </c>
      <c r="P124" s="11">
        <f t="shared" si="18"/>
        <v>0</v>
      </c>
    </row>
    <row r="125" spans="1:16" ht="15" customHeight="1">
      <c r="A125" s="44"/>
      <c r="B125" s="5">
        <f t="shared" si="19"/>
        <v>45748</v>
      </c>
      <c r="C125" s="218" t="s">
        <v>533</v>
      </c>
      <c r="D125" s="195">
        <v>21203</v>
      </c>
      <c r="E125" s="186"/>
      <c r="F125" s="2">
        <v>4032.63</v>
      </c>
      <c r="G125" s="3">
        <f t="shared" si="17"/>
        <v>3220.458318</v>
      </c>
      <c r="H125" s="187"/>
      <c r="I125" s="7">
        <v>0.12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483.91559999999998</v>
      </c>
      <c r="N125" s="11">
        <f t="shared" si="3"/>
        <v>58.553787600000007</v>
      </c>
      <c r="O125" s="11">
        <f t="shared" si="4"/>
        <v>269.70229440000003</v>
      </c>
      <c r="P125" s="11">
        <f t="shared" si="18"/>
        <v>0</v>
      </c>
    </row>
    <row r="126" spans="1:16" ht="15" customHeight="1">
      <c r="A126" s="44"/>
      <c r="B126" s="5">
        <f t="shared" si="19"/>
        <v>45748</v>
      </c>
      <c r="C126" s="218" t="s">
        <v>533</v>
      </c>
      <c r="D126" s="195">
        <v>21204</v>
      </c>
      <c r="E126" s="186"/>
      <c r="F126" s="2">
        <v>16.579999999999998</v>
      </c>
      <c r="G126" s="3">
        <f t="shared" si="17"/>
        <v>13.240787999999998</v>
      </c>
      <c r="H126" s="187"/>
      <c r="I126" s="7">
        <v>0.12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1.9895999999999998</v>
      </c>
      <c r="N126" s="11">
        <f t="shared" si="3"/>
        <v>0.2407416</v>
      </c>
      <c r="O126" s="11">
        <f t="shared" si="4"/>
        <v>1.1088703999999998</v>
      </c>
      <c r="P126" s="11">
        <f t="shared" si="18"/>
        <v>0</v>
      </c>
    </row>
    <row r="127" spans="1:16" ht="15" customHeight="1">
      <c r="A127" s="44"/>
      <c r="B127" s="5">
        <f t="shared" si="19"/>
        <v>45748</v>
      </c>
      <c r="C127" s="218" t="s">
        <v>533</v>
      </c>
      <c r="D127" s="195">
        <v>10430</v>
      </c>
      <c r="E127" s="186"/>
      <c r="F127" s="2">
        <v>42060.18</v>
      </c>
      <c r="G127" s="3">
        <f t="shared" si="17"/>
        <v>33589.259747999997</v>
      </c>
      <c r="H127" s="187"/>
      <c r="I127" s="7">
        <v>0.12</v>
      </c>
      <c r="J127" s="7">
        <v>1.6500000000000001E-2</v>
      </c>
      <c r="K127" s="7">
        <v>7.5999999999999998E-2</v>
      </c>
      <c r="L127" s="7">
        <v>0</v>
      </c>
      <c r="M127" s="11">
        <f t="shared" si="2"/>
        <v>5047.2215999999999</v>
      </c>
      <c r="N127" s="11">
        <f t="shared" si="3"/>
        <v>610.71381360000009</v>
      </c>
      <c r="O127" s="11">
        <f t="shared" si="4"/>
        <v>2812.9848384000002</v>
      </c>
      <c r="P127" s="11">
        <f t="shared" si="18"/>
        <v>0</v>
      </c>
    </row>
    <row r="128" spans="1:16" ht="15" customHeight="1">
      <c r="A128" s="44"/>
      <c r="B128" s="5">
        <f t="shared" si="19"/>
        <v>45748</v>
      </c>
      <c r="C128" s="218" t="s">
        <v>533</v>
      </c>
      <c r="D128" s="195">
        <v>10429</v>
      </c>
      <c r="E128" s="186"/>
      <c r="F128" s="2">
        <v>2731.49</v>
      </c>
      <c r="G128" s="3">
        <f t="shared" si="17"/>
        <v>2181.3679139999999</v>
      </c>
      <c r="H128" s="187"/>
      <c r="I128" s="7">
        <v>0.12</v>
      </c>
      <c r="J128" s="7">
        <v>1.6500000000000001E-2</v>
      </c>
      <c r="K128" s="7">
        <v>7.5999999999999998E-2</v>
      </c>
      <c r="L128" s="7">
        <v>0</v>
      </c>
      <c r="M128" s="11">
        <f t="shared" si="2"/>
        <v>327.77879999999999</v>
      </c>
      <c r="N128" s="11">
        <f t="shared" si="3"/>
        <v>39.661234799999995</v>
      </c>
      <c r="O128" s="11">
        <f t="shared" si="4"/>
        <v>182.68205119999999</v>
      </c>
      <c r="P128" s="11">
        <f t="shared" si="18"/>
        <v>0</v>
      </c>
    </row>
    <row r="129" spans="1:16" ht="15" customHeight="1">
      <c r="A129" s="44"/>
      <c r="B129" s="5">
        <f t="shared" si="19"/>
        <v>45748</v>
      </c>
      <c r="C129" s="218" t="s">
        <v>533</v>
      </c>
      <c r="D129" s="195">
        <v>10432</v>
      </c>
      <c r="E129" s="186"/>
      <c r="F129" s="2">
        <v>21.28</v>
      </c>
      <c r="G129" s="3">
        <f t="shared" si="17"/>
        <v>16.994208</v>
      </c>
      <c r="H129" s="187"/>
      <c r="I129" s="7">
        <v>0.12</v>
      </c>
      <c r="J129" s="7">
        <v>1.6500000000000001E-2</v>
      </c>
      <c r="K129" s="7">
        <v>7.5999999999999998E-2</v>
      </c>
      <c r="L129" s="7">
        <v>0</v>
      </c>
      <c r="M129" s="11">
        <f t="shared" si="2"/>
        <v>2.5535999999999999</v>
      </c>
      <c r="N129" s="11">
        <f t="shared" si="3"/>
        <v>0.30898560000000003</v>
      </c>
      <c r="O129" s="11">
        <f t="shared" si="4"/>
        <v>1.4232064000000002</v>
      </c>
      <c r="P129" s="11">
        <f t="shared" si="18"/>
        <v>0</v>
      </c>
    </row>
    <row r="130" spans="1:16" ht="15" customHeight="1">
      <c r="A130" s="44"/>
      <c r="B130" s="5">
        <f t="shared" si="19"/>
        <v>45748</v>
      </c>
      <c r="C130" s="218" t="s">
        <v>533</v>
      </c>
      <c r="D130" s="195">
        <v>5738</v>
      </c>
      <c r="E130" s="186"/>
      <c r="F130" s="2">
        <v>203604.19</v>
      </c>
      <c r="G130" s="3">
        <f t="shared" si="17"/>
        <v>162598.30613400001</v>
      </c>
      <c r="H130" s="187"/>
      <c r="I130" s="7">
        <v>0.12</v>
      </c>
      <c r="J130" s="7">
        <v>1.6500000000000001E-2</v>
      </c>
      <c r="K130" s="7">
        <v>7.5999999999999998E-2</v>
      </c>
      <c r="L130" s="7">
        <v>0</v>
      </c>
      <c r="M130" s="11">
        <f t="shared" si="2"/>
        <v>24432.502799999998</v>
      </c>
      <c r="N130" s="11">
        <f t="shared" si="3"/>
        <v>2956.3328388000004</v>
      </c>
      <c r="O130" s="11">
        <f t="shared" si="4"/>
        <v>13617.048227200001</v>
      </c>
      <c r="P130" s="11">
        <f t="shared" si="18"/>
        <v>0</v>
      </c>
    </row>
    <row r="131" spans="1:16" ht="15" customHeight="1">
      <c r="A131" s="44"/>
      <c r="B131" s="5">
        <f t="shared" si="19"/>
        <v>45748</v>
      </c>
      <c r="C131" s="218" t="s">
        <v>533</v>
      </c>
      <c r="D131" s="195">
        <v>5739</v>
      </c>
      <c r="E131" s="186"/>
      <c r="F131" s="2">
        <v>13243.22</v>
      </c>
      <c r="G131" s="3">
        <f t="shared" si="17"/>
        <v>10576.035491999999</v>
      </c>
      <c r="H131" s="187"/>
      <c r="I131" s="7">
        <v>0.12</v>
      </c>
      <c r="J131" s="7">
        <v>1.6500000000000001E-2</v>
      </c>
      <c r="K131" s="7">
        <v>7.5999999999999998E-2</v>
      </c>
      <c r="L131" s="7">
        <v>0</v>
      </c>
      <c r="M131" s="11">
        <f t="shared" si="2"/>
        <v>1589.1863999999998</v>
      </c>
      <c r="N131" s="11">
        <f t="shared" si="3"/>
        <v>192.2915544</v>
      </c>
      <c r="O131" s="11">
        <f t="shared" si="4"/>
        <v>885.70655359999989</v>
      </c>
      <c r="P131" s="11">
        <f t="shared" si="18"/>
        <v>0</v>
      </c>
    </row>
    <row r="132" spans="1:16" ht="15" customHeight="1">
      <c r="A132" s="44"/>
      <c r="B132" s="5">
        <f t="shared" si="19"/>
        <v>45748</v>
      </c>
      <c r="C132" s="218" t="s">
        <v>533</v>
      </c>
      <c r="D132" s="195">
        <v>5740</v>
      </c>
      <c r="E132" s="186"/>
      <c r="F132" s="2">
        <v>65</v>
      </c>
      <c r="G132" s="3">
        <f t="shared" si="17"/>
        <v>51.908999999999999</v>
      </c>
      <c r="H132" s="187"/>
      <c r="I132" s="7">
        <v>0.12</v>
      </c>
      <c r="J132" s="7">
        <v>1.6500000000000001E-2</v>
      </c>
      <c r="K132" s="7">
        <v>7.5999999999999998E-2</v>
      </c>
      <c r="L132" s="7">
        <v>0</v>
      </c>
      <c r="M132" s="11">
        <f t="shared" si="2"/>
        <v>7.8</v>
      </c>
      <c r="N132" s="11">
        <f t="shared" si="3"/>
        <v>0.94380000000000008</v>
      </c>
      <c r="O132" s="11">
        <f t="shared" si="4"/>
        <v>4.3472</v>
      </c>
      <c r="P132" s="11">
        <f t="shared" si="18"/>
        <v>0</v>
      </c>
    </row>
    <row r="133" spans="1:16" ht="15" customHeight="1">
      <c r="A133" s="44"/>
      <c r="B133" s="5">
        <f t="shared" si="19"/>
        <v>45748</v>
      </c>
      <c r="C133" s="218" t="s">
        <v>533</v>
      </c>
      <c r="D133" s="195">
        <v>22036</v>
      </c>
      <c r="E133" s="186"/>
      <c r="F133" s="2">
        <v>14870.48</v>
      </c>
      <c r="G133" s="3">
        <f t="shared" si="17"/>
        <v>12550.313357999999</v>
      </c>
      <c r="H133" s="187"/>
      <c r="I133" s="7">
        <v>7.0000000000000007E-2</v>
      </c>
      <c r="J133" s="7">
        <v>1.6500000000000001E-2</v>
      </c>
      <c r="K133" s="7">
        <v>7.5999999999999998E-2</v>
      </c>
      <c r="L133" s="7">
        <v>0</v>
      </c>
      <c r="M133" s="11">
        <f t="shared" si="2"/>
        <v>1040.9336000000001</v>
      </c>
      <c r="N133" s="11">
        <f t="shared" si="3"/>
        <v>228.18751560000001</v>
      </c>
      <c r="O133" s="11">
        <f t="shared" si="4"/>
        <v>1051.0455264</v>
      </c>
      <c r="P133" s="11">
        <f t="shared" si="18"/>
        <v>0</v>
      </c>
    </row>
    <row r="134" spans="1:16" ht="15" customHeight="1">
      <c r="A134" s="44"/>
      <c r="B134" s="5">
        <f t="shared" si="19"/>
        <v>45748</v>
      </c>
      <c r="C134" s="218" t="s">
        <v>533</v>
      </c>
      <c r="D134" s="195">
        <v>22037</v>
      </c>
      <c r="E134" s="186"/>
      <c r="F134" s="2">
        <v>967.21</v>
      </c>
      <c r="G134" s="3">
        <f t="shared" si="17"/>
        <v>816.30105975000004</v>
      </c>
      <c r="H134" s="187"/>
      <c r="I134" s="7">
        <v>7.0000000000000007E-2</v>
      </c>
      <c r="J134" s="7">
        <v>1.6500000000000001E-2</v>
      </c>
      <c r="K134" s="7">
        <v>7.5999999999999998E-2</v>
      </c>
      <c r="L134" s="7">
        <v>0</v>
      </c>
      <c r="M134" s="11">
        <f t="shared" si="2"/>
        <v>67.704700000000003</v>
      </c>
      <c r="N134" s="11">
        <f t="shared" si="3"/>
        <v>14.841837450000002</v>
      </c>
      <c r="O134" s="11">
        <f t="shared" si="4"/>
        <v>68.362402799999998</v>
      </c>
      <c r="P134" s="11">
        <f t="shared" si="18"/>
        <v>0</v>
      </c>
    </row>
    <row r="135" spans="1:16" ht="15" customHeight="1">
      <c r="A135" s="44"/>
      <c r="B135" s="5">
        <f t="shared" si="19"/>
        <v>45748</v>
      </c>
      <c r="C135" s="218" t="s">
        <v>533</v>
      </c>
      <c r="D135" s="195">
        <v>22038</v>
      </c>
      <c r="E135" s="186"/>
      <c r="F135" s="2">
        <v>4.79</v>
      </c>
      <c r="G135" s="3">
        <f t="shared" si="17"/>
        <v>4.0426402499999998</v>
      </c>
      <c r="H135" s="187"/>
      <c r="I135" s="7">
        <v>7.0000000000000007E-2</v>
      </c>
      <c r="J135" s="7">
        <v>1.6500000000000001E-2</v>
      </c>
      <c r="K135" s="7">
        <v>7.5999999999999998E-2</v>
      </c>
      <c r="L135" s="7">
        <v>0</v>
      </c>
      <c r="M135" s="11">
        <f t="shared" si="2"/>
        <v>0.33530000000000004</v>
      </c>
      <c r="N135" s="11">
        <f t="shared" si="3"/>
        <v>7.350255E-2</v>
      </c>
      <c r="O135" s="11">
        <f t="shared" si="4"/>
        <v>0.3385572</v>
      </c>
      <c r="P135" s="11">
        <f t="shared" si="18"/>
        <v>0</v>
      </c>
    </row>
    <row r="136" spans="1:16" ht="15" customHeight="1">
      <c r="A136" s="44"/>
      <c r="B136" s="5">
        <f t="shared" si="19"/>
        <v>45748</v>
      </c>
      <c r="C136" s="218" t="s">
        <v>533</v>
      </c>
      <c r="D136" s="195">
        <v>21215</v>
      </c>
      <c r="E136" s="186"/>
      <c r="F136" s="2">
        <v>168192.91</v>
      </c>
      <c r="G136" s="3">
        <f t="shared" si="17"/>
        <v>134318.857926</v>
      </c>
      <c r="H136" s="187"/>
      <c r="I136" s="7">
        <v>0.12</v>
      </c>
      <c r="J136" s="7">
        <v>1.6500000000000001E-2</v>
      </c>
      <c r="K136" s="7">
        <v>7.5999999999999998E-2</v>
      </c>
      <c r="L136" s="7">
        <v>0</v>
      </c>
      <c r="M136" s="11">
        <f t="shared" si="2"/>
        <v>20183.1492</v>
      </c>
      <c r="N136" s="11">
        <f t="shared" si="3"/>
        <v>2442.1610532</v>
      </c>
      <c r="O136" s="11">
        <f t="shared" si="4"/>
        <v>11248.741820799998</v>
      </c>
      <c r="P136" s="11">
        <f t="shared" si="18"/>
        <v>0</v>
      </c>
    </row>
    <row r="137" spans="1:16" ht="15" customHeight="1">
      <c r="A137" s="44"/>
      <c r="B137" s="5">
        <f t="shared" si="19"/>
        <v>45748</v>
      </c>
      <c r="C137" s="218" t="s">
        <v>533</v>
      </c>
      <c r="D137" s="195">
        <v>21232</v>
      </c>
      <c r="E137" s="186"/>
      <c r="F137" s="2">
        <v>10944.01</v>
      </c>
      <c r="G137" s="3">
        <f t="shared" si="17"/>
        <v>8739.8863860000001</v>
      </c>
      <c r="H137" s="187"/>
      <c r="I137" s="7">
        <v>0.12</v>
      </c>
      <c r="J137" s="7">
        <v>1.6500000000000001E-2</v>
      </c>
      <c r="K137" s="7">
        <v>7.5999999999999998E-2</v>
      </c>
      <c r="L137" s="7">
        <v>0</v>
      </c>
      <c r="M137" s="11">
        <f t="shared" si="2"/>
        <v>1313.2811999999999</v>
      </c>
      <c r="N137" s="11">
        <f t="shared" si="3"/>
        <v>158.90702520000002</v>
      </c>
      <c r="O137" s="11">
        <f t="shared" si="4"/>
        <v>731.93538880000006</v>
      </c>
      <c r="P137" s="11">
        <f t="shared" si="18"/>
        <v>0</v>
      </c>
    </row>
    <row r="138" spans="1:16" ht="15" customHeight="1">
      <c r="A138" s="44"/>
      <c r="B138" s="5">
        <f t="shared" si="19"/>
        <v>45748</v>
      </c>
      <c r="C138" s="218" t="s">
        <v>533</v>
      </c>
      <c r="D138" s="195">
        <v>21233</v>
      </c>
      <c r="E138" s="186"/>
      <c r="F138" s="2">
        <v>46.19</v>
      </c>
      <c r="G138" s="3">
        <f t="shared" si="17"/>
        <v>36.887333999999996</v>
      </c>
      <c r="H138" s="187"/>
      <c r="I138" s="7">
        <v>0.12</v>
      </c>
      <c r="J138" s="7">
        <v>1.6500000000000001E-2</v>
      </c>
      <c r="K138" s="7">
        <v>7.5999999999999998E-2</v>
      </c>
      <c r="L138" s="7">
        <v>0</v>
      </c>
      <c r="M138" s="11">
        <f t="shared" si="2"/>
        <v>5.5427999999999997</v>
      </c>
      <c r="N138" s="11">
        <f t="shared" si="3"/>
        <v>0.67067880000000002</v>
      </c>
      <c r="O138" s="11">
        <f t="shared" si="4"/>
        <v>3.0891871999999996</v>
      </c>
      <c r="P138" s="11">
        <f t="shared" si="18"/>
        <v>0</v>
      </c>
    </row>
    <row r="139" spans="1:16" ht="15" customHeight="1">
      <c r="A139" s="44"/>
      <c r="B139" s="5">
        <f t="shared" si="19"/>
        <v>45748</v>
      </c>
      <c r="C139" s="218" t="s">
        <v>533</v>
      </c>
      <c r="D139" s="195">
        <v>22211</v>
      </c>
      <c r="E139" s="186"/>
      <c r="F139" s="2">
        <v>2457.8200000000002</v>
      </c>
      <c r="G139" s="3">
        <f t="shared" si="17"/>
        <v>2074.3386344999999</v>
      </c>
      <c r="H139" s="187"/>
      <c r="I139" s="7">
        <v>7.0000000000000007E-2</v>
      </c>
      <c r="J139" s="7">
        <v>1.6500000000000001E-2</v>
      </c>
      <c r="K139" s="7">
        <v>7.5999999999999998E-2</v>
      </c>
      <c r="L139" s="7">
        <v>0</v>
      </c>
      <c r="M139" s="11">
        <f t="shared" si="2"/>
        <v>172.04740000000004</v>
      </c>
      <c r="N139" s="11">
        <f t="shared" si="3"/>
        <v>37.715247900000008</v>
      </c>
      <c r="O139" s="11">
        <f t="shared" si="4"/>
        <v>173.71871760000002</v>
      </c>
      <c r="P139" s="11">
        <f t="shared" si="18"/>
        <v>0</v>
      </c>
    </row>
    <row r="140" spans="1:16" ht="15" customHeight="1">
      <c r="A140" s="44"/>
      <c r="B140" s="5">
        <f t="shared" si="19"/>
        <v>45748</v>
      </c>
      <c r="C140" s="218" t="s">
        <v>533</v>
      </c>
      <c r="D140" s="195">
        <v>22212</v>
      </c>
      <c r="E140" s="186"/>
      <c r="F140" s="2">
        <v>245.78</v>
      </c>
      <c r="G140" s="3">
        <f t="shared" si="17"/>
        <v>207.4321755</v>
      </c>
      <c r="H140" s="187"/>
      <c r="I140" s="7">
        <v>7.0000000000000007E-2</v>
      </c>
      <c r="J140" s="7">
        <v>1.6500000000000001E-2</v>
      </c>
      <c r="K140" s="7">
        <v>7.5999999999999998E-2</v>
      </c>
      <c r="L140" s="7">
        <v>0</v>
      </c>
      <c r="M140" s="11">
        <f t="shared" si="2"/>
        <v>17.204600000000003</v>
      </c>
      <c r="N140" s="11">
        <f t="shared" si="3"/>
        <v>3.7714941000000004</v>
      </c>
      <c r="O140" s="11">
        <f t="shared" si="4"/>
        <v>17.371730400000001</v>
      </c>
      <c r="P140" s="11">
        <f t="shared" si="18"/>
        <v>0</v>
      </c>
    </row>
    <row r="141" spans="1:16" ht="15" customHeight="1">
      <c r="A141" s="44"/>
      <c r="B141" s="5">
        <f t="shared" si="19"/>
        <v>45748</v>
      </c>
      <c r="C141" s="218" t="s">
        <v>533</v>
      </c>
      <c r="D141" s="195">
        <v>21291</v>
      </c>
      <c r="E141" s="186"/>
      <c r="F141" s="2">
        <v>158913.49</v>
      </c>
      <c r="G141" s="3">
        <f t="shared" si="17"/>
        <v>126908.31311399999</v>
      </c>
      <c r="H141" s="187"/>
      <c r="I141" s="7">
        <v>0.12</v>
      </c>
      <c r="J141" s="7">
        <v>1.6500000000000001E-2</v>
      </c>
      <c r="K141" s="7">
        <v>7.5999999999999998E-2</v>
      </c>
      <c r="L141" s="7">
        <v>0</v>
      </c>
      <c r="M141" s="11">
        <f t="shared" si="2"/>
        <v>19069.618799999997</v>
      </c>
      <c r="N141" s="11">
        <f t="shared" si="3"/>
        <v>2307.4238747999998</v>
      </c>
      <c r="O141" s="11">
        <f t="shared" si="4"/>
        <v>10628.134211199998</v>
      </c>
      <c r="P141" s="11">
        <f t="shared" si="18"/>
        <v>0</v>
      </c>
    </row>
    <row r="142" spans="1:16" ht="15" customHeight="1">
      <c r="A142" s="44"/>
      <c r="B142" s="5">
        <f t="shared" si="19"/>
        <v>45748</v>
      </c>
      <c r="C142" s="218" t="s">
        <v>533</v>
      </c>
      <c r="D142" s="195">
        <v>21062</v>
      </c>
      <c r="E142" s="186"/>
      <c r="F142" s="2">
        <v>15891.35</v>
      </c>
      <c r="G142" s="3">
        <f t="shared" si="17"/>
        <v>12690.832109999999</v>
      </c>
      <c r="H142" s="187"/>
      <c r="I142" s="7">
        <v>0.12</v>
      </c>
      <c r="J142" s="7">
        <v>1.6500000000000001E-2</v>
      </c>
      <c r="K142" s="7">
        <v>7.5999999999999998E-2</v>
      </c>
      <c r="L142" s="7">
        <v>0</v>
      </c>
      <c r="M142" s="11">
        <f t="shared" si="2"/>
        <v>1906.962</v>
      </c>
      <c r="N142" s="11">
        <f t="shared" si="3"/>
        <v>230.74240200000003</v>
      </c>
      <c r="O142" s="11">
        <f t="shared" si="4"/>
        <v>1062.813488</v>
      </c>
      <c r="P142" s="11">
        <f t="shared" si="18"/>
        <v>0</v>
      </c>
    </row>
    <row r="143" spans="1:16" ht="15" customHeight="1">
      <c r="A143" s="44"/>
      <c r="B143" s="5">
        <f t="shared" si="19"/>
        <v>45748</v>
      </c>
      <c r="C143" s="218" t="s">
        <v>533</v>
      </c>
      <c r="D143" s="195">
        <v>5663</v>
      </c>
      <c r="E143" s="186"/>
      <c r="F143" s="2">
        <v>210654.99</v>
      </c>
      <c r="G143" s="3">
        <f t="shared" si="17"/>
        <v>168229.075014</v>
      </c>
      <c r="H143" s="187"/>
      <c r="I143" s="7">
        <v>0.12</v>
      </c>
      <c r="J143" s="7">
        <v>1.6500000000000001E-2</v>
      </c>
      <c r="K143" s="7">
        <v>7.5999999999999998E-2</v>
      </c>
      <c r="L143" s="7">
        <v>0</v>
      </c>
      <c r="M143" s="11">
        <f t="shared" si="2"/>
        <v>25278.5988</v>
      </c>
      <c r="N143" s="11">
        <f t="shared" si="3"/>
        <v>3058.7104547999998</v>
      </c>
      <c r="O143" s="11">
        <f t="shared" si="4"/>
        <v>14088.605731199998</v>
      </c>
      <c r="P143" s="11">
        <f t="shared" si="18"/>
        <v>0</v>
      </c>
    </row>
    <row r="144" spans="1:16" ht="15" customHeight="1">
      <c r="A144" s="44"/>
      <c r="B144" s="5">
        <f t="shared" si="19"/>
        <v>45748</v>
      </c>
      <c r="C144" s="218" t="s">
        <v>533</v>
      </c>
      <c r="D144" s="195">
        <v>5664</v>
      </c>
      <c r="E144" s="186"/>
      <c r="F144" s="2">
        <v>21065.5</v>
      </c>
      <c r="G144" s="3">
        <f t="shared" si="17"/>
        <v>16822.908299999999</v>
      </c>
      <c r="H144" s="187"/>
      <c r="I144" s="7">
        <v>0.12</v>
      </c>
      <c r="J144" s="7">
        <v>1.6500000000000001E-2</v>
      </c>
      <c r="K144" s="7">
        <v>7.5999999999999998E-2</v>
      </c>
      <c r="L144" s="7">
        <v>0</v>
      </c>
      <c r="M144" s="11">
        <f t="shared" si="2"/>
        <v>2527.86</v>
      </c>
      <c r="N144" s="11">
        <f t="shared" si="3"/>
        <v>305.87106</v>
      </c>
      <c r="O144" s="11">
        <f t="shared" si="4"/>
        <v>1408.8606399999999</v>
      </c>
      <c r="P144" s="11">
        <f t="shared" si="18"/>
        <v>0</v>
      </c>
    </row>
    <row r="145" spans="1:16" ht="15" customHeight="1">
      <c r="A145" s="44"/>
      <c r="B145" s="5">
        <f t="shared" si="19"/>
        <v>45748</v>
      </c>
      <c r="C145" s="218" t="s">
        <v>533</v>
      </c>
      <c r="D145" s="195">
        <v>10361</v>
      </c>
      <c r="E145" s="186"/>
      <c r="F145" s="2">
        <v>41842.980000000003</v>
      </c>
      <c r="G145" s="3">
        <f t="shared" si="17"/>
        <v>33415.803828000004</v>
      </c>
      <c r="H145" s="187"/>
      <c r="I145" s="7">
        <v>0.12</v>
      </c>
      <c r="J145" s="7">
        <v>1.6500000000000001E-2</v>
      </c>
      <c r="K145" s="7">
        <v>7.5999999999999998E-2</v>
      </c>
      <c r="L145" s="7">
        <v>0</v>
      </c>
      <c r="M145" s="11">
        <f t="shared" si="2"/>
        <v>5021.1576000000005</v>
      </c>
      <c r="N145" s="11">
        <f t="shared" si="3"/>
        <v>607.56006960000013</v>
      </c>
      <c r="O145" s="11">
        <f t="shared" si="4"/>
        <v>2798.4585024000003</v>
      </c>
      <c r="P145" s="11">
        <f t="shared" si="18"/>
        <v>0</v>
      </c>
    </row>
    <row r="146" spans="1:16" ht="15" customHeight="1">
      <c r="A146" s="44"/>
      <c r="B146" s="5">
        <f t="shared" si="19"/>
        <v>45748</v>
      </c>
      <c r="C146" s="218" t="s">
        <v>533</v>
      </c>
      <c r="D146" s="195">
        <v>10362</v>
      </c>
      <c r="E146" s="186"/>
      <c r="F146" s="2">
        <v>4184.3</v>
      </c>
      <c r="G146" s="3">
        <f t="shared" si="17"/>
        <v>3341.5819799999999</v>
      </c>
      <c r="H146" s="187"/>
      <c r="I146" s="7">
        <v>0.12</v>
      </c>
      <c r="J146" s="7">
        <v>1.6500000000000001E-2</v>
      </c>
      <c r="K146" s="7">
        <v>7.5999999999999998E-2</v>
      </c>
      <c r="L146" s="7">
        <v>0</v>
      </c>
      <c r="M146" s="11">
        <f t="shared" si="2"/>
        <v>502.11599999999999</v>
      </c>
      <c r="N146" s="11">
        <f t="shared" si="3"/>
        <v>60.756036000000009</v>
      </c>
      <c r="O146" s="11">
        <f t="shared" si="4"/>
        <v>279.84598399999999</v>
      </c>
      <c r="P146" s="11">
        <f t="shared" si="18"/>
        <v>0</v>
      </c>
    </row>
    <row r="147" spans="1:16">
      <c r="B147" s="5"/>
      <c r="C147" s="1"/>
      <c r="E147" s="1"/>
      <c r="F147" s="2"/>
      <c r="G147" s="4"/>
      <c r="H147" s="4"/>
      <c r="I147" s="7"/>
      <c r="J147" s="7"/>
      <c r="K147" s="7"/>
      <c r="L147" s="7"/>
    </row>
    <row r="148" spans="1:16">
      <c r="E148" s="28">
        <f>SUM(E18:E146)</f>
        <v>43955288.099999994</v>
      </c>
      <c r="F148" s="133"/>
      <c r="G148" s="29">
        <f>SUM(G18:G146)</f>
        <v>102227005.26933262</v>
      </c>
    </row>
    <row r="149" spans="1:16">
      <c r="E149" s="137"/>
      <c r="F149" s="41"/>
    </row>
    <row r="150" spans="1:16" ht="15.75" thickBot="1"/>
    <row r="151" spans="1:16">
      <c r="B151" s="391" t="s">
        <v>918</v>
      </c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4"/>
    </row>
    <row r="152" spans="1:16">
      <c r="B152" s="385"/>
      <c r="C152" s="386"/>
      <c r="D152" s="386"/>
      <c r="E152" s="386"/>
      <c r="F152" s="386"/>
      <c r="G152" s="386"/>
      <c r="H152" s="386"/>
      <c r="I152" s="386"/>
      <c r="J152" s="386"/>
      <c r="K152" s="386"/>
      <c r="L152" s="386"/>
      <c r="M152" s="386"/>
      <c r="N152" s="386"/>
      <c r="O152" s="387"/>
    </row>
    <row r="153" spans="1:16">
      <c r="B153" s="385"/>
      <c r="C153" s="386"/>
      <c r="D153" s="386"/>
      <c r="E153" s="386"/>
      <c r="F153" s="386"/>
      <c r="G153" s="386"/>
      <c r="H153" s="386"/>
      <c r="I153" s="386"/>
      <c r="J153" s="386"/>
      <c r="K153" s="386"/>
      <c r="L153" s="386"/>
      <c r="M153" s="386"/>
      <c r="N153" s="386"/>
      <c r="O153" s="387"/>
    </row>
    <row r="154" spans="1:16">
      <c r="B154" s="385"/>
      <c r="C154" s="386"/>
      <c r="D154" s="386"/>
      <c r="E154" s="386"/>
      <c r="F154" s="386"/>
      <c r="G154" s="386"/>
      <c r="H154" s="386"/>
      <c r="I154" s="386"/>
      <c r="J154" s="386"/>
      <c r="K154" s="386"/>
      <c r="L154" s="386"/>
      <c r="M154" s="386"/>
      <c r="N154" s="386"/>
      <c r="O154" s="387"/>
    </row>
    <row r="155" spans="1:16" ht="27" customHeight="1">
      <c r="B155" s="385"/>
      <c r="C155" s="386"/>
      <c r="D155" s="386"/>
      <c r="E155" s="386"/>
      <c r="F155" s="386"/>
      <c r="G155" s="386"/>
      <c r="H155" s="386"/>
      <c r="I155" s="386"/>
      <c r="J155" s="386"/>
      <c r="K155" s="386"/>
      <c r="L155" s="386"/>
      <c r="M155" s="386"/>
      <c r="N155" s="386"/>
      <c r="O155" s="387"/>
    </row>
    <row r="156" spans="1:16" ht="44.25" customHeight="1" thickBot="1">
      <c r="B156" s="388"/>
      <c r="C156" s="389"/>
      <c r="D156" s="389"/>
      <c r="E156" s="389"/>
      <c r="F156" s="389"/>
      <c r="G156" s="389"/>
      <c r="H156" s="389"/>
      <c r="I156" s="389"/>
      <c r="J156" s="389"/>
      <c r="K156" s="389"/>
      <c r="L156" s="389"/>
      <c r="M156" s="389"/>
      <c r="N156" s="389"/>
      <c r="O156" s="390"/>
    </row>
  </sheetData>
  <mergeCells count="3">
    <mergeCell ref="C2:M2"/>
    <mergeCell ref="M16:P16"/>
    <mergeCell ref="B151:O156"/>
  </mergeCells>
  <conditionalFormatting sqref="D1:D1048576">
    <cfRule type="duplicateValues" dxfId="61" priority="1"/>
    <cfRule type="duplicateValues" dxfId="60" priority="2"/>
  </conditionalFormatting>
  <conditionalFormatting sqref="D7">
    <cfRule type="duplicateValues" dxfId="59" priority="49"/>
  </conditionalFormatting>
  <conditionalFormatting sqref="D18:D54">
    <cfRule type="duplicateValues" dxfId="58" priority="5"/>
  </conditionalFormatting>
  <conditionalFormatting sqref="D150:D1048576 D1:D148">
    <cfRule type="duplicateValues" dxfId="57" priority="4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C3DB-EE1E-483E-9BAE-7ABFE8518877}">
  <sheetPr>
    <pageSetUpPr fitToPage="1"/>
  </sheetPr>
  <dimension ref="A2:P192"/>
  <sheetViews>
    <sheetView showGridLines="0" zoomScale="90" zoomScaleNormal="90" workbookViewId="0"/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6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2:16" ht="23.25">
      <c r="C3" s="13">
        <v>45778</v>
      </c>
    </row>
    <row r="5" spans="2:16">
      <c r="C5" t="s">
        <v>17</v>
      </c>
      <c r="D5" s="14">
        <f t="shared" ref="D5:D10" ca="1" si="0">SUMIF($C$18:$G$182,$C$5:$C$10,$G$18:$G$182)/SUMIF($C$18:$G$182,$C$5:$C$10,$E$18:$E$182)</f>
        <v>2.4256109472036007</v>
      </c>
    </row>
    <row r="6" spans="2:16">
      <c r="C6" t="s">
        <v>440</v>
      </c>
      <c r="D6" s="14">
        <f t="shared" ca="1" si="0"/>
        <v>2.1571157024999996</v>
      </c>
    </row>
    <row r="7" spans="2:16">
      <c r="C7" t="s">
        <v>491</v>
      </c>
      <c r="D7" s="14">
        <f t="shared" ca="1" si="0"/>
        <v>2.1463999998696517</v>
      </c>
    </row>
    <row r="8" spans="2:16">
      <c r="C8" t="s">
        <v>756</v>
      </c>
      <c r="D8" s="14">
        <f t="shared" ca="1" si="0"/>
        <v>3.4705232102687757</v>
      </c>
      <c r="I8" s="19"/>
    </row>
    <row r="9" spans="2:16">
      <c r="C9" t="s">
        <v>757</v>
      </c>
      <c r="D9" s="14">
        <f t="shared" ca="1" si="0"/>
        <v>3.8635038442877114</v>
      </c>
      <c r="E9" s="14"/>
      <c r="F9" s="32"/>
      <c r="H9" s="137"/>
      <c r="I9" s="19"/>
    </row>
    <row r="10" spans="2:16">
      <c r="C10" t="s">
        <v>533</v>
      </c>
      <c r="D10" s="14" t="e">
        <f t="shared" ca="1" si="0"/>
        <v>#DIV/0!</v>
      </c>
    </row>
    <row r="11" spans="2:16">
      <c r="C11" s="30" t="s">
        <v>129</v>
      </c>
      <c r="D11" s="31">
        <f>+G184/E184</f>
        <v>2.3986585163095331</v>
      </c>
    </row>
    <row r="12" spans="2:16">
      <c r="D12" s="19"/>
    </row>
    <row r="13" spans="2:16">
      <c r="D13" s="22"/>
    </row>
    <row r="15" spans="2:16">
      <c r="E15" s="137"/>
    </row>
    <row r="16" spans="2:16" ht="15" customHeight="1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24"/>
      <c r="M16" s="381" t="s">
        <v>100</v>
      </c>
      <c r="N16" s="381"/>
      <c r="O16" s="381"/>
      <c r="P16" s="381"/>
    </row>
    <row r="17" spans="1:16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6" t="s">
        <v>537</v>
      </c>
      <c r="M17" s="27" t="s">
        <v>3</v>
      </c>
      <c r="N17" s="27" t="s">
        <v>97</v>
      </c>
      <c r="O17" s="27" t="s">
        <v>98</v>
      </c>
      <c r="P17" s="27" t="s">
        <v>537</v>
      </c>
    </row>
    <row r="18" spans="1:16" ht="18.75" customHeight="1">
      <c r="A18" s="44"/>
      <c r="B18" s="5">
        <f>C3</f>
        <v>45778</v>
      </c>
      <c r="C18" s="217" t="s">
        <v>17</v>
      </c>
      <c r="D18" s="216" t="s">
        <v>924</v>
      </c>
      <c r="E18" s="1">
        <v>17229</v>
      </c>
      <c r="F18" s="2">
        <v>45933.21</v>
      </c>
      <c r="G18" s="3">
        <f>F18-SUM(M18:P18)</f>
        <v>36682.261505999995</v>
      </c>
      <c r="H18" s="202">
        <f t="shared" ref="H18:H44" si="1">+IF(G18=0,0,G18/E18)</f>
        <v>2.1290998610482323</v>
      </c>
      <c r="I18" s="200">
        <v>0.12</v>
      </c>
      <c r="J18" s="7">
        <v>1.6500000000000001E-2</v>
      </c>
      <c r="K18" s="7">
        <v>7.5999999999999998E-2</v>
      </c>
      <c r="L18" s="7">
        <v>0</v>
      </c>
      <c r="M18" s="11">
        <f t="shared" ref="M18:M182" si="2">+I18*F18</f>
        <v>5511.9852000000001</v>
      </c>
      <c r="N18" s="11">
        <f t="shared" ref="N18:N182" si="3">J18*(F18-M18)</f>
        <v>666.95020920000002</v>
      </c>
      <c r="O18" s="11">
        <f t="shared" ref="O18:O182" si="4">K18*(F18-M18)</f>
        <v>3072.0130847999994</v>
      </c>
      <c r="P18" s="11">
        <f t="shared" ref="P18:P81" si="5">L18*(F18)</f>
        <v>0</v>
      </c>
    </row>
    <row r="19" spans="1:16">
      <c r="A19" s="44"/>
      <c r="B19" s="5">
        <f>B18</f>
        <v>45778</v>
      </c>
      <c r="C19" s="217" t="s">
        <v>17</v>
      </c>
      <c r="D19" s="194" t="s">
        <v>925</v>
      </c>
      <c r="E19" s="1">
        <v>8105</v>
      </c>
      <c r="F19" s="2">
        <v>23268.63</v>
      </c>
      <c r="G19" s="3">
        <f t="shared" ref="G19:G52" si="6">F19-SUM(M19:P19)</f>
        <v>18582.327918000003</v>
      </c>
      <c r="H19" s="202">
        <f t="shared" si="1"/>
        <v>2.2926993112893279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si="2"/>
        <v>2792.2356</v>
      </c>
      <c r="N19" s="11">
        <f t="shared" si="3"/>
        <v>337.86050760000001</v>
      </c>
      <c r="O19" s="11">
        <f t="shared" si="4"/>
        <v>1556.2059744000001</v>
      </c>
      <c r="P19" s="11">
        <f t="shared" si="5"/>
        <v>0</v>
      </c>
    </row>
    <row r="20" spans="1:16">
      <c r="A20" s="44"/>
      <c r="B20" s="5">
        <f t="shared" ref="B20:B53" si="7">B19</f>
        <v>45778</v>
      </c>
      <c r="C20" s="217" t="s">
        <v>17</v>
      </c>
      <c r="D20" s="194" t="s">
        <v>926</v>
      </c>
      <c r="E20" s="1">
        <v>425876</v>
      </c>
      <c r="F20" s="2">
        <v>1301198.8999999999</v>
      </c>
      <c r="G20" s="3">
        <f t="shared" si="6"/>
        <v>1039137.4415399999</v>
      </c>
      <c r="H20" s="202">
        <f t="shared" si="1"/>
        <v>2.4400000036160758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156143.86799999999</v>
      </c>
      <c r="N20" s="11">
        <f t="shared" si="3"/>
        <v>18893.408027999998</v>
      </c>
      <c r="O20" s="11">
        <f t="shared" si="4"/>
        <v>87024.182431999987</v>
      </c>
      <c r="P20" s="11">
        <f t="shared" si="5"/>
        <v>0</v>
      </c>
    </row>
    <row r="21" spans="1:16">
      <c r="A21" s="44"/>
      <c r="B21" s="5">
        <f t="shared" si="7"/>
        <v>45778</v>
      </c>
      <c r="C21" s="217" t="s">
        <v>17</v>
      </c>
      <c r="D21" s="214" t="s">
        <v>927</v>
      </c>
      <c r="E21" s="1">
        <v>18924445</v>
      </c>
      <c r="F21" s="2">
        <v>57820743.549999997</v>
      </c>
      <c r="G21" s="3">
        <f t="shared" si="6"/>
        <v>46175645.799029998</v>
      </c>
      <c r="H21" s="202">
        <f t="shared" si="1"/>
        <v>2.4399999999487436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6938489.2259999998</v>
      </c>
      <c r="N21" s="11">
        <f t="shared" si="3"/>
        <v>839557.19634600007</v>
      </c>
      <c r="O21" s="11">
        <f t="shared" si="4"/>
        <v>3867051.3286239998</v>
      </c>
      <c r="P21" s="11">
        <f t="shared" si="5"/>
        <v>0</v>
      </c>
    </row>
    <row r="22" spans="1:16">
      <c r="A22" s="44"/>
      <c r="B22" s="5">
        <f t="shared" si="7"/>
        <v>45778</v>
      </c>
      <c r="C22" s="217" t="s">
        <v>17</v>
      </c>
      <c r="D22" s="214" t="s">
        <v>928</v>
      </c>
      <c r="E22" s="1">
        <v>284497</v>
      </c>
      <c r="F22" s="2">
        <v>816762.17</v>
      </c>
      <c r="G22" s="3">
        <f t="shared" si="6"/>
        <v>652266.26896200003</v>
      </c>
      <c r="H22" s="202">
        <f t="shared" si="1"/>
        <v>2.292699989673002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98011.460399999996</v>
      </c>
      <c r="N22" s="11">
        <f t="shared" si="3"/>
        <v>11859.386708400001</v>
      </c>
      <c r="O22" s="11">
        <f t="shared" si="4"/>
        <v>54625.053929600006</v>
      </c>
      <c r="P22" s="11">
        <f t="shared" si="5"/>
        <v>0</v>
      </c>
    </row>
    <row r="23" spans="1:16">
      <c r="A23" s="44"/>
      <c r="B23" s="5">
        <f t="shared" si="7"/>
        <v>45778</v>
      </c>
      <c r="C23" s="217" t="s">
        <v>17</v>
      </c>
      <c r="D23" s="214" t="s">
        <v>929</v>
      </c>
      <c r="E23" s="1">
        <v>868002</v>
      </c>
      <c r="F23" s="2">
        <v>2314128.5499999998</v>
      </c>
      <c r="G23" s="3">
        <f t="shared" si="6"/>
        <v>1848063.0600299998</v>
      </c>
      <c r="H23" s="202">
        <f t="shared" si="1"/>
        <v>2.1291000021082898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277695.42599999998</v>
      </c>
      <c r="N23" s="11">
        <f t="shared" si="3"/>
        <v>33601.146545999996</v>
      </c>
      <c r="O23" s="11">
        <f t="shared" si="4"/>
        <v>154768.91742399998</v>
      </c>
      <c r="P23" s="11">
        <f t="shared" si="5"/>
        <v>0</v>
      </c>
    </row>
    <row r="24" spans="1:16">
      <c r="A24" s="44"/>
      <c r="B24" s="5">
        <f t="shared" si="7"/>
        <v>45778</v>
      </c>
      <c r="C24" s="217" t="s">
        <v>17</v>
      </c>
      <c r="D24" s="194" t="s">
        <v>930</v>
      </c>
      <c r="E24" s="1">
        <v>2255472</v>
      </c>
      <c r="F24" s="2">
        <v>6891249.29</v>
      </c>
      <c r="G24" s="3">
        <f t="shared" si="6"/>
        <v>5503351.6829940006</v>
      </c>
      <c r="H24" s="202">
        <f t="shared" si="1"/>
        <v>2.4400000013274386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826949.91480000003</v>
      </c>
      <c r="N24" s="11">
        <f t="shared" si="3"/>
        <v>100060.93969080001</v>
      </c>
      <c r="O24" s="11">
        <f t="shared" si="4"/>
        <v>460886.75251519994</v>
      </c>
      <c r="P24" s="11">
        <f t="shared" si="5"/>
        <v>0</v>
      </c>
    </row>
    <row r="25" spans="1:16">
      <c r="A25" s="44"/>
      <c r="B25" s="5">
        <f t="shared" si="7"/>
        <v>45778</v>
      </c>
      <c r="C25" s="217" t="s">
        <v>17</v>
      </c>
      <c r="D25" s="196" t="s">
        <v>931</v>
      </c>
      <c r="E25" s="1">
        <v>30851</v>
      </c>
      <c r="F25" s="2">
        <v>88570.11</v>
      </c>
      <c r="G25" s="3">
        <f t="shared" si="6"/>
        <v>70732.089846000003</v>
      </c>
      <c r="H25" s="202">
        <f t="shared" si="1"/>
        <v>2.2927000695601438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10628.413199999999</v>
      </c>
      <c r="N25" s="11">
        <f t="shared" si="3"/>
        <v>1286.0379972000001</v>
      </c>
      <c r="O25" s="11">
        <f t="shared" si="4"/>
        <v>5923.5689567999998</v>
      </c>
      <c r="P25" s="11">
        <f t="shared" si="5"/>
        <v>0</v>
      </c>
    </row>
    <row r="26" spans="1:16">
      <c r="A26" s="44"/>
      <c r="B26" s="5">
        <f t="shared" si="7"/>
        <v>45778</v>
      </c>
      <c r="C26" s="217" t="s">
        <v>17</v>
      </c>
      <c r="D26" s="194" t="s">
        <v>932</v>
      </c>
      <c r="E26" s="1">
        <v>68841</v>
      </c>
      <c r="F26" s="2">
        <v>197635.56</v>
      </c>
      <c r="G26" s="3">
        <f t="shared" si="6"/>
        <v>157831.75821599999</v>
      </c>
      <c r="H26" s="202">
        <f t="shared" si="1"/>
        <v>2.2926999639168515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23716.267199999998</v>
      </c>
      <c r="N26" s="11">
        <f t="shared" si="3"/>
        <v>2869.6683312</v>
      </c>
      <c r="O26" s="11">
        <f t="shared" si="4"/>
        <v>13217.866252799999</v>
      </c>
      <c r="P26" s="11">
        <f t="shared" si="5"/>
        <v>0</v>
      </c>
    </row>
    <row r="27" spans="1:16">
      <c r="A27" s="44"/>
      <c r="B27" s="5">
        <f t="shared" si="7"/>
        <v>45778</v>
      </c>
      <c r="C27" s="217" t="s">
        <v>17</v>
      </c>
      <c r="D27" s="194" t="s">
        <v>933</v>
      </c>
      <c r="E27" s="1">
        <v>78845</v>
      </c>
      <c r="F27" s="2">
        <v>210203.97</v>
      </c>
      <c r="G27" s="3">
        <f t="shared" si="6"/>
        <v>167868.890442</v>
      </c>
      <c r="H27" s="202">
        <f t="shared" si="1"/>
        <v>2.1291000119474921</v>
      </c>
      <c r="I27" s="200">
        <v>0.12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25224.4764</v>
      </c>
      <c r="N27" s="11">
        <f t="shared" si="3"/>
        <v>3052.1616444000001</v>
      </c>
      <c r="O27" s="11">
        <f t="shared" si="4"/>
        <v>14058.441513599999</v>
      </c>
      <c r="P27" s="11">
        <f t="shared" si="5"/>
        <v>0</v>
      </c>
    </row>
    <row r="28" spans="1:16">
      <c r="A28" s="44"/>
      <c r="B28" s="5">
        <f t="shared" si="7"/>
        <v>45778</v>
      </c>
      <c r="C28" s="217" t="s">
        <v>17</v>
      </c>
      <c r="D28" s="194" t="s">
        <v>934</v>
      </c>
      <c r="E28" s="1">
        <v>191898</v>
      </c>
      <c r="F28" s="2">
        <v>511607.85</v>
      </c>
      <c r="G28" s="3">
        <f t="shared" si="6"/>
        <v>408570.02901</v>
      </c>
      <c r="H28" s="202">
        <f t="shared" si="1"/>
        <v>2.1290999854610262</v>
      </c>
      <c r="I28" s="200">
        <v>0.12</v>
      </c>
      <c r="J28" s="7">
        <v>1.6500000000000001E-2</v>
      </c>
      <c r="K28" s="7">
        <v>7.5999999999999998E-2</v>
      </c>
      <c r="L28" s="7">
        <v>0</v>
      </c>
      <c r="M28" s="11">
        <f t="shared" si="2"/>
        <v>61392.941999999995</v>
      </c>
      <c r="N28" s="11">
        <f t="shared" si="3"/>
        <v>7428.5459820000005</v>
      </c>
      <c r="O28" s="11">
        <f t="shared" si="4"/>
        <v>34216.333008000001</v>
      </c>
      <c r="P28" s="11">
        <f t="shared" si="5"/>
        <v>0</v>
      </c>
    </row>
    <row r="29" spans="1:16">
      <c r="A29" s="44"/>
      <c r="B29" s="5">
        <f t="shared" si="7"/>
        <v>45778</v>
      </c>
      <c r="C29" s="217" t="s">
        <v>17</v>
      </c>
      <c r="D29" s="194" t="s">
        <v>935</v>
      </c>
      <c r="E29" s="1">
        <v>3102002.7220000001</v>
      </c>
      <c r="F29" s="2">
        <v>9477694.2599999998</v>
      </c>
      <c r="G29" s="3">
        <f t="shared" si="6"/>
        <v>7568886.6360360002</v>
      </c>
      <c r="H29" s="202">
        <f t="shared" si="1"/>
        <v>2.4399999981805305</v>
      </c>
      <c r="I29" s="200">
        <v>0.12</v>
      </c>
      <c r="J29" s="7">
        <v>1.6500000000000001E-2</v>
      </c>
      <c r="K29" s="7">
        <v>7.5999999999999998E-2</v>
      </c>
      <c r="L29" s="7">
        <v>0</v>
      </c>
      <c r="M29" s="11">
        <f t="shared" si="2"/>
        <v>1137323.3111999999</v>
      </c>
      <c r="N29" s="11">
        <f t="shared" si="3"/>
        <v>137616.12065520001</v>
      </c>
      <c r="O29" s="11">
        <f t="shared" si="4"/>
        <v>633868.19210879994</v>
      </c>
      <c r="P29" s="11">
        <f t="shared" si="5"/>
        <v>0</v>
      </c>
    </row>
    <row r="30" spans="1:16">
      <c r="A30" s="44"/>
      <c r="B30" s="5">
        <f t="shared" si="7"/>
        <v>45778</v>
      </c>
      <c r="C30" s="217" t="s">
        <v>17</v>
      </c>
      <c r="D30" s="194" t="s">
        <v>936</v>
      </c>
      <c r="E30" s="1">
        <v>2701109.2779999999</v>
      </c>
      <c r="F30" s="2">
        <v>8252825.75</v>
      </c>
      <c r="G30" s="3">
        <f t="shared" ref="G30:G44" si="8">F30-SUM(M30:P30)</f>
        <v>6590706.6439500004</v>
      </c>
      <c r="H30" s="202">
        <f t="shared" si="1"/>
        <v>2.4400000020843291</v>
      </c>
      <c r="I30" s="200">
        <v>0.12</v>
      </c>
      <c r="J30" s="7">
        <v>1.6500000000000001E-2</v>
      </c>
      <c r="K30" s="7">
        <v>7.5999999999999998E-2</v>
      </c>
      <c r="L30" s="7">
        <v>0</v>
      </c>
      <c r="M30" s="11">
        <f t="shared" si="2"/>
        <v>990339.09</v>
      </c>
      <c r="N30" s="11">
        <f t="shared" si="3"/>
        <v>119831.02989000001</v>
      </c>
      <c r="O30" s="11">
        <f t="shared" si="4"/>
        <v>551948.98615999997</v>
      </c>
      <c r="P30" s="11">
        <f t="shared" si="5"/>
        <v>0</v>
      </c>
    </row>
    <row r="31" spans="1:16">
      <c r="A31" s="44"/>
      <c r="B31" s="5">
        <f t="shared" si="7"/>
        <v>45778</v>
      </c>
      <c r="C31" s="217" t="s">
        <v>17</v>
      </c>
      <c r="D31" s="194" t="s">
        <v>937</v>
      </c>
      <c r="E31" s="1">
        <v>419693</v>
      </c>
      <c r="F31" s="2">
        <v>1213366.4099999999</v>
      </c>
      <c r="G31" s="3">
        <f t="shared" si="8"/>
        <v>1024050.9158797499</v>
      </c>
      <c r="H31" s="202">
        <f t="shared" si="1"/>
        <v>2.439999990182705</v>
      </c>
      <c r="I31" s="200">
        <v>7.0000000000000007E-2</v>
      </c>
      <c r="J31" s="7">
        <v>1.6500000000000001E-2</v>
      </c>
      <c r="K31" s="7">
        <v>7.5999999999999998E-2</v>
      </c>
      <c r="L31" s="7">
        <v>0</v>
      </c>
      <c r="M31" s="11">
        <f t="shared" si="2"/>
        <v>84935.648700000005</v>
      </c>
      <c r="N31" s="11">
        <f t="shared" si="3"/>
        <v>18619.107561450001</v>
      </c>
      <c r="O31" s="11">
        <f t="shared" si="4"/>
        <v>85760.737858799985</v>
      </c>
      <c r="P31" s="11">
        <f t="shared" si="5"/>
        <v>0</v>
      </c>
    </row>
    <row r="32" spans="1:16">
      <c r="A32" s="44"/>
      <c r="B32" s="5">
        <f t="shared" si="7"/>
        <v>45778</v>
      </c>
      <c r="C32" s="217" t="s">
        <v>17</v>
      </c>
      <c r="D32" s="194" t="s">
        <v>938</v>
      </c>
      <c r="E32" s="1">
        <v>7988</v>
      </c>
      <c r="F32" s="2">
        <v>21699.8</v>
      </c>
      <c r="G32" s="3">
        <f t="shared" si="8"/>
        <v>18314.088704999998</v>
      </c>
      <c r="H32" s="202">
        <f t="shared" si="1"/>
        <v>2.2927001383324987</v>
      </c>
      <c r="I32" s="200">
        <v>7.0000000000000007E-2</v>
      </c>
      <c r="J32" s="7">
        <v>1.6500000000000001E-2</v>
      </c>
      <c r="K32" s="7">
        <v>7.5999999999999998E-2</v>
      </c>
      <c r="L32" s="7">
        <v>0</v>
      </c>
      <c r="M32" s="11">
        <f t="shared" si="2"/>
        <v>1518.9860000000001</v>
      </c>
      <c r="N32" s="11">
        <f t="shared" si="3"/>
        <v>332.983431</v>
      </c>
      <c r="O32" s="11">
        <f t="shared" si="4"/>
        <v>1533.7418639999999</v>
      </c>
      <c r="P32" s="11">
        <f t="shared" si="5"/>
        <v>0</v>
      </c>
    </row>
    <row r="33" spans="1:16">
      <c r="A33" s="44"/>
      <c r="B33" s="5">
        <f t="shared" si="7"/>
        <v>45778</v>
      </c>
      <c r="C33" s="217" t="s">
        <v>17</v>
      </c>
      <c r="D33" s="194" t="s">
        <v>939</v>
      </c>
      <c r="E33" s="1">
        <v>15063</v>
      </c>
      <c r="F33" s="2">
        <v>37999.5</v>
      </c>
      <c r="G33" s="3">
        <f t="shared" si="8"/>
        <v>32070.628012499998</v>
      </c>
      <c r="H33" s="202">
        <f t="shared" si="1"/>
        <v>2.1290996489743077</v>
      </c>
      <c r="I33" s="200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2659.9650000000001</v>
      </c>
      <c r="N33" s="11">
        <f t="shared" si="3"/>
        <v>583.10232750000011</v>
      </c>
      <c r="O33" s="11">
        <f t="shared" si="4"/>
        <v>2685.8046600000002</v>
      </c>
      <c r="P33" s="11">
        <f t="shared" si="5"/>
        <v>0</v>
      </c>
    </row>
    <row r="34" spans="1:16" hidden="1">
      <c r="A34" s="44"/>
      <c r="B34" s="5">
        <f t="shared" si="7"/>
        <v>45778</v>
      </c>
      <c r="C34" s="217" t="s">
        <v>17</v>
      </c>
      <c r="D34" s="194"/>
      <c r="E34" s="1"/>
      <c r="F34" s="2"/>
      <c r="G34" s="3">
        <f t="shared" si="8"/>
        <v>0</v>
      </c>
      <c r="H34" s="202">
        <f t="shared" si="1"/>
        <v>0</v>
      </c>
      <c r="I34" s="200"/>
      <c r="J34" s="7">
        <v>1.6500000000000001E-2</v>
      </c>
      <c r="K34" s="7">
        <v>7.5999999999999998E-2</v>
      </c>
      <c r="L34" s="7">
        <v>0</v>
      </c>
      <c r="M34" s="11">
        <f t="shared" si="2"/>
        <v>0</v>
      </c>
      <c r="N34" s="11">
        <f t="shared" si="3"/>
        <v>0</v>
      </c>
      <c r="O34" s="11">
        <f t="shared" si="4"/>
        <v>0</v>
      </c>
      <c r="P34" s="11">
        <f t="shared" si="5"/>
        <v>0</v>
      </c>
    </row>
    <row r="35" spans="1:16" hidden="1">
      <c r="A35" s="44"/>
      <c r="B35" s="5">
        <f t="shared" si="7"/>
        <v>45778</v>
      </c>
      <c r="C35" s="217" t="s">
        <v>17</v>
      </c>
      <c r="D35" s="194"/>
      <c r="E35" s="1"/>
      <c r="F35" s="2"/>
      <c r="G35" s="3">
        <f t="shared" si="8"/>
        <v>0</v>
      </c>
      <c r="H35" s="202">
        <f t="shared" si="1"/>
        <v>0</v>
      </c>
      <c r="I35" s="200"/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 hidden="1">
      <c r="A36" s="44"/>
      <c r="B36" s="5">
        <f t="shared" si="7"/>
        <v>45778</v>
      </c>
      <c r="C36" s="217" t="s">
        <v>17</v>
      </c>
      <c r="D36" s="194"/>
      <c r="E36" s="1"/>
      <c r="F36" s="2"/>
      <c r="G36" s="3">
        <f t="shared" si="8"/>
        <v>0</v>
      </c>
      <c r="H36" s="202">
        <f t="shared" si="1"/>
        <v>0</v>
      </c>
      <c r="I36" s="200"/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 hidden="1">
      <c r="A37" s="44"/>
      <c r="B37" s="5">
        <f t="shared" si="7"/>
        <v>45778</v>
      </c>
      <c r="C37" s="217" t="s">
        <v>17</v>
      </c>
      <c r="D37" s="194"/>
      <c r="E37" s="1"/>
      <c r="F37" s="2"/>
      <c r="G37" s="3">
        <f t="shared" si="8"/>
        <v>0</v>
      </c>
      <c r="H37" s="202">
        <f t="shared" si="1"/>
        <v>0</v>
      </c>
      <c r="I37" s="200"/>
      <c r="J37" s="7">
        <v>1.6500000000000001E-2</v>
      </c>
      <c r="K37" s="7">
        <v>7.5999999999999998E-2</v>
      </c>
      <c r="L37" s="7">
        <v>0</v>
      </c>
      <c r="M37" s="11">
        <f t="shared" si="2"/>
        <v>0</v>
      </c>
      <c r="N37" s="11">
        <f t="shared" si="3"/>
        <v>0</v>
      </c>
      <c r="O37" s="11">
        <f t="shared" si="4"/>
        <v>0</v>
      </c>
      <c r="P37" s="11">
        <f t="shared" si="5"/>
        <v>0</v>
      </c>
    </row>
    <row r="38" spans="1:16" hidden="1">
      <c r="A38" s="44"/>
      <c r="B38" s="5">
        <f t="shared" si="7"/>
        <v>45778</v>
      </c>
      <c r="C38" s="217" t="s">
        <v>17</v>
      </c>
      <c r="D38" s="194"/>
      <c r="E38" s="1"/>
      <c r="F38" s="2"/>
      <c r="G38" s="3">
        <f t="shared" si="8"/>
        <v>0</v>
      </c>
      <c r="H38" s="202">
        <f t="shared" si="1"/>
        <v>0</v>
      </c>
      <c r="I38" s="200"/>
      <c r="J38" s="7">
        <v>1.6500000000000001E-2</v>
      </c>
      <c r="K38" s="7">
        <v>7.5999999999999998E-2</v>
      </c>
      <c r="L38" s="7">
        <v>0</v>
      </c>
      <c r="M38" s="11">
        <f t="shared" si="2"/>
        <v>0</v>
      </c>
      <c r="N38" s="11">
        <f t="shared" si="3"/>
        <v>0</v>
      </c>
      <c r="O38" s="11">
        <f t="shared" si="4"/>
        <v>0</v>
      </c>
      <c r="P38" s="11">
        <f t="shared" si="5"/>
        <v>0</v>
      </c>
    </row>
    <row r="39" spans="1:16" hidden="1">
      <c r="A39" s="44"/>
      <c r="B39" s="5">
        <f t="shared" si="7"/>
        <v>45778</v>
      </c>
      <c r="C39" s="217" t="s">
        <v>17</v>
      </c>
      <c r="D39" s="194"/>
      <c r="E39" s="1"/>
      <c r="F39" s="2"/>
      <c r="G39" s="3">
        <f t="shared" si="8"/>
        <v>0</v>
      </c>
      <c r="H39" s="202">
        <f t="shared" si="1"/>
        <v>0</v>
      </c>
      <c r="I39" s="200"/>
      <c r="J39" s="7">
        <v>1.6500000000000001E-2</v>
      </c>
      <c r="K39" s="7">
        <v>7.5999999999999998E-2</v>
      </c>
      <c r="L39" s="7">
        <v>0</v>
      </c>
      <c r="M39" s="11">
        <f t="shared" si="2"/>
        <v>0</v>
      </c>
      <c r="N39" s="11">
        <f t="shared" si="3"/>
        <v>0</v>
      </c>
      <c r="O39" s="11">
        <f t="shared" si="4"/>
        <v>0</v>
      </c>
      <c r="P39" s="11">
        <f t="shared" si="5"/>
        <v>0</v>
      </c>
    </row>
    <row r="40" spans="1:16" hidden="1">
      <c r="A40" s="44"/>
      <c r="B40" s="5">
        <f t="shared" si="7"/>
        <v>45778</v>
      </c>
      <c r="C40" s="217" t="s">
        <v>17</v>
      </c>
      <c r="D40" s="194"/>
      <c r="E40" s="1"/>
      <c r="F40" s="2"/>
      <c r="G40" s="3">
        <f t="shared" si="8"/>
        <v>0</v>
      </c>
      <c r="H40" s="202">
        <f t="shared" si="1"/>
        <v>0</v>
      </c>
      <c r="I40" s="200"/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 hidden="1">
      <c r="A41" s="44"/>
      <c r="B41" s="5">
        <f t="shared" si="7"/>
        <v>45778</v>
      </c>
      <c r="C41" s="217" t="s">
        <v>17</v>
      </c>
      <c r="D41" s="194"/>
      <c r="E41" s="1"/>
      <c r="F41" s="2"/>
      <c r="G41" s="3">
        <f t="shared" si="8"/>
        <v>0</v>
      </c>
      <c r="H41" s="202">
        <f t="shared" si="1"/>
        <v>0</v>
      </c>
      <c r="I41" s="200"/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idden="1">
      <c r="A42" s="44"/>
      <c r="B42" s="5">
        <f t="shared" si="7"/>
        <v>45778</v>
      </c>
      <c r="C42" s="217" t="s">
        <v>17</v>
      </c>
      <c r="D42" s="194"/>
      <c r="E42" s="1"/>
      <c r="F42" s="2"/>
      <c r="G42" s="3">
        <f t="shared" si="8"/>
        <v>0</v>
      </c>
      <c r="H42" s="202">
        <f t="shared" si="1"/>
        <v>0</v>
      </c>
      <c r="I42" s="200"/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 hidden="1">
      <c r="A43" s="44"/>
      <c r="B43" s="5">
        <f t="shared" si="7"/>
        <v>45778</v>
      </c>
      <c r="C43" s="217" t="s">
        <v>17</v>
      </c>
      <c r="D43" s="194"/>
      <c r="E43" s="1"/>
      <c r="F43" s="2"/>
      <c r="G43" s="3">
        <f t="shared" si="8"/>
        <v>0</v>
      </c>
      <c r="H43" s="202">
        <f t="shared" si="1"/>
        <v>0</v>
      </c>
      <c r="I43" s="200"/>
      <c r="J43" s="7">
        <v>1.6500000000000001E-2</v>
      </c>
      <c r="K43" s="7">
        <v>7.5999999999999998E-2</v>
      </c>
      <c r="L43" s="7">
        <v>0</v>
      </c>
      <c r="M43" s="11">
        <f t="shared" si="2"/>
        <v>0</v>
      </c>
      <c r="N43" s="11">
        <f t="shared" si="3"/>
        <v>0</v>
      </c>
      <c r="O43" s="11">
        <f t="shared" si="4"/>
        <v>0</v>
      </c>
      <c r="P43" s="11">
        <f t="shared" si="5"/>
        <v>0</v>
      </c>
    </row>
    <row r="44" spans="1:16">
      <c r="A44" s="44"/>
      <c r="B44" s="5">
        <f t="shared" si="7"/>
        <v>45778</v>
      </c>
      <c r="C44" s="218" t="s">
        <v>830</v>
      </c>
      <c r="D44" s="194" t="s">
        <v>943</v>
      </c>
      <c r="E44" s="1">
        <v>4120000</v>
      </c>
      <c r="F44" s="2">
        <v>10339950.609999999</v>
      </c>
      <c r="G44" s="3">
        <f t="shared" si="8"/>
        <v>8257484.5571459997</v>
      </c>
      <c r="H44" s="202">
        <f t="shared" si="1"/>
        <v>2.0042438245500001</v>
      </c>
      <c r="I44" s="200">
        <v>0.12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1240794.0732</v>
      </c>
      <c r="N44" s="11">
        <f t="shared" si="3"/>
        <v>150136.0828572</v>
      </c>
      <c r="O44" s="11">
        <f t="shared" si="4"/>
        <v>691535.89679679985</v>
      </c>
      <c r="P44" s="11">
        <f t="shared" si="5"/>
        <v>0</v>
      </c>
    </row>
    <row r="45" spans="1:16">
      <c r="A45" s="44"/>
      <c r="B45" s="5">
        <f>B44</f>
        <v>45778</v>
      </c>
      <c r="C45" s="218" t="s">
        <v>830</v>
      </c>
      <c r="D45" s="194" t="s">
        <v>944</v>
      </c>
      <c r="E45" s="1">
        <v>780000</v>
      </c>
      <c r="F45" s="2">
        <v>1896923.22</v>
      </c>
      <c r="G45" s="3">
        <f t="shared" si="6"/>
        <v>1514882.8834919999</v>
      </c>
      <c r="H45" s="202">
        <f>+IF(G45=0,0,G45/E45)</f>
        <v>1.9421575429384614</v>
      </c>
      <c r="I45" s="200">
        <v>0.12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227630.78639999998</v>
      </c>
      <c r="N45" s="11">
        <f t="shared" si="3"/>
        <v>27543.325154400001</v>
      </c>
      <c r="O45" s="11">
        <f t="shared" si="4"/>
        <v>126866.2249536</v>
      </c>
      <c r="P45" s="11">
        <f t="shared" si="5"/>
        <v>0</v>
      </c>
    </row>
    <row r="46" spans="1:16">
      <c r="A46" s="44"/>
      <c r="B46" s="5">
        <f t="shared" si="7"/>
        <v>45778</v>
      </c>
      <c r="C46" s="218" t="s">
        <v>830</v>
      </c>
      <c r="D46" s="194" t="s">
        <v>945</v>
      </c>
      <c r="E46" s="1">
        <v>60000</v>
      </c>
      <c r="F46" s="2">
        <v>146487.15</v>
      </c>
      <c r="G46" s="3">
        <f t="shared" si="6"/>
        <v>116984.63798999999</v>
      </c>
      <c r="H46" s="202">
        <f t="shared" ref="H46:H55" si="9">+IF(G46=0,0,G46/E46)</f>
        <v>1.9497439664999998</v>
      </c>
      <c r="I46" s="200">
        <v>0.12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17578.457999999999</v>
      </c>
      <c r="N46" s="11">
        <f t="shared" si="3"/>
        <v>2126.993418</v>
      </c>
      <c r="O46" s="11">
        <f t="shared" si="4"/>
        <v>9797.0605919999998</v>
      </c>
      <c r="P46" s="11">
        <f t="shared" si="5"/>
        <v>0</v>
      </c>
    </row>
    <row r="47" spans="1:16">
      <c r="A47" s="44"/>
      <c r="B47" s="5">
        <f t="shared" si="7"/>
        <v>45778</v>
      </c>
      <c r="C47" s="219" t="s">
        <v>440</v>
      </c>
      <c r="D47" s="194" t="s">
        <v>946</v>
      </c>
      <c r="E47" s="1">
        <v>310000</v>
      </c>
      <c r="F47" s="2">
        <v>792329</v>
      </c>
      <c r="G47" s="3">
        <f t="shared" si="6"/>
        <v>668705.86777499993</v>
      </c>
      <c r="H47" s="202">
        <f t="shared" si="9"/>
        <v>2.1571157024999996</v>
      </c>
      <c r="I47" s="7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55463.030000000006</v>
      </c>
      <c r="N47" s="11">
        <f t="shared" si="3"/>
        <v>12158.288505</v>
      </c>
      <c r="O47" s="11">
        <f t="shared" si="4"/>
        <v>56001.813719999998</v>
      </c>
      <c r="P47" s="11">
        <f t="shared" si="5"/>
        <v>0</v>
      </c>
    </row>
    <row r="48" spans="1:16">
      <c r="A48" s="44"/>
      <c r="B48" s="5">
        <f t="shared" si="7"/>
        <v>45778</v>
      </c>
      <c r="C48" s="217" t="s">
        <v>491</v>
      </c>
      <c r="D48" s="194" t="s">
        <v>942</v>
      </c>
      <c r="E48" s="118">
        <v>6030000</v>
      </c>
      <c r="F48" s="2">
        <v>16206851.99</v>
      </c>
      <c r="G48" s="3">
        <f>F48-SUM(M48:P48)</f>
        <v>12942791.999214001</v>
      </c>
      <c r="H48" s="202">
        <f>+IF(G48=0,0,G48/E48)</f>
        <v>2.1463999998696517</v>
      </c>
      <c r="I48" s="7">
        <v>0.12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1944822.2387999999</v>
      </c>
      <c r="N48" s="11">
        <f t="shared" si="3"/>
        <v>235323.49089479999</v>
      </c>
      <c r="O48" s="11">
        <f t="shared" si="4"/>
        <v>1083914.2610911999</v>
      </c>
      <c r="P48" s="11">
        <f t="shared" si="5"/>
        <v>0</v>
      </c>
    </row>
    <row r="49" spans="1:16" hidden="1">
      <c r="A49" s="44"/>
      <c r="B49" s="5">
        <f t="shared" si="7"/>
        <v>45778</v>
      </c>
      <c r="C49" s="1" t="s">
        <v>491</v>
      </c>
      <c r="D49" s="194"/>
      <c r="E49" s="185"/>
      <c r="F49" s="2"/>
      <c r="G49" s="3">
        <f t="shared" ref="G49" si="10">F49-SUM(M49:P49)</f>
        <v>0</v>
      </c>
      <c r="H49" s="202">
        <f>+IF(G49=0,0,G49/E49)</f>
        <v>0</v>
      </c>
      <c r="I49" s="7"/>
      <c r="J49" s="7">
        <v>1.6500000000000001E-2</v>
      </c>
      <c r="K49" s="7">
        <v>7.5999999999999998E-2</v>
      </c>
      <c r="L49" s="7">
        <v>0</v>
      </c>
      <c r="M49" s="11">
        <f t="shared" si="2"/>
        <v>0</v>
      </c>
      <c r="N49" s="11">
        <f t="shared" si="3"/>
        <v>0</v>
      </c>
      <c r="O49" s="11">
        <f t="shared" si="4"/>
        <v>0</v>
      </c>
      <c r="P49" s="11">
        <f t="shared" si="5"/>
        <v>0</v>
      </c>
    </row>
    <row r="50" spans="1:16" hidden="1">
      <c r="A50" s="44"/>
      <c r="B50" s="5">
        <f>B46</f>
        <v>45778</v>
      </c>
      <c r="C50" s="1" t="s">
        <v>491</v>
      </c>
      <c r="D50" s="194"/>
      <c r="E50" s="1"/>
      <c r="F50" s="2"/>
      <c r="G50" s="3">
        <f t="shared" ref="G50:G51" si="11">F50-SUM(M50:P50)</f>
        <v>0</v>
      </c>
      <c r="H50" s="202">
        <f t="shared" si="9"/>
        <v>0</v>
      </c>
      <c r="I50" s="7"/>
      <c r="J50" s="7">
        <v>1.6500000000000001E-2</v>
      </c>
      <c r="K50" s="7">
        <v>7.5999999999999998E-2</v>
      </c>
      <c r="L50" s="7">
        <v>0</v>
      </c>
      <c r="M50" s="11">
        <f t="shared" si="2"/>
        <v>0</v>
      </c>
      <c r="N50" s="11">
        <f t="shared" si="3"/>
        <v>0</v>
      </c>
      <c r="O50" s="11">
        <f t="shared" si="4"/>
        <v>0</v>
      </c>
      <c r="P50" s="11">
        <f t="shared" si="5"/>
        <v>0</v>
      </c>
    </row>
    <row r="51" spans="1:16" hidden="1">
      <c r="A51" s="44"/>
      <c r="B51" s="5">
        <f>B47</f>
        <v>45778</v>
      </c>
      <c r="C51" s="1" t="s">
        <v>491</v>
      </c>
      <c r="D51" s="195"/>
      <c r="E51" s="118"/>
      <c r="F51" s="2"/>
      <c r="G51" s="3">
        <f t="shared" si="11"/>
        <v>0</v>
      </c>
      <c r="H51" s="202">
        <f t="shared" si="9"/>
        <v>0</v>
      </c>
      <c r="I51" s="7"/>
      <c r="J51" s="7">
        <v>1.6500000000000001E-2</v>
      </c>
      <c r="K51" s="7">
        <v>7.5999999999999998E-2</v>
      </c>
      <c r="L51" s="7">
        <v>0</v>
      </c>
      <c r="M51" s="11">
        <f t="shared" si="2"/>
        <v>0</v>
      </c>
      <c r="N51" s="11">
        <f t="shared" si="3"/>
        <v>0</v>
      </c>
      <c r="O51" s="11">
        <f t="shared" si="4"/>
        <v>0</v>
      </c>
      <c r="P51" s="11">
        <f t="shared" si="5"/>
        <v>0</v>
      </c>
    </row>
    <row r="52" spans="1:16" hidden="1">
      <c r="A52" s="44"/>
      <c r="B52" s="5">
        <f>B48</f>
        <v>45778</v>
      </c>
      <c r="C52" s="220" t="s">
        <v>756</v>
      </c>
      <c r="D52" s="195"/>
      <c r="E52" s="118"/>
      <c r="F52" s="2"/>
      <c r="G52" s="3">
        <f t="shared" si="6"/>
        <v>0</v>
      </c>
      <c r="H52" s="202">
        <f t="shared" si="9"/>
        <v>0</v>
      </c>
      <c r="I52" s="7"/>
      <c r="J52" s="200">
        <v>1.6500000000000001E-2</v>
      </c>
      <c r="K52" s="200">
        <v>7.5999999999999998E-2</v>
      </c>
      <c r="L52" s="200">
        <v>0</v>
      </c>
      <c r="M52" s="11">
        <f t="shared" si="2"/>
        <v>0</v>
      </c>
      <c r="N52" s="11">
        <f t="shared" si="3"/>
        <v>0</v>
      </c>
      <c r="O52" s="11">
        <f t="shared" si="4"/>
        <v>0</v>
      </c>
      <c r="P52" s="11">
        <f t="shared" si="5"/>
        <v>0</v>
      </c>
    </row>
    <row r="53" spans="1:16">
      <c r="A53" s="44"/>
      <c r="B53" s="5">
        <f t="shared" si="7"/>
        <v>45778</v>
      </c>
      <c r="C53" s="220" t="s">
        <v>756</v>
      </c>
      <c r="D53" s="212" t="s">
        <v>947</v>
      </c>
      <c r="E53" s="118">
        <v>1052227.27</v>
      </c>
      <c r="F53" s="2">
        <v>5061634.0599999996</v>
      </c>
      <c r="G53" s="3">
        <f t="shared" ref="G53" si="12">F53-SUM(M53:P53)</f>
        <v>3651779.16301275</v>
      </c>
      <c r="H53" s="202">
        <f t="shared" si="9"/>
        <v>3.4705232102687757</v>
      </c>
      <c r="I53" s="7">
        <v>0.20499999999999999</v>
      </c>
      <c r="J53" s="200">
        <v>1.6500000000000001E-2</v>
      </c>
      <c r="K53" s="200">
        <v>7.5999999999999998E-2</v>
      </c>
      <c r="L53" s="200">
        <v>0</v>
      </c>
      <c r="M53" s="11">
        <f t="shared" si="2"/>
        <v>1037634.9822999998</v>
      </c>
      <c r="N53" s="11">
        <f t="shared" si="3"/>
        <v>66395.98478205</v>
      </c>
      <c r="O53" s="11">
        <f t="shared" si="4"/>
        <v>305823.92990519997</v>
      </c>
      <c r="P53" s="11">
        <f t="shared" si="5"/>
        <v>0</v>
      </c>
    </row>
    <row r="54" spans="1:16">
      <c r="A54" s="44"/>
      <c r="B54" s="5">
        <f>B53</f>
        <v>45778</v>
      </c>
      <c r="C54" s="220" t="s">
        <v>757</v>
      </c>
      <c r="D54" s="212" t="s">
        <v>135</v>
      </c>
      <c r="E54" s="118">
        <v>130493.94</v>
      </c>
      <c r="F54" s="2">
        <v>698808.1</v>
      </c>
      <c r="G54" s="3">
        <f t="shared" ref="G54:G117" si="13">F54-SUM(M54:P54)</f>
        <v>504163.83884624997</v>
      </c>
      <c r="H54" s="202">
        <f t="shared" si="9"/>
        <v>3.8635038442877114</v>
      </c>
      <c r="I54" s="7">
        <v>0.20499999999999999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143255.6605</v>
      </c>
      <c r="N54" s="11">
        <f t="shared" si="3"/>
        <v>9166.6152517499995</v>
      </c>
      <c r="O54" s="11">
        <f t="shared" si="4"/>
        <v>42221.985401999998</v>
      </c>
      <c r="P54" s="11">
        <f t="shared" si="5"/>
        <v>0</v>
      </c>
    </row>
    <row r="55" spans="1:16" ht="15" hidden="1" customHeight="1">
      <c r="A55" s="44"/>
      <c r="B55" s="5">
        <f>B54</f>
        <v>45778</v>
      </c>
      <c r="C55" s="220" t="s">
        <v>757</v>
      </c>
      <c r="D55" s="195"/>
      <c r="E55" s="118"/>
      <c r="F55" s="2"/>
      <c r="G55" s="3">
        <f t="shared" si="13"/>
        <v>0</v>
      </c>
      <c r="H55" s="202">
        <f t="shared" si="9"/>
        <v>0</v>
      </c>
      <c r="I55" s="7"/>
      <c r="J55" s="7">
        <v>1.6500000000000001E-2</v>
      </c>
      <c r="K55" s="7">
        <v>7.5999999999999998E-2</v>
      </c>
      <c r="L55" s="7">
        <v>0</v>
      </c>
      <c r="M55" s="11">
        <f t="shared" si="2"/>
        <v>0</v>
      </c>
      <c r="N55" s="11">
        <f t="shared" si="3"/>
        <v>0</v>
      </c>
      <c r="O55" s="11">
        <f t="shared" si="4"/>
        <v>0</v>
      </c>
      <c r="P55" s="11">
        <f t="shared" si="5"/>
        <v>0</v>
      </c>
    </row>
    <row r="56" spans="1:16" ht="15" hidden="1" customHeight="1">
      <c r="A56" s="44"/>
      <c r="B56" s="5">
        <f>B55</f>
        <v>45778</v>
      </c>
      <c r="C56" s="221" t="s">
        <v>792</v>
      </c>
      <c r="D56" s="195"/>
      <c r="E56" s="186"/>
      <c r="F56" s="2"/>
      <c r="G56" s="3">
        <f t="shared" si="13"/>
        <v>0</v>
      </c>
      <c r="H56" s="187"/>
      <c r="I56" s="193"/>
      <c r="J56" s="7">
        <v>1.6500000000000001E-2</v>
      </c>
      <c r="K56" s="7">
        <v>7.5999999999999998E-2</v>
      </c>
      <c r="L56" s="7">
        <v>0</v>
      </c>
      <c r="M56" s="11">
        <f t="shared" si="2"/>
        <v>0</v>
      </c>
      <c r="N56" s="11">
        <f t="shared" si="3"/>
        <v>0</v>
      </c>
      <c r="O56" s="11">
        <f t="shared" si="4"/>
        <v>0</v>
      </c>
      <c r="P56" s="11">
        <f t="shared" si="5"/>
        <v>0</v>
      </c>
    </row>
    <row r="57" spans="1:16" hidden="1">
      <c r="A57" s="44"/>
      <c r="B57" s="5">
        <f>B56</f>
        <v>45778</v>
      </c>
      <c r="C57" s="221" t="s">
        <v>792</v>
      </c>
      <c r="D57" s="195"/>
      <c r="E57" s="186"/>
      <c r="F57" s="2"/>
      <c r="G57" s="3">
        <f t="shared" si="13"/>
        <v>0</v>
      </c>
      <c r="H57" s="187"/>
      <c r="I57" s="193"/>
      <c r="J57" s="7">
        <v>1.6500000000000001E-2</v>
      </c>
      <c r="K57" s="7">
        <v>7.5999999999999998E-2</v>
      </c>
      <c r="L57" s="7">
        <v>0</v>
      </c>
      <c r="M57" s="11">
        <f t="shared" si="2"/>
        <v>0</v>
      </c>
      <c r="N57" s="11">
        <f t="shared" si="3"/>
        <v>0</v>
      </c>
      <c r="O57" s="11">
        <f t="shared" si="4"/>
        <v>0</v>
      </c>
      <c r="P57" s="11">
        <f t="shared" si="5"/>
        <v>0</v>
      </c>
    </row>
    <row r="58" spans="1:16">
      <c r="A58" s="44"/>
      <c r="B58" s="5">
        <f>B57</f>
        <v>45778</v>
      </c>
      <c r="C58" s="1" t="s">
        <v>33</v>
      </c>
      <c r="D58" s="195" t="s">
        <v>940</v>
      </c>
      <c r="E58" s="118">
        <v>800000</v>
      </c>
      <c r="F58" s="2">
        <v>1184872</v>
      </c>
      <c r="G58" s="3">
        <f t="shared" si="13"/>
        <v>1000002.3462</v>
      </c>
      <c r="H58" s="202">
        <f t="shared" ref="H58:H59" si="14">+IF(G58=0,0,G58/E58)</f>
        <v>1.25000293275</v>
      </c>
      <c r="I58" s="7">
        <v>7.0000000000000007E-2</v>
      </c>
      <c r="J58" s="7">
        <v>1.6500000000000001E-2</v>
      </c>
      <c r="K58" s="7">
        <v>7.5999999999999998E-2</v>
      </c>
      <c r="L58" s="7">
        <v>0</v>
      </c>
      <c r="M58" s="11">
        <f t="shared" si="2"/>
        <v>82941.040000000008</v>
      </c>
      <c r="N58" s="11">
        <f t="shared" si="3"/>
        <v>18181.860840000001</v>
      </c>
      <c r="O58" s="11">
        <f t="shared" si="4"/>
        <v>83746.752959999998</v>
      </c>
      <c r="P58" s="11">
        <f t="shared" si="5"/>
        <v>0</v>
      </c>
    </row>
    <row r="59" spans="1:16" hidden="1">
      <c r="A59" s="44"/>
      <c r="B59" s="5">
        <f t="shared" ref="B59:B122" si="15">B58</f>
        <v>45778</v>
      </c>
      <c r="C59" s="1" t="s">
        <v>33</v>
      </c>
      <c r="D59" s="195"/>
      <c r="E59" s="118"/>
      <c r="F59" s="2"/>
      <c r="G59" s="3">
        <f t="shared" si="13"/>
        <v>0</v>
      </c>
      <c r="H59" s="202">
        <f t="shared" si="14"/>
        <v>0</v>
      </c>
      <c r="I59" s="7"/>
      <c r="J59" s="7">
        <v>1.6500000000000001E-2</v>
      </c>
      <c r="K59" s="7">
        <v>7.5999999999999998E-2</v>
      </c>
      <c r="L59" s="7">
        <v>0</v>
      </c>
      <c r="M59" s="11">
        <f t="shared" si="2"/>
        <v>0</v>
      </c>
      <c r="N59" s="11">
        <f t="shared" si="3"/>
        <v>0</v>
      </c>
      <c r="O59" s="11">
        <f t="shared" si="4"/>
        <v>0</v>
      </c>
      <c r="P59" s="11">
        <f t="shared" si="5"/>
        <v>0</v>
      </c>
    </row>
    <row r="60" spans="1:16" ht="15" customHeight="1">
      <c r="A60" s="44"/>
      <c r="B60" s="5">
        <f t="shared" si="15"/>
        <v>45778</v>
      </c>
      <c r="C60" s="218" t="s">
        <v>533</v>
      </c>
      <c r="D60" s="195">
        <v>21435</v>
      </c>
      <c r="E60" s="186"/>
      <c r="F60" s="2">
        <v>166617.99</v>
      </c>
      <c r="G60" s="3">
        <f>F60-SUM(M60:P60)</f>
        <v>133061.12681399999</v>
      </c>
      <c r="H60" s="187"/>
      <c r="I60" s="7">
        <v>0.12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19994.158799999997</v>
      </c>
      <c r="N60" s="11">
        <f t="shared" si="3"/>
        <v>2419.2932148</v>
      </c>
      <c r="O60" s="11">
        <f t="shared" si="4"/>
        <v>11143.411171199999</v>
      </c>
      <c r="P60" s="11">
        <f t="shared" si="5"/>
        <v>0</v>
      </c>
    </row>
    <row r="61" spans="1:16" ht="15" customHeight="1">
      <c r="A61" s="44"/>
      <c r="B61" s="5">
        <f t="shared" si="15"/>
        <v>45778</v>
      </c>
      <c r="C61" s="218" t="s">
        <v>533</v>
      </c>
      <c r="D61" s="195">
        <v>21436</v>
      </c>
      <c r="E61" s="186"/>
      <c r="F61" s="2">
        <v>31601.62</v>
      </c>
      <c r="G61" s="3">
        <f>F61-SUM(M61:P61)</f>
        <v>25237.053732</v>
      </c>
      <c r="H61" s="187"/>
      <c r="I61" s="7">
        <v>0.12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3792.1943999999999</v>
      </c>
      <c r="N61" s="11">
        <f t="shared" si="3"/>
        <v>458.85552239999998</v>
      </c>
      <c r="O61" s="11">
        <f t="shared" si="4"/>
        <v>2113.5163456</v>
      </c>
      <c r="P61" s="11">
        <f t="shared" si="5"/>
        <v>0</v>
      </c>
    </row>
    <row r="62" spans="1:16" ht="15" customHeight="1">
      <c r="A62" s="44"/>
      <c r="B62" s="5">
        <f t="shared" si="15"/>
        <v>45778</v>
      </c>
      <c r="C62" s="218" t="s">
        <v>533</v>
      </c>
      <c r="D62" s="195">
        <v>21437</v>
      </c>
      <c r="E62" s="186"/>
      <c r="F62" s="2">
        <v>7120.73</v>
      </c>
      <c r="G62" s="3">
        <f t="shared" si="13"/>
        <v>5686.6149779999996</v>
      </c>
      <c r="H62" s="187"/>
      <c r="I62" s="7">
        <v>0.12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854.48759999999993</v>
      </c>
      <c r="N62" s="11">
        <f t="shared" si="3"/>
        <v>103.3929996</v>
      </c>
      <c r="O62" s="11">
        <f t="shared" si="4"/>
        <v>476.23442239999991</v>
      </c>
      <c r="P62" s="11">
        <f t="shared" si="5"/>
        <v>0</v>
      </c>
    </row>
    <row r="63" spans="1:16" ht="15" customHeight="1">
      <c r="A63" s="44"/>
      <c r="B63" s="5">
        <f t="shared" si="15"/>
        <v>45778</v>
      </c>
      <c r="C63" s="218" t="s">
        <v>533</v>
      </c>
      <c r="D63" s="195">
        <v>5877</v>
      </c>
      <c r="E63" s="186"/>
      <c r="F63" s="2">
        <v>249048.87</v>
      </c>
      <c r="G63" s="3">
        <f t="shared" si="13"/>
        <v>198890.427582</v>
      </c>
      <c r="H63" s="187"/>
      <c r="I63" s="7">
        <v>0.12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29885.864399999999</v>
      </c>
      <c r="N63" s="11">
        <f t="shared" si="3"/>
        <v>3616.1895924</v>
      </c>
      <c r="O63" s="11">
        <f t="shared" si="4"/>
        <v>16656.388425599998</v>
      </c>
      <c r="P63" s="11">
        <f t="shared" si="5"/>
        <v>0</v>
      </c>
    </row>
    <row r="64" spans="1:16" ht="15" customHeight="1">
      <c r="A64" s="44"/>
      <c r="B64" s="5">
        <f t="shared" si="15"/>
        <v>45778</v>
      </c>
      <c r="C64" s="218" t="s">
        <v>533</v>
      </c>
      <c r="D64" s="195">
        <v>5875</v>
      </c>
      <c r="E64" s="186"/>
      <c r="F64" s="2">
        <v>46478.2</v>
      </c>
      <c r="G64" s="3">
        <f t="shared" si="13"/>
        <v>37117.490519999999</v>
      </c>
      <c r="H64" s="187"/>
      <c r="I64" s="7">
        <v>0.12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5577.3839999999991</v>
      </c>
      <c r="N64" s="11">
        <f t="shared" si="3"/>
        <v>674.86346400000002</v>
      </c>
      <c r="O64" s="11">
        <f t="shared" si="4"/>
        <v>3108.4620159999999</v>
      </c>
      <c r="P64" s="11">
        <f t="shared" si="5"/>
        <v>0</v>
      </c>
    </row>
    <row r="65" spans="1:16" ht="15" customHeight="1">
      <c r="A65" s="44"/>
      <c r="B65" s="5">
        <f t="shared" si="15"/>
        <v>45778</v>
      </c>
      <c r="C65" s="218" t="s">
        <v>533</v>
      </c>
      <c r="D65" s="195">
        <v>5876</v>
      </c>
      <c r="E65" s="186"/>
      <c r="F65" s="2">
        <v>4318.3999999999996</v>
      </c>
      <c r="G65" s="3">
        <f t="shared" si="13"/>
        <v>3448.6742399999998</v>
      </c>
      <c r="H65" s="187"/>
      <c r="I65" s="7">
        <v>0.12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518.20799999999997</v>
      </c>
      <c r="N65" s="11">
        <f t="shared" si="3"/>
        <v>62.703167999999998</v>
      </c>
      <c r="O65" s="11">
        <f t="shared" si="4"/>
        <v>288.81459199999995</v>
      </c>
      <c r="P65" s="11">
        <f t="shared" si="5"/>
        <v>0</v>
      </c>
    </row>
    <row r="66" spans="1:16" ht="15" customHeight="1">
      <c r="A66" s="44"/>
      <c r="B66" s="5">
        <f t="shared" si="15"/>
        <v>45778</v>
      </c>
      <c r="C66" s="218" t="s">
        <v>533</v>
      </c>
      <c r="D66" s="195">
        <v>22824</v>
      </c>
      <c r="E66" s="186"/>
      <c r="F66" s="2">
        <v>2772.82</v>
      </c>
      <c r="G66" s="3">
        <f t="shared" si="13"/>
        <v>2340.1907595000002</v>
      </c>
      <c r="H66" s="187"/>
      <c r="I66" s="7">
        <v>7.0000000000000007E-2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194.09740000000002</v>
      </c>
      <c r="N66" s="11">
        <f t="shared" si="3"/>
        <v>42.548922900000001</v>
      </c>
      <c r="O66" s="11">
        <f t="shared" si="4"/>
        <v>195.98291760000001</v>
      </c>
      <c r="P66" s="11">
        <f t="shared" si="5"/>
        <v>0</v>
      </c>
    </row>
    <row r="67" spans="1:16" ht="15" customHeight="1">
      <c r="A67" s="44"/>
      <c r="B67" s="5">
        <f t="shared" si="15"/>
        <v>45778</v>
      </c>
      <c r="C67" s="218" t="s">
        <v>533</v>
      </c>
      <c r="D67" s="195">
        <v>22825</v>
      </c>
      <c r="E67" s="186"/>
      <c r="F67" s="2">
        <v>574.48</v>
      </c>
      <c r="G67" s="3">
        <f t="shared" si="13"/>
        <v>484.84675800000002</v>
      </c>
      <c r="H67" s="187"/>
      <c r="I67" s="7">
        <v>7.0000000000000007E-2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40.213600000000007</v>
      </c>
      <c r="N67" s="11">
        <f t="shared" si="3"/>
        <v>8.8153956000000004</v>
      </c>
      <c r="O67" s="11">
        <f t="shared" si="4"/>
        <v>40.604246399999994</v>
      </c>
      <c r="P67" s="11">
        <f t="shared" si="5"/>
        <v>0</v>
      </c>
    </row>
    <row r="68" spans="1:16" ht="15" customHeight="1">
      <c r="A68" s="44"/>
      <c r="B68" s="5">
        <f t="shared" si="15"/>
        <v>45778</v>
      </c>
      <c r="C68" s="218" t="s">
        <v>533</v>
      </c>
      <c r="D68" s="195">
        <v>22826</v>
      </c>
      <c r="E68" s="186"/>
      <c r="F68" s="2">
        <v>33.79</v>
      </c>
      <c r="G68" s="3">
        <f t="shared" si="13"/>
        <v>28.517915250000001</v>
      </c>
      <c r="H68" s="187"/>
      <c r="I68" s="7">
        <v>7.0000000000000007E-2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2.3653</v>
      </c>
      <c r="N68" s="11">
        <f t="shared" si="3"/>
        <v>0.51850755000000004</v>
      </c>
      <c r="O68" s="11">
        <f t="shared" si="4"/>
        <v>2.3882771999999997</v>
      </c>
      <c r="P68" s="11">
        <f t="shared" si="5"/>
        <v>0</v>
      </c>
    </row>
    <row r="69" spans="1:16" ht="15" customHeight="1">
      <c r="A69" s="44"/>
      <c r="B69" s="5">
        <f t="shared" si="15"/>
        <v>45778</v>
      </c>
      <c r="C69" s="218" t="s">
        <v>533</v>
      </c>
      <c r="D69" s="195">
        <v>5902</v>
      </c>
      <c r="E69" s="186"/>
      <c r="F69" s="2">
        <v>181939.83</v>
      </c>
      <c r="G69" s="3">
        <f t="shared" si="13"/>
        <v>145297.14823799999</v>
      </c>
      <c r="H69" s="187"/>
      <c r="I69" s="7">
        <v>0.12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21832.779599999998</v>
      </c>
      <c r="N69" s="11">
        <f t="shared" si="3"/>
        <v>2641.7663315999998</v>
      </c>
      <c r="O69" s="11">
        <f t="shared" si="4"/>
        <v>12168.135830399999</v>
      </c>
      <c r="P69" s="11">
        <f t="shared" si="5"/>
        <v>0</v>
      </c>
    </row>
    <row r="70" spans="1:16" ht="15" customHeight="1">
      <c r="A70" s="44"/>
      <c r="B70" s="5">
        <f t="shared" si="15"/>
        <v>45778</v>
      </c>
      <c r="C70" s="218" t="s">
        <v>533</v>
      </c>
      <c r="D70" s="195">
        <v>5903</v>
      </c>
      <c r="E70" s="186"/>
      <c r="F70" s="2">
        <v>30302.79</v>
      </c>
      <c r="G70" s="3">
        <f t="shared" si="13"/>
        <v>24199.808094</v>
      </c>
      <c r="H70" s="187"/>
      <c r="I70" s="7">
        <v>0.12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3636.3348000000001</v>
      </c>
      <c r="N70" s="11">
        <f t="shared" si="3"/>
        <v>439.99651080000001</v>
      </c>
      <c r="O70" s="11">
        <f t="shared" si="4"/>
        <v>2026.6505952</v>
      </c>
      <c r="P70" s="11">
        <f t="shared" si="5"/>
        <v>0</v>
      </c>
    </row>
    <row r="71" spans="1:16" ht="15" customHeight="1">
      <c r="A71" s="44"/>
      <c r="B71" s="5">
        <f t="shared" si="15"/>
        <v>45778</v>
      </c>
      <c r="C71" s="218" t="s">
        <v>533</v>
      </c>
      <c r="D71" s="195">
        <v>5900</v>
      </c>
      <c r="E71" s="186"/>
      <c r="F71" s="2">
        <v>3806.69</v>
      </c>
      <c r="G71" s="3">
        <f t="shared" si="13"/>
        <v>3040.0226339999999</v>
      </c>
      <c r="H71" s="187"/>
      <c r="I71" s="7">
        <v>0.12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456.80279999999999</v>
      </c>
      <c r="N71" s="11">
        <f t="shared" si="3"/>
        <v>55.273138800000005</v>
      </c>
      <c r="O71" s="11">
        <f t="shared" si="4"/>
        <v>254.5914272</v>
      </c>
      <c r="P71" s="11">
        <f t="shared" si="5"/>
        <v>0</v>
      </c>
    </row>
    <row r="72" spans="1:16" ht="15" customHeight="1">
      <c r="A72" s="44"/>
      <c r="B72" s="5">
        <f t="shared" si="15"/>
        <v>45778</v>
      </c>
      <c r="C72" s="218" t="s">
        <v>533</v>
      </c>
      <c r="D72" s="195">
        <v>5901</v>
      </c>
      <c r="E72" s="186"/>
      <c r="F72" s="2">
        <v>10.37</v>
      </c>
      <c r="G72" s="3">
        <f t="shared" si="13"/>
        <v>8.2814820000000005</v>
      </c>
      <c r="H72" s="187"/>
      <c r="I72" s="7">
        <v>0.12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1.2444</v>
      </c>
      <c r="N72" s="11">
        <f t="shared" si="3"/>
        <v>0.1505724</v>
      </c>
      <c r="O72" s="11">
        <f t="shared" si="4"/>
        <v>0.69354559999999987</v>
      </c>
      <c r="P72" s="11">
        <f t="shared" si="5"/>
        <v>0</v>
      </c>
    </row>
    <row r="73" spans="1:16" ht="15" customHeight="1">
      <c r="A73" s="44"/>
      <c r="B73" s="5">
        <f t="shared" si="15"/>
        <v>45778</v>
      </c>
      <c r="C73" s="218" t="s">
        <v>533</v>
      </c>
      <c r="D73" s="195">
        <v>22923</v>
      </c>
      <c r="E73" s="186"/>
      <c r="F73" s="2">
        <v>13399.03</v>
      </c>
      <c r="G73" s="3">
        <f t="shared" si="13"/>
        <v>11308.44634425</v>
      </c>
      <c r="H73" s="187"/>
      <c r="I73" s="7">
        <v>7.0000000000000007E-2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937.9321000000001</v>
      </c>
      <c r="N73" s="11">
        <f t="shared" si="3"/>
        <v>205.60811535000002</v>
      </c>
      <c r="O73" s="11">
        <f t="shared" si="4"/>
        <v>947.04344040000001</v>
      </c>
      <c r="P73" s="11">
        <f t="shared" si="5"/>
        <v>0</v>
      </c>
    </row>
    <row r="74" spans="1:16" ht="15" customHeight="1">
      <c r="A74" s="44"/>
      <c r="B74" s="5">
        <f t="shared" si="15"/>
        <v>45778</v>
      </c>
      <c r="C74" s="218" t="s">
        <v>533</v>
      </c>
      <c r="D74" s="195">
        <v>22924</v>
      </c>
      <c r="E74" s="186"/>
      <c r="F74" s="2">
        <v>2144.37</v>
      </c>
      <c r="G74" s="3">
        <f t="shared" si="13"/>
        <v>1809.79467075</v>
      </c>
      <c r="H74" s="187"/>
      <c r="I74" s="7">
        <v>7.0000000000000007E-2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150.10590000000002</v>
      </c>
      <c r="N74" s="11">
        <f t="shared" si="3"/>
        <v>32.905357649999999</v>
      </c>
      <c r="O74" s="11">
        <f t="shared" si="4"/>
        <v>151.56407159999998</v>
      </c>
      <c r="P74" s="11">
        <f t="shared" si="5"/>
        <v>0</v>
      </c>
    </row>
    <row r="75" spans="1:16" ht="15" customHeight="1">
      <c r="A75" s="44"/>
      <c r="B75" s="5">
        <f t="shared" si="15"/>
        <v>45778</v>
      </c>
      <c r="C75" s="218" t="s">
        <v>533</v>
      </c>
      <c r="D75" s="195">
        <v>22932</v>
      </c>
      <c r="E75" s="186"/>
      <c r="F75" s="2">
        <v>223.61</v>
      </c>
      <c r="G75" s="3">
        <f t="shared" si="13"/>
        <v>188.72124975000003</v>
      </c>
      <c r="H75" s="187"/>
      <c r="I75" s="7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15.652700000000003</v>
      </c>
      <c r="N75" s="11">
        <f t="shared" si="3"/>
        <v>3.4312954500000004</v>
      </c>
      <c r="O75" s="11">
        <f t="shared" si="4"/>
        <v>15.8047548</v>
      </c>
      <c r="P75" s="11">
        <f t="shared" si="5"/>
        <v>0</v>
      </c>
    </row>
    <row r="76" spans="1:16" ht="15" customHeight="1">
      <c r="A76" s="44"/>
      <c r="B76" s="5">
        <f t="shared" si="15"/>
        <v>45778</v>
      </c>
      <c r="C76" s="218" t="s">
        <v>533</v>
      </c>
      <c r="D76" s="195">
        <v>21478</v>
      </c>
      <c r="E76" s="186"/>
      <c r="F76" s="2">
        <v>131266.98000000001</v>
      </c>
      <c r="G76" s="3">
        <f t="shared" si="13"/>
        <v>104829.810228</v>
      </c>
      <c r="H76" s="187"/>
      <c r="I76" s="7">
        <v>0.12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15752.037600000001</v>
      </c>
      <c r="N76" s="11">
        <f t="shared" si="3"/>
        <v>1905.9965496000004</v>
      </c>
      <c r="O76" s="11">
        <f t="shared" si="4"/>
        <v>8779.135622400001</v>
      </c>
      <c r="P76" s="11">
        <f t="shared" si="5"/>
        <v>0</v>
      </c>
    </row>
    <row r="77" spans="1:16" ht="15" customHeight="1">
      <c r="A77" s="44"/>
      <c r="B77" s="5">
        <f t="shared" si="15"/>
        <v>45778</v>
      </c>
      <c r="C77" s="218" t="s">
        <v>533</v>
      </c>
      <c r="D77" s="195">
        <v>21479</v>
      </c>
      <c r="E77" s="186"/>
      <c r="F77" s="2">
        <v>22647.47</v>
      </c>
      <c r="G77" s="3">
        <f t="shared" si="13"/>
        <v>18086.269542000002</v>
      </c>
      <c r="H77" s="187"/>
      <c r="I77" s="7">
        <v>0.12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2717.6963999999998</v>
      </c>
      <c r="N77" s="11">
        <f t="shared" si="3"/>
        <v>328.8412644</v>
      </c>
      <c r="O77" s="11">
        <f t="shared" si="4"/>
        <v>1514.6627936</v>
      </c>
      <c r="P77" s="11">
        <f t="shared" si="5"/>
        <v>0</v>
      </c>
    </row>
    <row r="78" spans="1:16" ht="15" customHeight="1">
      <c r="A78" s="44"/>
      <c r="B78" s="5">
        <f t="shared" si="15"/>
        <v>45778</v>
      </c>
      <c r="C78" s="218" t="s">
        <v>533</v>
      </c>
      <c r="D78" s="195">
        <v>21480</v>
      </c>
      <c r="E78" s="186"/>
      <c r="F78" s="2">
        <v>7413.01</v>
      </c>
      <c r="G78" s="3">
        <f t="shared" si="13"/>
        <v>5920.0297860000001</v>
      </c>
      <c r="H78" s="187"/>
      <c r="I78" s="7">
        <v>0.12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889.56119999999999</v>
      </c>
      <c r="N78" s="11">
        <f t="shared" si="3"/>
        <v>107.6369052</v>
      </c>
      <c r="O78" s="11">
        <f t="shared" si="4"/>
        <v>495.7821088</v>
      </c>
      <c r="P78" s="11">
        <f t="shared" si="5"/>
        <v>0</v>
      </c>
    </row>
    <row r="79" spans="1:16" ht="15" customHeight="1">
      <c r="A79" s="44"/>
      <c r="B79" s="5">
        <f t="shared" si="15"/>
        <v>45778</v>
      </c>
      <c r="C79" s="218" t="s">
        <v>533</v>
      </c>
      <c r="D79" s="195">
        <v>21481</v>
      </c>
      <c r="E79" s="186"/>
      <c r="F79" s="2">
        <v>12.41</v>
      </c>
      <c r="G79" s="3">
        <f t="shared" si="13"/>
        <v>9.9106260000000006</v>
      </c>
      <c r="H79" s="187"/>
      <c r="I79" s="7">
        <v>0.12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1.4891999999999999</v>
      </c>
      <c r="N79" s="11">
        <f t="shared" si="3"/>
        <v>0.1801932</v>
      </c>
      <c r="O79" s="11">
        <f t="shared" si="4"/>
        <v>0.82998079999999996</v>
      </c>
      <c r="P79" s="11">
        <f t="shared" si="5"/>
        <v>0</v>
      </c>
    </row>
    <row r="80" spans="1:16" ht="15" customHeight="1">
      <c r="A80" s="44"/>
      <c r="B80" s="5">
        <f t="shared" si="15"/>
        <v>45778</v>
      </c>
      <c r="C80" s="218" t="s">
        <v>533</v>
      </c>
      <c r="D80" s="195">
        <v>5908</v>
      </c>
      <c r="E80" s="186"/>
      <c r="F80" s="2">
        <v>50703.9</v>
      </c>
      <c r="G80" s="3">
        <f t="shared" si="13"/>
        <v>40492.134539999999</v>
      </c>
      <c r="H80" s="187"/>
      <c r="I80" s="7">
        <v>0.12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6084.4679999999998</v>
      </c>
      <c r="N80" s="11">
        <f t="shared" si="3"/>
        <v>736.22062800000003</v>
      </c>
      <c r="O80" s="11">
        <f t="shared" si="4"/>
        <v>3391.0768320000002</v>
      </c>
      <c r="P80" s="11">
        <f t="shared" si="5"/>
        <v>0</v>
      </c>
    </row>
    <row r="81" spans="1:16" ht="15" customHeight="1">
      <c r="A81" s="44"/>
      <c r="B81" s="5">
        <f t="shared" si="15"/>
        <v>45778</v>
      </c>
      <c r="C81" s="218" t="s">
        <v>533</v>
      </c>
      <c r="D81" s="195">
        <v>5906</v>
      </c>
      <c r="E81" s="186"/>
      <c r="F81" s="2">
        <v>7880.47</v>
      </c>
      <c r="G81" s="3">
        <f t="shared" si="13"/>
        <v>6293.3433420000001</v>
      </c>
      <c r="H81" s="187"/>
      <c r="I81" s="7">
        <v>0.12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945.65639999999996</v>
      </c>
      <c r="N81" s="11">
        <f t="shared" si="3"/>
        <v>114.42442440000001</v>
      </c>
      <c r="O81" s="11">
        <f t="shared" si="4"/>
        <v>527.04583360000004</v>
      </c>
      <c r="P81" s="11">
        <f t="shared" si="5"/>
        <v>0</v>
      </c>
    </row>
    <row r="82" spans="1:16" ht="15" customHeight="1">
      <c r="A82" s="44"/>
      <c r="B82" s="5">
        <f t="shared" si="15"/>
        <v>45778</v>
      </c>
      <c r="C82" s="218" t="s">
        <v>533</v>
      </c>
      <c r="D82" s="195">
        <v>5907</v>
      </c>
      <c r="E82" s="186"/>
      <c r="F82" s="2">
        <v>823.71</v>
      </c>
      <c r="G82" s="3">
        <f t="shared" si="13"/>
        <v>657.81480600000009</v>
      </c>
      <c r="H82" s="187"/>
      <c r="I82" s="7">
        <v>0.12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98.845200000000006</v>
      </c>
      <c r="N82" s="11">
        <f t="shared" si="3"/>
        <v>11.960269200000001</v>
      </c>
      <c r="O82" s="11">
        <f t="shared" si="4"/>
        <v>55.089724800000006</v>
      </c>
      <c r="P82" s="11">
        <f t="shared" ref="P82:P182" si="16">L82*(F82)</f>
        <v>0</v>
      </c>
    </row>
    <row r="83" spans="1:16" ht="15" customHeight="1">
      <c r="A83" s="44"/>
      <c r="B83" s="5">
        <f t="shared" si="15"/>
        <v>45778</v>
      </c>
      <c r="C83" s="218" t="s">
        <v>533</v>
      </c>
      <c r="D83" s="195">
        <v>5909</v>
      </c>
      <c r="E83" s="186"/>
      <c r="F83" s="2">
        <v>3.18</v>
      </c>
      <c r="G83" s="3">
        <f t="shared" si="13"/>
        <v>2.5395479999999999</v>
      </c>
      <c r="H83" s="187"/>
      <c r="I83" s="7">
        <v>0.12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0.38159999999999999</v>
      </c>
      <c r="N83" s="11">
        <f t="shared" si="3"/>
        <v>4.6173600000000002E-2</v>
      </c>
      <c r="O83" s="11">
        <f t="shared" si="4"/>
        <v>0.21267839999999999</v>
      </c>
      <c r="P83" s="11">
        <f t="shared" si="16"/>
        <v>0</v>
      </c>
    </row>
    <row r="84" spans="1:16" ht="15" customHeight="1">
      <c r="A84" s="44"/>
      <c r="B84" s="5">
        <f t="shared" si="15"/>
        <v>45778</v>
      </c>
      <c r="C84" s="218" t="s">
        <v>533</v>
      </c>
      <c r="D84" s="195">
        <v>22938</v>
      </c>
      <c r="E84" s="186"/>
      <c r="F84" s="2">
        <v>3749.6</v>
      </c>
      <c r="G84" s="3">
        <f t="shared" si="13"/>
        <v>3164.5686599999999</v>
      </c>
      <c r="H84" s="187"/>
      <c r="I84" s="7">
        <v>7.0000000000000007E-2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262.47200000000004</v>
      </c>
      <c r="N84" s="11">
        <f t="shared" si="3"/>
        <v>57.537611999999996</v>
      </c>
      <c r="O84" s="11">
        <f t="shared" si="4"/>
        <v>265.021728</v>
      </c>
      <c r="P84" s="11">
        <f t="shared" si="16"/>
        <v>0</v>
      </c>
    </row>
    <row r="85" spans="1:16" ht="15" customHeight="1">
      <c r="A85" s="44"/>
      <c r="B85" s="5">
        <f t="shared" si="15"/>
        <v>45778</v>
      </c>
      <c r="C85" s="218" t="s">
        <v>533</v>
      </c>
      <c r="D85" s="195">
        <v>22939</v>
      </c>
      <c r="E85" s="186"/>
      <c r="F85" s="2">
        <v>561.48</v>
      </c>
      <c r="G85" s="3">
        <f t="shared" si="13"/>
        <v>473.87508300000002</v>
      </c>
      <c r="H85" s="187"/>
      <c r="I85" s="7">
        <v>7.0000000000000007E-2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39.303600000000003</v>
      </c>
      <c r="N85" s="11">
        <f t="shared" si="3"/>
        <v>8.6159106000000012</v>
      </c>
      <c r="O85" s="11">
        <f t="shared" si="4"/>
        <v>39.685406400000005</v>
      </c>
      <c r="P85" s="11">
        <f t="shared" si="16"/>
        <v>0</v>
      </c>
    </row>
    <row r="86" spans="1:16" ht="15" customHeight="1">
      <c r="A86" s="44"/>
      <c r="B86" s="5">
        <f t="shared" si="15"/>
        <v>45778</v>
      </c>
      <c r="C86" s="218" t="s">
        <v>533</v>
      </c>
      <c r="D86" s="195">
        <v>22940</v>
      </c>
      <c r="E86" s="186"/>
      <c r="F86" s="2">
        <v>48.38</v>
      </c>
      <c r="G86" s="3">
        <f t="shared" si="13"/>
        <v>40.8315105</v>
      </c>
      <c r="H86" s="187"/>
      <c r="I86" s="7">
        <v>7.0000000000000007E-2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3.3866000000000005</v>
      </c>
      <c r="N86" s="11">
        <f t="shared" si="3"/>
        <v>0.74239110000000008</v>
      </c>
      <c r="O86" s="11">
        <f t="shared" si="4"/>
        <v>3.4194984000000002</v>
      </c>
      <c r="P86" s="11">
        <f t="shared" si="16"/>
        <v>0</v>
      </c>
    </row>
    <row r="87" spans="1:16" ht="15" customHeight="1">
      <c r="A87" s="44"/>
      <c r="B87" s="5">
        <f t="shared" si="15"/>
        <v>45778</v>
      </c>
      <c r="C87" s="218" t="s">
        <v>533</v>
      </c>
      <c r="D87" s="195">
        <v>21487</v>
      </c>
      <c r="E87" s="186"/>
      <c r="F87" s="2">
        <v>36954.99</v>
      </c>
      <c r="G87" s="3">
        <f t="shared" si="13"/>
        <v>29512.255013999998</v>
      </c>
      <c r="H87" s="187"/>
      <c r="I87" s="7">
        <v>0.12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4434.5987999999998</v>
      </c>
      <c r="N87" s="11">
        <f t="shared" si="3"/>
        <v>536.58645479999996</v>
      </c>
      <c r="O87" s="11">
        <f t="shared" si="4"/>
        <v>2471.5497311999998</v>
      </c>
      <c r="P87" s="11">
        <f t="shared" si="16"/>
        <v>0</v>
      </c>
    </row>
    <row r="88" spans="1:16" ht="15" customHeight="1">
      <c r="A88" s="44"/>
      <c r="B88" s="5">
        <f t="shared" si="15"/>
        <v>45778</v>
      </c>
      <c r="C88" s="218" t="s">
        <v>533</v>
      </c>
      <c r="D88" s="195">
        <v>21488</v>
      </c>
      <c r="E88" s="186"/>
      <c r="F88" s="2">
        <v>5906.76</v>
      </c>
      <c r="G88" s="3">
        <f t="shared" si="13"/>
        <v>4717.1385360000004</v>
      </c>
      <c r="H88" s="187"/>
      <c r="I88" s="7">
        <v>0.12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708.81119999999999</v>
      </c>
      <c r="N88" s="11">
        <f t="shared" si="3"/>
        <v>85.7661552</v>
      </c>
      <c r="O88" s="11">
        <f t="shared" si="4"/>
        <v>395.0441088</v>
      </c>
      <c r="P88" s="11">
        <f t="shared" si="16"/>
        <v>0</v>
      </c>
    </row>
    <row r="89" spans="1:16" ht="15" customHeight="1">
      <c r="A89" s="44"/>
      <c r="B89" s="5">
        <f t="shared" si="15"/>
        <v>45778</v>
      </c>
      <c r="C89" s="218" t="s">
        <v>533</v>
      </c>
      <c r="D89" s="195">
        <v>21490</v>
      </c>
      <c r="E89" s="186"/>
      <c r="F89" s="2">
        <v>1533.81</v>
      </c>
      <c r="G89" s="3">
        <f t="shared" si="13"/>
        <v>1224.900666</v>
      </c>
      <c r="H89" s="187"/>
      <c r="I89" s="7">
        <v>0.12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184.05719999999999</v>
      </c>
      <c r="N89" s="11">
        <f t="shared" si="3"/>
        <v>22.2709212</v>
      </c>
      <c r="O89" s="11">
        <f t="shared" si="4"/>
        <v>102.5812128</v>
      </c>
      <c r="P89" s="11">
        <f t="shared" si="16"/>
        <v>0</v>
      </c>
    </row>
    <row r="90" spans="1:16" ht="15" customHeight="1">
      <c r="A90" s="44"/>
      <c r="B90" s="5">
        <f t="shared" si="15"/>
        <v>45778</v>
      </c>
      <c r="C90" s="218" t="s">
        <v>533</v>
      </c>
      <c r="D90" s="195">
        <v>21491</v>
      </c>
      <c r="E90" s="186"/>
      <c r="F90" s="2">
        <v>3.79</v>
      </c>
      <c r="G90" s="3">
        <f t="shared" si="13"/>
        <v>3.026694</v>
      </c>
      <c r="H90" s="187"/>
      <c r="I90" s="7">
        <v>0.12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0.45479999999999998</v>
      </c>
      <c r="N90" s="11">
        <f t="shared" si="3"/>
        <v>5.5030800000000005E-2</v>
      </c>
      <c r="O90" s="11">
        <f t="shared" si="4"/>
        <v>0.25347520000000001</v>
      </c>
      <c r="P90" s="11">
        <f t="shared" si="16"/>
        <v>0</v>
      </c>
    </row>
    <row r="91" spans="1:16" ht="15" customHeight="1">
      <c r="A91" s="44"/>
      <c r="B91" s="5">
        <f t="shared" si="15"/>
        <v>45778</v>
      </c>
      <c r="C91" s="218" t="s">
        <v>533</v>
      </c>
      <c r="D91" s="195">
        <v>5910</v>
      </c>
      <c r="E91" s="186"/>
      <c r="F91" s="2">
        <v>35416.6</v>
      </c>
      <c r="G91" s="3">
        <f t="shared" si="13"/>
        <v>28283.696759999999</v>
      </c>
      <c r="H91" s="187"/>
      <c r="I91" s="7">
        <v>0.12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4249.9919999999993</v>
      </c>
      <c r="N91" s="11">
        <f t="shared" si="3"/>
        <v>514.24903200000006</v>
      </c>
      <c r="O91" s="11">
        <f t="shared" si="4"/>
        <v>2368.6622079999997</v>
      </c>
      <c r="P91" s="11">
        <f t="shared" si="16"/>
        <v>0</v>
      </c>
    </row>
    <row r="92" spans="1:16" ht="15" customHeight="1">
      <c r="A92" s="44"/>
      <c r="B92" s="5">
        <f t="shared" si="15"/>
        <v>45778</v>
      </c>
      <c r="C92" s="218" t="s">
        <v>533</v>
      </c>
      <c r="D92" s="195">
        <v>5911</v>
      </c>
      <c r="E92" s="186"/>
      <c r="F92" s="2">
        <v>5912.4</v>
      </c>
      <c r="G92" s="3">
        <f t="shared" si="13"/>
        <v>4721.64264</v>
      </c>
      <c r="H92" s="187"/>
      <c r="I92" s="7">
        <v>0.12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709.48799999999994</v>
      </c>
      <c r="N92" s="11">
        <f t="shared" si="3"/>
        <v>85.848047999999991</v>
      </c>
      <c r="O92" s="11">
        <f t="shared" si="4"/>
        <v>395.42131199999994</v>
      </c>
      <c r="P92" s="11">
        <f t="shared" si="16"/>
        <v>0</v>
      </c>
    </row>
    <row r="93" spans="1:16" ht="15" customHeight="1">
      <c r="A93" s="44"/>
      <c r="B93" s="5">
        <f t="shared" si="15"/>
        <v>45778</v>
      </c>
      <c r="C93" s="218" t="s">
        <v>533</v>
      </c>
      <c r="D93" s="195">
        <v>5912</v>
      </c>
      <c r="E93" s="186"/>
      <c r="F93" s="2">
        <v>588.37</v>
      </c>
      <c r="G93" s="3">
        <f t="shared" si="13"/>
        <v>469.87228200000004</v>
      </c>
      <c r="H93" s="187"/>
      <c r="I93" s="7">
        <v>0.12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70.604399999999998</v>
      </c>
      <c r="N93" s="11">
        <f t="shared" si="3"/>
        <v>8.5431323999999993</v>
      </c>
      <c r="O93" s="11">
        <f t="shared" si="4"/>
        <v>39.350185599999996</v>
      </c>
      <c r="P93" s="11">
        <f t="shared" si="16"/>
        <v>0</v>
      </c>
    </row>
    <row r="94" spans="1:16" ht="15" customHeight="1">
      <c r="A94" s="44"/>
      <c r="B94" s="5">
        <f t="shared" si="15"/>
        <v>45778</v>
      </c>
      <c r="C94" s="218" t="s">
        <v>533</v>
      </c>
      <c r="D94" s="195">
        <v>5913</v>
      </c>
      <c r="E94" s="186"/>
      <c r="F94" s="2">
        <v>1.99</v>
      </c>
      <c r="G94" s="3">
        <f t="shared" si="13"/>
        <v>1.5892140000000001</v>
      </c>
      <c r="H94" s="187"/>
      <c r="I94" s="7">
        <v>0.12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0.23879999999999998</v>
      </c>
      <c r="N94" s="11">
        <f t="shared" si="3"/>
        <v>2.8894800000000002E-2</v>
      </c>
      <c r="O94" s="11">
        <f t="shared" si="4"/>
        <v>0.13309119999999999</v>
      </c>
      <c r="P94" s="11">
        <f t="shared" si="16"/>
        <v>0</v>
      </c>
    </row>
    <row r="95" spans="1:16" ht="15" customHeight="1">
      <c r="A95" s="44"/>
      <c r="B95" s="5">
        <f t="shared" si="15"/>
        <v>45778</v>
      </c>
      <c r="C95" s="218" t="s">
        <v>533</v>
      </c>
      <c r="D95" s="195">
        <v>22954</v>
      </c>
      <c r="E95" s="186"/>
      <c r="F95" s="2">
        <v>2610.48</v>
      </c>
      <c r="G95" s="3">
        <f t="shared" si="13"/>
        <v>2203.179858</v>
      </c>
      <c r="H95" s="187"/>
      <c r="I95" s="7">
        <v>7.0000000000000007E-2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182.73360000000002</v>
      </c>
      <c r="N95" s="11">
        <f t="shared" si="3"/>
        <v>40.057815600000005</v>
      </c>
      <c r="O95" s="11">
        <f t="shared" si="4"/>
        <v>184.5087264</v>
      </c>
      <c r="P95" s="11">
        <f t="shared" si="16"/>
        <v>0</v>
      </c>
    </row>
    <row r="96" spans="1:16" ht="15" customHeight="1">
      <c r="A96" s="44"/>
      <c r="B96" s="5">
        <f t="shared" si="15"/>
        <v>45778</v>
      </c>
      <c r="C96" s="218" t="s">
        <v>533</v>
      </c>
      <c r="D96" s="195">
        <v>22953</v>
      </c>
      <c r="E96" s="186"/>
      <c r="F96" s="2">
        <v>419.75</v>
      </c>
      <c r="G96" s="3">
        <f t="shared" si="13"/>
        <v>354.25850624999998</v>
      </c>
      <c r="H96" s="187"/>
      <c r="I96" s="7">
        <v>7.0000000000000007E-2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29.382500000000004</v>
      </c>
      <c r="N96" s="11">
        <f t="shared" si="3"/>
        <v>6.4410637500000005</v>
      </c>
      <c r="O96" s="11">
        <f t="shared" si="4"/>
        <v>29.667929999999998</v>
      </c>
      <c r="P96" s="11">
        <f t="shared" si="16"/>
        <v>0</v>
      </c>
    </row>
    <row r="97" spans="1:16" ht="15" customHeight="1">
      <c r="A97" s="44"/>
      <c r="B97" s="5">
        <f t="shared" si="15"/>
        <v>45778</v>
      </c>
      <c r="C97" s="218" t="s">
        <v>533</v>
      </c>
      <c r="D97" s="195">
        <v>22970</v>
      </c>
      <c r="E97" s="186"/>
      <c r="F97" s="2">
        <v>34.56</v>
      </c>
      <c r="G97" s="3">
        <f t="shared" si="13"/>
        <v>29.167776000000003</v>
      </c>
      <c r="H97" s="187"/>
      <c r="I97" s="7">
        <v>7.0000000000000007E-2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2.4192000000000005</v>
      </c>
      <c r="N97" s="11">
        <f t="shared" si="3"/>
        <v>0.53032319999999999</v>
      </c>
      <c r="O97" s="11">
        <f t="shared" si="4"/>
        <v>2.4427007999999999</v>
      </c>
      <c r="P97" s="11">
        <f t="shared" si="16"/>
        <v>0</v>
      </c>
    </row>
    <row r="98" spans="1:16" ht="15" customHeight="1">
      <c r="A98" s="44"/>
      <c r="B98" s="5">
        <f t="shared" si="15"/>
        <v>45778</v>
      </c>
      <c r="C98" s="218" t="s">
        <v>533</v>
      </c>
      <c r="D98" s="195">
        <v>21492</v>
      </c>
      <c r="E98" s="186"/>
      <c r="F98" s="2">
        <v>24731.95</v>
      </c>
      <c r="G98" s="3">
        <f t="shared" si="13"/>
        <v>19750.935270000002</v>
      </c>
      <c r="H98" s="187"/>
      <c r="I98" s="7">
        <v>0.12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2967.8339999999998</v>
      </c>
      <c r="N98" s="11">
        <f t="shared" si="3"/>
        <v>359.10791400000005</v>
      </c>
      <c r="O98" s="11">
        <f t="shared" si="4"/>
        <v>1654.0728160000001</v>
      </c>
      <c r="P98" s="11">
        <f t="shared" si="16"/>
        <v>0</v>
      </c>
    </row>
    <row r="99" spans="1:16" ht="15" customHeight="1">
      <c r="A99" s="44"/>
      <c r="B99" s="5">
        <f t="shared" si="15"/>
        <v>45778</v>
      </c>
      <c r="C99" s="218" t="s">
        <v>533</v>
      </c>
      <c r="D99" s="195">
        <v>21493</v>
      </c>
      <c r="E99" s="186"/>
      <c r="F99" s="2">
        <v>4208.0600000000004</v>
      </c>
      <c r="G99" s="3">
        <f t="shared" si="13"/>
        <v>3360.5567160000005</v>
      </c>
      <c r="H99" s="187"/>
      <c r="I99" s="7">
        <v>0.12</v>
      </c>
      <c r="J99" s="7">
        <v>1.6500000000000001E-2</v>
      </c>
      <c r="K99" s="7">
        <v>7.5999999999999998E-2</v>
      </c>
      <c r="L99" s="7">
        <v>0</v>
      </c>
      <c r="M99" s="11">
        <f t="shared" si="2"/>
        <v>504.96720000000005</v>
      </c>
      <c r="N99" s="11">
        <f t="shared" si="3"/>
        <v>61.101031200000008</v>
      </c>
      <c r="O99" s="11">
        <f t="shared" si="4"/>
        <v>281.43505279999999</v>
      </c>
      <c r="P99" s="11">
        <f t="shared" si="16"/>
        <v>0</v>
      </c>
    </row>
    <row r="100" spans="1:16" ht="15" customHeight="1">
      <c r="A100" s="44"/>
      <c r="B100" s="5">
        <f t="shared" si="15"/>
        <v>45778</v>
      </c>
      <c r="C100" s="218" t="s">
        <v>533</v>
      </c>
      <c r="D100" s="195">
        <v>21494</v>
      </c>
      <c r="E100" s="186"/>
      <c r="F100" s="2">
        <v>1095.58</v>
      </c>
      <c r="G100" s="3">
        <f t="shared" si="13"/>
        <v>874.93018799999993</v>
      </c>
      <c r="H100" s="187"/>
      <c r="I100" s="7">
        <v>0.12</v>
      </c>
      <c r="J100" s="7">
        <v>1.6500000000000001E-2</v>
      </c>
      <c r="K100" s="7">
        <v>7.5999999999999998E-2</v>
      </c>
      <c r="L100" s="7">
        <v>0</v>
      </c>
      <c r="M100" s="11">
        <f t="shared" si="2"/>
        <v>131.46959999999999</v>
      </c>
      <c r="N100" s="11">
        <f t="shared" si="3"/>
        <v>15.9078216</v>
      </c>
      <c r="O100" s="11">
        <f t="shared" si="4"/>
        <v>73.272390399999992</v>
      </c>
      <c r="P100" s="11">
        <f t="shared" si="16"/>
        <v>0</v>
      </c>
    </row>
    <row r="101" spans="1:16" ht="15" customHeight="1">
      <c r="A101" s="44"/>
      <c r="B101" s="5">
        <f t="shared" si="15"/>
        <v>45778</v>
      </c>
      <c r="C101" s="218" t="s">
        <v>533</v>
      </c>
      <c r="D101" s="195">
        <v>21498</v>
      </c>
      <c r="E101" s="186"/>
      <c r="F101" s="2">
        <v>2.37</v>
      </c>
      <c r="G101" s="3">
        <f t="shared" si="13"/>
        <v>1.8926820000000002</v>
      </c>
      <c r="H101" s="187"/>
      <c r="I101" s="7">
        <v>0.12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0.28439999999999999</v>
      </c>
      <c r="N101" s="11">
        <f t="shared" si="3"/>
        <v>3.441240000000001E-2</v>
      </c>
      <c r="O101" s="11">
        <f t="shared" si="4"/>
        <v>0.15850560000000002</v>
      </c>
      <c r="P101" s="11">
        <f t="shared" si="16"/>
        <v>0</v>
      </c>
    </row>
    <row r="102" spans="1:16" ht="15" customHeight="1">
      <c r="A102" s="44"/>
      <c r="B102" s="5">
        <f t="shared" si="15"/>
        <v>45778</v>
      </c>
      <c r="C102" s="218" t="s">
        <v>533</v>
      </c>
      <c r="D102" s="195">
        <v>5917</v>
      </c>
      <c r="E102" s="186"/>
      <c r="F102" s="2">
        <v>149519.51</v>
      </c>
      <c r="G102" s="3">
        <f t="shared" si="13"/>
        <v>119406.28068600001</v>
      </c>
      <c r="H102" s="187"/>
      <c r="I102" s="7">
        <v>0.12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17942.341199999999</v>
      </c>
      <c r="N102" s="11">
        <f t="shared" si="3"/>
        <v>2171.0232852000004</v>
      </c>
      <c r="O102" s="11">
        <f t="shared" si="4"/>
        <v>9999.8648288000004</v>
      </c>
      <c r="P102" s="11">
        <f t="shared" si="16"/>
        <v>0</v>
      </c>
    </row>
    <row r="103" spans="1:16" ht="15" customHeight="1">
      <c r="A103" s="44"/>
      <c r="B103" s="5">
        <f t="shared" si="15"/>
        <v>45778</v>
      </c>
      <c r="C103" s="218" t="s">
        <v>533</v>
      </c>
      <c r="D103" s="195">
        <v>5918</v>
      </c>
      <c r="E103" s="186"/>
      <c r="F103" s="2">
        <v>23679.69</v>
      </c>
      <c r="G103" s="3">
        <f t="shared" si="13"/>
        <v>18910.600434</v>
      </c>
      <c r="H103" s="187"/>
      <c r="I103" s="7">
        <v>0.12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2841.5627999999997</v>
      </c>
      <c r="N103" s="11">
        <f t="shared" si="3"/>
        <v>343.8290988</v>
      </c>
      <c r="O103" s="11">
        <f t="shared" si="4"/>
        <v>1583.6976671999998</v>
      </c>
      <c r="P103" s="11">
        <f t="shared" si="16"/>
        <v>0</v>
      </c>
    </row>
    <row r="104" spans="1:16" ht="15" customHeight="1">
      <c r="A104" s="44"/>
      <c r="B104" s="5">
        <f t="shared" si="15"/>
        <v>45778</v>
      </c>
      <c r="C104" s="218" t="s">
        <v>533</v>
      </c>
      <c r="D104" s="195">
        <v>5919</v>
      </c>
      <c r="E104" s="186"/>
      <c r="F104" s="2">
        <v>2588.81</v>
      </c>
      <c r="G104" s="3">
        <f t="shared" si="13"/>
        <v>2067.4236660000001</v>
      </c>
      <c r="H104" s="187"/>
      <c r="I104" s="7">
        <v>0.12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310.65719999999999</v>
      </c>
      <c r="N104" s="11">
        <f t="shared" si="3"/>
        <v>37.5895212</v>
      </c>
      <c r="O104" s="11">
        <f t="shared" si="4"/>
        <v>173.13961279999998</v>
      </c>
      <c r="P104" s="11">
        <f t="shared" si="16"/>
        <v>0</v>
      </c>
    </row>
    <row r="105" spans="1:16" ht="15" customHeight="1">
      <c r="A105" s="44"/>
      <c r="B105" s="5">
        <f t="shared" si="15"/>
        <v>45778</v>
      </c>
      <c r="C105" s="218" t="s">
        <v>533</v>
      </c>
      <c r="D105" s="195">
        <v>5920</v>
      </c>
      <c r="E105" s="186"/>
      <c r="F105" s="2">
        <v>9.14</v>
      </c>
      <c r="G105" s="3">
        <f t="shared" si="13"/>
        <v>7.2992040000000005</v>
      </c>
      <c r="H105" s="187"/>
      <c r="I105" s="7">
        <v>0.12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1.0968</v>
      </c>
      <c r="N105" s="11">
        <f t="shared" si="3"/>
        <v>0.13271280000000002</v>
      </c>
      <c r="O105" s="11">
        <f t="shared" si="4"/>
        <v>0.61128320000000003</v>
      </c>
      <c r="P105" s="11">
        <f t="shared" si="16"/>
        <v>0</v>
      </c>
    </row>
    <row r="106" spans="1:16" ht="15" customHeight="1">
      <c r="A106" s="44"/>
      <c r="B106" s="5">
        <f t="shared" si="15"/>
        <v>45778</v>
      </c>
      <c r="C106" s="218" t="s">
        <v>533</v>
      </c>
      <c r="D106" s="195">
        <v>22987</v>
      </c>
      <c r="E106" s="186"/>
      <c r="F106" s="2">
        <v>11061.11</v>
      </c>
      <c r="G106" s="3">
        <f t="shared" si="13"/>
        <v>9335.3003122500013</v>
      </c>
      <c r="H106" s="187"/>
      <c r="I106" s="7">
        <v>7.0000000000000007E-2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774.2777000000001</v>
      </c>
      <c r="N106" s="11">
        <f t="shared" si="3"/>
        <v>169.73273295000001</v>
      </c>
      <c r="O106" s="11">
        <f t="shared" si="4"/>
        <v>781.79925479999997</v>
      </c>
      <c r="P106" s="11">
        <f t="shared" si="16"/>
        <v>0</v>
      </c>
    </row>
    <row r="107" spans="1:16" ht="15" customHeight="1">
      <c r="A107" s="44"/>
      <c r="B107" s="5">
        <f t="shared" si="15"/>
        <v>45778</v>
      </c>
      <c r="C107" s="218" t="s">
        <v>533</v>
      </c>
      <c r="D107" s="195">
        <v>22988</v>
      </c>
      <c r="E107" s="186"/>
      <c r="F107" s="2">
        <v>1689.86</v>
      </c>
      <c r="G107" s="3">
        <f t="shared" si="13"/>
        <v>1426.1995935</v>
      </c>
      <c r="H107" s="187"/>
      <c r="I107" s="7">
        <v>7.0000000000000007E-2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118.2902</v>
      </c>
      <c r="N107" s="11">
        <f t="shared" si="3"/>
        <v>25.9309017</v>
      </c>
      <c r="O107" s="11">
        <f t="shared" si="4"/>
        <v>119.4393048</v>
      </c>
      <c r="P107" s="11">
        <f t="shared" si="16"/>
        <v>0</v>
      </c>
    </row>
    <row r="108" spans="1:16" ht="15" customHeight="1">
      <c r="A108" s="44"/>
      <c r="B108" s="5">
        <f t="shared" si="15"/>
        <v>45778</v>
      </c>
      <c r="C108" s="218" t="s">
        <v>533</v>
      </c>
      <c r="D108" s="195">
        <v>22812</v>
      </c>
      <c r="E108" s="186"/>
      <c r="F108" s="2">
        <v>151.97</v>
      </c>
      <c r="G108" s="3">
        <f t="shared" si="13"/>
        <v>128.25888075</v>
      </c>
      <c r="H108" s="187"/>
      <c r="I108" s="7">
        <v>7.0000000000000007E-2</v>
      </c>
      <c r="J108" s="7">
        <v>1.6500000000000001E-2</v>
      </c>
      <c r="K108" s="7">
        <v>7.5999999999999998E-2</v>
      </c>
      <c r="L108" s="7">
        <v>0</v>
      </c>
      <c r="M108" s="11">
        <f t="shared" si="2"/>
        <v>10.6379</v>
      </c>
      <c r="N108" s="11">
        <f t="shared" si="3"/>
        <v>2.3319796500000001</v>
      </c>
      <c r="O108" s="11">
        <f t="shared" si="4"/>
        <v>10.7412396</v>
      </c>
      <c r="P108" s="11">
        <f t="shared" si="16"/>
        <v>0</v>
      </c>
    </row>
    <row r="109" spans="1:16" ht="15" customHeight="1">
      <c r="A109" s="44"/>
      <c r="B109" s="5">
        <f t="shared" si="15"/>
        <v>45778</v>
      </c>
      <c r="C109" s="218" t="s">
        <v>533</v>
      </c>
      <c r="D109" s="195">
        <v>21427</v>
      </c>
      <c r="E109" s="186"/>
      <c r="F109" s="2">
        <v>109407.46</v>
      </c>
      <c r="G109" s="3">
        <f t="shared" si="13"/>
        <v>87372.797556000005</v>
      </c>
      <c r="H109" s="187"/>
      <c r="I109" s="7">
        <v>0.12</v>
      </c>
      <c r="J109" s="7">
        <v>1.6500000000000001E-2</v>
      </c>
      <c r="K109" s="7">
        <v>7.5999999999999998E-2</v>
      </c>
      <c r="L109" s="7">
        <v>0</v>
      </c>
      <c r="M109" s="11">
        <f t="shared" si="2"/>
        <v>13128.895200000001</v>
      </c>
      <c r="N109" s="11">
        <f t="shared" si="3"/>
        <v>1588.5963192000002</v>
      </c>
      <c r="O109" s="11">
        <f t="shared" si="4"/>
        <v>7317.1709248000006</v>
      </c>
      <c r="P109" s="11">
        <f t="shared" si="16"/>
        <v>0</v>
      </c>
    </row>
    <row r="110" spans="1:16" ht="15" customHeight="1">
      <c r="A110" s="44"/>
      <c r="B110" s="5">
        <f t="shared" si="15"/>
        <v>45778</v>
      </c>
      <c r="C110" s="218" t="s">
        <v>533</v>
      </c>
      <c r="D110" s="195">
        <v>21428</v>
      </c>
      <c r="E110" s="186"/>
      <c r="F110" s="2">
        <v>17922.080000000002</v>
      </c>
      <c r="G110" s="3">
        <f t="shared" si="13"/>
        <v>14312.573088000001</v>
      </c>
      <c r="H110" s="187"/>
      <c r="I110" s="7">
        <v>0.12</v>
      </c>
      <c r="J110" s="7">
        <v>1.6500000000000001E-2</v>
      </c>
      <c r="K110" s="7">
        <v>7.5999999999999998E-2</v>
      </c>
      <c r="L110" s="7">
        <v>0</v>
      </c>
      <c r="M110" s="11">
        <f t="shared" si="2"/>
        <v>2150.6496000000002</v>
      </c>
      <c r="N110" s="11">
        <f t="shared" si="3"/>
        <v>260.22860160000005</v>
      </c>
      <c r="O110" s="11">
        <f t="shared" si="4"/>
        <v>1198.6287104</v>
      </c>
      <c r="P110" s="11">
        <f t="shared" si="16"/>
        <v>0</v>
      </c>
    </row>
    <row r="111" spans="1:16" ht="15" customHeight="1">
      <c r="A111" s="44"/>
      <c r="B111" s="5">
        <f t="shared" si="15"/>
        <v>45778</v>
      </c>
      <c r="C111" s="218" t="s">
        <v>533</v>
      </c>
      <c r="D111" s="195">
        <v>21429</v>
      </c>
      <c r="E111" s="186"/>
      <c r="F111" s="2">
        <v>4820.54</v>
      </c>
      <c r="G111" s="3">
        <f t="shared" si="13"/>
        <v>3849.6832439999998</v>
      </c>
      <c r="H111" s="187"/>
      <c r="I111" s="7">
        <v>0.12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578.46479999999997</v>
      </c>
      <c r="N111" s="11">
        <f t="shared" si="3"/>
        <v>69.9942408</v>
      </c>
      <c r="O111" s="11">
        <f t="shared" si="4"/>
        <v>322.39771519999999</v>
      </c>
      <c r="P111" s="11">
        <f t="shared" si="16"/>
        <v>0</v>
      </c>
    </row>
    <row r="112" spans="1:16" ht="15" customHeight="1">
      <c r="A112" s="44"/>
      <c r="B112" s="5">
        <f t="shared" si="15"/>
        <v>45778</v>
      </c>
      <c r="C112" s="218" t="s">
        <v>533</v>
      </c>
      <c r="D112" s="195">
        <v>21430</v>
      </c>
      <c r="E112" s="186"/>
      <c r="F112" s="2">
        <v>10.91</v>
      </c>
      <c r="G112" s="3">
        <f t="shared" si="13"/>
        <v>8.712726</v>
      </c>
      <c r="H112" s="187"/>
      <c r="I112" s="7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1.3091999999999999</v>
      </c>
      <c r="N112" s="11">
        <f t="shared" si="3"/>
        <v>0.1584132</v>
      </c>
      <c r="O112" s="11">
        <f t="shared" si="4"/>
        <v>0.7296608</v>
      </c>
      <c r="P112" s="11">
        <f t="shared" si="16"/>
        <v>0</v>
      </c>
    </row>
    <row r="113" spans="1:16" ht="15" customHeight="1">
      <c r="A113" s="44"/>
      <c r="B113" s="5">
        <f t="shared" si="15"/>
        <v>45778</v>
      </c>
      <c r="C113" s="218" t="s">
        <v>533</v>
      </c>
      <c r="D113" s="195">
        <v>5881</v>
      </c>
      <c r="E113" s="186"/>
      <c r="F113" s="2">
        <v>64996.160000000003</v>
      </c>
      <c r="G113" s="3">
        <f t="shared" si="13"/>
        <v>51905.933376000001</v>
      </c>
      <c r="H113" s="187"/>
      <c r="I113" s="7">
        <v>0.12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7799.5392000000002</v>
      </c>
      <c r="N113" s="11">
        <f t="shared" si="3"/>
        <v>943.74424320000014</v>
      </c>
      <c r="O113" s="11">
        <f t="shared" si="4"/>
        <v>4346.9431807999999</v>
      </c>
      <c r="P113" s="11">
        <f t="shared" si="16"/>
        <v>0</v>
      </c>
    </row>
    <row r="114" spans="1:16" ht="15" customHeight="1">
      <c r="A114" s="44"/>
      <c r="B114" s="5">
        <f t="shared" si="15"/>
        <v>45778</v>
      </c>
      <c r="C114" s="218" t="s">
        <v>533</v>
      </c>
      <c r="D114" s="195">
        <v>5882</v>
      </c>
      <c r="E114" s="186"/>
      <c r="F114" s="2">
        <v>10388.51</v>
      </c>
      <c r="G114" s="3">
        <f t="shared" si="13"/>
        <v>8296.2640859999992</v>
      </c>
      <c r="H114" s="187"/>
      <c r="I114" s="7">
        <v>0.12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1246.6212</v>
      </c>
      <c r="N114" s="11">
        <f t="shared" si="3"/>
        <v>150.84116520000001</v>
      </c>
      <c r="O114" s="11">
        <f t="shared" si="4"/>
        <v>694.78354880000006</v>
      </c>
      <c r="P114" s="11">
        <f t="shared" si="16"/>
        <v>0</v>
      </c>
    </row>
    <row r="115" spans="1:16" ht="15" customHeight="1">
      <c r="A115" s="44"/>
      <c r="B115" s="5">
        <f t="shared" si="15"/>
        <v>45778</v>
      </c>
      <c r="C115" s="218" t="s">
        <v>533</v>
      </c>
      <c r="D115" s="195">
        <v>5883</v>
      </c>
      <c r="E115" s="186"/>
      <c r="F115" s="2">
        <v>1176.73</v>
      </c>
      <c r="G115" s="3">
        <f t="shared" si="13"/>
        <v>939.73657800000001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141.20759999999999</v>
      </c>
      <c r="N115" s="11">
        <f t="shared" si="3"/>
        <v>17.086119600000004</v>
      </c>
      <c r="O115" s="11">
        <f t="shared" si="4"/>
        <v>78.699702400000007</v>
      </c>
      <c r="P115" s="11">
        <f t="shared" si="16"/>
        <v>0</v>
      </c>
    </row>
    <row r="116" spans="1:16" ht="15" customHeight="1">
      <c r="A116" s="44"/>
      <c r="B116" s="5">
        <f t="shared" si="15"/>
        <v>45778</v>
      </c>
      <c r="C116" s="218" t="s">
        <v>533</v>
      </c>
      <c r="D116" s="195">
        <v>5884</v>
      </c>
      <c r="E116" s="186"/>
      <c r="F116" s="2">
        <v>3.97</v>
      </c>
      <c r="G116" s="3">
        <f t="shared" si="13"/>
        <v>3.1704420000000004</v>
      </c>
      <c r="H116" s="187"/>
      <c r="I116" s="7">
        <v>0.12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0.47639999999999999</v>
      </c>
      <c r="N116" s="11">
        <f t="shared" si="3"/>
        <v>5.7644400000000005E-2</v>
      </c>
      <c r="O116" s="11">
        <f t="shared" si="4"/>
        <v>0.26551360000000002</v>
      </c>
      <c r="P116" s="11">
        <f t="shared" si="16"/>
        <v>0</v>
      </c>
    </row>
    <row r="117" spans="1:16" ht="15" customHeight="1">
      <c r="A117" s="44"/>
      <c r="B117" s="5">
        <f t="shared" si="15"/>
        <v>45778</v>
      </c>
      <c r="C117" s="218" t="s">
        <v>533</v>
      </c>
      <c r="D117" s="195">
        <v>22863</v>
      </c>
      <c r="E117" s="186"/>
      <c r="F117" s="2">
        <v>4796.08</v>
      </c>
      <c r="G117" s="3">
        <f t="shared" si="13"/>
        <v>4047.7716179999998</v>
      </c>
      <c r="H117" s="187"/>
      <c r="I117" s="7">
        <v>7.0000000000000007E-2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335.72560000000004</v>
      </c>
      <c r="N117" s="11">
        <f t="shared" si="3"/>
        <v>73.595847600000013</v>
      </c>
      <c r="O117" s="11">
        <f t="shared" si="4"/>
        <v>338.9869344</v>
      </c>
      <c r="P117" s="11">
        <f t="shared" si="16"/>
        <v>0</v>
      </c>
    </row>
    <row r="118" spans="1:16" ht="15" customHeight="1">
      <c r="A118" s="44"/>
      <c r="B118" s="5">
        <f t="shared" si="15"/>
        <v>45778</v>
      </c>
      <c r="C118" s="218" t="s">
        <v>533</v>
      </c>
      <c r="D118" s="195">
        <v>22862</v>
      </c>
      <c r="E118" s="186"/>
      <c r="F118" s="2">
        <v>741.32</v>
      </c>
      <c r="G118" s="3">
        <f t="shared" ref="G118:G182" si="17">F118-SUM(M118:P118)</f>
        <v>625.65554700000007</v>
      </c>
      <c r="H118" s="187"/>
      <c r="I118" s="7">
        <v>7.0000000000000007E-2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51.892400000000009</v>
      </c>
      <c r="N118" s="11">
        <f t="shared" si="3"/>
        <v>11.3755554</v>
      </c>
      <c r="O118" s="11">
        <f t="shared" si="4"/>
        <v>52.396497599999996</v>
      </c>
      <c r="P118" s="11">
        <f t="shared" si="16"/>
        <v>0</v>
      </c>
    </row>
    <row r="119" spans="1:16" ht="15" customHeight="1">
      <c r="A119" s="44"/>
      <c r="B119" s="5">
        <f t="shared" si="15"/>
        <v>45778</v>
      </c>
      <c r="C119" s="218" t="s">
        <v>533</v>
      </c>
      <c r="D119" s="195">
        <v>22864</v>
      </c>
      <c r="E119" s="186"/>
      <c r="F119" s="2">
        <v>69.11</v>
      </c>
      <c r="G119" s="3">
        <f t="shared" si="17"/>
        <v>58.327112249999999</v>
      </c>
      <c r="H119" s="187"/>
      <c r="I119" s="7">
        <v>7.0000000000000007E-2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4.8377000000000008</v>
      </c>
      <c r="N119" s="11">
        <f t="shared" si="3"/>
        <v>1.06049295</v>
      </c>
      <c r="O119" s="11">
        <f t="shared" si="4"/>
        <v>4.8846948000000001</v>
      </c>
      <c r="P119" s="11">
        <f t="shared" si="16"/>
        <v>0</v>
      </c>
    </row>
    <row r="120" spans="1:16" ht="15" customHeight="1">
      <c r="A120" s="44"/>
      <c r="B120" s="5">
        <f t="shared" si="15"/>
        <v>45778</v>
      </c>
      <c r="C120" s="218" t="s">
        <v>533</v>
      </c>
      <c r="D120" s="195">
        <v>21454</v>
      </c>
      <c r="E120" s="186"/>
      <c r="F120" s="2">
        <v>47078.89</v>
      </c>
      <c r="G120" s="3">
        <f t="shared" si="17"/>
        <v>37597.201553999999</v>
      </c>
      <c r="H120" s="187"/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5649.4668000000001</v>
      </c>
      <c r="N120" s="11">
        <f t="shared" si="3"/>
        <v>683.58548280000002</v>
      </c>
      <c r="O120" s="11">
        <f t="shared" si="4"/>
        <v>3148.6361631999998</v>
      </c>
      <c r="P120" s="11">
        <f t="shared" si="16"/>
        <v>0</v>
      </c>
    </row>
    <row r="121" spans="1:16" ht="15" customHeight="1">
      <c r="A121" s="44"/>
      <c r="B121" s="5">
        <f t="shared" si="15"/>
        <v>45778</v>
      </c>
      <c r="C121" s="218" t="s">
        <v>533</v>
      </c>
      <c r="D121" s="195">
        <v>21455</v>
      </c>
      <c r="E121" s="186"/>
      <c r="F121" s="2">
        <v>7757.34</v>
      </c>
      <c r="G121" s="3">
        <f t="shared" si="17"/>
        <v>6195.011724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930.88080000000002</v>
      </c>
      <c r="N121" s="11">
        <f t="shared" si="3"/>
        <v>112.63657680000001</v>
      </c>
      <c r="O121" s="11">
        <f t="shared" si="4"/>
        <v>518.81089919999999</v>
      </c>
      <c r="P121" s="11">
        <f t="shared" si="16"/>
        <v>0</v>
      </c>
    </row>
    <row r="122" spans="1:16" ht="15" customHeight="1">
      <c r="A122" s="44"/>
      <c r="B122" s="5">
        <f t="shared" si="15"/>
        <v>45778</v>
      </c>
      <c r="C122" s="218" t="s">
        <v>533</v>
      </c>
      <c r="D122" s="195">
        <v>21460</v>
      </c>
      <c r="E122" s="186"/>
      <c r="F122" s="2">
        <v>2191.16</v>
      </c>
      <c r="G122" s="3">
        <f t="shared" si="17"/>
        <v>1749.8603759999999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262.93919999999997</v>
      </c>
      <c r="N122" s="11">
        <f t="shared" si="3"/>
        <v>31.8156432</v>
      </c>
      <c r="O122" s="11">
        <f t="shared" si="4"/>
        <v>146.54478079999998</v>
      </c>
      <c r="P122" s="11">
        <f t="shared" si="16"/>
        <v>0</v>
      </c>
    </row>
    <row r="123" spans="1:16" ht="15" customHeight="1">
      <c r="A123" s="44"/>
      <c r="B123" s="5">
        <f t="shared" ref="B123:B182" si="18">B122</f>
        <v>45778</v>
      </c>
      <c r="C123" s="218" t="s">
        <v>533</v>
      </c>
      <c r="D123" s="195">
        <v>21461</v>
      </c>
      <c r="E123" s="186"/>
      <c r="F123" s="2">
        <v>4.74</v>
      </c>
      <c r="G123" s="3">
        <f t="shared" si="17"/>
        <v>3.7853640000000004</v>
      </c>
      <c r="H123" s="187"/>
      <c r="I123" s="7">
        <v>0.12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0.56879999999999997</v>
      </c>
      <c r="N123" s="11">
        <f t="shared" si="3"/>
        <v>6.8824800000000019E-2</v>
      </c>
      <c r="O123" s="11">
        <f t="shared" si="4"/>
        <v>0.31701120000000005</v>
      </c>
      <c r="P123" s="11">
        <f t="shared" si="16"/>
        <v>0</v>
      </c>
    </row>
    <row r="124" spans="1:16" ht="15" customHeight="1">
      <c r="A124" s="44"/>
      <c r="B124" s="5">
        <f t="shared" si="18"/>
        <v>45778</v>
      </c>
      <c r="C124" s="218" t="s">
        <v>533</v>
      </c>
      <c r="D124" s="195">
        <v>5889</v>
      </c>
      <c r="E124" s="186"/>
      <c r="F124" s="2">
        <v>166526.67000000001</v>
      </c>
      <c r="G124" s="3">
        <f t="shared" si="17"/>
        <v>132988.19866200001</v>
      </c>
      <c r="H124" s="187"/>
      <c r="I124" s="7">
        <v>0.12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19983.200400000002</v>
      </c>
      <c r="N124" s="11">
        <f t="shared" si="3"/>
        <v>2417.9672484000002</v>
      </c>
      <c r="O124" s="11">
        <f t="shared" si="4"/>
        <v>11137.303689600001</v>
      </c>
      <c r="P124" s="11">
        <f t="shared" si="16"/>
        <v>0</v>
      </c>
    </row>
    <row r="125" spans="1:16" ht="15" customHeight="1">
      <c r="A125" s="44"/>
      <c r="B125" s="5">
        <f t="shared" si="18"/>
        <v>45778</v>
      </c>
      <c r="C125" s="218" t="s">
        <v>533</v>
      </c>
      <c r="D125" s="195">
        <v>5890</v>
      </c>
      <c r="E125" s="186"/>
      <c r="F125" s="2">
        <v>26098.799999999999</v>
      </c>
      <c r="G125" s="3">
        <f t="shared" si="17"/>
        <v>20842.501680000001</v>
      </c>
      <c r="H125" s="187"/>
      <c r="I125" s="7">
        <v>0.12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3131.8559999999998</v>
      </c>
      <c r="N125" s="11">
        <f t="shared" si="3"/>
        <v>378.95457600000003</v>
      </c>
      <c r="O125" s="11">
        <f t="shared" si="4"/>
        <v>1745.487744</v>
      </c>
      <c r="P125" s="11">
        <f t="shared" si="16"/>
        <v>0</v>
      </c>
    </row>
    <row r="126" spans="1:16" ht="15" customHeight="1">
      <c r="A126" s="44"/>
      <c r="B126" s="5">
        <f t="shared" si="18"/>
        <v>45778</v>
      </c>
      <c r="C126" s="218" t="s">
        <v>533</v>
      </c>
      <c r="D126" s="195">
        <v>5891</v>
      </c>
      <c r="E126" s="186"/>
      <c r="F126" s="2">
        <v>2783.01</v>
      </c>
      <c r="G126" s="3">
        <f t="shared" si="17"/>
        <v>2222.511786</v>
      </c>
      <c r="H126" s="187"/>
      <c r="I126" s="7">
        <v>0.12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333.96120000000002</v>
      </c>
      <c r="N126" s="11">
        <f t="shared" si="3"/>
        <v>40.409305200000006</v>
      </c>
      <c r="O126" s="11">
        <f t="shared" si="4"/>
        <v>186.12770879999999</v>
      </c>
      <c r="P126" s="11">
        <f t="shared" si="16"/>
        <v>0</v>
      </c>
    </row>
    <row r="127" spans="1:16" ht="15" customHeight="1">
      <c r="A127" s="44"/>
      <c r="B127" s="5">
        <f t="shared" si="18"/>
        <v>45778</v>
      </c>
      <c r="C127" s="218" t="s">
        <v>533</v>
      </c>
      <c r="D127" s="195">
        <v>5892</v>
      </c>
      <c r="E127" s="186"/>
      <c r="F127" s="2">
        <v>11.1</v>
      </c>
      <c r="G127" s="3">
        <f t="shared" si="17"/>
        <v>8.8644599999999993</v>
      </c>
      <c r="H127" s="187"/>
      <c r="I127" s="7">
        <v>0.12</v>
      </c>
      <c r="J127" s="7">
        <v>1.6500000000000001E-2</v>
      </c>
      <c r="K127" s="7">
        <v>7.5999999999999998E-2</v>
      </c>
      <c r="L127" s="7">
        <v>0</v>
      </c>
      <c r="M127" s="11">
        <f t="shared" si="2"/>
        <v>1.3319999999999999</v>
      </c>
      <c r="N127" s="11">
        <f t="shared" si="3"/>
        <v>0.16117200000000001</v>
      </c>
      <c r="O127" s="11">
        <f t="shared" si="4"/>
        <v>0.74236800000000003</v>
      </c>
      <c r="P127" s="11">
        <f t="shared" si="16"/>
        <v>0</v>
      </c>
    </row>
    <row r="128" spans="1:16" ht="15" customHeight="1">
      <c r="A128" s="44"/>
      <c r="B128" s="5">
        <f t="shared" si="18"/>
        <v>45778</v>
      </c>
      <c r="C128" s="218" t="s">
        <v>533</v>
      </c>
      <c r="D128" s="195">
        <v>22895</v>
      </c>
      <c r="E128" s="186"/>
      <c r="F128" s="2">
        <v>12352.34</v>
      </c>
      <c r="G128" s="3">
        <f t="shared" si="17"/>
        <v>10425.066151499999</v>
      </c>
      <c r="H128" s="187"/>
      <c r="I128" s="7">
        <v>7.0000000000000007E-2</v>
      </c>
      <c r="J128" s="7">
        <v>1.6500000000000001E-2</v>
      </c>
      <c r="K128" s="7">
        <v>7.5999999999999998E-2</v>
      </c>
      <c r="L128" s="7">
        <v>0</v>
      </c>
      <c r="M128" s="11">
        <f t="shared" si="2"/>
        <v>864.66380000000004</v>
      </c>
      <c r="N128" s="11">
        <f t="shared" si="3"/>
        <v>189.54665730000002</v>
      </c>
      <c r="O128" s="11">
        <f t="shared" si="4"/>
        <v>873.06339119999996</v>
      </c>
      <c r="P128" s="11">
        <f t="shared" si="16"/>
        <v>0</v>
      </c>
    </row>
    <row r="129" spans="1:16" ht="15" customHeight="1">
      <c r="A129" s="44"/>
      <c r="B129" s="5">
        <f t="shared" si="18"/>
        <v>45778</v>
      </c>
      <c r="C129" s="218" t="s">
        <v>533</v>
      </c>
      <c r="D129" s="195">
        <v>22896</v>
      </c>
      <c r="E129" s="186"/>
      <c r="F129" s="2">
        <v>1868.44</v>
      </c>
      <c r="G129" s="3">
        <f t="shared" si="17"/>
        <v>1576.916649</v>
      </c>
      <c r="H129" s="187"/>
      <c r="I129" s="7">
        <v>7.0000000000000007E-2</v>
      </c>
      <c r="J129" s="7">
        <v>1.6500000000000001E-2</v>
      </c>
      <c r="K129" s="7">
        <v>7.5999999999999998E-2</v>
      </c>
      <c r="L129" s="7">
        <v>0</v>
      </c>
      <c r="M129" s="11">
        <f t="shared" si="2"/>
        <v>130.79080000000002</v>
      </c>
      <c r="N129" s="11">
        <f t="shared" si="3"/>
        <v>28.671211800000002</v>
      </c>
      <c r="O129" s="11">
        <f t="shared" si="4"/>
        <v>132.06133919999999</v>
      </c>
      <c r="P129" s="11">
        <f t="shared" si="16"/>
        <v>0</v>
      </c>
    </row>
    <row r="130" spans="1:16" ht="15" customHeight="1">
      <c r="A130" s="44"/>
      <c r="B130" s="5">
        <f t="shared" si="18"/>
        <v>45778</v>
      </c>
      <c r="C130" s="218" t="s">
        <v>533</v>
      </c>
      <c r="D130" s="195">
        <v>22897</v>
      </c>
      <c r="E130" s="186"/>
      <c r="F130" s="2">
        <v>163.49</v>
      </c>
      <c r="G130" s="3">
        <f t="shared" si="17"/>
        <v>137.98147275000002</v>
      </c>
      <c r="H130" s="187"/>
      <c r="I130" s="7">
        <v>7.0000000000000007E-2</v>
      </c>
      <c r="J130" s="7">
        <v>1.6500000000000001E-2</v>
      </c>
      <c r="K130" s="7">
        <v>7.5999999999999998E-2</v>
      </c>
      <c r="L130" s="7">
        <v>0</v>
      </c>
      <c r="M130" s="11">
        <f t="shared" si="2"/>
        <v>11.444300000000002</v>
      </c>
      <c r="N130" s="11">
        <f t="shared" si="3"/>
        <v>2.5087540500000003</v>
      </c>
      <c r="O130" s="11">
        <f t="shared" si="4"/>
        <v>11.5554732</v>
      </c>
      <c r="P130" s="11">
        <f t="shared" si="16"/>
        <v>0</v>
      </c>
    </row>
    <row r="131" spans="1:16" ht="15" customHeight="1">
      <c r="A131" s="44"/>
      <c r="B131" s="5">
        <f t="shared" si="18"/>
        <v>45778</v>
      </c>
      <c r="C131" s="218" t="s">
        <v>533</v>
      </c>
      <c r="D131" s="195">
        <v>22898</v>
      </c>
      <c r="E131" s="186"/>
      <c r="F131" s="2">
        <v>1</v>
      </c>
      <c r="G131" s="3">
        <f t="shared" si="17"/>
        <v>0.84397500000000003</v>
      </c>
      <c r="H131" s="187"/>
      <c r="I131" s="7">
        <v>7.0000000000000007E-2</v>
      </c>
      <c r="J131" s="7">
        <v>1.6500000000000001E-2</v>
      </c>
      <c r="K131" s="7">
        <v>7.5999999999999998E-2</v>
      </c>
      <c r="L131" s="7">
        <v>0</v>
      </c>
      <c r="M131" s="11">
        <f t="shared" si="2"/>
        <v>7.0000000000000007E-2</v>
      </c>
      <c r="N131" s="11">
        <f t="shared" si="3"/>
        <v>1.5344999999999999E-2</v>
      </c>
      <c r="O131" s="11">
        <f t="shared" si="4"/>
        <v>7.0679999999999993E-2</v>
      </c>
      <c r="P131" s="11">
        <f t="shared" si="16"/>
        <v>0</v>
      </c>
    </row>
    <row r="132" spans="1:16" ht="15" customHeight="1">
      <c r="A132" s="44"/>
      <c r="B132" s="5">
        <f t="shared" si="18"/>
        <v>45778</v>
      </c>
      <c r="C132" s="218" t="s">
        <v>533</v>
      </c>
      <c r="D132" s="195">
        <v>21466</v>
      </c>
      <c r="E132" s="186"/>
      <c r="F132" s="2">
        <v>121882.73</v>
      </c>
      <c r="G132" s="3">
        <f t="shared" si="17"/>
        <v>97335.548177999997</v>
      </c>
      <c r="H132" s="187"/>
      <c r="I132" s="7">
        <v>0.12</v>
      </c>
      <c r="J132" s="7">
        <v>1.6500000000000001E-2</v>
      </c>
      <c r="K132" s="7">
        <v>7.5999999999999998E-2</v>
      </c>
      <c r="L132" s="7">
        <v>0</v>
      </c>
      <c r="M132" s="11">
        <f t="shared" si="2"/>
        <v>14625.927599999999</v>
      </c>
      <c r="N132" s="11">
        <f t="shared" si="3"/>
        <v>1769.7372396000001</v>
      </c>
      <c r="O132" s="11">
        <f t="shared" si="4"/>
        <v>8151.5169823999995</v>
      </c>
      <c r="P132" s="11">
        <f t="shared" si="16"/>
        <v>0</v>
      </c>
    </row>
    <row r="133" spans="1:16" ht="15" customHeight="1">
      <c r="A133" s="44"/>
      <c r="B133" s="5">
        <f t="shared" si="18"/>
        <v>45778</v>
      </c>
      <c r="C133" s="218" t="s">
        <v>533</v>
      </c>
      <c r="D133" s="195">
        <v>21467</v>
      </c>
      <c r="E133" s="186"/>
      <c r="F133" s="2">
        <v>20058.11</v>
      </c>
      <c r="G133" s="3">
        <f t="shared" si="17"/>
        <v>16018.406646000001</v>
      </c>
      <c r="H133" s="187"/>
      <c r="I133" s="7">
        <v>0.12</v>
      </c>
      <c r="J133" s="7">
        <v>1.6500000000000001E-2</v>
      </c>
      <c r="K133" s="7">
        <v>7.5999999999999998E-2</v>
      </c>
      <c r="L133" s="7">
        <v>0</v>
      </c>
      <c r="M133" s="11">
        <f t="shared" si="2"/>
        <v>2406.9731999999999</v>
      </c>
      <c r="N133" s="11">
        <f t="shared" si="3"/>
        <v>291.2437572</v>
      </c>
      <c r="O133" s="11">
        <f t="shared" si="4"/>
        <v>1341.4863968</v>
      </c>
      <c r="P133" s="11">
        <f t="shared" si="16"/>
        <v>0</v>
      </c>
    </row>
    <row r="134" spans="1:16" ht="15" customHeight="1">
      <c r="A134" s="44"/>
      <c r="B134" s="5">
        <f t="shared" si="18"/>
        <v>45778</v>
      </c>
      <c r="C134" s="218" t="s">
        <v>533</v>
      </c>
      <c r="D134" s="195">
        <v>21468</v>
      </c>
      <c r="E134" s="186"/>
      <c r="F134" s="2">
        <v>5344.39</v>
      </c>
      <c r="G134" s="3">
        <f t="shared" si="17"/>
        <v>4268.0298540000003</v>
      </c>
      <c r="H134" s="187"/>
      <c r="I134" s="7">
        <v>0.12</v>
      </c>
      <c r="J134" s="7">
        <v>1.6500000000000001E-2</v>
      </c>
      <c r="K134" s="7">
        <v>7.5999999999999998E-2</v>
      </c>
      <c r="L134" s="7">
        <v>0</v>
      </c>
      <c r="M134" s="11">
        <f t="shared" si="2"/>
        <v>641.32680000000005</v>
      </c>
      <c r="N134" s="11">
        <f t="shared" si="3"/>
        <v>77.600542800000014</v>
      </c>
      <c r="O134" s="11">
        <f t="shared" si="4"/>
        <v>357.43280320000002</v>
      </c>
      <c r="P134" s="11">
        <f t="shared" si="16"/>
        <v>0</v>
      </c>
    </row>
    <row r="135" spans="1:16" ht="15" customHeight="1">
      <c r="A135" s="44"/>
      <c r="B135" s="5">
        <f t="shared" si="18"/>
        <v>45778</v>
      </c>
      <c r="C135" s="218" t="s">
        <v>533</v>
      </c>
      <c r="D135" s="195">
        <v>21469</v>
      </c>
      <c r="E135" s="186"/>
      <c r="F135" s="2">
        <v>13.19</v>
      </c>
      <c r="G135" s="3">
        <f t="shared" si="17"/>
        <v>10.533534</v>
      </c>
      <c r="H135" s="187"/>
      <c r="I135" s="7">
        <v>0.12</v>
      </c>
      <c r="J135" s="7">
        <v>1.6500000000000001E-2</v>
      </c>
      <c r="K135" s="7">
        <v>7.5999999999999998E-2</v>
      </c>
      <c r="L135" s="7">
        <v>0</v>
      </c>
      <c r="M135" s="11">
        <f t="shared" si="2"/>
        <v>1.5828</v>
      </c>
      <c r="N135" s="11">
        <f t="shared" si="3"/>
        <v>0.19151879999999999</v>
      </c>
      <c r="O135" s="11">
        <f t="shared" si="4"/>
        <v>0.88214719999999991</v>
      </c>
      <c r="P135" s="11">
        <f t="shared" si="16"/>
        <v>0</v>
      </c>
    </row>
    <row r="136" spans="1:16" ht="15" customHeight="1">
      <c r="A136" s="44"/>
      <c r="B136" s="5">
        <f t="shared" si="18"/>
        <v>45778</v>
      </c>
      <c r="C136" s="218" t="s">
        <v>533</v>
      </c>
      <c r="D136" s="195">
        <v>5914</v>
      </c>
      <c r="E136" s="186"/>
      <c r="F136" s="2">
        <v>208964.55</v>
      </c>
      <c r="G136" s="3">
        <f t="shared" si="17"/>
        <v>166879.08963</v>
      </c>
      <c r="H136" s="187"/>
      <c r="I136" s="7">
        <v>0.12</v>
      </c>
      <c r="J136" s="7">
        <v>1.6500000000000001E-2</v>
      </c>
      <c r="K136" s="7">
        <v>7.5999999999999998E-2</v>
      </c>
      <c r="L136" s="7">
        <v>0</v>
      </c>
      <c r="M136" s="11">
        <f t="shared" si="2"/>
        <v>25075.745999999999</v>
      </c>
      <c r="N136" s="11">
        <f t="shared" si="3"/>
        <v>3034.1652660000004</v>
      </c>
      <c r="O136" s="11">
        <f t="shared" si="4"/>
        <v>13975.549104</v>
      </c>
      <c r="P136" s="11">
        <f t="shared" si="16"/>
        <v>0</v>
      </c>
    </row>
    <row r="137" spans="1:16" ht="15" customHeight="1">
      <c r="A137" s="44"/>
      <c r="B137" s="5">
        <f t="shared" si="18"/>
        <v>45778</v>
      </c>
      <c r="C137" s="218" t="s">
        <v>533</v>
      </c>
      <c r="D137" s="195">
        <v>5915</v>
      </c>
      <c r="E137" s="186"/>
      <c r="F137" s="2">
        <v>41093.379999999997</v>
      </c>
      <c r="G137" s="3">
        <f t="shared" si="17"/>
        <v>32817.173267999999</v>
      </c>
      <c r="H137" s="187"/>
      <c r="I137" s="7">
        <v>0.12</v>
      </c>
      <c r="J137" s="7">
        <v>1.6500000000000001E-2</v>
      </c>
      <c r="K137" s="7">
        <v>7.5999999999999998E-2</v>
      </c>
      <c r="L137" s="7">
        <v>0</v>
      </c>
      <c r="M137" s="11">
        <f t="shared" si="2"/>
        <v>4931.2055999999993</v>
      </c>
      <c r="N137" s="11">
        <f t="shared" si="3"/>
        <v>596.67587759999992</v>
      </c>
      <c r="O137" s="11">
        <f t="shared" si="4"/>
        <v>2748.3252543999997</v>
      </c>
      <c r="P137" s="11">
        <f t="shared" si="16"/>
        <v>0</v>
      </c>
    </row>
    <row r="138" spans="1:16" ht="15" customHeight="1">
      <c r="A138" s="44"/>
      <c r="B138" s="5">
        <f t="shared" si="18"/>
        <v>45778</v>
      </c>
      <c r="C138" s="218" t="s">
        <v>533</v>
      </c>
      <c r="D138" s="195">
        <v>5916</v>
      </c>
      <c r="E138" s="186"/>
      <c r="F138" s="2">
        <v>4149.0600000000004</v>
      </c>
      <c r="G138" s="3">
        <f t="shared" si="17"/>
        <v>3313.4393160000004</v>
      </c>
      <c r="H138" s="187"/>
      <c r="I138" s="7">
        <v>0.12</v>
      </c>
      <c r="J138" s="7">
        <v>1.6500000000000001E-2</v>
      </c>
      <c r="K138" s="7">
        <v>7.5999999999999998E-2</v>
      </c>
      <c r="L138" s="7">
        <v>0</v>
      </c>
      <c r="M138" s="11">
        <f t="shared" si="2"/>
        <v>497.88720000000001</v>
      </c>
      <c r="N138" s="11">
        <f t="shared" si="3"/>
        <v>60.244351200000004</v>
      </c>
      <c r="O138" s="11">
        <f t="shared" si="4"/>
        <v>277.48913279999999</v>
      </c>
      <c r="P138" s="11">
        <f t="shared" si="16"/>
        <v>0</v>
      </c>
    </row>
    <row r="139" spans="1:16" ht="15" customHeight="1">
      <c r="A139" s="44"/>
      <c r="B139" s="5">
        <f t="shared" si="18"/>
        <v>45778</v>
      </c>
      <c r="C139" s="218" t="s">
        <v>533</v>
      </c>
      <c r="D139" s="195">
        <v>22955</v>
      </c>
      <c r="E139" s="186"/>
      <c r="F139" s="2">
        <v>2366.46</v>
      </c>
      <c r="G139" s="3">
        <f t="shared" si="17"/>
        <v>1997.2330784999999</v>
      </c>
      <c r="H139" s="187"/>
      <c r="I139" s="7">
        <v>7.0000000000000007E-2</v>
      </c>
      <c r="J139" s="7">
        <v>1.6500000000000001E-2</v>
      </c>
      <c r="K139" s="7">
        <v>7.5999999999999998E-2</v>
      </c>
      <c r="L139" s="7">
        <v>0</v>
      </c>
      <c r="M139" s="11">
        <f t="shared" si="2"/>
        <v>165.65220000000002</v>
      </c>
      <c r="N139" s="11">
        <f t="shared" si="3"/>
        <v>36.3133287</v>
      </c>
      <c r="O139" s="11">
        <f t="shared" si="4"/>
        <v>167.26139280000001</v>
      </c>
      <c r="P139" s="11">
        <f t="shared" si="16"/>
        <v>0</v>
      </c>
    </row>
    <row r="140" spans="1:16" ht="15" customHeight="1">
      <c r="A140" s="44"/>
      <c r="B140" s="5">
        <f t="shared" si="18"/>
        <v>45778</v>
      </c>
      <c r="C140" s="218" t="s">
        <v>533</v>
      </c>
      <c r="D140" s="195">
        <v>22956</v>
      </c>
      <c r="E140" s="186"/>
      <c r="F140" s="2">
        <v>450.65</v>
      </c>
      <c r="G140" s="3">
        <f t="shared" si="17"/>
        <v>380.33733374999997</v>
      </c>
      <c r="H140" s="187"/>
      <c r="I140" s="7">
        <v>7.0000000000000007E-2</v>
      </c>
      <c r="J140" s="7">
        <v>1.6500000000000001E-2</v>
      </c>
      <c r="K140" s="7">
        <v>7.5999999999999998E-2</v>
      </c>
      <c r="L140" s="7">
        <v>0</v>
      </c>
      <c r="M140" s="11">
        <f t="shared" si="2"/>
        <v>31.545500000000001</v>
      </c>
      <c r="N140" s="11">
        <f t="shared" si="3"/>
        <v>6.9152242499999996</v>
      </c>
      <c r="O140" s="11">
        <f t="shared" si="4"/>
        <v>31.851941999999998</v>
      </c>
      <c r="P140" s="11">
        <f t="shared" si="16"/>
        <v>0</v>
      </c>
    </row>
    <row r="141" spans="1:16" ht="15" customHeight="1">
      <c r="A141" s="44"/>
      <c r="B141" s="5">
        <f t="shared" si="18"/>
        <v>45778</v>
      </c>
      <c r="C141" s="218" t="s">
        <v>533</v>
      </c>
      <c r="D141" s="195">
        <v>22957</v>
      </c>
      <c r="E141" s="186"/>
      <c r="F141" s="2">
        <v>37.39</v>
      </c>
      <c r="G141" s="3">
        <f t="shared" si="17"/>
        <v>31.556225250000001</v>
      </c>
      <c r="H141" s="187"/>
      <c r="I141" s="7">
        <v>7.0000000000000007E-2</v>
      </c>
      <c r="J141" s="7">
        <v>1.6500000000000001E-2</v>
      </c>
      <c r="K141" s="7">
        <v>7.5999999999999998E-2</v>
      </c>
      <c r="L141" s="7">
        <v>0</v>
      </c>
      <c r="M141" s="11">
        <f t="shared" si="2"/>
        <v>2.6173000000000002</v>
      </c>
      <c r="N141" s="11">
        <f t="shared" si="3"/>
        <v>0.57374955000000005</v>
      </c>
      <c r="O141" s="11">
        <f t="shared" si="4"/>
        <v>2.6427252000000001</v>
      </c>
      <c r="P141" s="11">
        <f t="shared" si="16"/>
        <v>0</v>
      </c>
    </row>
    <row r="142" spans="1:16" ht="15" customHeight="1">
      <c r="A142" s="44"/>
      <c r="B142" s="5">
        <f t="shared" si="18"/>
        <v>45778</v>
      </c>
      <c r="C142" s="218" t="s">
        <v>533</v>
      </c>
      <c r="D142" s="195">
        <v>21495</v>
      </c>
      <c r="E142" s="186"/>
      <c r="F142" s="2">
        <v>137403.32999999999</v>
      </c>
      <c r="G142" s="3">
        <f t="shared" si="17"/>
        <v>109730.29933799998</v>
      </c>
      <c r="H142" s="187"/>
      <c r="I142" s="7">
        <v>0.12</v>
      </c>
      <c r="J142" s="7">
        <v>1.6500000000000001E-2</v>
      </c>
      <c r="K142" s="7">
        <v>7.5999999999999998E-2</v>
      </c>
      <c r="L142" s="7">
        <v>0</v>
      </c>
      <c r="M142" s="11">
        <f t="shared" si="2"/>
        <v>16488.399599999997</v>
      </c>
      <c r="N142" s="11">
        <f t="shared" si="3"/>
        <v>1995.0963515999997</v>
      </c>
      <c r="O142" s="11">
        <f t="shared" si="4"/>
        <v>9189.5347103999993</v>
      </c>
      <c r="P142" s="11">
        <f t="shared" si="16"/>
        <v>0</v>
      </c>
    </row>
    <row r="143" spans="1:16" ht="15" customHeight="1">
      <c r="A143" s="44"/>
      <c r="B143" s="5">
        <f t="shared" si="18"/>
        <v>45778</v>
      </c>
      <c r="C143" s="218" t="s">
        <v>533</v>
      </c>
      <c r="D143" s="195">
        <v>21496</v>
      </c>
      <c r="E143" s="186"/>
      <c r="F143" s="2">
        <v>27240.79</v>
      </c>
      <c r="G143" s="3">
        <f t="shared" si="17"/>
        <v>21754.494893999999</v>
      </c>
      <c r="H143" s="187"/>
      <c r="I143" s="7">
        <v>0.12</v>
      </c>
      <c r="J143" s="7">
        <v>1.6500000000000001E-2</v>
      </c>
      <c r="K143" s="7">
        <v>7.5999999999999998E-2</v>
      </c>
      <c r="L143" s="7">
        <v>0</v>
      </c>
      <c r="M143" s="11">
        <f t="shared" si="2"/>
        <v>3268.8948</v>
      </c>
      <c r="N143" s="11">
        <f t="shared" si="3"/>
        <v>395.53627080000001</v>
      </c>
      <c r="O143" s="11">
        <f t="shared" si="4"/>
        <v>1821.8640352</v>
      </c>
      <c r="P143" s="11">
        <f t="shared" si="16"/>
        <v>0</v>
      </c>
    </row>
    <row r="144" spans="1:16" ht="15" customHeight="1">
      <c r="A144" s="44"/>
      <c r="B144" s="5">
        <f t="shared" si="18"/>
        <v>45778</v>
      </c>
      <c r="C144" s="218" t="s">
        <v>533</v>
      </c>
      <c r="D144" s="195">
        <v>21497</v>
      </c>
      <c r="E144" s="186"/>
      <c r="F144" s="2">
        <v>6911.06</v>
      </c>
      <c r="G144" s="3">
        <f t="shared" ref="G144:G176" si="19">F144-SUM(M144:P144)</f>
        <v>5519.1725160000005</v>
      </c>
      <c r="H144" s="187"/>
      <c r="I144" s="7">
        <v>0.12</v>
      </c>
      <c r="J144" s="7">
        <v>1.6500000000000001E-2</v>
      </c>
      <c r="K144" s="7">
        <v>7.5999999999999998E-2</v>
      </c>
      <c r="L144" s="7">
        <v>0</v>
      </c>
      <c r="M144" s="11">
        <f t="shared" ref="M144:M176" si="20">+I144*F144</f>
        <v>829.32720000000006</v>
      </c>
      <c r="N144" s="11">
        <f t="shared" ref="N144:N176" si="21">J144*(F144-M144)</f>
        <v>100.34859120000002</v>
      </c>
      <c r="O144" s="11">
        <f t="shared" ref="O144:O176" si="22">K144*(F144-M144)</f>
        <v>462.21169280000004</v>
      </c>
      <c r="P144" s="11">
        <f t="shared" ref="P144:P176" si="23">L144*(F144)</f>
        <v>0</v>
      </c>
    </row>
    <row r="145" spans="1:16" ht="15" customHeight="1">
      <c r="A145" s="44"/>
      <c r="B145" s="5">
        <f t="shared" si="18"/>
        <v>45778</v>
      </c>
      <c r="C145" s="218" t="s">
        <v>533</v>
      </c>
      <c r="D145" s="195">
        <v>10699</v>
      </c>
      <c r="E145" s="186"/>
      <c r="F145" s="2">
        <v>52489.05</v>
      </c>
      <c r="G145" s="3">
        <f t="shared" si="19"/>
        <v>41917.75533</v>
      </c>
      <c r="H145" s="187"/>
      <c r="I145" s="7">
        <v>0.12</v>
      </c>
      <c r="J145" s="7">
        <v>1.6500000000000001E-2</v>
      </c>
      <c r="K145" s="7">
        <v>7.5999999999999998E-2</v>
      </c>
      <c r="L145" s="7">
        <v>0</v>
      </c>
      <c r="M145" s="11">
        <f t="shared" si="20"/>
        <v>6298.6859999999997</v>
      </c>
      <c r="N145" s="11">
        <f t="shared" si="21"/>
        <v>762.14100600000006</v>
      </c>
      <c r="O145" s="11">
        <f t="shared" si="22"/>
        <v>3510.4676640000002</v>
      </c>
      <c r="P145" s="11">
        <f t="shared" si="23"/>
        <v>0</v>
      </c>
    </row>
    <row r="146" spans="1:16" ht="15" customHeight="1">
      <c r="A146" s="44"/>
      <c r="B146" s="5">
        <f t="shared" si="18"/>
        <v>45778</v>
      </c>
      <c r="C146" s="218" t="s">
        <v>533</v>
      </c>
      <c r="D146" s="195">
        <v>10700</v>
      </c>
      <c r="E146" s="186"/>
      <c r="F146" s="2">
        <v>7638.63</v>
      </c>
      <c r="G146" s="3">
        <f t="shared" si="19"/>
        <v>6100.2099180000005</v>
      </c>
      <c r="H146" s="187"/>
      <c r="I146" s="7">
        <v>0.12</v>
      </c>
      <c r="J146" s="7">
        <v>1.6500000000000001E-2</v>
      </c>
      <c r="K146" s="7">
        <v>7.5999999999999998E-2</v>
      </c>
      <c r="L146" s="7">
        <v>0</v>
      </c>
      <c r="M146" s="11">
        <f t="shared" si="20"/>
        <v>916.63559999999995</v>
      </c>
      <c r="N146" s="11">
        <f t="shared" si="21"/>
        <v>110.91290760000001</v>
      </c>
      <c r="O146" s="11">
        <f t="shared" si="22"/>
        <v>510.87157440000004</v>
      </c>
      <c r="P146" s="11">
        <f t="shared" si="23"/>
        <v>0</v>
      </c>
    </row>
    <row r="147" spans="1:16" ht="15" customHeight="1">
      <c r="A147" s="44"/>
      <c r="B147" s="5">
        <f t="shared" si="18"/>
        <v>45778</v>
      </c>
      <c r="C147" s="218" t="s">
        <v>533</v>
      </c>
      <c r="D147" s="195">
        <v>10702</v>
      </c>
      <c r="E147" s="186"/>
      <c r="F147" s="2">
        <v>38950.559999999998</v>
      </c>
      <c r="G147" s="3">
        <f t="shared" si="19"/>
        <v>31105.917215999998</v>
      </c>
      <c r="H147" s="187"/>
      <c r="I147" s="7">
        <v>0.12</v>
      </c>
      <c r="J147" s="7">
        <v>1.6500000000000001E-2</v>
      </c>
      <c r="K147" s="7">
        <v>7.5999999999999998E-2</v>
      </c>
      <c r="L147" s="7">
        <v>0</v>
      </c>
      <c r="M147" s="11">
        <f t="shared" si="20"/>
        <v>4674.0671999999995</v>
      </c>
      <c r="N147" s="11">
        <f t="shared" si="21"/>
        <v>565.56213120000007</v>
      </c>
      <c r="O147" s="11">
        <f t="shared" si="22"/>
        <v>2605.0134527999999</v>
      </c>
      <c r="P147" s="11">
        <f t="shared" si="23"/>
        <v>0</v>
      </c>
    </row>
    <row r="148" spans="1:16" ht="15" customHeight="1">
      <c r="A148" s="44"/>
      <c r="B148" s="5">
        <f t="shared" si="18"/>
        <v>45778</v>
      </c>
      <c r="C148" s="218" t="s">
        <v>533</v>
      </c>
      <c r="D148" s="195">
        <v>10703</v>
      </c>
      <c r="E148" s="186"/>
      <c r="F148" s="2">
        <v>4269.28</v>
      </c>
      <c r="G148" s="3">
        <f t="shared" si="19"/>
        <v>3409.4470079999996</v>
      </c>
      <c r="H148" s="187"/>
      <c r="I148" s="7">
        <v>0.12</v>
      </c>
      <c r="J148" s="7">
        <v>1.6500000000000001E-2</v>
      </c>
      <c r="K148" s="7">
        <v>7.5999999999999998E-2</v>
      </c>
      <c r="L148" s="7">
        <v>0</v>
      </c>
      <c r="M148" s="11">
        <f t="shared" si="20"/>
        <v>512.31359999999995</v>
      </c>
      <c r="N148" s="11">
        <f t="shared" si="21"/>
        <v>61.989945599999999</v>
      </c>
      <c r="O148" s="11">
        <f t="shared" si="22"/>
        <v>285.52944639999998</v>
      </c>
      <c r="P148" s="11">
        <f t="shared" si="23"/>
        <v>0</v>
      </c>
    </row>
    <row r="149" spans="1:16" ht="15" customHeight="1">
      <c r="A149" s="44"/>
      <c r="B149" s="5">
        <f t="shared" si="18"/>
        <v>45778</v>
      </c>
      <c r="C149" s="218" t="s">
        <v>533</v>
      </c>
      <c r="D149" s="195">
        <v>10704</v>
      </c>
      <c r="E149" s="186"/>
      <c r="F149" s="2">
        <v>4.4400000000000004</v>
      </c>
      <c r="G149" s="3">
        <f t="shared" si="19"/>
        <v>3.5457840000000003</v>
      </c>
      <c r="H149" s="187"/>
      <c r="I149" s="7">
        <v>0.12</v>
      </c>
      <c r="J149" s="7">
        <v>1.6500000000000001E-2</v>
      </c>
      <c r="K149" s="7">
        <v>7.5999999999999998E-2</v>
      </c>
      <c r="L149" s="7">
        <v>0</v>
      </c>
      <c r="M149" s="11">
        <f t="shared" si="20"/>
        <v>0.53280000000000005</v>
      </c>
      <c r="N149" s="11">
        <f t="shared" si="21"/>
        <v>6.4468800000000007E-2</v>
      </c>
      <c r="O149" s="11">
        <f t="shared" si="22"/>
        <v>0.29694720000000002</v>
      </c>
      <c r="P149" s="11">
        <f t="shared" si="23"/>
        <v>0</v>
      </c>
    </row>
    <row r="150" spans="1:16" ht="15" customHeight="1">
      <c r="A150" s="44"/>
      <c r="B150" s="5">
        <f t="shared" si="18"/>
        <v>45778</v>
      </c>
      <c r="C150" s="218" t="s">
        <v>533</v>
      </c>
      <c r="D150" s="195">
        <v>10705</v>
      </c>
      <c r="E150" s="186"/>
      <c r="F150" s="2">
        <v>11698</v>
      </c>
      <c r="G150" s="3">
        <f t="shared" si="19"/>
        <v>9342.0228000000006</v>
      </c>
      <c r="H150" s="187"/>
      <c r="I150" s="7">
        <v>0.12</v>
      </c>
      <c r="J150" s="7">
        <v>1.6500000000000001E-2</v>
      </c>
      <c r="K150" s="7">
        <v>7.5999999999999998E-2</v>
      </c>
      <c r="L150" s="7">
        <v>0</v>
      </c>
      <c r="M150" s="11">
        <f t="shared" si="20"/>
        <v>1403.76</v>
      </c>
      <c r="N150" s="11">
        <f t="shared" si="21"/>
        <v>169.85496000000001</v>
      </c>
      <c r="O150" s="11">
        <f t="shared" si="22"/>
        <v>782.36223999999993</v>
      </c>
      <c r="P150" s="11">
        <f t="shared" si="23"/>
        <v>0</v>
      </c>
    </row>
    <row r="151" spans="1:16" ht="15" customHeight="1">
      <c r="A151" s="44"/>
      <c r="B151" s="5">
        <f t="shared" si="18"/>
        <v>45778</v>
      </c>
      <c r="C151" s="218" t="s">
        <v>533</v>
      </c>
      <c r="D151" s="195">
        <v>10706</v>
      </c>
      <c r="E151" s="186"/>
      <c r="F151" s="2">
        <v>1293.74</v>
      </c>
      <c r="G151" s="3">
        <f t="shared" si="19"/>
        <v>1033.180764</v>
      </c>
      <c r="H151" s="187"/>
      <c r="I151" s="7">
        <v>0.12</v>
      </c>
      <c r="J151" s="7">
        <v>1.6500000000000001E-2</v>
      </c>
      <c r="K151" s="7">
        <v>7.5999999999999998E-2</v>
      </c>
      <c r="L151" s="7">
        <v>0</v>
      </c>
      <c r="M151" s="11">
        <f t="shared" si="20"/>
        <v>155.24879999999999</v>
      </c>
      <c r="N151" s="11">
        <f t="shared" si="21"/>
        <v>18.785104799999999</v>
      </c>
      <c r="O151" s="11">
        <f t="shared" si="22"/>
        <v>86.525331199999997</v>
      </c>
      <c r="P151" s="11">
        <f t="shared" si="23"/>
        <v>0</v>
      </c>
    </row>
    <row r="152" spans="1:16" ht="15" customHeight="1">
      <c r="A152" s="44"/>
      <c r="B152" s="5">
        <f t="shared" si="18"/>
        <v>45778</v>
      </c>
      <c r="C152" s="218" t="s">
        <v>533</v>
      </c>
      <c r="D152" s="195">
        <v>10707</v>
      </c>
      <c r="E152" s="186"/>
      <c r="F152" s="2">
        <v>1.36</v>
      </c>
      <c r="G152" s="3">
        <f t="shared" si="19"/>
        <v>1.086096</v>
      </c>
      <c r="H152" s="187"/>
      <c r="I152" s="7">
        <v>0.12</v>
      </c>
      <c r="J152" s="7">
        <v>1.6500000000000001E-2</v>
      </c>
      <c r="K152" s="7">
        <v>7.5999999999999998E-2</v>
      </c>
      <c r="L152" s="7">
        <v>0</v>
      </c>
      <c r="M152" s="11">
        <f t="shared" si="20"/>
        <v>0.16320000000000001</v>
      </c>
      <c r="N152" s="11">
        <f t="shared" si="21"/>
        <v>1.9747200000000003E-2</v>
      </c>
      <c r="O152" s="11">
        <f t="shared" si="22"/>
        <v>9.0956800000000004E-2</v>
      </c>
      <c r="P152" s="11">
        <f t="shared" si="23"/>
        <v>0</v>
      </c>
    </row>
    <row r="153" spans="1:16" ht="15" customHeight="1">
      <c r="A153" s="44"/>
      <c r="B153" s="5">
        <f t="shared" si="18"/>
        <v>45778</v>
      </c>
      <c r="C153" s="218" t="s">
        <v>533</v>
      </c>
      <c r="D153" s="195">
        <v>10708</v>
      </c>
      <c r="E153" s="186"/>
      <c r="F153" s="2">
        <v>8064.21</v>
      </c>
      <c r="G153" s="3">
        <f t="shared" si="19"/>
        <v>6440.0781059999999</v>
      </c>
      <c r="H153" s="187"/>
      <c r="I153" s="7">
        <v>0.12</v>
      </c>
      <c r="J153" s="7">
        <v>1.6500000000000001E-2</v>
      </c>
      <c r="K153" s="7">
        <v>7.5999999999999998E-2</v>
      </c>
      <c r="L153" s="7">
        <v>0</v>
      </c>
      <c r="M153" s="11">
        <f t="shared" si="20"/>
        <v>967.70519999999999</v>
      </c>
      <c r="N153" s="11">
        <f t="shared" si="21"/>
        <v>117.09232919999999</v>
      </c>
      <c r="O153" s="11">
        <f t="shared" si="22"/>
        <v>539.3343648</v>
      </c>
      <c r="P153" s="11">
        <f t="shared" si="23"/>
        <v>0</v>
      </c>
    </row>
    <row r="154" spans="1:16" ht="15" customHeight="1">
      <c r="A154" s="44"/>
      <c r="B154" s="5">
        <f t="shared" si="18"/>
        <v>45778</v>
      </c>
      <c r="C154" s="218" t="s">
        <v>533</v>
      </c>
      <c r="D154" s="195">
        <v>10646</v>
      </c>
      <c r="E154" s="186"/>
      <c r="F154" s="2">
        <v>854.56</v>
      </c>
      <c r="G154" s="3">
        <f t="shared" si="19"/>
        <v>682.45161599999994</v>
      </c>
      <c r="H154" s="187"/>
      <c r="I154" s="7">
        <v>0.12</v>
      </c>
      <c r="J154" s="7">
        <v>1.6500000000000001E-2</v>
      </c>
      <c r="K154" s="7">
        <v>7.5999999999999998E-2</v>
      </c>
      <c r="L154" s="7">
        <v>0</v>
      </c>
      <c r="M154" s="11">
        <f t="shared" si="20"/>
        <v>102.54719999999999</v>
      </c>
      <c r="N154" s="11">
        <f t="shared" si="21"/>
        <v>12.4082112</v>
      </c>
      <c r="O154" s="11">
        <f t="shared" si="22"/>
        <v>57.152972799999993</v>
      </c>
      <c r="P154" s="11">
        <f t="shared" si="23"/>
        <v>0</v>
      </c>
    </row>
    <row r="155" spans="1:16" ht="15" customHeight="1">
      <c r="A155" s="44"/>
      <c r="B155" s="5">
        <f t="shared" si="18"/>
        <v>45778</v>
      </c>
      <c r="C155" s="218" t="s">
        <v>533</v>
      </c>
      <c r="D155" s="195">
        <v>10647</v>
      </c>
      <c r="E155" s="186"/>
      <c r="F155" s="2">
        <v>34349.160000000003</v>
      </c>
      <c r="G155" s="3">
        <f t="shared" si="19"/>
        <v>27431.239176000003</v>
      </c>
      <c r="H155" s="187"/>
      <c r="I155" s="7">
        <v>0.12</v>
      </c>
      <c r="J155" s="7">
        <v>1.6500000000000001E-2</v>
      </c>
      <c r="K155" s="7">
        <v>7.5999999999999998E-2</v>
      </c>
      <c r="L155" s="7">
        <v>0</v>
      </c>
      <c r="M155" s="11">
        <f t="shared" si="20"/>
        <v>4121.8991999999998</v>
      </c>
      <c r="N155" s="11">
        <f t="shared" si="21"/>
        <v>498.74980320000009</v>
      </c>
      <c r="O155" s="11">
        <f t="shared" si="22"/>
        <v>2297.2718208000001</v>
      </c>
      <c r="P155" s="11">
        <f t="shared" si="23"/>
        <v>0</v>
      </c>
    </row>
    <row r="156" spans="1:16" ht="15" customHeight="1">
      <c r="A156" s="44"/>
      <c r="B156" s="5">
        <f t="shared" si="18"/>
        <v>45778</v>
      </c>
      <c r="C156" s="218" t="s">
        <v>533</v>
      </c>
      <c r="D156" s="195">
        <v>10648</v>
      </c>
      <c r="E156" s="186"/>
      <c r="F156" s="2">
        <v>3971.29</v>
      </c>
      <c r="G156" s="3">
        <f t="shared" si="19"/>
        <v>3171.4721939999999</v>
      </c>
      <c r="H156" s="187"/>
      <c r="I156" s="7">
        <v>0.12</v>
      </c>
      <c r="J156" s="7">
        <v>1.6500000000000001E-2</v>
      </c>
      <c r="K156" s="7">
        <v>7.5999999999999998E-2</v>
      </c>
      <c r="L156" s="7">
        <v>0</v>
      </c>
      <c r="M156" s="11">
        <f t="shared" si="20"/>
        <v>476.5548</v>
      </c>
      <c r="N156" s="11">
        <f t="shared" si="21"/>
        <v>57.663130800000005</v>
      </c>
      <c r="O156" s="11">
        <f t="shared" si="22"/>
        <v>265.59987519999999</v>
      </c>
      <c r="P156" s="11">
        <f t="shared" si="23"/>
        <v>0</v>
      </c>
    </row>
    <row r="157" spans="1:16" ht="15" customHeight="1">
      <c r="A157" s="44"/>
      <c r="B157" s="5">
        <f t="shared" si="18"/>
        <v>45778</v>
      </c>
      <c r="C157" s="218" t="s">
        <v>533</v>
      </c>
      <c r="D157" s="195">
        <v>10649</v>
      </c>
      <c r="E157" s="186"/>
      <c r="F157" s="2">
        <v>3.9</v>
      </c>
      <c r="G157" s="3">
        <f t="shared" si="19"/>
        <v>3.1145399999999999</v>
      </c>
      <c r="H157" s="187"/>
      <c r="I157" s="7">
        <v>0.12</v>
      </c>
      <c r="J157" s="7">
        <v>1.6500000000000001E-2</v>
      </c>
      <c r="K157" s="7">
        <v>7.5999999999999998E-2</v>
      </c>
      <c r="L157" s="7">
        <v>0</v>
      </c>
      <c r="M157" s="11">
        <f t="shared" si="20"/>
        <v>0.46799999999999997</v>
      </c>
      <c r="N157" s="11">
        <f t="shared" si="21"/>
        <v>5.6628000000000005E-2</v>
      </c>
      <c r="O157" s="11">
        <f t="shared" si="22"/>
        <v>0.26083200000000001</v>
      </c>
      <c r="P157" s="11">
        <f t="shared" si="23"/>
        <v>0</v>
      </c>
    </row>
    <row r="158" spans="1:16" ht="15" customHeight="1">
      <c r="A158" s="44"/>
      <c r="B158" s="5">
        <f t="shared" si="18"/>
        <v>45778</v>
      </c>
      <c r="C158" s="218" t="s">
        <v>533</v>
      </c>
      <c r="D158" s="195">
        <v>10650</v>
      </c>
      <c r="E158" s="186"/>
      <c r="F158" s="2">
        <v>14790.66</v>
      </c>
      <c r="G158" s="3">
        <f t="shared" si="19"/>
        <v>11811.821076</v>
      </c>
      <c r="H158" s="187"/>
      <c r="I158" s="7">
        <v>0.12</v>
      </c>
      <c r="J158" s="7">
        <v>1.6500000000000001E-2</v>
      </c>
      <c r="K158" s="7">
        <v>7.5999999999999998E-2</v>
      </c>
      <c r="L158" s="7">
        <v>0</v>
      </c>
      <c r="M158" s="11">
        <f t="shared" si="20"/>
        <v>1774.8791999999999</v>
      </c>
      <c r="N158" s="11">
        <f t="shared" si="21"/>
        <v>214.76038320000001</v>
      </c>
      <c r="O158" s="11">
        <f t="shared" si="22"/>
        <v>989.19934079999996</v>
      </c>
      <c r="P158" s="11">
        <f t="shared" si="23"/>
        <v>0</v>
      </c>
    </row>
    <row r="159" spans="1:16" ht="15" customHeight="1">
      <c r="A159" s="44"/>
      <c r="B159" s="5">
        <f t="shared" si="18"/>
        <v>45778</v>
      </c>
      <c r="C159" s="218" t="s">
        <v>533</v>
      </c>
      <c r="D159" s="195">
        <v>10657</v>
      </c>
      <c r="E159" s="186"/>
      <c r="F159" s="2">
        <v>1632.38</v>
      </c>
      <c r="G159" s="3">
        <f t="shared" si="19"/>
        <v>1303.6186680000001</v>
      </c>
      <c r="H159" s="187"/>
      <c r="I159" s="7">
        <v>0.12</v>
      </c>
      <c r="J159" s="7">
        <v>1.6500000000000001E-2</v>
      </c>
      <c r="K159" s="7">
        <v>7.5999999999999998E-2</v>
      </c>
      <c r="L159" s="7">
        <v>0</v>
      </c>
      <c r="M159" s="11">
        <f t="shared" si="20"/>
        <v>195.88560000000001</v>
      </c>
      <c r="N159" s="11">
        <f t="shared" si="21"/>
        <v>23.702157600000003</v>
      </c>
      <c r="O159" s="11">
        <f t="shared" si="22"/>
        <v>109.17357440000001</v>
      </c>
      <c r="P159" s="11">
        <f t="shared" si="23"/>
        <v>0</v>
      </c>
    </row>
    <row r="160" spans="1:16" ht="15" customHeight="1">
      <c r="A160" s="44"/>
      <c r="B160" s="5">
        <f t="shared" si="18"/>
        <v>45778</v>
      </c>
      <c r="C160" s="218" t="s">
        <v>533</v>
      </c>
      <c r="D160" s="195">
        <v>10658</v>
      </c>
      <c r="E160" s="186"/>
      <c r="F160" s="2">
        <v>1.7</v>
      </c>
      <c r="G160" s="3">
        <f t="shared" si="19"/>
        <v>1.3576199999999998</v>
      </c>
      <c r="H160" s="187"/>
      <c r="I160" s="7">
        <v>0.12</v>
      </c>
      <c r="J160" s="7">
        <v>1.6500000000000001E-2</v>
      </c>
      <c r="K160" s="7">
        <v>7.5999999999999998E-2</v>
      </c>
      <c r="L160" s="7">
        <v>0</v>
      </c>
      <c r="M160" s="11">
        <f t="shared" si="20"/>
        <v>0.20399999999999999</v>
      </c>
      <c r="N160" s="11">
        <f t="shared" si="21"/>
        <v>2.4684000000000001E-2</v>
      </c>
      <c r="O160" s="11">
        <f t="shared" si="22"/>
        <v>0.11369599999999999</v>
      </c>
      <c r="P160" s="11">
        <f t="shared" si="23"/>
        <v>0</v>
      </c>
    </row>
    <row r="161" spans="1:16" ht="15" customHeight="1">
      <c r="A161" s="44"/>
      <c r="B161" s="5">
        <f t="shared" si="18"/>
        <v>45778</v>
      </c>
      <c r="C161" s="218" t="s">
        <v>533</v>
      </c>
      <c r="D161" s="195">
        <v>10659</v>
      </c>
      <c r="E161" s="186"/>
      <c r="F161" s="2">
        <v>38370.85</v>
      </c>
      <c r="G161" s="3">
        <f t="shared" si="19"/>
        <v>30642.96081</v>
      </c>
      <c r="H161" s="187"/>
      <c r="I161" s="7">
        <v>0.12</v>
      </c>
      <c r="J161" s="7">
        <v>1.6500000000000001E-2</v>
      </c>
      <c r="K161" s="7">
        <v>7.5999999999999998E-2</v>
      </c>
      <c r="L161" s="7">
        <v>0</v>
      </c>
      <c r="M161" s="11">
        <f t="shared" si="20"/>
        <v>4604.5019999999995</v>
      </c>
      <c r="N161" s="11">
        <f t="shared" si="21"/>
        <v>557.14474199999995</v>
      </c>
      <c r="O161" s="11">
        <f t="shared" si="22"/>
        <v>2566.242448</v>
      </c>
      <c r="P161" s="11">
        <f t="shared" si="23"/>
        <v>0</v>
      </c>
    </row>
    <row r="162" spans="1:16" ht="15" customHeight="1">
      <c r="A162" s="44"/>
      <c r="B162" s="5">
        <f t="shared" si="18"/>
        <v>45778</v>
      </c>
      <c r="C162" s="218" t="s">
        <v>533</v>
      </c>
      <c r="D162" s="195">
        <v>10660</v>
      </c>
      <c r="E162" s="186"/>
      <c r="F162" s="2">
        <v>4150.22</v>
      </c>
      <c r="G162" s="3">
        <f t="shared" si="19"/>
        <v>3314.3656920000003</v>
      </c>
      <c r="H162" s="187"/>
      <c r="I162" s="7">
        <v>0.12</v>
      </c>
      <c r="J162" s="7">
        <v>1.6500000000000001E-2</v>
      </c>
      <c r="K162" s="7">
        <v>7.5999999999999998E-2</v>
      </c>
      <c r="L162" s="7">
        <v>0</v>
      </c>
      <c r="M162" s="11">
        <f t="shared" si="20"/>
        <v>498.02640000000002</v>
      </c>
      <c r="N162" s="11">
        <f t="shared" si="21"/>
        <v>60.261194400000001</v>
      </c>
      <c r="O162" s="11">
        <f t="shared" si="22"/>
        <v>277.56671360000001</v>
      </c>
      <c r="P162" s="11">
        <f t="shared" si="23"/>
        <v>0</v>
      </c>
    </row>
    <row r="163" spans="1:16" ht="15" customHeight="1">
      <c r="A163" s="44"/>
      <c r="B163" s="5">
        <f t="shared" si="18"/>
        <v>45778</v>
      </c>
      <c r="C163" s="218" t="s">
        <v>533</v>
      </c>
      <c r="D163" s="195">
        <v>10669</v>
      </c>
      <c r="E163" s="186"/>
      <c r="F163" s="2">
        <v>4.7300000000000004</v>
      </c>
      <c r="G163" s="3">
        <f t="shared" si="19"/>
        <v>3.7773780000000006</v>
      </c>
      <c r="H163" s="187"/>
      <c r="I163" s="7">
        <v>0.12</v>
      </c>
      <c r="J163" s="7">
        <v>1.6500000000000001E-2</v>
      </c>
      <c r="K163" s="7">
        <v>7.5999999999999998E-2</v>
      </c>
      <c r="L163" s="7">
        <v>0</v>
      </c>
      <c r="M163" s="11">
        <f t="shared" si="20"/>
        <v>0.56759999999999999</v>
      </c>
      <c r="N163" s="11">
        <f t="shared" si="21"/>
        <v>6.8679600000000021E-2</v>
      </c>
      <c r="O163" s="11">
        <f t="shared" si="22"/>
        <v>0.31634240000000002</v>
      </c>
      <c r="P163" s="11">
        <f t="shared" si="23"/>
        <v>0</v>
      </c>
    </row>
    <row r="164" spans="1:16" ht="15" customHeight="1">
      <c r="A164" s="44"/>
      <c r="B164" s="5">
        <f t="shared" si="18"/>
        <v>45778</v>
      </c>
      <c r="C164" s="218" t="s">
        <v>533</v>
      </c>
      <c r="D164" s="195">
        <v>10670</v>
      </c>
      <c r="E164" s="186"/>
      <c r="F164" s="2">
        <v>42077.51</v>
      </c>
      <c r="G164" s="3">
        <f t="shared" si="19"/>
        <v>33603.099486000006</v>
      </c>
      <c r="H164" s="187"/>
      <c r="I164" s="7">
        <v>0.12</v>
      </c>
      <c r="J164" s="7">
        <v>1.6500000000000001E-2</v>
      </c>
      <c r="K164" s="7">
        <v>7.5999999999999998E-2</v>
      </c>
      <c r="L164" s="7">
        <v>0</v>
      </c>
      <c r="M164" s="11">
        <f t="shared" si="20"/>
        <v>5049.3011999999999</v>
      </c>
      <c r="N164" s="11">
        <f t="shared" si="21"/>
        <v>610.96544520000009</v>
      </c>
      <c r="O164" s="11">
        <f t="shared" si="22"/>
        <v>2814.1438687999998</v>
      </c>
      <c r="P164" s="11">
        <f t="shared" si="23"/>
        <v>0</v>
      </c>
    </row>
    <row r="165" spans="1:16" ht="15" customHeight="1">
      <c r="A165" s="44"/>
      <c r="B165" s="5">
        <f t="shared" si="18"/>
        <v>45778</v>
      </c>
      <c r="C165" s="218" t="s">
        <v>533</v>
      </c>
      <c r="D165" s="195">
        <v>10671</v>
      </c>
      <c r="E165" s="186"/>
      <c r="F165" s="2">
        <v>6065.33</v>
      </c>
      <c r="G165" s="3">
        <f t="shared" si="19"/>
        <v>4843.7725380000002</v>
      </c>
      <c r="H165" s="187"/>
      <c r="I165" s="7">
        <v>0.12</v>
      </c>
      <c r="J165" s="7">
        <v>1.6500000000000001E-2</v>
      </c>
      <c r="K165" s="7">
        <v>7.5999999999999998E-2</v>
      </c>
      <c r="L165" s="7">
        <v>0</v>
      </c>
      <c r="M165" s="11">
        <f t="shared" si="20"/>
        <v>727.83960000000002</v>
      </c>
      <c r="N165" s="11">
        <f t="shared" si="21"/>
        <v>88.068591600000005</v>
      </c>
      <c r="O165" s="11">
        <f t="shared" si="22"/>
        <v>405.64927039999998</v>
      </c>
      <c r="P165" s="11">
        <f t="shared" si="23"/>
        <v>0</v>
      </c>
    </row>
    <row r="166" spans="1:16" ht="15" customHeight="1">
      <c r="A166" s="44"/>
      <c r="B166" s="5">
        <f t="shared" si="18"/>
        <v>45778</v>
      </c>
      <c r="C166" s="218" t="s">
        <v>533</v>
      </c>
      <c r="D166" s="195">
        <v>22846</v>
      </c>
      <c r="E166" s="186"/>
      <c r="F166" s="2">
        <v>58133.89</v>
      </c>
      <c r="G166" s="3">
        <f t="shared" si="19"/>
        <v>49063.549812750003</v>
      </c>
      <c r="H166" s="187"/>
      <c r="I166" s="7">
        <v>7.0000000000000007E-2</v>
      </c>
      <c r="J166" s="7">
        <v>1.6500000000000001E-2</v>
      </c>
      <c r="K166" s="7">
        <v>7.5999999999999998E-2</v>
      </c>
      <c r="L166" s="7">
        <v>0</v>
      </c>
      <c r="M166" s="11">
        <f t="shared" si="20"/>
        <v>4069.3723000000005</v>
      </c>
      <c r="N166" s="11">
        <f t="shared" si="21"/>
        <v>892.06454205</v>
      </c>
      <c r="O166" s="11">
        <f t="shared" si="22"/>
        <v>4108.9033451999994</v>
      </c>
      <c r="P166" s="11">
        <f t="shared" si="23"/>
        <v>0</v>
      </c>
    </row>
    <row r="167" spans="1:16" ht="15" customHeight="1">
      <c r="A167" s="44"/>
      <c r="B167" s="5">
        <f t="shared" si="18"/>
        <v>45778</v>
      </c>
      <c r="C167" s="218" t="s">
        <v>533</v>
      </c>
      <c r="D167" s="195">
        <v>22847</v>
      </c>
      <c r="E167" s="186"/>
      <c r="F167" s="2">
        <v>20302.48</v>
      </c>
      <c r="G167" s="3">
        <f t="shared" si="19"/>
        <v>17134.785558</v>
      </c>
      <c r="H167" s="187"/>
      <c r="I167" s="7">
        <v>7.0000000000000007E-2</v>
      </c>
      <c r="J167" s="7">
        <v>1.6500000000000001E-2</v>
      </c>
      <c r="K167" s="7">
        <v>7.5999999999999998E-2</v>
      </c>
      <c r="L167" s="7">
        <v>0</v>
      </c>
      <c r="M167" s="11">
        <f t="shared" si="20"/>
        <v>1421.1736000000001</v>
      </c>
      <c r="N167" s="11">
        <f t="shared" si="21"/>
        <v>311.54155560000004</v>
      </c>
      <c r="O167" s="11">
        <f t="shared" si="22"/>
        <v>1434.9792864000001</v>
      </c>
      <c r="P167" s="11">
        <f t="shared" si="23"/>
        <v>0</v>
      </c>
    </row>
    <row r="168" spans="1:16" ht="15" customHeight="1">
      <c r="A168" s="44"/>
      <c r="B168" s="5">
        <f t="shared" si="18"/>
        <v>45778</v>
      </c>
      <c r="C168" s="218" t="s">
        <v>533</v>
      </c>
      <c r="D168" s="195">
        <v>22848</v>
      </c>
      <c r="E168" s="186"/>
      <c r="F168" s="2">
        <v>5.13</v>
      </c>
      <c r="G168" s="3">
        <f t="shared" si="19"/>
        <v>4.3295917499999996</v>
      </c>
      <c r="H168" s="187"/>
      <c r="I168" s="7">
        <v>7.0000000000000007E-2</v>
      </c>
      <c r="J168" s="7">
        <v>1.6500000000000001E-2</v>
      </c>
      <c r="K168" s="7">
        <v>7.5999999999999998E-2</v>
      </c>
      <c r="L168" s="7">
        <v>0</v>
      </c>
      <c r="M168" s="11">
        <f t="shared" si="20"/>
        <v>0.35910000000000003</v>
      </c>
      <c r="N168" s="11">
        <f t="shared" si="21"/>
        <v>7.8719850000000008E-2</v>
      </c>
      <c r="O168" s="11">
        <f t="shared" si="22"/>
        <v>0.36258839999999998</v>
      </c>
      <c r="P168" s="11">
        <f t="shared" si="23"/>
        <v>0</v>
      </c>
    </row>
    <row r="169" spans="1:16" ht="15" customHeight="1">
      <c r="A169" s="44"/>
      <c r="B169" s="5">
        <f t="shared" si="18"/>
        <v>45778</v>
      </c>
      <c r="C169" s="218" t="s">
        <v>533</v>
      </c>
      <c r="D169" s="195">
        <v>22849</v>
      </c>
      <c r="E169" s="186"/>
      <c r="F169" s="2">
        <v>53482.01</v>
      </c>
      <c r="G169" s="3">
        <f t="shared" si="19"/>
        <v>45137.479389750006</v>
      </c>
      <c r="H169" s="187"/>
      <c r="I169" s="7">
        <v>7.0000000000000007E-2</v>
      </c>
      <c r="J169" s="7">
        <v>1.6500000000000001E-2</v>
      </c>
      <c r="K169" s="7">
        <v>7.5999999999999998E-2</v>
      </c>
      <c r="L169" s="7">
        <v>0</v>
      </c>
      <c r="M169" s="11">
        <f t="shared" si="20"/>
        <v>3743.7407000000003</v>
      </c>
      <c r="N169" s="11">
        <f t="shared" si="21"/>
        <v>820.68144345000007</v>
      </c>
      <c r="O169" s="11">
        <f t="shared" si="22"/>
        <v>3780.1084667999999</v>
      </c>
      <c r="P169" s="11">
        <f t="shared" si="23"/>
        <v>0</v>
      </c>
    </row>
    <row r="170" spans="1:16" ht="15" customHeight="1">
      <c r="A170" s="44"/>
      <c r="B170" s="5">
        <f t="shared" si="18"/>
        <v>45778</v>
      </c>
      <c r="C170" s="218" t="s">
        <v>533</v>
      </c>
      <c r="D170" s="195">
        <v>22850</v>
      </c>
      <c r="E170" s="186"/>
      <c r="F170" s="2">
        <v>18164.5</v>
      </c>
      <c r="G170" s="3">
        <f t="shared" si="19"/>
        <v>15330.3838875</v>
      </c>
      <c r="H170" s="187"/>
      <c r="I170" s="7">
        <v>7.0000000000000007E-2</v>
      </c>
      <c r="J170" s="7">
        <v>1.6500000000000001E-2</v>
      </c>
      <c r="K170" s="7">
        <v>7.5999999999999998E-2</v>
      </c>
      <c r="L170" s="7">
        <v>0</v>
      </c>
      <c r="M170" s="11">
        <f t="shared" si="20"/>
        <v>1271.5150000000001</v>
      </c>
      <c r="N170" s="11">
        <f t="shared" si="21"/>
        <v>278.73425250000003</v>
      </c>
      <c r="O170" s="11">
        <f t="shared" si="22"/>
        <v>1283.8668600000001</v>
      </c>
      <c r="P170" s="11">
        <f t="shared" si="23"/>
        <v>0</v>
      </c>
    </row>
    <row r="171" spans="1:16" ht="15" customHeight="1">
      <c r="A171" s="44"/>
      <c r="B171" s="5">
        <f t="shared" si="18"/>
        <v>45778</v>
      </c>
      <c r="C171" s="218" t="s">
        <v>533</v>
      </c>
      <c r="D171" s="195">
        <v>22865</v>
      </c>
      <c r="E171" s="186"/>
      <c r="F171" s="2">
        <v>12923.02</v>
      </c>
      <c r="G171" s="3">
        <f t="shared" si="19"/>
        <v>10906.705804500001</v>
      </c>
      <c r="H171" s="187"/>
      <c r="I171" s="7">
        <v>7.0000000000000007E-2</v>
      </c>
      <c r="J171" s="7">
        <v>1.6500000000000001E-2</v>
      </c>
      <c r="K171" s="7">
        <v>7.5999999999999998E-2</v>
      </c>
      <c r="L171" s="7">
        <v>0</v>
      </c>
      <c r="M171" s="11">
        <f t="shared" si="20"/>
        <v>904.61140000000012</v>
      </c>
      <c r="N171" s="11">
        <f t="shared" si="21"/>
        <v>198.30374190000003</v>
      </c>
      <c r="O171" s="11">
        <f t="shared" si="22"/>
        <v>913.3990536</v>
      </c>
      <c r="P171" s="11">
        <f t="shared" si="23"/>
        <v>0</v>
      </c>
    </row>
    <row r="172" spans="1:16" ht="15" customHeight="1">
      <c r="A172" s="44"/>
      <c r="B172" s="5">
        <f t="shared" si="18"/>
        <v>45778</v>
      </c>
      <c r="C172" s="218" t="s">
        <v>533</v>
      </c>
      <c r="D172" s="195">
        <v>22866</v>
      </c>
      <c r="E172" s="186"/>
      <c r="F172" s="2">
        <v>4389.71</v>
      </c>
      <c r="G172" s="3">
        <f t="shared" si="19"/>
        <v>3704.8054972499999</v>
      </c>
      <c r="H172" s="187"/>
      <c r="I172" s="7">
        <v>7.0000000000000007E-2</v>
      </c>
      <c r="J172" s="7">
        <v>1.6500000000000001E-2</v>
      </c>
      <c r="K172" s="7">
        <v>7.5999999999999998E-2</v>
      </c>
      <c r="L172" s="7">
        <v>0</v>
      </c>
      <c r="M172" s="11">
        <f t="shared" si="20"/>
        <v>307.27970000000005</v>
      </c>
      <c r="N172" s="11">
        <f t="shared" si="21"/>
        <v>67.360099950000006</v>
      </c>
      <c r="O172" s="11">
        <f t="shared" si="22"/>
        <v>310.26470280000001</v>
      </c>
      <c r="P172" s="11">
        <f t="shared" si="23"/>
        <v>0</v>
      </c>
    </row>
    <row r="173" spans="1:16" ht="15" customHeight="1">
      <c r="A173" s="44"/>
      <c r="B173" s="5">
        <f t="shared" si="18"/>
        <v>45778</v>
      </c>
      <c r="C173" s="218" t="s">
        <v>533</v>
      </c>
      <c r="D173" s="195">
        <v>22867</v>
      </c>
      <c r="E173" s="186"/>
      <c r="F173" s="2">
        <v>10644.29</v>
      </c>
      <c r="G173" s="3">
        <f t="shared" si="19"/>
        <v>8983.5146527500001</v>
      </c>
      <c r="H173" s="187"/>
      <c r="I173" s="7">
        <v>7.0000000000000007E-2</v>
      </c>
      <c r="J173" s="7">
        <v>1.6500000000000001E-2</v>
      </c>
      <c r="K173" s="7">
        <v>7.5999999999999998E-2</v>
      </c>
      <c r="L173" s="7">
        <v>0</v>
      </c>
      <c r="M173" s="11">
        <f t="shared" si="20"/>
        <v>745.10030000000017</v>
      </c>
      <c r="N173" s="11">
        <f t="shared" si="21"/>
        <v>163.33663005000002</v>
      </c>
      <c r="O173" s="11">
        <f t="shared" si="22"/>
        <v>752.33841720000009</v>
      </c>
      <c r="P173" s="11">
        <f t="shared" si="23"/>
        <v>0</v>
      </c>
    </row>
    <row r="174" spans="1:16" ht="15" customHeight="1">
      <c r="A174" s="44"/>
      <c r="B174" s="5">
        <f t="shared" si="18"/>
        <v>45778</v>
      </c>
      <c r="C174" s="218" t="s">
        <v>533</v>
      </c>
      <c r="D174" s="195">
        <v>22868</v>
      </c>
      <c r="E174" s="186"/>
      <c r="F174" s="2">
        <v>3702.77</v>
      </c>
      <c r="G174" s="3">
        <f t="shared" si="19"/>
        <v>3125.0453107499998</v>
      </c>
      <c r="H174" s="187"/>
      <c r="I174" s="7">
        <v>7.0000000000000007E-2</v>
      </c>
      <c r="J174" s="7">
        <v>1.6500000000000001E-2</v>
      </c>
      <c r="K174" s="7">
        <v>7.5999999999999998E-2</v>
      </c>
      <c r="L174" s="7">
        <v>0</v>
      </c>
      <c r="M174" s="11">
        <f t="shared" si="20"/>
        <v>259.19390000000004</v>
      </c>
      <c r="N174" s="11">
        <f t="shared" si="21"/>
        <v>56.819005650000001</v>
      </c>
      <c r="O174" s="11">
        <f t="shared" si="22"/>
        <v>261.71178359999999</v>
      </c>
      <c r="P174" s="11">
        <f t="shared" si="23"/>
        <v>0</v>
      </c>
    </row>
    <row r="175" spans="1:16" ht="15" customHeight="1">
      <c r="A175" s="44"/>
      <c r="B175" s="5">
        <f t="shared" si="18"/>
        <v>45778</v>
      </c>
      <c r="C175" s="218" t="s">
        <v>533</v>
      </c>
      <c r="D175" s="195">
        <v>22869</v>
      </c>
      <c r="E175" s="186"/>
      <c r="F175" s="2">
        <v>38922.54</v>
      </c>
      <c r="G175" s="3">
        <f t="shared" si="19"/>
        <v>32849.650696500001</v>
      </c>
      <c r="H175" s="187"/>
      <c r="I175" s="7">
        <v>7.0000000000000007E-2</v>
      </c>
      <c r="J175" s="7">
        <v>1.6500000000000001E-2</v>
      </c>
      <c r="K175" s="7">
        <v>7.5999999999999998E-2</v>
      </c>
      <c r="L175" s="7">
        <v>0</v>
      </c>
      <c r="M175" s="11">
        <f t="shared" si="20"/>
        <v>2724.5778000000005</v>
      </c>
      <c r="N175" s="11">
        <f t="shared" si="21"/>
        <v>597.26637630000005</v>
      </c>
      <c r="O175" s="11">
        <f t="shared" si="22"/>
        <v>2751.0451272</v>
      </c>
      <c r="P175" s="11">
        <f t="shared" si="23"/>
        <v>0</v>
      </c>
    </row>
    <row r="176" spans="1:16" ht="15" customHeight="1">
      <c r="A176" s="44"/>
      <c r="B176" s="5">
        <f t="shared" si="18"/>
        <v>45778</v>
      </c>
      <c r="C176" s="218" t="s">
        <v>533</v>
      </c>
      <c r="D176" s="195">
        <v>22870</v>
      </c>
      <c r="E176" s="186"/>
      <c r="F176" s="2">
        <v>13132.56</v>
      </c>
      <c r="G176" s="3">
        <f t="shared" si="19"/>
        <v>11083.552325999999</v>
      </c>
      <c r="H176" s="187"/>
      <c r="I176" s="7">
        <v>7.0000000000000007E-2</v>
      </c>
      <c r="J176" s="7">
        <v>1.6500000000000001E-2</v>
      </c>
      <c r="K176" s="7">
        <v>7.5999999999999998E-2</v>
      </c>
      <c r="L176" s="7">
        <v>0</v>
      </c>
      <c r="M176" s="11">
        <f t="shared" si="20"/>
        <v>919.27920000000006</v>
      </c>
      <c r="N176" s="11">
        <f t="shared" si="21"/>
        <v>201.5191332</v>
      </c>
      <c r="O176" s="11">
        <f t="shared" si="22"/>
        <v>928.20934079999984</v>
      </c>
      <c r="P176" s="11">
        <f t="shared" si="23"/>
        <v>0</v>
      </c>
    </row>
    <row r="177" spans="1:16" ht="15" customHeight="1">
      <c r="A177" s="44"/>
      <c r="B177" s="5">
        <f t="shared" si="18"/>
        <v>45778</v>
      </c>
      <c r="C177" s="218" t="s">
        <v>533</v>
      </c>
      <c r="D177" s="195">
        <v>22871</v>
      </c>
      <c r="E177" s="186"/>
      <c r="F177" s="2">
        <v>17581.2</v>
      </c>
      <c r="G177" s="3">
        <f t="shared" si="17"/>
        <v>14838.093270000001</v>
      </c>
      <c r="H177" s="187"/>
      <c r="I177" s="7">
        <v>7.0000000000000007E-2</v>
      </c>
      <c r="J177" s="7">
        <v>1.6500000000000001E-2</v>
      </c>
      <c r="K177" s="7">
        <v>7.5999999999999998E-2</v>
      </c>
      <c r="L177" s="7">
        <v>0</v>
      </c>
      <c r="M177" s="11">
        <f t="shared" si="2"/>
        <v>1230.6840000000002</v>
      </c>
      <c r="N177" s="11">
        <f t="shared" si="3"/>
        <v>269.78351400000003</v>
      </c>
      <c r="O177" s="11">
        <f t="shared" si="4"/>
        <v>1242.639216</v>
      </c>
      <c r="P177" s="11">
        <f t="shared" si="16"/>
        <v>0</v>
      </c>
    </row>
    <row r="178" spans="1:16" ht="15" customHeight="1">
      <c r="A178" s="44"/>
      <c r="B178" s="5">
        <f t="shared" si="18"/>
        <v>45778</v>
      </c>
      <c r="C178" s="218" t="s">
        <v>533</v>
      </c>
      <c r="D178" s="195">
        <v>22883</v>
      </c>
      <c r="E178" s="186"/>
      <c r="F178" s="2">
        <v>5945.49</v>
      </c>
      <c r="G178" s="3">
        <f t="shared" ref="G178:G180" si="24">F178-SUM(M178:P178)</f>
        <v>5017.8449227499996</v>
      </c>
      <c r="H178" s="187"/>
      <c r="I178" s="7">
        <v>7.0000000000000007E-2</v>
      </c>
      <c r="J178" s="7">
        <v>1.6500000000000001E-2</v>
      </c>
      <c r="K178" s="7">
        <v>7.5999999999999998E-2</v>
      </c>
      <c r="L178" s="7">
        <v>0</v>
      </c>
      <c r="M178" s="11">
        <f t="shared" ref="M178:M180" si="25">+I178*F178</f>
        <v>416.18430000000001</v>
      </c>
      <c r="N178" s="11">
        <f t="shared" ref="N178:N180" si="26">J178*(F178-M178)</f>
        <v>91.233544050000006</v>
      </c>
      <c r="O178" s="11">
        <f t="shared" ref="O178:O180" si="27">K178*(F178-M178)</f>
        <v>420.2272332</v>
      </c>
      <c r="P178" s="11">
        <f t="shared" ref="P178:P180" si="28">L178*(F178)</f>
        <v>0</v>
      </c>
    </row>
    <row r="179" spans="1:16" ht="15" customHeight="1">
      <c r="A179" s="44"/>
      <c r="B179" s="5">
        <f t="shared" si="18"/>
        <v>45778</v>
      </c>
      <c r="C179" s="218" t="s">
        <v>533</v>
      </c>
      <c r="D179" s="195">
        <v>22884</v>
      </c>
      <c r="E179" s="186"/>
      <c r="F179" s="2">
        <v>44555.15</v>
      </c>
      <c r="G179" s="3">
        <f t="shared" si="24"/>
        <v>37603.432721249999</v>
      </c>
      <c r="H179" s="187"/>
      <c r="I179" s="7">
        <v>7.0000000000000007E-2</v>
      </c>
      <c r="J179" s="7">
        <v>1.6500000000000001E-2</v>
      </c>
      <c r="K179" s="7">
        <v>7.5999999999999998E-2</v>
      </c>
      <c r="L179" s="7">
        <v>0</v>
      </c>
      <c r="M179" s="11">
        <f t="shared" si="25"/>
        <v>3118.8605000000002</v>
      </c>
      <c r="N179" s="11">
        <f t="shared" si="26"/>
        <v>683.69877674999998</v>
      </c>
      <c r="O179" s="11">
        <f t="shared" si="27"/>
        <v>3149.1580019999997</v>
      </c>
      <c r="P179" s="11">
        <f t="shared" si="28"/>
        <v>0</v>
      </c>
    </row>
    <row r="180" spans="1:16" ht="15" customHeight="1">
      <c r="A180" s="44"/>
      <c r="B180" s="5">
        <f t="shared" si="18"/>
        <v>45778</v>
      </c>
      <c r="C180" s="218" t="s">
        <v>533</v>
      </c>
      <c r="D180" s="195">
        <v>22880</v>
      </c>
      <c r="E180" s="186"/>
      <c r="F180" s="2">
        <v>14923.41</v>
      </c>
      <c r="G180" s="3">
        <f t="shared" si="24"/>
        <v>12594.98495475</v>
      </c>
      <c r="H180" s="187"/>
      <c r="I180" s="7">
        <v>7.0000000000000007E-2</v>
      </c>
      <c r="J180" s="7">
        <v>1.6500000000000001E-2</v>
      </c>
      <c r="K180" s="7">
        <v>7.5999999999999998E-2</v>
      </c>
      <c r="L180" s="7">
        <v>0</v>
      </c>
      <c r="M180" s="11">
        <f t="shared" si="25"/>
        <v>1044.6387000000002</v>
      </c>
      <c r="N180" s="11">
        <f t="shared" si="26"/>
        <v>228.99972645000003</v>
      </c>
      <c r="O180" s="11">
        <f t="shared" si="27"/>
        <v>1054.7866188</v>
      </c>
      <c r="P180" s="11">
        <f t="shared" si="28"/>
        <v>0</v>
      </c>
    </row>
    <row r="181" spans="1:16" ht="15" customHeight="1">
      <c r="A181" s="44"/>
      <c r="B181" s="5">
        <f t="shared" si="18"/>
        <v>45778</v>
      </c>
      <c r="C181" s="218" t="s">
        <v>533</v>
      </c>
      <c r="D181" s="195">
        <v>22881</v>
      </c>
      <c r="E181" s="186"/>
      <c r="F181" s="2">
        <v>55660.57</v>
      </c>
      <c r="G181" s="3">
        <f t="shared" si="17"/>
        <v>46976.129565750001</v>
      </c>
      <c r="H181" s="187"/>
      <c r="I181" s="7">
        <v>7.0000000000000007E-2</v>
      </c>
      <c r="J181" s="7">
        <v>1.6500000000000001E-2</v>
      </c>
      <c r="K181" s="7">
        <v>7.5999999999999998E-2</v>
      </c>
      <c r="L181" s="7">
        <v>0</v>
      </c>
      <c r="M181" s="11">
        <f t="shared" si="2"/>
        <v>3896.2399000000005</v>
      </c>
      <c r="N181" s="11">
        <f t="shared" si="3"/>
        <v>854.11144665000006</v>
      </c>
      <c r="O181" s="11">
        <f t="shared" si="4"/>
        <v>3934.0890875999999</v>
      </c>
      <c r="P181" s="11">
        <f t="shared" si="16"/>
        <v>0</v>
      </c>
    </row>
    <row r="182" spans="1:16" ht="15" customHeight="1">
      <c r="A182" s="44"/>
      <c r="B182" s="5">
        <f t="shared" si="18"/>
        <v>45778</v>
      </c>
      <c r="C182" s="218" t="s">
        <v>533</v>
      </c>
      <c r="D182" s="195">
        <v>22882</v>
      </c>
      <c r="E182" s="186"/>
      <c r="F182" s="2">
        <v>19981.47</v>
      </c>
      <c r="G182" s="3">
        <f t="shared" si="17"/>
        <v>16863.86114325</v>
      </c>
      <c r="H182" s="187"/>
      <c r="I182" s="7">
        <v>7.0000000000000007E-2</v>
      </c>
      <c r="J182" s="7">
        <v>1.6500000000000001E-2</v>
      </c>
      <c r="K182" s="7">
        <v>7.5999999999999998E-2</v>
      </c>
      <c r="L182" s="7">
        <v>0</v>
      </c>
      <c r="M182" s="11">
        <f t="shared" si="2"/>
        <v>1398.7029000000002</v>
      </c>
      <c r="N182" s="11">
        <f t="shared" si="3"/>
        <v>306.61565715</v>
      </c>
      <c r="O182" s="11">
        <f t="shared" si="4"/>
        <v>1412.2902996</v>
      </c>
      <c r="P182" s="11">
        <f t="shared" si="16"/>
        <v>0</v>
      </c>
    </row>
    <row r="183" spans="1:16">
      <c r="B183" s="5"/>
      <c r="C183" s="1"/>
      <c r="E183" s="1"/>
      <c r="F183" s="2"/>
      <c r="G183" s="4"/>
      <c r="H183" s="4"/>
      <c r="I183" s="7"/>
      <c r="J183" s="7"/>
      <c r="K183" s="7"/>
      <c r="L183" s="7"/>
    </row>
    <row r="184" spans="1:16">
      <c r="E184" s="28">
        <f>SUM(E18:E182)</f>
        <v>42682638.210000001</v>
      </c>
      <c r="F184" s="133"/>
      <c r="G184" s="29">
        <f>SUM(G18:G182)</f>
        <v>102381073.64097519</v>
      </c>
    </row>
    <row r="185" spans="1:16">
      <c r="E185" s="137"/>
      <c r="F185" s="41"/>
    </row>
    <row r="186" spans="1:16" ht="15.75" thickBot="1"/>
    <row r="187" spans="1:16">
      <c r="B187" s="391" t="s">
        <v>941</v>
      </c>
      <c r="C187" s="383"/>
      <c r="D187" s="383"/>
      <c r="E187" s="383"/>
      <c r="F187" s="383"/>
      <c r="G187" s="383"/>
      <c r="H187" s="383"/>
      <c r="I187" s="383"/>
      <c r="J187" s="383"/>
      <c r="K187" s="383"/>
      <c r="L187" s="383"/>
      <c r="M187" s="383"/>
      <c r="N187" s="383"/>
      <c r="O187" s="384"/>
    </row>
    <row r="188" spans="1:16">
      <c r="B188" s="385"/>
      <c r="C188" s="386"/>
      <c r="D188" s="386"/>
      <c r="E188" s="386"/>
      <c r="F188" s="386"/>
      <c r="G188" s="386"/>
      <c r="H188" s="386"/>
      <c r="I188" s="386"/>
      <c r="J188" s="386"/>
      <c r="K188" s="386"/>
      <c r="L188" s="386"/>
      <c r="M188" s="386"/>
      <c r="N188" s="386"/>
      <c r="O188" s="387"/>
    </row>
    <row r="189" spans="1:16">
      <c r="B189" s="385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7"/>
    </row>
    <row r="190" spans="1:16">
      <c r="B190" s="385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7"/>
    </row>
    <row r="191" spans="1:16" ht="27" customHeight="1">
      <c r="B191" s="385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7"/>
    </row>
    <row r="192" spans="1:16" ht="44.25" customHeight="1" thickBot="1">
      <c r="B192" s="388"/>
      <c r="C192" s="389"/>
      <c r="D192" s="389"/>
      <c r="E192" s="389"/>
      <c r="F192" s="389"/>
      <c r="G192" s="389"/>
      <c r="H192" s="389"/>
      <c r="I192" s="389"/>
      <c r="J192" s="389"/>
      <c r="K192" s="389"/>
      <c r="L192" s="389"/>
      <c r="M192" s="389"/>
      <c r="N192" s="389"/>
      <c r="O192" s="390"/>
    </row>
  </sheetData>
  <mergeCells count="3">
    <mergeCell ref="C2:M2"/>
    <mergeCell ref="M16:P16"/>
    <mergeCell ref="B187:O192"/>
  </mergeCells>
  <phoneticPr fontId="28" type="noConversion"/>
  <conditionalFormatting sqref="D1:D1048576">
    <cfRule type="duplicateValues" dxfId="56" priority="1"/>
    <cfRule type="duplicateValues" dxfId="55" priority="2"/>
  </conditionalFormatting>
  <conditionalFormatting sqref="D7">
    <cfRule type="duplicateValues" dxfId="54" priority="5"/>
  </conditionalFormatting>
  <conditionalFormatting sqref="D18:D54">
    <cfRule type="duplicateValues" dxfId="53" priority="4"/>
  </conditionalFormatting>
  <conditionalFormatting sqref="D186:D1048576 D1:D184">
    <cfRule type="duplicateValues" dxfId="52" priority="3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41AE-F40E-4C41-BDDD-AD4133E39D19}">
  <sheetPr>
    <pageSetUpPr fitToPage="1"/>
  </sheetPr>
  <dimension ref="A2:P204"/>
  <sheetViews>
    <sheetView showGridLines="0" zoomScale="90" zoomScaleNormal="90" workbookViewId="0">
      <selection activeCell="H19" sqref="H19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6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2:16" ht="23.25">
      <c r="C3" s="13">
        <v>45809</v>
      </c>
    </row>
    <row r="5" spans="2:16">
      <c r="C5" t="s">
        <v>17</v>
      </c>
      <c r="D5" s="14">
        <f t="shared" ref="D5:D10" ca="1" si="0">SUMIF($C$18:$G$182,$C$5:$C$10,$G$18:$G$182)/SUMIF($C$18:$G$182,$C$5:$C$10,$E$18:$E$182)</f>
        <v>2.421798676123335</v>
      </c>
    </row>
    <row r="6" spans="2:16">
      <c r="C6" t="s">
        <v>440</v>
      </c>
      <c r="D6" s="14">
        <f t="shared" ca="1" si="0"/>
        <v>2.1598164225000001</v>
      </c>
    </row>
    <row r="7" spans="2:16">
      <c r="C7" t="s">
        <v>491</v>
      </c>
      <c r="D7" s="14">
        <f t="shared" ca="1" si="0"/>
        <v>2.1466000005120001</v>
      </c>
    </row>
    <row r="8" spans="2:16">
      <c r="C8" t="s">
        <v>756</v>
      </c>
      <c r="D8" s="14">
        <f t="shared" ca="1" si="0"/>
        <v>3.4705232172100877</v>
      </c>
      <c r="I8" s="19"/>
    </row>
    <row r="9" spans="2:16">
      <c r="C9" t="s">
        <v>757</v>
      </c>
      <c r="D9" s="14">
        <f t="shared" ca="1" si="0"/>
        <v>3.863503801892028</v>
      </c>
      <c r="E9" s="14"/>
      <c r="F9" s="32"/>
      <c r="H9" s="137"/>
      <c r="I9" s="19"/>
    </row>
    <row r="10" spans="2:16">
      <c r="C10" t="s">
        <v>533</v>
      </c>
      <c r="D10" s="14" t="e">
        <f t="shared" ca="1" si="0"/>
        <v>#DIV/0!</v>
      </c>
    </row>
    <row r="11" spans="2:16">
      <c r="C11" s="30" t="s">
        <v>129</v>
      </c>
      <c r="D11" s="31">
        <f>+G184/E184</f>
        <v>2.4133437963959996</v>
      </c>
    </row>
    <row r="12" spans="2:16">
      <c r="D12" s="19"/>
    </row>
    <row r="13" spans="2:16">
      <c r="D13" s="22"/>
    </row>
    <row r="15" spans="2:16">
      <c r="E15" s="137"/>
    </row>
    <row r="16" spans="2:16" ht="15" customHeight="1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24"/>
      <c r="M16" s="381" t="s">
        <v>100</v>
      </c>
      <c r="N16" s="381"/>
      <c r="O16" s="381"/>
      <c r="P16" s="381"/>
    </row>
    <row r="17" spans="1:16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6" t="s">
        <v>537</v>
      </c>
      <c r="M17" s="27" t="s">
        <v>3</v>
      </c>
      <c r="N17" s="27" t="s">
        <v>97</v>
      </c>
      <c r="O17" s="27" t="s">
        <v>98</v>
      </c>
      <c r="P17" s="27" t="s">
        <v>537</v>
      </c>
    </row>
    <row r="18" spans="1:16" ht="18.75" customHeight="1">
      <c r="A18" s="44"/>
      <c r="B18" s="5">
        <f>C3</f>
        <v>45809</v>
      </c>
      <c r="C18" s="217" t="s">
        <v>17</v>
      </c>
      <c r="D18" s="216" t="s">
        <v>949</v>
      </c>
      <c r="E18" s="1">
        <v>175</v>
      </c>
      <c r="F18" s="2">
        <v>501.93</v>
      </c>
      <c r="G18" s="3">
        <f>F18-SUM(M18:P18)</f>
        <v>400.84129799999999</v>
      </c>
      <c r="H18" s="202">
        <f t="shared" ref="H18:H44" si="1">+IF(G18=0,0,G18/E18)</f>
        <v>2.2905217028571427</v>
      </c>
      <c r="I18" s="200">
        <v>0.12</v>
      </c>
      <c r="J18" s="7">
        <v>1.6500000000000001E-2</v>
      </c>
      <c r="K18" s="7">
        <v>7.5999999999999998E-2</v>
      </c>
      <c r="L18" s="7">
        <v>0</v>
      </c>
      <c r="M18" s="11">
        <f t="shared" ref="M18:M182" si="2">+I18*F18</f>
        <v>60.2316</v>
      </c>
      <c r="N18" s="11">
        <f t="shared" ref="N18:N182" si="3">J18*(F18-M18)</f>
        <v>7.2880235999999998</v>
      </c>
      <c r="O18" s="11">
        <f t="shared" ref="O18:O182" si="4">K18*(F18-M18)</f>
        <v>33.569078399999995</v>
      </c>
      <c r="P18" s="11">
        <f t="shared" ref="P18:P81" si="5">L18*(F18)</f>
        <v>0</v>
      </c>
    </row>
    <row r="19" spans="1:16">
      <c r="A19" s="44"/>
      <c r="B19" s="5">
        <f>B18</f>
        <v>45809</v>
      </c>
      <c r="C19" s="217" t="s">
        <v>17</v>
      </c>
      <c r="D19" s="194" t="s">
        <v>950</v>
      </c>
      <c r="E19" s="1">
        <v>26348</v>
      </c>
      <c r="F19" s="2">
        <v>80429.69</v>
      </c>
      <c r="G19" s="3">
        <f t="shared" ref="G19:G52" si="6">F19-SUM(M19:P19)</f>
        <v>64231.150434000003</v>
      </c>
      <c r="H19" s="202">
        <f t="shared" si="1"/>
        <v>2.4377998494762414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si="2"/>
        <v>9651.5627999999997</v>
      </c>
      <c r="N19" s="11">
        <f t="shared" si="3"/>
        <v>1167.8390988000001</v>
      </c>
      <c r="O19" s="11">
        <f t="shared" si="4"/>
        <v>5379.1376671999997</v>
      </c>
      <c r="P19" s="11">
        <f t="shared" si="5"/>
        <v>0</v>
      </c>
    </row>
    <row r="20" spans="1:16">
      <c r="A20" s="44"/>
      <c r="B20" s="5">
        <f t="shared" ref="B20:B53" si="7">B19</f>
        <v>45809</v>
      </c>
      <c r="C20" s="217" t="s">
        <v>17</v>
      </c>
      <c r="D20" s="194" t="s">
        <v>951</v>
      </c>
      <c r="E20" s="1">
        <v>149995</v>
      </c>
      <c r="F20" s="2">
        <v>430207.3</v>
      </c>
      <c r="G20" s="3">
        <f t="shared" si="6"/>
        <v>343563.54978</v>
      </c>
      <c r="H20" s="202">
        <f t="shared" si="1"/>
        <v>2.2905000152005068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51624.875999999997</v>
      </c>
      <c r="N20" s="11">
        <f t="shared" si="3"/>
        <v>6246.6099960000001</v>
      </c>
      <c r="O20" s="11">
        <f t="shared" si="4"/>
        <v>28772.264223999999</v>
      </c>
      <c r="P20" s="11">
        <f t="shared" si="5"/>
        <v>0</v>
      </c>
    </row>
    <row r="21" spans="1:16">
      <c r="A21" s="44"/>
      <c r="B21" s="5">
        <f t="shared" si="7"/>
        <v>45809</v>
      </c>
      <c r="C21" s="217" t="s">
        <v>17</v>
      </c>
      <c r="D21" s="214" t="s">
        <v>952</v>
      </c>
      <c r="E21" s="1">
        <v>14173307</v>
      </c>
      <c r="F21" s="2">
        <v>43265324.07</v>
      </c>
      <c r="G21" s="3">
        <f t="shared" si="6"/>
        <v>34551687.802302003</v>
      </c>
      <c r="H21" s="202">
        <f t="shared" si="1"/>
        <v>2.4377999998378646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5191838.8883999996</v>
      </c>
      <c r="N21" s="11">
        <f t="shared" si="3"/>
        <v>628212.50549640006</v>
      </c>
      <c r="O21" s="11">
        <f t="shared" si="4"/>
        <v>2893584.8738016002</v>
      </c>
      <c r="P21" s="11">
        <f t="shared" si="5"/>
        <v>0</v>
      </c>
    </row>
    <row r="22" spans="1:16">
      <c r="A22" s="44"/>
      <c r="B22" s="5">
        <f t="shared" si="7"/>
        <v>45809</v>
      </c>
      <c r="C22" s="217" t="s">
        <v>17</v>
      </c>
      <c r="D22" s="214" t="s">
        <v>953</v>
      </c>
      <c r="E22" s="1">
        <v>846175</v>
      </c>
      <c r="F22" s="2">
        <v>2253605.8199999998</v>
      </c>
      <c r="G22" s="3">
        <f t="shared" si="6"/>
        <v>1799729.6078519998</v>
      </c>
      <c r="H22" s="202">
        <f t="shared" si="1"/>
        <v>2.1269000004159895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270432.69839999999</v>
      </c>
      <c r="N22" s="11">
        <f t="shared" si="3"/>
        <v>32722.356506399996</v>
      </c>
      <c r="O22" s="11">
        <f t="shared" si="4"/>
        <v>150721.15724159998</v>
      </c>
      <c r="P22" s="11">
        <f t="shared" si="5"/>
        <v>0</v>
      </c>
    </row>
    <row r="23" spans="1:16">
      <c r="A23" s="44"/>
      <c r="B23" s="5">
        <f t="shared" si="7"/>
        <v>45809</v>
      </c>
      <c r="C23" s="217" t="s">
        <v>17</v>
      </c>
      <c r="D23" s="214" t="s">
        <v>954</v>
      </c>
      <c r="E23" s="1">
        <v>30103</v>
      </c>
      <c r="F23" s="2">
        <v>86339.74</v>
      </c>
      <c r="G23" s="3">
        <f t="shared" si="6"/>
        <v>68950.916364000004</v>
      </c>
      <c r="H23" s="202">
        <f t="shared" si="1"/>
        <v>2.2904998293857757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10360.7688</v>
      </c>
      <c r="N23" s="11">
        <f t="shared" si="3"/>
        <v>1253.6530248000001</v>
      </c>
      <c r="O23" s="11">
        <f t="shared" si="4"/>
        <v>5774.4018111999994</v>
      </c>
      <c r="P23" s="11">
        <f t="shared" si="5"/>
        <v>0</v>
      </c>
    </row>
    <row r="24" spans="1:16">
      <c r="A24" s="44"/>
      <c r="B24" s="5">
        <f t="shared" si="7"/>
        <v>45809</v>
      </c>
      <c r="C24" s="217" t="s">
        <v>17</v>
      </c>
      <c r="D24" s="194" t="s">
        <v>955</v>
      </c>
      <c r="E24" s="1">
        <v>89499</v>
      </c>
      <c r="F24" s="2">
        <v>256696.04</v>
      </c>
      <c r="G24" s="3">
        <f t="shared" si="6"/>
        <v>204997.457544</v>
      </c>
      <c r="H24" s="202">
        <f t="shared" si="1"/>
        <v>2.2904999781450073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30803.524799999999</v>
      </c>
      <c r="N24" s="11">
        <f t="shared" si="3"/>
        <v>3727.2265008000004</v>
      </c>
      <c r="O24" s="11">
        <f t="shared" si="4"/>
        <v>17167.831155200001</v>
      </c>
      <c r="P24" s="11">
        <f t="shared" si="5"/>
        <v>0</v>
      </c>
    </row>
    <row r="25" spans="1:16">
      <c r="A25" s="44"/>
      <c r="B25" s="5">
        <f t="shared" si="7"/>
        <v>45809</v>
      </c>
      <c r="C25" s="217" t="s">
        <v>17</v>
      </c>
      <c r="D25" s="196" t="s">
        <v>956</v>
      </c>
      <c r="E25" s="1">
        <v>3478622</v>
      </c>
      <c r="F25" s="2">
        <v>10618813.810000001</v>
      </c>
      <c r="G25" s="3">
        <f t="shared" si="6"/>
        <v>8480184.7086660005</v>
      </c>
      <c r="H25" s="202">
        <f t="shared" si="1"/>
        <v>2.4377999991565629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1274257.6572</v>
      </c>
      <c r="N25" s="11">
        <f t="shared" si="3"/>
        <v>154185.17652120002</v>
      </c>
      <c r="O25" s="11">
        <f t="shared" si="4"/>
        <v>710186.26761280012</v>
      </c>
      <c r="P25" s="11">
        <f t="shared" si="5"/>
        <v>0</v>
      </c>
    </row>
    <row r="26" spans="1:16">
      <c r="A26" s="44"/>
      <c r="B26" s="5">
        <f t="shared" si="7"/>
        <v>45809</v>
      </c>
      <c r="C26" s="217" t="s">
        <v>17</v>
      </c>
      <c r="D26" s="194" t="s">
        <v>957</v>
      </c>
      <c r="E26" s="1">
        <v>106726</v>
      </c>
      <c r="F26" s="2">
        <v>284241.84000000003</v>
      </c>
      <c r="G26" s="3">
        <f t="shared" si="6"/>
        <v>226995.53342400002</v>
      </c>
      <c r="H26" s="202">
        <f t="shared" si="1"/>
        <v>2.1269000377040275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34109.020799999998</v>
      </c>
      <c r="N26" s="11">
        <f t="shared" si="3"/>
        <v>4127.1915168000005</v>
      </c>
      <c r="O26" s="11">
        <f t="shared" si="4"/>
        <v>19010.094259200003</v>
      </c>
      <c r="P26" s="11">
        <f t="shared" si="5"/>
        <v>0</v>
      </c>
    </row>
    <row r="27" spans="1:16">
      <c r="A27" s="44"/>
      <c r="B27" s="5">
        <f t="shared" si="7"/>
        <v>45809</v>
      </c>
      <c r="C27" s="217" t="s">
        <v>17</v>
      </c>
      <c r="D27" s="194" t="s">
        <v>961</v>
      </c>
      <c r="E27" s="1">
        <v>359167</v>
      </c>
      <c r="F27" s="2">
        <v>956564.35</v>
      </c>
      <c r="G27" s="3">
        <f t="shared" si="6"/>
        <v>763912.28991000005</v>
      </c>
      <c r="H27" s="202">
        <f t="shared" si="1"/>
        <v>2.126899993345714</v>
      </c>
      <c r="I27" s="200">
        <v>0.12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114787.72199999999</v>
      </c>
      <c r="N27" s="11">
        <f t="shared" si="3"/>
        <v>13889.314362000001</v>
      </c>
      <c r="O27" s="11">
        <f t="shared" si="4"/>
        <v>63975.023728</v>
      </c>
      <c r="P27" s="11">
        <f t="shared" si="5"/>
        <v>0</v>
      </c>
    </row>
    <row r="28" spans="1:16">
      <c r="A28" s="44"/>
      <c r="B28" s="5">
        <f t="shared" si="7"/>
        <v>45809</v>
      </c>
      <c r="C28" s="217" t="s">
        <v>17</v>
      </c>
      <c r="D28" s="194" t="s">
        <v>958</v>
      </c>
      <c r="E28" s="1">
        <v>6990961.8310000002</v>
      </c>
      <c r="F28" s="2">
        <v>21340554.41</v>
      </c>
      <c r="G28" s="3">
        <f t="shared" si="6"/>
        <v>17042566.751825999</v>
      </c>
      <c r="H28" s="202">
        <f t="shared" si="1"/>
        <v>2.4378000000306392</v>
      </c>
      <c r="I28" s="200">
        <v>0.12</v>
      </c>
      <c r="J28" s="7">
        <v>1.6500000000000001E-2</v>
      </c>
      <c r="K28" s="7">
        <v>7.5999999999999998E-2</v>
      </c>
      <c r="L28" s="7">
        <v>0</v>
      </c>
      <c r="M28" s="11">
        <f t="shared" si="2"/>
        <v>2560866.5291999998</v>
      </c>
      <c r="N28" s="11">
        <f t="shared" si="3"/>
        <v>309864.85003320005</v>
      </c>
      <c r="O28" s="11">
        <f t="shared" si="4"/>
        <v>1427256.2789408001</v>
      </c>
      <c r="P28" s="11">
        <f t="shared" si="5"/>
        <v>0</v>
      </c>
    </row>
    <row r="29" spans="1:16">
      <c r="A29" s="44"/>
      <c r="B29" s="5">
        <f t="shared" si="7"/>
        <v>45809</v>
      </c>
      <c r="C29" s="217" t="s">
        <v>17</v>
      </c>
      <c r="D29" s="194" t="s">
        <v>959</v>
      </c>
      <c r="E29" s="1">
        <v>1647082.169</v>
      </c>
      <c r="F29" s="2">
        <v>5027869.91</v>
      </c>
      <c r="G29" s="3">
        <f t="shared" si="6"/>
        <v>4015256.9101260002</v>
      </c>
      <c r="H29" s="202">
        <f t="shared" si="1"/>
        <v>2.4377999991122485</v>
      </c>
      <c r="I29" s="200">
        <v>0.12</v>
      </c>
      <c r="J29" s="7">
        <v>1.6500000000000001E-2</v>
      </c>
      <c r="K29" s="7">
        <v>7.5999999999999998E-2</v>
      </c>
      <c r="L29" s="7">
        <v>0</v>
      </c>
      <c r="M29" s="11">
        <f t="shared" si="2"/>
        <v>603344.38919999998</v>
      </c>
      <c r="N29" s="11">
        <f t="shared" si="3"/>
        <v>73004.671093199999</v>
      </c>
      <c r="O29" s="11">
        <f t="shared" si="4"/>
        <v>336263.93958080001</v>
      </c>
      <c r="P29" s="11">
        <f t="shared" si="5"/>
        <v>0</v>
      </c>
    </row>
    <row r="30" spans="1:16">
      <c r="A30" s="44"/>
      <c r="B30" s="5">
        <f t="shared" si="7"/>
        <v>45809</v>
      </c>
      <c r="C30" s="217" t="s">
        <v>17</v>
      </c>
      <c r="D30" s="194" t="s">
        <v>960</v>
      </c>
      <c r="E30" s="1">
        <v>78234</v>
      </c>
      <c r="F30" s="2">
        <v>225976.9</v>
      </c>
      <c r="G30" s="3">
        <f t="shared" ref="G30:G44" si="8">F30-SUM(M30:P30)</f>
        <v>190718.8541775</v>
      </c>
      <c r="H30" s="202">
        <f t="shared" si="1"/>
        <v>2.4378001147518984</v>
      </c>
      <c r="I30" s="200">
        <v>7.0000000000000007E-2</v>
      </c>
      <c r="J30" s="7">
        <v>1.6500000000000001E-2</v>
      </c>
      <c r="K30" s="7">
        <v>7.5999999999999998E-2</v>
      </c>
      <c r="L30" s="7">
        <v>0</v>
      </c>
      <c r="M30" s="11">
        <f t="shared" si="2"/>
        <v>15818.383000000002</v>
      </c>
      <c r="N30" s="11">
        <f t="shared" si="3"/>
        <v>3467.6155305000002</v>
      </c>
      <c r="O30" s="11">
        <f t="shared" si="4"/>
        <v>15972.047291999999</v>
      </c>
      <c r="P30" s="11">
        <f t="shared" si="5"/>
        <v>0</v>
      </c>
    </row>
    <row r="31" spans="1:16" hidden="1">
      <c r="A31" s="44"/>
      <c r="B31" s="5">
        <f t="shared" si="7"/>
        <v>45809</v>
      </c>
      <c r="C31" s="217" t="s">
        <v>17</v>
      </c>
      <c r="D31" s="194"/>
      <c r="E31" s="1"/>
      <c r="F31" s="2"/>
      <c r="G31" s="3">
        <f t="shared" si="8"/>
        <v>0</v>
      </c>
      <c r="H31" s="202">
        <f t="shared" si="1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45809</v>
      </c>
      <c r="C32" s="217" t="s">
        <v>17</v>
      </c>
      <c r="D32" s="194"/>
      <c r="E32" s="1"/>
      <c r="F32" s="2"/>
      <c r="G32" s="3">
        <f t="shared" si="8"/>
        <v>0</v>
      </c>
      <c r="H32" s="202">
        <f t="shared" si="1"/>
        <v>0</v>
      </c>
      <c r="I32" s="200"/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 hidden="1">
      <c r="A33" s="44"/>
      <c r="B33" s="5">
        <f t="shared" si="7"/>
        <v>45809</v>
      </c>
      <c r="C33" s="217" t="s">
        <v>17</v>
      </c>
      <c r="D33" s="194"/>
      <c r="E33" s="1"/>
      <c r="F33" s="2"/>
      <c r="G33" s="3">
        <f t="shared" si="8"/>
        <v>0</v>
      </c>
      <c r="H33" s="202">
        <f t="shared" si="1"/>
        <v>0</v>
      </c>
      <c r="I33" s="200"/>
      <c r="J33" s="7">
        <v>1.6500000000000001E-2</v>
      </c>
      <c r="K33" s="7">
        <v>7.5999999999999998E-2</v>
      </c>
      <c r="L33" s="7">
        <v>0</v>
      </c>
      <c r="M33" s="11">
        <f t="shared" si="2"/>
        <v>0</v>
      </c>
      <c r="N33" s="11">
        <f t="shared" si="3"/>
        <v>0</v>
      </c>
      <c r="O33" s="11">
        <f t="shared" si="4"/>
        <v>0</v>
      </c>
      <c r="P33" s="11">
        <f t="shared" si="5"/>
        <v>0</v>
      </c>
    </row>
    <row r="34" spans="1:16" hidden="1">
      <c r="A34" s="44"/>
      <c r="B34" s="5">
        <f t="shared" si="7"/>
        <v>45809</v>
      </c>
      <c r="C34" s="217" t="s">
        <v>17</v>
      </c>
      <c r="D34" s="194"/>
      <c r="E34" s="1"/>
      <c r="F34" s="2"/>
      <c r="G34" s="3">
        <f t="shared" si="8"/>
        <v>0</v>
      </c>
      <c r="H34" s="202">
        <f t="shared" si="1"/>
        <v>0</v>
      </c>
      <c r="I34" s="200"/>
      <c r="J34" s="7">
        <v>1.6500000000000001E-2</v>
      </c>
      <c r="K34" s="7">
        <v>7.5999999999999998E-2</v>
      </c>
      <c r="L34" s="7">
        <v>0</v>
      </c>
      <c r="M34" s="11">
        <f t="shared" si="2"/>
        <v>0</v>
      </c>
      <c r="N34" s="11">
        <f t="shared" si="3"/>
        <v>0</v>
      </c>
      <c r="O34" s="11">
        <f t="shared" si="4"/>
        <v>0</v>
      </c>
      <c r="P34" s="11">
        <f t="shared" si="5"/>
        <v>0</v>
      </c>
    </row>
    <row r="35" spans="1:16" hidden="1">
      <c r="A35" s="44"/>
      <c r="B35" s="5">
        <f t="shared" si="7"/>
        <v>45809</v>
      </c>
      <c r="C35" s="217" t="s">
        <v>17</v>
      </c>
      <c r="D35" s="194"/>
      <c r="E35" s="1"/>
      <c r="F35" s="2"/>
      <c r="G35" s="3">
        <f t="shared" si="8"/>
        <v>0</v>
      </c>
      <c r="H35" s="202">
        <f t="shared" si="1"/>
        <v>0</v>
      </c>
      <c r="I35" s="200"/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 hidden="1">
      <c r="A36" s="44"/>
      <c r="B36" s="5">
        <f t="shared" si="7"/>
        <v>45809</v>
      </c>
      <c r="C36" s="217" t="s">
        <v>17</v>
      </c>
      <c r="D36" s="194"/>
      <c r="E36" s="1"/>
      <c r="F36" s="2"/>
      <c r="G36" s="3">
        <f t="shared" si="8"/>
        <v>0</v>
      </c>
      <c r="H36" s="202">
        <f t="shared" si="1"/>
        <v>0</v>
      </c>
      <c r="I36" s="200"/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 hidden="1">
      <c r="A37" s="44"/>
      <c r="B37" s="5">
        <f t="shared" si="7"/>
        <v>45809</v>
      </c>
      <c r="C37" s="217" t="s">
        <v>17</v>
      </c>
      <c r="D37" s="194"/>
      <c r="E37" s="1"/>
      <c r="F37" s="2"/>
      <c r="G37" s="3">
        <f t="shared" si="8"/>
        <v>0</v>
      </c>
      <c r="H37" s="202">
        <f t="shared" si="1"/>
        <v>0</v>
      </c>
      <c r="I37" s="200"/>
      <c r="J37" s="7">
        <v>1.6500000000000001E-2</v>
      </c>
      <c r="K37" s="7">
        <v>7.5999999999999998E-2</v>
      </c>
      <c r="L37" s="7">
        <v>0</v>
      </c>
      <c r="M37" s="11">
        <f t="shared" si="2"/>
        <v>0</v>
      </c>
      <c r="N37" s="11">
        <f t="shared" si="3"/>
        <v>0</v>
      </c>
      <c r="O37" s="11">
        <f t="shared" si="4"/>
        <v>0</v>
      </c>
      <c r="P37" s="11">
        <f t="shared" si="5"/>
        <v>0</v>
      </c>
    </row>
    <row r="38" spans="1:16" hidden="1">
      <c r="A38" s="44"/>
      <c r="B38" s="5">
        <f t="shared" si="7"/>
        <v>45809</v>
      </c>
      <c r="C38" s="217" t="s">
        <v>17</v>
      </c>
      <c r="D38" s="194"/>
      <c r="E38" s="1"/>
      <c r="F38" s="2"/>
      <c r="G38" s="3">
        <f t="shared" si="8"/>
        <v>0</v>
      </c>
      <c r="H38" s="202">
        <f t="shared" si="1"/>
        <v>0</v>
      </c>
      <c r="I38" s="200"/>
      <c r="J38" s="7">
        <v>1.6500000000000001E-2</v>
      </c>
      <c r="K38" s="7">
        <v>7.5999999999999998E-2</v>
      </c>
      <c r="L38" s="7">
        <v>0</v>
      </c>
      <c r="M38" s="11">
        <f t="shared" si="2"/>
        <v>0</v>
      </c>
      <c r="N38" s="11">
        <f t="shared" si="3"/>
        <v>0</v>
      </c>
      <c r="O38" s="11">
        <f t="shared" si="4"/>
        <v>0</v>
      </c>
      <c r="P38" s="11">
        <f t="shared" si="5"/>
        <v>0</v>
      </c>
    </row>
    <row r="39" spans="1:16" hidden="1">
      <c r="A39" s="44"/>
      <c r="B39" s="5">
        <f t="shared" si="7"/>
        <v>45809</v>
      </c>
      <c r="C39" s="217" t="s">
        <v>17</v>
      </c>
      <c r="D39" s="194"/>
      <c r="E39" s="1"/>
      <c r="F39" s="2"/>
      <c r="G39" s="3">
        <f t="shared" si="8"/>
        <v>0</v>
      </c>
      <c r="H39" s="202">
        <f t="shared" si="1"/>
        <v>0</v>
      </c>
      <c r="I39" s="200"/>
      <c r="J39" s="7">
        <v>1.6500000000000001E-2</v>
      </c>
      <c r="K39" s="7">
        <v>7.5999999999999998E-2</v>
      </c>
      <c r="L39" s="7">
        <v>0</v>
      </c>
      <c r="M39" s="11">
        <f t="shared" si="2"/>
        <v>0</v>
      </c>
      <c r="N39" s="11">
        <f t="shared" si="3"/>
        <v>0</v>
      </c>
      <c r="O39" s="11">
        <f t="shared" si="4"/>
        <v>0</v>
      </c>
      <c r="P39" s="11">
        <f t="shared" si="5"/>
        <v>0</v>
      </c>
    </row>
    <row r="40" spans="1:16" hidden="1">
      <c r="A40" s="44"/>
      <c r="B40" s="5">
        <f t="shared" si="7"/>
        <v>45809</v>
      </c>
      <c r="C40" s="217" t="s">
        <v>17</v>
      </c>
      <c r="D40" s="194"/>
      <c r="E40" s="1"/>
      <c r="F40" s="2"/>
      <c r="G40" s="3">
        <f t="shared" si="8"/>
        <v>0</v>
      </c>
      <c r="H40" s="202">
        <f t="shared" si="1"/>
        <v>0</v>
      </c>
      <c r="I40" s="200"/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 hidden="1">
      <c r="A41" s="44"/>
      <c r="B41" s="5">
        <f t="shared" si="7"/>
        <v>45809</v>
      </c>
      <c r="C41" s="217" t="s">
        <v>17</v>
      </c>
      <c r="D41" s="194"/>
      <c r="E41" s="1"/>
      <c r="F41" s="2"/>
      <c r="G41" s="3">
        <f t="shared" si="8"/>
        <v>0</v>
      </c>
      <c r="H41" s="202">
        <f t="shared" si="1"/>
        <v>0</v>
      </c>
      <c r="I41" s="200"/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idden="1">
      <c r="A42" s="44"/>
      <c r="B42" s="5">
        <f t="shared" si="7"/>
        <v>45809</v>
      </c>
      <c r="C42" s="217" t="s">
        <v>17</v>
      </c>
      <c r="D42" s="194"/>
      <c r="E42" s="1"/>
      <c r="F42" s="2"/>
      <c r="G42" s="3">
        <f t="shared" si="8"/>
        <v>0</v>
      </c>
      <c r="H42" s="202">
        <f t="shared" si="1"/>
        <v>0</v>
      </c>
      <c r="I42" s="200"/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 hidden="1">
      <c r="A43" s="44"/>
      <c r="B43" s="5">
        <f t="shared" si="7"/>
        <v>45809</v>
      </c>
      <c r="C43" s="217" t="s">
        <v>17</v>
      </c>
      <c r="D43" s="194"/>
      <c r="E43" s="1"/>
      <c r="F43" s="2"/>
      <c r="G43" s="3">
        <f t="shared" si="8"/>
        <v>0</v>
      </c>
      <c r="H43" s="202">
        <f t="shared" si="1"/>
        <v>0</v>
      </c>
      <c r="I43" s="200"/>
      <c r="J43" s="7">
        <v>1.6500000000000001E-2</v>
      </c>
      <c r="K43" s="7">
        <v>7.5999999999999998E-2</v>
      </c>
      <c r="L43" s="7">
        <v>0</v>
      </c>
      <c r="M43" s="11">
        <f t="shared" si="2"/>
        <v>0</v>
      </c>
      <c r="N43" s="11">
        <f t="shared" si="3"/>
        <v>0</v>
      </c>
      <c r="O43" s="11">
        <f t="shared" si="4"/>
        <v>0</v>
      </c>
      <c r="P43" s="11">
        <f t="shared" si="5"/>
        <v>0</v>
      </c>
    </row>
    <row r="44" spans="1:16">
      <c r="A44" s="44"/>
      <c r="B44" s="5">
        <f t="shared" si="7"/>
        <v>45809</v>
      </c>
      <c r="C44" s="218" t="s">
        <v>830</v>
      </c>
      <c r="D44" s="194" t="s">
        <v>964</v>
      </c>
      <c r="E44" s="1">
        <v>4800000</v>
      </c>
      <c r="F44" s="2">
        <v>12002514.93</v>
      </c>
      <c r="G44" s="3">
        <f t="shared" si="8"/>
        <v>9585208.4230979998</v>
      </c>
      <c r="H44" s="202">
        <f t="shared" si="1"/>
        <v>1.9969184214787499</v>
      </c>
      <c r="I44" s="200">
        <v>0.12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1440301.7915999999</v>
      </c>
      <c r="N44" s="11">
        <f t="shared" si="3"/>
        <v>174276.5167836</v>
      </c>
      <c r="O44" s="11">
        <f t="shared" si="4"/>
        <v>802728.19851839996</v>
      </c>
      <c r="P44" s="11">
        <f t="shared" si="5"/>
        <v>0</v>
      </c>
    </row>
    <row r="45" spans="1:16" hidden="1">
      <c r="A45" s="44"/>
      <c r="B45" s="5">
        <f>B44</f>
        <v>45809</v>
      </c>
      <c r="C45" s="218" t="s">
        <v>830</v>
      </c>
      <c r="D45" s="194"/>
      <c r="E45" s="1"/>
      <c r="F45" s="2"/>
      <c r="G45" s="3">
        <f t="shared" si="6"/>
        <v>0</v>
      </c>
      <c r="H45" s="202">
        <f>+IF(G45=0,0,G45/E45)</f>
        <v>0</v>
      </c>
      <c r="I45" s="200"/>
      <c r="J45" s="7">
        <v>1.6500000000000001E-2</v>
      </c>
      <c r="K45" s="7">
        <v>7.5999999999999998E-2</v>
      </c>
      <c r="L45" s="7">
        <v>0</v>
      </c>
      <c r="M45" s="11">
        <f t="shared" si="2"/>
        <v>0</v>
      </c>
      <c r="N45" s="11">
        <f t="shared" si="3"/>
        <v>0</v>
      </c>
      <c r="O45" s="11">
        <f t="shared" si="4"/>
        <v>0</v>
      </c>
      <c r="P45" s="11">
        <f t="shared" si="5"/>
        <v>0</v>
      </c>
    </row>
    <row r="46" spans="1:16" hidden="1">
      <c r="A46" s="44"/>
      <c r="B46" s="5">
        <f t="shared" si="7"/>
        <v>45809</v>
      </c>
      <c r="C46" s="218" t="s">
        <v>830</v>
      </c>
      <c r="D46" s="194"/>
      <c r="E46" s="1"/>
      <c r="F46" s="2"/>
      <c r="G46" s="3">
        <f t="shared" si="6"/>
        <v>0</v>
      </c>
      <c r="H46" s="202">
        <f t="shared" ref="H46:H55" si="9">+IF(G46=0,0,G46/E46)</f>
        <v>0</v>
      </c>
      <c r="I46" s="200"/>
      <c r="J46" s="7">
        <v>1.6500000000000001E-2</v>
      </c>
      <c r="K46" s="7">
        <v>7.5999999999999998E-2</v>
      </c>
      <c r="L46" s="7">
        <v>0</v>
      </c>
      <c r="M46" s="11">
        <f t="shared" si="2"/>
        <v>0</v>
      </c>
      <c r="N46" s="11">
        <f t="shared" si="3"/>
        <v>0</v>
      </c>
      <c r="O46" s="11">
        <f t="shared" si="4"/>
        <v>0</v>
      </c>
      <c r="P46" s="11">
        <f t="shared" si="5"/>
        <v>0</v>
      </c>
    </row>
    <row r="47" spans="1:16">
      <c r="A47" s="44"/>
      <c r="B47" s="5">
        <f t="shared" si="7"/>
        <v>45809</v>
      </c>
      <c r="C47" s="219" t="s">
        <v>440</v>
      </c>
      <c r="D47" s="194" t="s">
        <v>962</v>
      </c>
      <c r="E47" s="1">
        <v>300000</v>
      </c>
      <c r="F47" s="2">
        <v>767730</v>
      </c>
      <c r="G47" s="3">
        <f t="shared" si="6"/>
        <v>647944.92674999998</v>
      </c>
      <c r="H47" s="202">
        <f t="shared" si="9"/>
        <v>2.1598164225000001</v>
      </c>
      <c r="I47" s="7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53741.100000000006</v>
      </c>
      <c r="N47" s="11">
        <f t="shared" si="3"/>
        <v>11780.816850000001</v>
      </c>
      <c r="O47" s="11">
        <f t="shared" si="4"/>
        <v>54263.1564</v>
      </c>
      <c r="P47" s="11">
        <f t="shared" si="5"/>
        <v>0</v>
      </c>
    </row>
    <row r="48" spans="1:16">
      <c r="A48" s="44"/>
      <c r="B48" s="5">
        <f t="shared" si="7"/>
        <v>45809</v>
      </c>
      <c r="C48" s="217" t="s">
        <v>491</v>
      </c>
      <c r="D48" s="194" t="s">
        <v>963</v>
      </c>
      <c r="E48" s="1">
        <v>6000000</v>
      </c>
      <c r="F48" s="2">
        <v>16127723.52</v>
      </c>
      <c r="G48" s="3">
        <f>F48-SUM(M48:P48)</f>
        <v>12879600.003071999</v>
      </c>
      <c r="H48" s="202">
        <f>+IF(G48=0,0,G48/E48)</f>
        <v>2.1466000005120001</v>
      </c>
      <c r="I48" s="7">
        <v>0.12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1935326.8223999999</v>
      </c>
      <c r="N48" s="11">
        <f t="shared" si="3"/>
        <v>234174.5455104</v>
      </c>
      <c r="O48" s="11">
        <f t="shared" si="4"/>
        <v>1078622.1490175999</v>
      </c>
      <c r="P48" s="11">
        <f t="shared" si="5"/>
        <v>0</v>
      </c>
    </row>
    <row r="49" spans="1:16" hidden="1">
      <c r="A49" s="44"/>
      <c r="B49" s="5">
        <f t="shared" si="7"/>
        <v>45809</v>
      </c>
      <c r="C49" s="217" t="s">
        <v>491</v>
      </c>
      <c r="D49" s="194"/>
      <c r="E49" s="185"/>
      <c r="F49" s="2"/>
      <c r="G49" s="3">
        <f t="shared" ref="G49" si="10">F49-SUM(M49:P49)</f>
        <v>0</v>
      </c>
      <c r="H49" s="202">
        <f>+IF(G49=0,0,G49/E49)</f>
        <v>0</v>
      </c>
      <c r="I49" s="7"/>
      <c r="J49" s="7">
        <v>1.6500000000000001E-2</v>
      </c>
      <c r="K49" s="7">
        <v>7.5999999999999998E-2</v>
      </c>
      <c r="L49" s="7">
        <v>0</v>
      </c>
      <c r="M49" s="11">
        <f t="shared" si="2"/>
        <v>0</v>
      </c>
      <c r="N49" s="11">
        <f t="shared" si="3"/>
        <v>0</v>
      </c>
      <c r="O49" s="11">
        <f t="shared" si="4"/>
        <v>0</v>
      </c>
      <c r="P49" s="11">
        <f t="shared" si="5"/>
        <v>0</v>
      </c>
    </row>
    <row r="50" spans="1:16" hidden="1">
      <c r="A50" s="44"/>
      <c r="B50" s="5">
        <f>B46</f>
        <v>45809</v>
      </c>
      <c r="C50" s="217" t="s">
        <v>491</v>
      </c>
      <c r="D50" s="194"/>
      <c r="E50" s="1"/>
      <c r="F50" s="2"/>
      <c r="G50" s="3">
        <f t="shared" ref="G50:G51" si="11">F50-SUM(M50:P50)</f>
        <v>0</v>
      </c>
      <c r="H50" s="202">
        <f t="shared" si="9"/>
        <v>0</v>
      </c>
      <c r="I50" s="7"/>
      <c r="J50" s="7">
        <v>1.6500000000000001E-2</v>
      </c>
      <c r="K50" s="7">
        <v>7.5999999999999998E-2</v>
      </c>
      <c r="L50" s="7">
        <v>0</v>
      </c>
      <c r="M50" s="11">
        <f t="shared" si="2"/>
        <v>0</v>
      </c>
      <c r="N50" s="11">
        <f t="shared" si="3"/>
        <v>0</v>
      </c>
      <c r="O50" s="11">
        <f t="shared" si="4"/>
        <v>0</v>
      </c>
      <c r="P50" s="11">
        <f t="shared" si="5"/>
        <v>0</v>
      </c>
    </row>
    <row r="51" spans="1:16" hidden="1">
      <c r="A51" s="44"/>
      <c r="B51" s="5">
        <f>B47</f>
        <v>45809</v>
      </c>
      <c r="C51" s="217" t="s">
        <v>491</v>
      </c>
      <c r="D51" s="195"/>
      <c r="E51" s="118"/>
      <c r="F51" s="2"/>
      <c r="G51" s="3">
        <f t="shared" si="11"/>
        <v>0</v>
      </c>
      <c r="H51" s="202">
        <f t="shared" si="9"/>
        <v>0</v>
      </c>
      <c r="I51" s="7"/>
      <c r="J51" s="7">
        <v>1.6500000000000001E-2</v>
      </c>
      <c r="K51" s="7">
        <v>7.5999999999999998E-2</v>
      </c>
      <c r="L51" s="7">
        <v>0</v>
      </c>
      <c r="M51" s="11">
        <f t="shared" si="2"/>
        <v>0</v>
      </c>
      <c r="N51" s="11">
        <f t="shared" si="3"/>
        <v>0</v>
      </c>
      <c r="O51" s="11">
        <f t="shared" si="4"/>
        <v>0</v>
      </c>
      <c r="P51" s="11">
        <f t="shared" si="5"/>
        <v>0</v>
      </c>
    </row>
    <row r="52" spans="1:16">
      <c r="A52" s="44"/>
      <c r="B52" s="5">
        <f>B48</f>
        <v>45809</v>
      </c>
      <c r="C52" s="220" t="s">
        <v>756</v>
      </c>
      <c r="D52" s="195" t="s">
        <v>965</v>
      </c>
      <c r="E52" s="118">
        <v>898965.29</v>
      </c>
      <c r="F52" s="2">
        <v>4324382.6399999997</v>
      </c>
      <c r="G52" s="3">
        <f t="shared" si="6"/>
        <v>3119879.9104109998</v>
      </c>
      <c r="H52" s="202">
        <f t="shared" si="9"/>
        <v>3.4705232172100877</v>
      </c>
      <c r="I52" s="7">
        <v>0.20499999999999999</v>
      </c>
      <c r="J52" s="200">
        <v>1.6500000000000001E-2</v>
      </c>
      <c r="K52" s="200">
        <v>7.5999999999999998E-2</v>
      </c>
      <c r="L52" s="200">
        <v>0</v>
      </c>
      <c r="M52" s="11">
        <f t="shared" si="2"/>
        <v>886498.44119999988</v>
      </c>
      <c r="N52" s="11">
        <f t="shared" si="3"/>
        <v>56725.089280200002</v>
      </c>
      <c r="O52" s="11">
        <f t="shared" si="4"/>
        <v>261279.19910879998</v>
      </c>
      <c r="P52" s="11">
        <f t="shared" si="5"/>
        <v>0</v>
      </c>
    </row>
    <row r="53" spans="1:16" hidden="1">
      <c r="A53" s="44"/>
      <c r="B53" s="5">
        <f t="shared" si="7"/>
        <v>45809</v>
      </c>
      <c r="C53" s="220" t="s">
        <v>756</v>
      </c>
      <c r="D53" s="212"/>
      <c r="E53" s="118"/>
      <c r="F53" s="2"/>
      <c r="G53" s="3">
        <f t="shared" ref="G53" si="12">F53-SUM(M53:P53)</f>
        <v>0</v>
      </c>
      <c r="H53" s="202">
        <f t="shared" si="9"/>
        <v>0</v>
      </c>
      <c r="I53" s="7"/>
      <c r="J53" s="200">
        <v>1.6500000000000001E-2</v>
      </c>
      <c r="K53" s="200">
        <v>7.5999999999999998E-2</v>
      </c>
      <c r="L53" s="200">
        <v>0</v>
      </c>
      <c r="M53" s="11">
        <f t="shared" si="2"/>
        <v>0</v>
      </c>
      <c r="N53" s="11">
        <f t="shared" si="3"/>
        <v>0</v>
      </c>
      <c r="O53" s="11">
        <f t="shared" si="4"/>
        <v>0</v>
      </c>
      <c r="P53" s="11">
        <f t="shared" si="5"/>
        <v>0</v>
      </c>
    </row>
    <row r="54" spans="1:16">
      <c r="A54" s="44"/>
      <c r="B54" s="5">
        <f>B53</f>
        <v>45809</v>
      </c>
      <c r="C54" s="220" t="s">
        <v>757</v>
      </c>
      <c r="D54" s="212" t="s">
        <v>966</v>
      </c>
      <c r="E54" s="118">
        <v>111057.04</v>
      </c>
      <c r="F54" s="2">
        <v>594721.55000000005</v>
      </c>
      <c r="G54" s="3">
        <f t="shared" ref="G54:G117" si="13">F54-SUM(M54:P54)</f>
        <v>429069.296266875</v>
      </c>
      <c r="H54" s="202">
        <f t="shared" si="9"/>
        <v>3.863503801892028</v>
      </c>
      <c r="I54" s="7">
        <v>0.20499999999999999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121917.91775000001</v>
      </c>
      <c r="N54" s="11">
        <f t="shared" si="3"/>
        <v>7801.2599321250009</v>
      </c>
      <c r="O54" s="11">
        <f t="shared" si="4"/>
        <v>35933.076051000004</v>
      </c>
      <c r="P54" s="11">
        <f t="shared" si="5"/>
        <v>0</v>
      </c>
    </row>
    <row r="55" spans="1:16" ht="15" hidden="1" customHeight="1">
      <c r="A55" s="44"/>
      <c r="B55" s="5">
        <f>B54</f>
        <v>45809</v>
      </c>
      <c r="C55" s="220" t="s">
        <v>757</v>
      </c>
      <c r="D55" s="195"/>
      <c r="E55" s="118"/>
      <c r="F55" s="2"/>
      <c r="G55" s="3">
        <f t="shared" si="13"/>
        <v>0</v>
      </c>
      <c r="H55" s="202">
        <f t="shared" si="9"/>
        <v>0</v>
      </c>
      <c r="I55" s="7"/>
      <c r="J55" s="7">
        <v>1.6500000000000001E-2</v>
      </c>
      <c r="K55" s="7">
        <v>7.5999999999999998E-2</v>
      </c>
      <c r="L55" s="7">
        <v>0</v>
      </c>
      <c r="M55" s="11">
        <f t="shared" si="2"/>
        <v>0</v>
      </c>
      <c r="N55" s="11">
        <f t="shared" si="3"/>
        <v>0</v>
      </c>
      <c r="O55" s="11">
        <f t="shared" si="4"/>
        <v>0</v>
      </c>
      <c r="P55" s="11">
        <f t="shared" si="5"/>
        <v>0</v>
      </c>
    </row>
    <row r="56" spans="1:16" ht="15" customHeight="1">
      <c r="A56" s="44"/>
      <c r="B56" s="5">
        <f>B55</f>
        <v>45809</v>
      </c>
      <c r="C56" s="221" t="s">
        <v>792</v>
      </c>
      <c r="D56" s="195" t="s">
        <v>948</v>
      </c>
      <c r="E56" s="186"/>
      <c r="F56" s="2">
        <v>270906.95</v>
      </c>
      <c r="G56" s="3">
        <f t="shared" si="13"/>
        <v>245848.05712500002</v>
      </c>
      <c r="H56" s="187"/>
      <c r="I56" s="193"/>
      <c r="J56" s="7">
        <v>1.6500000000000001E-2</v>
      </c>
      <c r="K56" s="7">
        <v>7.5999999999999998E-2</v>
      </c>
      <c r="L56" s="7">
        <v>0</v>
      </c>
      <c r="M56" s="11">
        <f t="shared" si="2"/>
        <v>0</v>
      </c>
      <c r="N56" s="11">
        <f t="shared" si="3"/>
        <v>4469.9646750000002</v>
      </c>
      <c r="O56" s="11">
        <f t="shared" si="4"/>
        <v>20588.928200000002</v>
      </c>
      <c r="P56" s="11">
        <f t="shared" si="5"/>
        <v>0</v>
      </c>
    </row>
    <row r="57" spans="1:16" hidden="1">
      <c r="A57" s="44"/>
      <c r="B57" s="5">
        <f>B56</f>
        <v>45809</v>
      </c>
      <c r="C57" s="221" t="s">
        <v>792</v>
      </c>
      <c r="D57" s="195"/>
      <c r="E57" s="186"/>
      <c r="F57" s="2"/>
      <c r="G57" s="3">
        <f t="shared" si="13"/>
        <v>0</v>
      </c>
      <c r="H57" s="187"/>
      <c r="I57" s="193"/>
      <c r="J57" s="7">
        <v>1.6500000000000001E-2</v>
      </c>
      <c r="K57" s="7">
        <v>7.5999999999999998E-2</v>
      </c>
      <c r="L57" s="7">
        <v>0</v>
      </c>
      <c r="M57" s="11">
        <f t="shared" si="2"/>
        <v>0</v>
      </c>
      <c r="N57" s="11">
        <f t="shared" si="3"/>
        <v>0</v>
      </c>
      <c r="O57" s="11">
        <f t="shared" si="4"/>
        <v>0</v>
      </c>
      <c r="P57" s="11">
        <f t="shared" si="5"/>
        <v>0</v>
      </c>
    </row>
    <row r="58" spans="1:16" hidden="1">
      <c r="A58" s="44"/>
      <c r="B58" s="5">
        <f>B57</f>
        <v>45809</v>
      </c>
      <c r="C58" s="1" t="s">
        <v>33</v>
      </c>
      <c r="D58" s="195"/>
      <c r="E58" s="118"/>
      <c r="F58" s="2"/>
      <c r="G58" s="3">
        <f t="shared" si="13"/>
        <v>0</v>
      </c>
      <c r="H58" s="202">
        <f t="shared" ref="H58:H59" si="14">+IF(G58=0,0,G58/E58)</f>
        <v>0</v>
      </c>
      <c r="I58" s="7"/>
      <c r="J58" s="7">
        <v>1.6500000000000001E-2</v>
      </c>
      <c r="K58" s="7">
        <v>7.5999999999999998E-2</v>
      </c>
      <c r="L58" s="7">
        <v>0</v>
      </c>
      <c r="M58" s="11">
        <f t="shared" si="2"/>
        <v>0</v>
      </c>
      <c r="N58" s="11">
        <f t="shared" si="3"/>
        <v>0</v>
      </c>
      <c r="O58" s="11">
        <f t="shared" si="4"/>
        <v>0</v>
      </c>
      <c r="P58" s="11">
        <f t="shared" si="5"/>
        <v>0</v>
      </c>
    </row>
    <row r="59" spans="1:16" hidden="1">
      <c r="A59" s="44"/>
      <c r="B59" s="5">
        <f t="shared" ref="B59:B122" si="15">B58</f>
        <v>45809</v>
      </c>
      <c r="C59" s="1" t="s">
        <v>33</v>
      </c>
      <c r="D59" s="195"/>
      <c r="E59" s="118"/>
      <c r="F59" s="2"/>
      <c r="G59" s="3">
        <f t="shared" si="13"/>
        <v>0</v>
      </c>
      <c r="H59" s="202">
        <f t="shared" si="14"/>
        <v>0</v>
      </c>
      <c r="I59" s="7"/>
      <c r="J59" s="7">
        <v>1.6500000000000001E-2</v>
      </c>
      <c r="K59" s="7">
        <v>7.5999999999999998E-2</v>
      </c>
      <c r="L59" s="7">
        <v>0</v>
      </c>
      <c r="M59" s="11">
        <f t="shared" si="2"/>
        <v>0</v>
      </c>
      <c r="N59" s="11">
        <f t="shared" si="3"/>
        <v>0</v>
      </c>
      <c r="O59" s="11">
        <f t="shared" si="4"/>
        <v>0</v>
      </c>
      <c r="P59" s="11">
        <f t="shared" si="5"/>
        <v>0</v>
      </c>
    </row>
    <row r="60" spans="1:16" ht="15" customHeight="1">
      <c r="A60" s="44"/>
      <c r="B60" s="5">
        <f t="shared" si="15"/>
        <v>45809</v>
      </c>
      <c r="C60" s="218" t="s">
        <v>533</v>
      </c>
      <c r="D60" s="195">
        <v>10872</v>
      </c>
      <c r="E60" s="186"/>
      <c r="F60" s="2">
        <v>200706.28</v>
      </c>
      <c r="G60" s="3">
        <f>F60-SUM(M60:P60)</f>
        <v>160284.03520799999</v>
      </c>
      <c r="H60" s="187"/>
      <c r="I60" s="7">
        <v>0.12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24084.7536</v>
      </c>
      <c r="N60" s="11">
        <f t="shared" si="3"/>
        <v>2914.2551856</v>
      </c>
      <c r="O60" s="11">
        <f t="shared" si="4"/>
        <v>13423.2360064</v>
      </c>
      <c r="P60" s="11">
        <f t="shared" si="5"/>
        <v>0</v>
      </c>
    </row>
    <row r="61" spans="1:16" ht="15" customHeight="1">
      <c r="A61" s="44"/>
      <c r="B61" s="5">
        <f t="shared" si="15"/>
        <v>45809</v>
      </c>
      <c r="C61" s="218" t="s">
        <v>533</v>
      </c>
      <c r="D61" s="195">
        <v>10875</v>
      </c>
      <c r="E61" s="186"/>
      <c r="F61" s="2">
        <v>6754.15</v>
      </c>
      <c r="G61" s="3">
        <f>F61-SUM(M61:P61)</f>
        <v>5393.8641900000002</v>
      </c>
      <c r="H61" s="187"/>
      <c r="I61" s="7">
        <v>0.12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810.49799999999993</v>
      </c>
      <c r="N61" s="11">
        <f t="shared" si="3"/>
        <v>98.07025800000001</v>
      </c>
      <c r="O61" s="11">
        <f t="shared" si="4"/>
        <v>451.71755200000001</v>
      </c>
      <c r="P61" s="11">
        <f t="shared" si="5"/>
        <v>0</v>
      </c>
    </row>
    <row r="62" spans="1:16" ht="15" customHeight="1">
      <c r="A62" s="44"/>
      <c r="B62" s="5">
        <f t="shared" si="15"/>
        <v>45809</v>
      </c>
      <c r="C62" s="218" t="s">
        <v>533</v>
      </c>
      <c r="D62" s="195">
        <v>5995</v>
      </c>
      <c r="E62" s="186"/>
      <c r="F62" s="2">
        <v>301713.61</v>
      </c>
      <c r="G62" s="3">
        <f t="shared" si="13"/>
        <v>240948.488946</v>
      </c>
      <c r="H62" s="187"/>
      <c r="I62" s="7">
        <v>0.12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36205.633199999997</v>
      </c>
      <c r="N62" s="11">
        <f t="shared" si="3"/>
        <v>4380.8816172000006</v>
      </c>
      <c r="O62" s="11">
        <f t="shared" si="4"/>
        <v>20178.606236799998</v>
      </c>
      <c r="P62" s="11">
        <f t="shared" si="5"/>
        <v>0</v>
      </c>
    </row>
    <row r="63" spans="1:16" ht="15" customHeight="1">
      <c r="A63" s="44"/>
      <c r="B63" s="5">
        <f t="shared" si="15"/>
        <v>45809</v>
      </c>
      <c r="C63" s="218" t="s">
        <v>533</v>
      </c>
      <c r="D63" s="195">
        <v>5996</v>
      </c>
      <c r="E63" s="186"/>
      <c r="F63" s="2">
        <v>13834.56</v>
      </c>
      <c r="G63" s="3">
        <f t="shared" si="13"/>
        <v>11048.279616</v>
      </c>
      <c r="H63" s="187"/>
      <c r="I63" s="7">
        <v>0.12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1660.1471999999999</v>
      </c>
      <c r="N63" s="11">
        <f t="shared" si="3"/>
        <v>200.8778112</v>
      </c>
      <c r="O63" s="11">
        <f t="shared" si="4"/>
        <v>925.25537280000003</v>
      </c>
      <c r="P63" s="11">
        <f t="shared" si="5"/>
        <v>0</v>
      </c>
    </row>
    <row r="64" spans="1:16" ht="15" customHeight="1">
      <c r="A64" s="44"/>
      <c r="B64" s="5">
        <f t="shared" si="15"/>
        <v>45809</v>
      </c>
      <c r="C64" s="218" t="s">
        <v>533</v>
      </c>
      <c r="D64" s="195">
        <v>23472</v>
      </c>
      <c r="E64" s="186"/>
      <c r="F64" s="2">
        <v>3652.51</v>
      </c>
      <c r="G64" s="3">
        <f t="shared" si="13"/>
        <v>3082.6271272500003</v>
      </c>
      <c r="H64" s="187"/>
      <c r="I64" s="7">
        <v>7.0000000000000007E-2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255.67570000000003</v>
      </c>
      <c r="N64" s="11">
        <f t="shared" si="3"/>
        <v>56.047765950000006</v>
      </c>
      <c r="O64" s="11">
        <f t="shared" si="4"/>
        <v>258.1594068</v>
      </c>
      <c r="P64" s="11">
        <f t="shared" si="5"/>
        <v>0</v>
      </c>
    </row>
    <row r="65" spans="1:16" ht="15" customHeight="1">
      <c r="A65" s="44"/>
      <c r="B65" s="5">
        <f t="shared" si="15"/>
        <v>45809</v>
      </c>
      <c r="C65" s="218" t="s">
        <v>533</v>
      </c>
      <c r="D65" s="195">
        <v>23473</v>
      </c>
      <c r="E65" s="186"/>
      <c r="F65" s="2">
        <v>161.82</v>
      </c>
      <c r="G65" s="3">
        <f t="shared" si="13"/>
        <v>136.5720345</v>
      </c>
      <c r="H65" s="187"/>
      <c r="I65" s="7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11.327400000000001</v>
      </c>
      <c r="N65" s="11">
        <f t="shared" si="3"/>
        <v>2.4831278999999999</v>
      </c>
      <c r="O65" s="11">
        <f t="shared" si="4"/>
        <v>11.437437599999999</v>
      </c>
      <c r="P65" s="11">
        <f t="shared" si="5"/>
        <v>0</v>
      </c>
    </row>
    <row r="66" spans="1:16" ht="15" customHeight="1">
      <c r="A66" s="44"/>
      <c r="B66" s="5">
        <f t="shared" si="15"/>
        <v>45809</v>
      </c>
      <c r="C66" s="218" t="s">
        <v>533</v>
      </c>
      <c r="D66" s="195">
        <v>21591</v>
      </c>
      <c r="E66" s="186"/>
      <c r="F66" s="2">
        <v>32748.14</v>
      </c>
      <c r="G66" s="3">
        <f t="shared" si="13"/>
        <v>26152.664603999998</v>
      </c>
      <c r="H66" s="187"/>
      <c r="I66" s="7">
        <v>0.12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3929.7767999999996</v>
      </c>
      <c r="N66" s="11">
        <f t="shared" si="3"/>
        <v>475.50299280000002</v>
      </c>
      <c r="O66" s="11">
        <f t="shared" si="4"/>
        <v>2190.1956031999998</v>
      </c>
      <c r="P66" s="11">
        <f t="shared" si="5"/>
        <v>0</v>
      </c>
    </row>
    <row r="67" spans="1:16" ht="15" customHeight="1">
      <c r="A67" s="44"/>
      <c r="B67" s="5">
        <f t="shared" si="15"/>
        <v>45809</v>
      </c>
      <c r="C67" s="218" t="s">
        <v>533</v>
      </c>
      <c r="D67" s="195">
        <v>21592</v>
      </c>
      <c r="E67" s="186"/>
      <c r="F67" s="2">
        <v>2886.49</v>
      </c>
      <c r="G67" s="3">
        <f t="shared" si="13"/>
        <v>2305.1509139999998</v>
      </c>
      <c r="H67" s="187"/>
      <c r="I67" s="7">
        <v>0.12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346.37879999999996</v>
      </c>
      <c r="N67" s="11">
        <f t="shared" si="3"/>
        <v>41.911834800000001</v>
      </c>
      <c r="O67" s="11">
        <f t="shared" si="4"/>
        <v>193.04845119999999</v>
      </c>
      <c r="P67" s="11">
        <f t="shared" si="5"/>
        <v>0</v>
      </c>
    </row>
    <row r="68" spans="1:16" ht="15" customHeight="1">
      <c r="A68" s="44"/>
      <c r="B68" s="5">
        <f t="shared" si="15"/>
        <v>45809</v>
      </c>
      <c r="C68" s="218" t="s">
        <v>533</v>
      </c>
      <c r="D68" s="195">
        <v>10876</v>
      </c>
      <c r="E68" s="186"/>
      <c r="F68" s="2">
        <v>149307.21</v>
      </c>
      <c r="G68" s="3">
        <f t="shared" si="13"/>
        <v>119236.73790599999</v>
      </c>
      <c r="H68" s="187"/>
      <c r="I68" s="7">
        <v>0.12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17916.865199999997</v>
      </c>
      <c r="N68" s="11">
        <f t="shared" si="3"/>
        <v>2167.9406892000002</v>
      </c>
      <c r="O68" s="11">
        <f t="shared" si="4"/>
        <v>9985.6662047999998</v>
      </c>
      <c r="P68" s="11">
        <f t="shared" si="5"/>
        <v>0</v>
      </c>
    </row>
    <row r="69" spans="1:16" ht="15" customHeight="1">
      <c r="A69" s="44"/>
      <c r="B69" s="5">
        <f t="shared" si="15"/>
        <v>45809</v>
      </c>
      <c r="C69" s="218" t="s">
        <v>533</v>
      </c>
      <c r="D69" s="195">
        <v>10877</v>
      </c>
      <c r="E69" s="186"/>
      <c r="F69" s="2">
        <v>3750.05</v>
      </c>
      <c r="G69" s="3">
        <f t="shared" si="13"/>
        <v>2994.7899299999999</v>
      </c>
      <c r="H69" s="187"/>
      <c r="I69" s="7">
        <v>0.12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450.00600000000003</v>
      </c>
      <c r="N69" s="11">
        <f t="shared" si="3"/>
        <v>54.45072600000001</v>
      </c>
      <c r="O69" s="11">
        <f t="shared" si="4"/>
        <v>250.80334400000001</v>
      </c>
      <c r="P69" s="11">
        <f t="shared" si="5"/>
        <v>0</v>
      </c>
    </row>
    <row r="70" spans="1:16" ht="15" customHeight="1">
      <c r="A70" s="44"/>
      <c r="B70" s="5">
        <f t="shared" si="15"/>
        <v>45809</v>
      </c>
      <c r="C70" s="218" t="s">
        <v>533</v>
      </c>
      <c r="D70" s="195">
        <v>5997</v>
      </c>
      <c r="E70" s="186"/>
      <c r="F70" s="2">
        <v>215740.39</v>
      </c>
      <c r="G70" s="3">
        <f t="shared" si="13"/>
        <v>172290.27545400002</v>
      </c>
      <c r="H70" s="187"/>
      <c r="I70" s="7">
        <v>0.12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25888.846799999999</v>
      </c>
      <c r="N70" s="11">
        <f t="shared" si="3"/>
        <v>3132.5504628000003</v>
      </c>
      <c r="O70" s="11">
        <f t="shared" si="4"/>
        <v>14428.717283200001</v>
      </c>
      <c r="P70" s="11">
        <f t="shared" si="5"/>
        <v>0</v>
      </c>
    </row>
    <row r="71" spans="1:16" ht="15" customHeight="1">
      <c r="A71" s="44"/>
      <c r="B71" s="5">
        <f t="shared" si="15"/>
        <v>45809</v>
      </c>
      <c r="C71" s="218" t="s">
        <v>533</v>
      </c>
      <c r="D71" s="195">
        <v>5998</v>
      </c>
      <c r="E71" s="186"/>
      <c r="F71" s="2">
        <v>8172.6</v>
      </c>
      <c r="G71" s="3">
        <f t="shared" si="13"/>
        <v>6526.6383600000008</v>
      </c>
      <c r="H71" s="187"/>
      <c r="I71" s="7">
        <v>0.12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980.71199999999999</v>
      </c>
      <c r="N71" s="11">
        <f t="shared" si="3"/>
        <v>118.66615200000003</v>
      </c>
      <c r="O71" s="11">
        <f t="shared" si="4"/>
        <v>546.5834880000001</v>
      </c>
      <c r="P71" s="11">
        <f t="shared" si="5"/>
        <v>0</v>
      </c>
    </row>
    <row r="72" spans="1:16" ht="15" customHeight="1">
      <c r="A72" s="44"/>
      <c r="B72" s="5">
        <f t="shared" si="15"/>
        <v>45809</v>
      </c>
      <c r="C72" s="218" t="s">
        <v>533</v>
      </c>
      <c r="D72" s="195">
        <v>23485</v>
      </c>
      <c r="E72" s="186"/>
      <c r="F72" s="2">
        <v>15789.8</v>
      </c>
      <c r="G72" s="3">
        <f t="shared" si="13"/>
        <v>13326.196454999999</v>
      </c>
      <c r="H72" s="187"/>
      <c r="I72" s="7">
        <v>7.0000000000000007E-2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1105.2860000000001</v>
      </c>
      <c r="N72" s="11">
        <f t="shared" si="3"/>
        <v>242.29448099999999</v>
      </c>
      <c r="O72" s="11">
        <f t="shared" si="4"/>
        <v>1116.023064</v>
      </c>
      <c r="P72" s="11">
        <f t="shared" si="5"/>
        <v>0</v>
      </c>
    </row>
    <row r="73" spans="1:16" ht="15" customHeight="1">
      <c r="A73" s="44"/>
      <c r="B73" s="5">
        <f t="shared" si="15"/>
        <v>45809</v>
      </c>
      <c r="C73" s="218" t="s">
        <v>533</v>
      </c>
      <c r="D73" s="195">
        <v>23486</v>
      </c>
      <c r="E73" s="186"/>
      <c r="F73" s="2">
        <v>572.83000000000004</v>
      </c>
      <c r="G73" s="3">
        <f t="shared" si="13"/>
        <v>483.45419925000004</v>
      </c>
      <c r="H73" s="187"/>
      <c r="I73" s="7">
        <v>7.0000000000000007E-2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40.098100000000009</v>
      </c>
      <c r="N73" s="11">
        <f t="shared" si="3"/>
        <v>8.7900763499999996</v>
      </c>
      <c r="O73" s="11">
        <f t="shared" si="4"/>
        <v>40.487624400000001</v>
      </c>
      <c r="P73" s="11">
        <f t="shared" si="5"/>
        <v>0</v>
      </c>
    </row>
    <row r="74" spans="1:16" ht="15" customHeight="1">
      <c r="A74" s="44"/>
      <c r="B74" s="5">
        <f t="shared" si="15"/>
        <v>45809</v>
      </c>
      <c r="C74" s="218" t="s">
        <v>533</v>
      </c>
      <c r="D74" s="195">
        <v>21599</v>
      </c>
      <c r="E74" s="186"/>
      <c r="F74" s="2">
        <v>28292.47</v>
      </c>
      <c r="G74" s="3">
        <f t="shared" si="13"/>
        <v>22594.366542000003</v>
      </c>
      <c r="H74" s="187"/>
      <c r="I74" s="7">
        <v>0.12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3395.0963999999999</v>
      </c>
      <c r="N74" s="11">
        <f t="shared" si="3"/>
        <v>410.80666440000005</v>
      </c>
      <c r="O74" s="11">
        <f t="shared" si="4"/>
        <v>1892.2003936000001</v>
      </c>
      <c r="P74" s="11">
        <f t="shared" si="5"/>
        <v>0</v>
      </c>
    </row>
    <row r="75" spans="1:16" ht="15" customHeight="1">
      <c r="A75" s="44"/>
      <c r="B75" s="5">
        <f t="shared" si="15"/>
        <v>45809</v>
      </c>
      <c r="C75" s="218" t="s">
        <v>533</v>
      </c>
      <c r="D75" s="195">
        <v>21600</v>
      </c>
      <c r="E75" s="186"/>
      <c r="F75" s="2">
        <v>1658.47</v>
      </c>
      <c r="G75" s="3">
        <f t="shared" si="13"/>
        <v>1324.454142</v>
      </c>
      <c r="H75" s="187"/>
      <c r="I75" s="7">
        <v>0.12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199.0164</v>
      </c>
      <c r="N75" s="11">
        <f t="shared" si="3"/>
        <v>24.080984400000002</v>
      </c>
      <c r="O75" s="11">
        <f t="shared" si="4"/>
        <v>110.9184736</v>
      </c>
      <c r="P75" s="11">
        <f t="shared" si="5"/>
        <v>0</v>
      </c>
    </row>
    <row r="76" spans="1:16" ht="15" customHeight="1">
      <c r="A76" s="44"/>
      <c r="B76" s="5">
        <f t="shared" si="15"/>
        <v>45809</v>
      </c>
      <c r="C76" s="218" t="s">
        <v>533</v>
      </c>
      <c r="D76" s="195">
        <v>10878</v>
      </c>
      <c r="E76" s="186"/>
      <c r="F76" s="2">
        <v>40661.129999999997</v>
      </c>
      <c r="G76" s="3">
        <f t="shared" si="13"/>
        <v>32471.978417999999</v>
      </c>
      <c r="H76" s="187"/>
      <c r="I76" s="7">
        <v>0.12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4879.3355999999994</v>
      </c>
      <c r="N76" s="11">
        <f t="shared" si="3"/>
        <v>590.39960759999997</v>
      </c>
      <c r="O76" s="11">
        <f t="shared" si="4"/>
        <v>2719.4163743999998</v>
      </c>
      <c r="P76" s="11">
        <f t="shared" si="5"/>
        <v>0</v>
      </c>
    </row>
    <row r="77" spans="1:16" ht="15" customHeight="1">
      <c r="A77" s="44"/>
      <c r="B77" s="5">
        <f t="shared" si="15"/>
        <v>45809</v>
      </c>
      <c r="C77" s="218" t="s">
        <v>533</v>
      </c>
      <c r="D77" s="195">
        <v>10879</v>
      </c>
      <c r="E77" s="186"/>
      <c r="F77" s="2">
        <v>876.66</v>
      </c>
      <c r="G77" s="3">
        <f t="shared" si="13"/>
        <v>700.10067600000002</v>
      </c>
      <c r="H77" s="187"/>
      <c r="I77" s="7">
        <v>0.12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105.19919999999999</v>
      </c>
      <c r="N77" s="11">
        <f t="shared" si="3"/>
        <v>12.729103199999999</v>
      </c>
      <c r="O77" s="11">
        <f t="shared" si="4"/>
        <v>58.631020799999995</v>
      </c>
      <c r="P77" s="11">
        <f t="shared" si="5"/>
        <v>0</v>
      </c>
    </row>
    <row r="78" spans="1:16" ht="15" customHeight="1">
      <c r="A78" s="44"/>
      <c r="B78" s="5">
        <f t="shared" si="15"/>
        <v>45809</v>
      </c>
      <c r="C78" s="218" t="s">
        <v>533</v>
      </c>
      <c r="D78" s="195">
        <v>5999</v>
      </c>
      <c r="E78" s="186"/>
      <c r="F78" s="2">
        <v>57581.73</v>
      </c>
      <c r="G78" s="3">
        <f t="shared" si="13"/>
        <v>45984.769578000007</v>
      </c>
      <c r="H78" s="187"/>
      <c r="I78" s="7">
        <v>0.12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6909.8076000000001</v>
      </c>
      <c r="N78" s="11">
        <f t="shared" si="3"/>
        <v>836.08671960000004</v>
      </c>
      <c r="O78" s="11">
        <f t="shared" si="4"/>
        <v>3851.0661024000001</v>
      </c>
      <c r="P78" s="11">
        <f t="shared" si="5"/>
        <v>0</v>
      </c>
    </row>
    <row r="79" spans="1:16" ht="15" customHeight="1">
      <c r="A79" s="44"/>
      <c r="B79" s="5">
        <f t="shared" si="15"/>
        <v>45809</v>
      </c>
      <c r="C79" s="218" t="s">
        <v>533</v>
      </c>
      <c r="D79" s="195">
        <v>6000</v>
      </c>
      <c r="E79" s="186"/>
      <c r="F79" s="2">
        <v>1946.93</v>
      </c>
      <c r="G79" s="3">
        <f t="shared" si="13"/>
        <v>1554.8182980000001</v>
      </c>
      <c r="H79" s="187"/>
      <c r="I79" s="7">
        <v>0.12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233.63159999999999</v>
      </c>
      <c r="N79" s="11">
        <f t="shared" si="3"/>
        <v>28.269423600000003</v>
      </c>
      <c r="O79" s="11">
        <f t="shared" si="4"/>
        <v>130.21067840000001</v>
      </c>
      <c r="P79" s="11">
        <f t="shared" si="5"/>
        <v>0</v>
      </c>
    </row>
    <row r="80" spans="1:16" ht="15" customHeight="1">
      <c r="A80" s="44"/>
      <c r="B80" s="5">
        <f t="shared" si="15"/>
        <v>45809</v>
      </c>
      <c r="C80" s="218" t="s">
        <v>533</v>
      </c>
      <c r="D80" s="195">
        <v>23493</v>
      </c>
      <c r="E80" s="186"/>
      <c r="F80" s="2">
        <v>4292.49</v>
      </c>
      <c r="G80" s="3">
        <f t="shared" si="13"/>
        <v>3622.7542477499996</v>
      </c>
      <c r="H80" s="187"/>
      <c r="I80" s="7">
        <v>7.0000000000000007E-2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300.47430000000003</v>
      </c>
      <c r="N80" s="11">
        <f t="shared" si="3"/>
        <v>65.868259050000006</v>
      </c>
      <c r="O80" s="11">
        <f t="shared" si="4"/>
        <v>303.39319319999998</v>
      </c>
      <c r="P80" s="11">
        <f t="shared" si="5"/>
        <v>0</v>
      </c>
    </row>
    <row r="81" spans="1:16" ht="15" customHeight="1">
      <c r="A81" s="44"/>
      <c r="B81" s="5">
        <f t="shared" si="15"/>
        <v>45809</v>
      </c>
      <c r="C81" s="218" t="s">
        <v>533</v>
      </c>
      <c r="D81" s="195">
        <v>23494</v>
      </c>
      <c r="E81" s="186"/>
      <c r="F81" s="2">
        <v>141.66999999999999</v>
      </c>
      <c r="G81" s="3">
        <f t="shared" si="13"/>
        <v>119.56593824999999</v>
      </c>
      <c r="H81" s="187"/>
      <c r="I81" s="7">
        <v>7.0000000000000007E-2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9.9169</v>
      </c>
      <c r="N81" s="11">
        <f t="shared" si="3"/>
        <v>2.1739261499999998</v>
      </c>
      <c r="O81" s="11">
        <f t="shared" si="4"/>
        <v>10.0132356</v>
      </c>
      <c r="P81" s="11">
        <f t="shared" si="5"/>
        <v>0</v>
      </c>
    </row>
    <row r="82" spans="1:16" ht="15" customHeight="1">
      <c r="A82" s="44"/>
      <c r="B82" s="5">
        <f t="shared" si="15"/>
        <v>45809</v>
      </c>
      <c r="C82" s="218" t="s">
        <v>533</v>
      </c>
      <c r="D82" s="195">
        <v>21601</v>
      </c>
      <c r="E82" s="186"/>
      <c r="F82" s="2">
        <v>7292.15</v>
      </c>
      <c r="G82" s="3">
        <f t="shared" si="13"/>
        <v>5823.5109899999998</v>
      </c>
      <c r="H82" s="187"/>
      <c r="I82" s="7">
        <v>0.12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875.05799999999988</v>
      </c>
      <c r="N82" s="11">
        <f t="shared" si="3"/>
        <v>105.882018</v>
      </c>
      <c r="O82" s="11">
        <f t="shared" si="4"/>
        <v>487.69899199999998</v>
      </c>
      <c r="P82" s="11">
        <f t="shared" ref="P82:P182" si="16">L82*(F82)</f>
        <v>0</v>
      </c>
    </row>
    <row r="83" spans="1:16" ht="15" customHeight="1">
      <c r="A83" s="44"/>
      <c r="B83" s="5">
        <f t="shared" si="15"/>
        <v>45809</v>
      </c>
      <c r="C83" s="218" t="s">
        <v>533</v>
      </c>
      <c r="D83" s="195">
        <v>21602</v>
      </c>
      <c r="E83" s="186"/>
      <c r="F83" s="2">
        <v>391.89</v>
      </c>
      <c r="G83" s="3">
        <f t="shared" si="13"/>
        <v>312.96335399999998</v>
      </c>
      <c r="H83" s="187"/>
      <c r="I83" s="7">
        <v>0.12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47.026799999999994</v>
      </c>
      <c r="N83" s="11">
        <f t="shared" si="3"/>
        <v>5.6902428</v>
      </c>
      <c r="O83" s="11">
        <f t="shared" si="4"/>
        <v>26.2096032</v>
      </c>
      <c r="P83" s="11">
        <f t="shared" si="16"/>
        <v>0</v>
      </c>
    </row>
    <row r="84" spans="1:16" ht="15" customHeight="1">
      <c r="A84" s="44"/>
      <c r="B84" s="5">
        <f t="shared" si="15"/>
        <v>45809</v>
      </c>
      <c r="C84" s="218" t="s">
        <v>533</v>
      </c>
      <c r="D84" s="195">
        <v>10880</v>
      </c>
      <c r="E84" s="186"/>
      <c r="F84" s="2">
        <v>25923.759999999998</v>
      </c>
      <c r="G84" s="3">
        <f t="shared" si="13"/>
        <v>20702.714735999998</v>
      </c>
      <c r="H84" s="187"/>
      <c r="I84" s="7">
        <v>0.12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3110.8511999999996</v>
      </c>
      <c r="N84" s="11">
        <f t="shared" si="3"/>
        <v>376.41299519999995</v>
      </c>
      <c r="O84" s="11">
        <f t="shared" si="4"/>
        <v>1733.7810687999997</v>
      </c>
      <c r="P84" s="11">
        <f t="shared" si="16"/>
        <v>0</v>
      </c>
    </row>
    <row r="85" spans="1:16" ht="15" customHeight="1">
      <c r="A85" s="44"/>
      <c r="B85" s="5">
        <f t="shared" si="15"/>
        <v>45809</v>
      </c>
      <c r="C85" s="218" t="s">
        <v>533</v>
      </c>
      <c r="D85" s="195">
        <v>10881</v>
      </c>
      <c r="E85" s="186"/>
      <c r="F85" s="2">
        <v>595.23</v>
      </c>
      <c r="G85" s="3">
        <f t="shared" si="13"/>
        <v>475.35067800000002</v>
      </c>
      <c r="H85" s="187"/>
      <c r="I85" s="7">
        <v>0.12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71.427599999999998</v>
      </c>
      <c r="N85" s="11">
        <f t="shared" si="3"/>
        <v>8.6427396000000005</v>
      </c>
      <c r="O85" s="11">
        <f t="shared" si="4"/>
        <v>39.808982400000005</v>
      </c>
      <c r="P85" s="11">
        <f t="shared" si="16"/>
        <v>0</v>
      </c>
    </row>
    <row r="86" spans="1:16" ht="15" customHeight="1">
      <c r="A86" s="44"/>
      <c r="B86" s="5">
        <f t="shared" si="15"/>
        <v>45809</v>
      </c>
      <c r="C86" s="218" t="s">
        <v>533</v>
      </c>
      <c r="D86" s="195">
        <v>6001</v>
      </c>
      <c r="E86" s="186"/>
      <c r="F86" s="2">
        <v>36801.99</v>
      </c>
      <c r="G86" s="3">
        <f t="shared" si="13"/>
        <v>29390.069213999999</v>
      </c>
      <c r="H86" s="187"/>
      <c r="I86" s="7">
        <v>0.12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4416.2387999999992</v>
      </c>
      <c r="N86" s="11">
        <f t="shared" si="3"/>
        <v>534.3648948</v>
      </c>
      <c r="O86" s="11">
        <f t="shared" si="4"/>
        <v>2461.3170912</v>
      </c>
      <c r="P86" s="11">
        <f t="shared" si="16"/>
        <v>0</v>
      </c>
    </row>
    <row r="87" spans="1:16" ht="15" customHeight="1">
      <c r="A87" s="44"/>
      <c r="B87" s="5">
        <f t="shared" si="15"/>
        <v>45809</v>
      </c>
      <c r="C87" s="218" t="s">
        <v>533</v>
      </c>
      <c r="D87" s="195">
        <v>6002</v>
      </c>
      <c r="E87" s="186"/>
      <c r="F87" s="2">
        <v>1303.22</v>
      </c>
      <c r="G87" s="3">
        <f t="shared" si="13"/>
        <v>1040.7514920000001</v>
      </c>
      <c r="H87" s="187"/>
      <c r="I87" s="7">
        <v>0.12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156.38640000000001</v>
      </c>
      <c r="N87" s="11">
        <f t="shared" si="3"/>
        <v>18.922754399999999</v>
      </c>
      <c r="O87" s="11">
        <f t="shared" si="4"/>
        <v>87.159353599999989</v>
      </c>
      <c r="P87" s="11">
        <f t="shared" si="16"/>
        <v>0</v>
      </c>
    </row>
    <row r="88" spans="1:16" ht="15" customHeight="1">
      <c r="A88" s="44"/>
      <c r="B88" s="5">
        <f t="shared" si="15"/>
        <v>45809</v>
      </c>
      <c r="C88" s="218" t="s">
        <v>533</v>
      </c>
      <c r="D88" s="195">
        <v>23507</v>
      </c>
      <c r="E88" s="186"/>
      <c r="F88" s="2">
        <v>2733.95</v>
      </c>
      <c r="G88" s="3">
        <f t="shared" si="13"/>
        <v>2307.3854512499997</v>
      </c>
      <c r="H88" s="187"/>
      <c r="I88" s="7">
        <v>7.0000000000000007E-2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191.37649999999999</v>
      </c>
      <c r="N88" s="11">
        <f t="shared" si="3"/>
        <v>41.952462750000002</v>
      </c>
      <c r="O88" s="11">
        <f t="shared" si="4"/>
        <v>193.23558599999998</v>
      </c>
      <c r="P88" s="11">
        <f t="shared" si="16"/>
        <v>0</v>
      </c>
    </row>
    <row r="89" spans="1:16" ht="15" customHeight="1">
      <c r="A89" s="44"/>
      <c r="B89" s="5">
        <f t="shared" si="15"/>
        <v>45809</v>
      </c>
      <c r="C89" s="218" t="s">
        <v>533</v>
      </c>
      <c r="D89" s="195">
        <v>23506</v>
      </c>
      <c r="E89" s="186"/>
      <c r="F89" s="2">
        <v>93.63</v>
      </c>
      <c r="G89" s="3">
        <f t="shared" si="13"/>
        <v>79.021379249999995</v>
      </c>
      <c r="H89" s="187"/>
      <c r="I89" s="7">
        <v>7.0000000000000007E-2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6.5541</v>
      </c>
      <c r="N89" s="11">
        <f t="shared" si="3"/>
        <v>1.4367523499999999</v>
      </c>
      <c r="O89" s="11">
        <f t="shared" si="4"/>
        <v>6.6177683999999992</v>
      </c>
      <c r="P89" s="11">
        <f t="shared" si="16"/>
        <v>0</v>
      </c>
    </row>
    <row r="90" spans="1:16" ht="15" customHeight="1">
      <c r="A90" s="44"/>
      <c r="B90" s="5">
        <f t="shared" si="15"/>
        <v>45809</v>
      </c>
      <c r="C90" s="218" t="s">
        <v>533</v>
      </c>
      <c r="D90" s="195">
        <v>21603</v>
      </c>
      <c r="E90" s="186"/>
      <c r="F90" s="2">
        <v>4656.18</v>
      </c>
      <c r="G90" s="3">
        <f t="shared" si="13"/>
        <v>3718.4253480000002</v>
      </c>
      <c r="H90" s="187"/>
      <c r="I90" s="7">
        <v>0.12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558.74160000000006</v>
      </c>
      <c r="N90" s="11">
        <f t="shared" si="3"/>
        <v>67.607733600000003</v>
      </c>
      <c r="O90" s="11">
        <f t="shared" si="4"/>
        <v>311.4053184</v>
      </c>
      <c r="P90" s="11">
        <f t="shared" si="16"/>
        <v>0</v>
      </c>
    </row>
    <row r="91" spans="1:16" ht="15" customHeight="1">
      <c r="A91" s="44"/>
      <c r="B91" s="5">
        <f t="shared" si="15"/>
        <v>45809</v>
      </c>
      <c r="C91" s="218" t="s">
        <v>533</v>
      </c>
      <c r="D91" s="195">
        <v>21604</v>
      </c>
      <c r="E91" s="186"/>
      <c r="F91" s="2">
        <v>259.52999999999997</v>
      </c>
      <c r="G91" s="3">
        <f t="shared" si="13"/>
        <v>207.26065799999998</v>
      </c>
      <c r="H91" s="187"/>
      <c r="I91" s="7">
        <v>0.12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31.143599999999996</v>
      </c>
      <c r="N91" s="11">
        <f t="shared" si="3"/>
        <v>3.7683755999999997</v>
      </c>
      <c r="O91" s="11">
        <f t="shared" si="4"/>
        <v>17.357366399999997</v>
      </c>
      <c r="P91" s="11">
        <f t="shared" si="16"/>
        <v>0</v>
      </c>
    </row>
    <row r="92" spans="1:16" ht="15" customHeight="1">
      <c r="A92" s="44"/>
      <c r="B92" s="5">
        <f t="shared" si="15"/>
        <v>45809</v>
      </c>
      <c r="C92" s="218" t="s">
        <v>533</v>
      </c>
      <c r="D92" s="195">
        <v>10882</v>
      </c>
      <c r="E92" s="186"/>
      <c r="F92" s="2">
        <v>116379.19</v>
      </c>
      <c r="G92" s="3">
        <f t="shared" si="13"/>
        <v>92940.421134000004</v>
      </c>
      <c r="H92" s="187"/>
      <c r="I92" s="7">
        <v>0.12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13965.5028</v>
      </c>
      <c r="N92" s="11">
        <f t="shared" si="3"/>
        <v>1689.8258388000002</v>
      </c>
      <c r="O92" s="11">
        <f t="shared" si="4"/>
        <v>7783.4402271999998</v>
      </c>
      <c r="P92" s="11">
        <f t="shared" si="16"/>
        <v>0</v>
      </c>
    </row>
    <row r="93" spans="1:16" ht="15" customHeight="1">
      <c r="A93" s="44"/>
      <c r="B93" s="5">
        <f t="shared" si="15"/>
        <v>45809</v>
      </c>
      <c r="C93" s="218" t="s">
        <v>533</v>
      </c>
      <c r="D93" s="195">
        <v>10883</v>
      </c>
      <c r="E93" s="186"/>
      <c r="F93" s="2">
        <v>2588.88</v>
      </c>
      <c r="G93" s="3">
        <f t="shared" si="13"/>
        <v>2067.4795680000002</v>
      </c>
      <c r="H93" s="187"/>
      <c r="I93" s="7">
        <v>0.12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310.66559999999998</v>
      </c>
      <c r="N93" s="11">
        <f t="shared" si="3"/>
        <v>37.590537600000005</v>
      </c>
      <c r="O93" s="11">
        <f t="shared" si="4"/>
        <v>173.14429440000001</v>
      </c>
      <c r="P93" s="11">
        <f t="shared" si="16"/>
        <v>0</v>
      </c>
    </row>
    <row r="94" spans="1:16" ht="15" customHeight="1">
      <c r="A94" s="44"/>
      <c r="B94" s="5">
        <f t="shared" si="15"/>
        <v>45809</v>
      </c>
      <c r="C94" s="218" t="s">
        <v>533</v>
      </c>
      <c r="D94" s="195">
        <v>6003</v>
      </c>
      <c r="E94" s="186"/>
      <c r="F94" s="2">
        <v>164523.67000000001</v>
      </c>
      <c r="G94" s="3">
        <f t="shared" si="13"/>
        <v>131388.602862</v>
      </c>
      <c r="H94" s="187"/>
      <c r="I94" s="7">
        <v>0.12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19742.840400000001</v>
      </c>
      <c r="N94" s="11">
        <f t="shared" si="3"/>
        <v>2388.8836884000002</v>
      </c>
      <c r="O94" s="11">
        <f t="shared" si="4"/>
        <v>11003.3430496</v>
      </c>
      <c r="P94" s="11">
        <f t="shared" si="16"/>
        <v>0</v>
      </c>
    </row>
    <row r="95" spans="1:16" ht="15" customHeight="1">
      <c r="A95" s="44"/>
      <c r="B95" s="5">
        <f t="shared" si="15"/>
        <v>45809</v>
      </c>
      <c r="C95" s="218" t="s">
        <v>533</v>
      </c>
      <c r="D95" s="195">
        <v>6004</v>
      </c>
      <c r="E95" s="186"/>
      <c r="F95" s="2">
        <v>5716.61</v>
      </c>
      <c r="G95" s="3">
        <f t="shared" si="13"/>
        <v>4565.2847459999994</v>
      </c>
      <c r="H95" s="187"/>
      <c r="I95" s="7">
        <v>0.12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685.99319999999989</v>
      </c>
      <c r="N95" s="11">
        <f t="shared" si="3"/>
        <v>83.005177200000006</v>
      </c>
      <c r="O95" s="11">
        <f t="shared" si="4"/>
        <v>382.32687679999998</v>
      </c>
      <c r="P95" s="11">
        <f t="shared" si="16"/>
        <v>0</v>
      </c>
    </row>
    <row r="96" spans="1:16" ht="15" customHeight="1">
      <c r="A96" s="44"/>
      <c r="B96" s="5">
        <f t="shared" si="15"/>
        <v>45809</v>
      </c>
      <c r="C96" s="218" t="s">
        <v>533</v>
      </c>
      <c r="D96" s="195">
        <v>23510</v>
      </c>
      <c r="E96" s="186"/>
      <c r="F96" s="2">
        <v>12243.79</v>
      </c>
      <c r="G96" s="3">
        <f t="shared" si="13"/>
        <v>10333.452665250001</v>
      </c>
      <c r="H96" s="187"/>
      <c r="I96" s="7">
        <v>7.0000000000000007E-2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857.06530000000009</v>
      </c>
      <c r="N96" s="11">
        <f t="shared" si="3"/>
        <v>187.88095755000003</v>
      </c>
      <c r="O96" s="11">
        <f t="shared" si="4"/>
        <v>865.39107720000004</v>
      </c>
      <c r="P96" s="11">
        <f t="shared" si="16"/>
        <v>0</v>
      </c>
    </row>
    <row r="97" spans="1:16" ht="15" customHeight="1">
      <c r="A97" s="44"/>
      <c r="B97" s="5">
        <f t="shared" si="15"/>
        <v>45809</v>
      </c>
      <c r="C97" s="218" t="s">
        <v>533</v>
      </c>
      <c r="D97" s="195">
        <v>23511</v>
      </c>
      <c r="E97" s="186"/>
      <c r="F97" s="2">
        <v>413.61</v>
      </c>
      <c r="G97" s="3">
        <f t="shared" si="13"/>
        <v>349.07649975000004</v>
      </c>
      <c r="H97" s="187"/>
      <c r="I97" s="7">
        <v>7.0000000000000007E-2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28.952700000000004</v>
      </c>
      <c r="N97" s="11">
        <f t="shared" si="3"/>
        <v>6.3468454500000009</v>
      </c>
      <c r="O97" s="11">
        <f t="shared" si="4"/>
        <v>29.233954799999999</v>
      </c>
      <c r="P97" s="11">
        <f t="shared" si="16"/>
        <v>0</v>
      </c>
    </row>
    <row r="98" spans="1:16" ht="15" customHeight="1">
      <c r="A98" s="44"/>
      <c r="B98" s="5">
        <f t="shared" si="15"/>
        <v>45809</v>
      </c>
      <c r="C98" s="218" t="s">
        <v>533</v>
      </c>
      <c r="D98" s="195">
        <v>21605</v>
      </c>
      <c r="E98" s="186"/>
      <c r="F98" s="2">
        <v>19840.650000000001</v>
      </c>
      <c r="G98" s="3">
        <f t="shared" si="13"/>
        <v>15844.743090000002</v>
      </c>
      <c r="H98" s="187"/>
      <c r="I98" s="7">
        <v>0.12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2380.8780000000002</v>
      </c>
      <c r="N98" s="11">
        <f t="shared" si="3"/>
        <v>288.08623800000004</v>
      </c>
      <c r="O98" s="11">
        <f t="shared" si="4"/>
        <v>1326.9426720000001</v>
      </c>
      <c r="P98" s="11">
        <f t="shared" si="16"/>
        <v>0</v>
      </c>
    </row>
    <row r="99" spans="1:16" ht="15" customHeight="1">
      <c r="A99" s="44"/>
      <c r="B99" s="5">
        <f t="shared" si="15"/>
        <v>45809</v>
      </c>
      <c r="C99" s="218" t="s">
        <v>533</v>
      </c>
      <c r="D99" s="195">
        <v>21606</v>
      </c>
      <c r="E99" s="186"/>
      <c r="F99" s="2">
        <v>1089.95</v>
      </c>
      <c r="G99" s="3">
        <f t="shared" si="13"/>
        <v>870.43407000000002</v>
      </c>
      <c r="H99" s="187"/>
      <c r="I99" s="7">
        <v>0.12</v>
      </c>
      <c r="J99" s="7">
        <v>1.6500000000000001E-2</v>
      </c>
      <c r="K99" s="7">
        <v>7.5999999999999998E-2</v>
      </c>
      <c r="L99" s="7">
        <v>0</v>
      </c>
      <c r="M99" s="11">
        <f t="shared" si="2"/>
        <v>130.79400000000001</v>
      </c>
      <c r="N99" s="11">
        <f t="shared" si="3"/>
        <v>15.826074000000002</v>
      </c>
      <c r="O99" s="11">
        <f t="shared" si="4"/>
        <v>72.895856000000009</v>
      </c>
      <c r="P99" s="11">
        <f t="shared" si="16"/>
        <v>0</v>
      </c>
    </row>
    <row r="100" spans="1:16" ht="15" customHeight="1">
      <c r="A100" s="44"/>
      <c r="B100" s="5">
        <f t="shared" si="15"/>
        <v>45809</v>
      </c>
      <c r="C100" s="218" t="s">
        <v>533</v>
      </c>
      <c r="D100" s="195">
        <v>10884</v>
      </c>
      <c r="E100" s="186"/>
      <c r="F100" s="2">
        <v>51807.72</v>
      </c>
      <c r="G100" s="3">
        <f t="shared" si="13"/>
        <v>41373.645191999996</v>
      </c>
      <c r="H100" s="187"/>
      <c r="I100" s="7">
        <v>0.12</v>
      </c>
      <c r="J100" s="7">
        <v>1.6500000000000001E-2</v>
      </c>
      <c r="K100" s="7">
        <v>7.5999999999999998E-2</v>
      </c>
      <c r="L100" s="7">
        <v>0</v>
      </c>
      <c r="M100" s="11">
        <f t="shared" si="2"/>
        <v>6216.9264000000003</v>
      </c>
      <c r="N100" s="11">
        <f t="shared" si="3"/>
        <v>752.24809440000013</v>
      </c>
      <c r="O100" s="11">
        <f t="shared" si="4"/>
        <v>3464.9003136000001</v>
      </c>
      <c r="P100" s="11">
        <f t="shared" si="16"/>
        <v>0</v>
      </c>
    </row>
    <row r="101" spans="1:16" ht="15" customHeight="1">
      <c r="A101" s="44"/>
      <c r="B101" s="5">
        <f t="shared" si="15"/>
        <v>45809</v>
      </c>
      <c r="C101" s="218" t="s">
        <v>533</v>
      </c>
      <c r="D101" s="195">
        <v>10885</v>
      </c>
      <c r="E101" s="186"/>
      <c r="F101" s="2">
        <v>1186.28</v>
      </c>
      <c r="G101" s="3">
        <f t="shared" si="13"/>
        <v>947.36320799999999</v>
      </c>
      <c r="H101" s="187"/>
      <c r="I101" s="7">
        <v>0.12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142.3536</v>
      </c>
      <c r="N101" s="11">
        <f t="shared" si="3"/>
        <v>17.224785600000001</v>
      </c>
      <c r="O101" s="11">
        <f t="shared" si="4"/>
        <v>79.338406399999997</v>
      </c>
      <c r="P101" s="11">
        <f t="shared" si="16"/>
        <v>0</v>
      </c>
    </row>
    <row r="102" spans="1:16" ht="15" customHeight="1">
      <c r="A102" s="44"/>
      <c r="B102" s="5">
        <f t="shared" si="15"/>
        <v>45809</v>
      </c>
      <c r="C102" s="218" t="s">
        <v>533</v>
      </c>
      <c r="D102" s="195">
        <v>6005</v>
      </c>
      <c r="E102" s="186"/>
      <c r="F102" s="2">
        <v>73777.05</v>
      </c>
      <c r="G102" s="3">
        <f t="shared" si="13"/>
        <v>58918.352129999999</v>
      </c>
      <c r="H102" s="187"/>
      <c r="I102" s="7">
        <v>0.12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8853.2459999999992</v>
      </c>
      <c r="N102" s="11">
        <f t="shared" si="3"/>
        <v>1071.2427660000001</v>
      </c>
      <c r="O102" s="11">
        <f t="shared" si="4"/>
        <v>4934.2091040000005</v>
      </c>
      <c r="P102" s="11">
        <f t="shared" si="16"/>
        <v>0</v>
      </c>
    </row>
    <row r="103" spans="1:16" ht="15" customHeight="1">
      <c r="A103" s="44"/>
      <c r="B103" s="5">
        <f t="shared" si="15"/>
        <v>45809</v>
      </c>
      <c r="C103" s="218" t="s">
        <v>533</v>
      </c>
      <c r="D103" s="195">
        <v>6006</v>
      </c>
      <c r="E103" s="186"/>
      <c r="F103" s="2">
        <v>2605.4</v>
      </c>
      <c r="G103" s="3">
        <f t="shared" si="13"/>
        <v>2080.6724400000003</v>
      </c>
      <c r="H103" s="187"/>
      <c r="I103" s="7">
        <v>0.12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312.64800000000002</v>
      </c>
      <c r="N103" s="11">
        <f t="shared" si="3"/>
        <v>37.830407999999998</v>
      </c>
      <c r="O103" s="11">
        <f t="shared" si="4"/>
        <v>174.24915199999998</v>
      </c>
      <c r="P103" s="11">
        <f t="shared" si="16"/>
        <v>0</v>
      </c>
    </row>
    <row r="104" spans="1:16" ht="15" customHeight="1">
      <c r="A104" s="44"/>
      <c r="B104" s="5">
        <f t="shared" si="15"/>
        <v>45809</v>
      </c>
      <c r="C104" s="218" t="s">
        <v>533</v>
      </c>
      <c r="D104" s="195">
        <v>23523</v>
      </c>
      <c r="E104" s="186"/>
      <c r="F104" s="2">
        <v>5483.9</v>
      </c>
      <c r="G104" s="3">
        <f t="shared" si="13"/>
        <v>4628.2745024999995</v>
      </c>
      <c r="H104" s="187"/>
      <c r="I104" s="7">
        <v>7.0000000000000007E-2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383.87299999999999</v>
      </c>
      <c r="N104" s="11">
        <f t="shared" si="3"/>
        <v>84.150445500000004</v>
      </c>
      <c r="O104" s="11">
        <f t="shared" si="4"/>
        <v>387.60205200000001</v>
      </c>
      <c r="P104" s="11">
        <f t="shared" si="16"/>
        <v>0</v>
      </c>
    </row>
    <row r="105" spans="1:16" ht="15" customHeight="1">
      <c r="A105" s="44"/>
      <c r="B105" s="5">
        <f t="shared" si="15"/>
        <v>45809</v>
      </c>
      <c r="C105" s="218" t="s">
        <v>533</v>
      </c>
      <c r="D105" s="195">
        <v>23524</v>
      </c>
      <c r="E105" s="186"/>
      <c r="F105" s="2">
        <v>187.79</v>
      </c>
      <c r="G105" s="3">
        <f t="shared" si="13"/>
        <v>158.49006524999999</v>
      </c>
      <c r="H105" s="187"/>
      <c r="I105" s="7">
        <v>7.0000000000000007E-2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13.145300000000001</v>
      </c>
      <c r="N105" s="11">
        <f t="shared" si="3"/>
        <v>2.8816375500000002</v>
      </c>
      <c r="O105" s="11">
        <f t="shared" si="4"/>
        <v>13.272997199999999</v>
      </c>
      <c r="P105" s="11">
        <f t="shared" si="16"/>
        <v>0</v>
      </c>
    </row>
    <row r="106" spans="1:16" ht="15" customHeight="1">
      <c r="A106" s="44"/>
      <c r="B106" s="5">
        <f t="shared" si="15"/>
        <v>45809</v>
      </c>
      <c r="C106" s="218" t="s">
        <v>533</v>
      </c>
      <c r="D106" s="195">
        <v>21607</v>
      </c>
      <c r="E106" s="186"/>
      <c r="F106" s="2">
        <v>9631.9</v>
      </c>
      <c r="G106" s="3">
        <f t="shared" si="13"/>
        <v>7692.0353399999995</v>
      </c>
      <c r="H106" s="187"/>
      <c r="I106" s="7">
        <v>0.12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1155.828</v>
      </c>
      <c r="N106" s="11">
        <f t="shared" si="3"/>
        <v>139.855188</v>
      </c>
      <c r="O106" s="11">
        <f t="shared" si="4"/>
        <v>644.18147199999999</v>
      </c>
      <c r="P106" s="11">
        <f t="shared" si="16"/>
        <v>0</v>
      </c>
    </row>
    <row r="107" spans="1:16" ht="15" customHeight="1">
      <c r="A107" s="44"/>
      <c r="B107" s="5">
        <f t="shared" si="15"/>
        <v>45809</v>
      </c>
      <c r="C107" s="218" t="s">
        <v>533</v>
      </c>
      <c r="D107" s="195">
        <v>21608</v>
      </c>
      <c r="E107" s="186"/>
      <c r="F107" s="2">
        <v>535.87</v>
      </c>
      <c r="G107" s="3">
        <f t="shared" si="13"/>
        <v>427.94578200000001</v>
      </c>
      <c r="H107" s="187"/>
      <c r="I107" s="7">
        <v>0.12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64.304400000000001</v>
      </c>
      <c r="N107" s="11">
        <f t="shared" si="3"/>
        <v>7.7808324000000004</v>
      </c>
      <c r="O107" s="11">
        <f t="shared" si="4"/>
        <v>35.838985600000001</v>
      </c>
      <c r="P107" s="11">
        <f t="shared" si="16"/>
        <v>0</v>
      </c>
    </row>
    <row r="108" spans="1:16" ht="15" customHeight="1">
      <c r="A108" s="44"/>
      <c r="B108" s="5">
        <f t="shared" si="15"/>
        <v>45809</v>
      </c>
      <c r="C108" s="218" t="s">
        <v>533</v>
      </c>
      <c r="D108" s="195">
        <v>10886</v>
      </c>
      <c r="E108" s="186"/>
      <c r="F108" s="2">
        <v>137156.03</v>
      </c>
      <c r="G108" s="3">
        <f t="shared" si="13"/>
        <v>109532.80555799999</v>
      </c>
      <c r="H108" s="187"/>
      <c r="I108" s="7">
        <v>0.12</v>
      </c>
      <c r="J108" s="7">
        <v>1.6500000000000001E-2</v>
      </c>
      <c r="K108" s="7">
        <v>7.5999999999999998E-2</v>
      </c>
      <c r="L108" s="7">
        <v>0</v>
      </c>
      <c r="M108" s="11">
        <f t="shared" si="2"/>
        <v>16458.723599999998</v>
      </c>
      <c r="N108" s="11">
        <f t="shared" si="3"/>
        <v>1991.5055556000002</v>
      </c>
      <c r="O108" s="11">
        <f t="shared" si="4"/>
        <v>9172.9952864000006</v>
      </c>
      <c r="P108" s="11">
        <f t="shared" si="16"/>
        <v>0</v>
      </c>
    </row>
    <row r="109" spans="1:16" ht="15" customHeight="1">
      <c r="A109" s="44"/>
      <c r="B109" s="5">
        <f t="shared" si="15"/>
        <v>45809</v>
      </c>
      <c r="C109" s="218" t="s">
        <v>533</v>
      </c>
      <c r="D109" s="195">
        <v>10887</v>
      </c>
      <c r="E109" s="186"/>
      <c r="F109" s="2">
        <v>3036.73</v>
      </c>
      <c r="G109" s="3">
        <f t="shared" si="13"/>
        <v>2425.1325780000002</v>
      </c>
      <c r="H109" s="187"/>
      <c r="I109" s="7">
        <v>0.12</v>
      </c>
      <c r="J109" s="7">
        <v>1.6500000000000001E-2</v>
      </c>
      <c r="K109" s="7">
        <v>7.5999999999999998E-2</v>
      </c>
      <c r="L109" s="7">
        <v>0</v>
      </c>
      <c r="M109" s="11">
        <f t="shared" si="2"/>
        <v>364.4076</v>
      </c>
      <c r="N109" s="11">
        <f t="shared" si="3"/>
        <v>44.093319600000001</v>
      </c>
      <c r="O109" s="11">
        <f t="shared" si="4"/>
        <v>203.09650239999999</v>
      </c>
      <c r="P109" s="11">
        <f t="shared" si="16"/>
        <v>0</v>
      </c>
    </row>
    <row r="110" spans="1:16" ht="15" customHeight="1">
      <c r="A110" s="44"/>
      <c r="B110" s="5">
        <f t="shared" si="15"/>
        <v>45809</v>
      </c>
      <c r="C110" s="218" t="s">
        <v>533</v>
      </c>
      <c r="D110" s="195">
        <v>5990</v>
      </c>
      <c r="E110" s="186"/>
      <c r="F110" s="2">
        <v>191686.65</v>
      </c>
      <c r="G110" s="3">
        <f t="shared" si="13"/>
        <v>153080.95869</v>
      </c>
      <c r="H110" s="187"/>
      <c r="I110" s="7">
        <v>0.12</v>
      </c>
      <c r="J110" s="7">
        <v>1.6500000000000001E-2</v>
      </c>
      <c r="K110" s="7">
        <v>7.5999999999999998E-2</v>
      </c>
      <c r="L110" s="7">
        <v>0</v>
      </c>
      <c r="M110" s="11">
        <f t="shared" si="2"/>
        <v>23002.397999999997</v>
      </c>
      <c r="N110" s="11">
        <f t="shared" si="3"/>
        <v>2783.2901580000002</v>
      </c>
      <c r="O110" s="11">
        <f t="shared" si="4"/>
        <v>12820.003152000001</v>
      </c>
      <c r="P110" s="11">
        <f t="shared" si="16"/>
        <v>0</v>
      </c>
    </row>
    <row r="111" spans="1:16" ht="15" customHeight="1">
      <c r="A111" s="44"/>
      <c r="B111" s="5">
        <f t="shared" si="15"/>
        <v>45809</v>
      </c>
      <c r="C111" s="218" t="s">
        <v>533</v>
      </c>
      <c r="D111" s="195">
        <v>5991</v>
      </c>
      <c r="E111" s="186"/>
      <c r="F111" s="2">
        <v>6563.29</v>
      </c>
      <c r="G111" s="3">
        <f t="shared" si="13"/>
        <v>5241.4433939999999</v>
      </c>
      <c r="H111" s="187"/>
      <c r="I111" s="7">
        <v>0.12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787.59479999999996</v>
      </c>
      <c r="N111" s="11">
        <f t="shared" si="3"/>
        <v>95.298970800000006</v>
      </c>
      <c r="O111" s="11">
        <f t="shared" si="4"/>
        <v>438.95283519999998</v>
      </c>
      <c r="P111" s="11">
        <f t="shared" si="16"/>
        <v>0</v>
      </c>
    </row>
    <row r="112" spans="1:16" ht="15" customHeight="1">
      <c r="A112" s="44"/>
      <c r="B112" s="5">
        <f t="shared" si="15"/>
        <v>45809</v>
      </c>
      <c r="C112" s="218" t="s">
        <v>533</v>
      </c>
      <c r="D112" s="195">
        <v>23445</v>
      </c>
      <c r="E112" s="186"/>
      <c r="F112" s="2">
        <v>14483.86</v>
      </c>
      <c r="G112" s="3">
        <f t="shared" si="13"/>
        <v>12224.0157435</v>
      </c>
      <c r="H112" s="187"/>
      <c r="I112" s="7">
        <v>7.0000000000000007E-2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1013.8702000000002</v>
      </c>
      <c r="N112" s="11">
        <f t="shared" si="3"/>
        <v>222.25483170000004</v>
      </c>
      <c r="O112" s="11">
        <f t="shared" si="4"/>
        <v>1023.7192248000001</v>
      </c>
      <c r="P112" s="11">
        <f t="shared" si="16"/>
        <v>0</v>
      </c>
    </row>
    <row r="113" spans="1:16" ht="15" customHeight="1">
      <c r="A113" s="44"/>
      <c r="B113" s="5">
        <f t="shared" si="15"/>
        <v>45809</v>
      </c>
      <c r="C113" s="218" t="s">
        <v>533</v>
      </c>
      <c r="D113" s="195">
        <v>23442</v>
      </c>
      <c r="E113" s="186"/>
      <c r="F113" s="2">
        <v>481.5</v>
      </c>
      <c r="G113" s="3">
        <f t="shared" si="13"/>
        <v>406.3739625</v>
      </c>
      <c r="H113" s="187"/>
      <c r="I113" s="7">
        <v>7.0000000000000007E-2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33.705000000000005</v>
      </c>
      <c r="N113" s="11">
        <f t="shared" si="3"/>
        <v>7.3886175000000005</v>
      </c>
      <c r="O113" s="11">
        <f t="shared" si="4"/>
        <v>34.032420000000002</v>
      </c>
      <c r="P113" s="11">
        <f t="shared" si="16"/>
        <v>0</v>
      </c>
    </row>
    <row r="114" spans="1:16" ht="15" customHeight="1">
      <c r="A114" s="44"/>
      <c r="B114" s="5">
        <f t="shared" si="15"/>
        <v>45809</v>
      </c>
      <c r="C114" s="218" t="s">
        <v>533</v>
      </c>
      <c r="D114" s="195">
        <v>21583</v>
      </c>
      <c r="E114" s="186"/>
      <c r="F114" s="2">
        <v>25868.25</v>
      </c>
      <c r="G114" s="3">
        <f t="shared" si="13"/>
        <v>20658.384449999998</v>
      </c>
      <c r="H114" s="187"/>
      <c r="I114" s="7">
        <v>0.12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3104.19</v>
      </c>
      <c r="N114" s="11">
        <f t="shared" si="3"/>
        <v>375.60699000000005</v>
      </c>
      <c r="O114" s="11">
        <f t="shared" si="4"/>
        <v>1730.0685600000002</v>
      </c>
      <c r="P114" s="11">
        <f t="shared" si="16"/>
        <v>0</v>
      </c>
    </row>
    <row r="115" spans="1:16" ht="15" customHeight="1">
      <c r="A115" s="44"/>
      <c r="B115" s="5">
        <f t="shared" si="15"/>
        <v>45809</v>
      </c>
      <c r="C115" s="218" t="s">
        <v>533</v>
      </c>
      <c r="D115" s="195">
        <v>21584</v>
      </c>
      <c r="E115" s="186"/>
      <c r="F115" s="2">
        <v>1384.22</v>
      </c>
      <c r="G115" s="3">
        <f t="shared" si="13"/>
        <v>1105.4380919999999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166.10640000000001</v>
      </c>
      <c r="N115" s="11">
        <f t="shared" si="3"/>
        <v>20.098874400000003</v>
      </c>
      <c r="O115" s="11">
        <f t="shared" si="4"/>
        <v>92.576633600000008</v>
      </c>
      <c r="P115" s="11">
        <f t="shared" si="16"/>
        <v>0</v>
      </c>
    </row>
    <row r="116" spans="1:16" ht="15" customHeight="1">
      <c r="A116" s="44"/>
      <c r="B116" s="5">
        <f t="shared" si="15"/>
        <v>45809</v>
      </c>
      <c r="C116" s="218" t="s">
        <v>533</v>
      </c>
      <c r="D116" s="195">
        <v>10863</v>
      </c>
      <c r="E116" s="186"/>
      <c r="F116" s="2">
        <v>141597.44</v>
      </c>
      <c r="G116" s="3">
        <f t="shared" si="13"/>
        <v>113079.71558400001</v>
      </c>
      <c r="H116" s="187"/>
      <c r="I116" s="7">
        <v>0.12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16991.692800000001</v>
      </c>
      <c r="N116" s="11">
        <f t="shared" si="3"/>
        <v>2055.9948288000001</v>
      </c>
      <c r="O116" s="11">
        <f t="shared" si="4"/>
        <v>9470.0367871999988</v>
      </c>
      <c r="P116" s="11">
        <f t="shared" si="16"/>
        <v>0</v>
      </c>
    </row>
    <row r="117" spans="1:16" ht="15" customHeight="1">
      <c r="A117" s="44"/>
      <c r="B117" s="5">
        <f t="shared" si="15"/>
        <v>45809</v>
      </c>
      <c r="C117" s="218" t="s">
        <v>533</v>
      </c>
      <c r="D117" s="195">
        <v>10864</v>
      </c>
      <c r="E117" s="186"/>
      <c r="F117" s="2">
        <v>5741.89</v>
      </c>
      <c r="G117" s="3">
        <f t="shared" si="13"/>
        <v>4585.4733539999997</v>
      </c>
      <c r="H117" s="187"/>
      <c r="I117" s="7">
        <v>0.12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689.02679999999998</v>
      </c>
      <c r="N117" s="11">
        <f t="shared" si="3"/>
        <v>83.372242800000009</v>
      </c>
      <c r="O117" s="11">
        <f t="shared" si="4"/>
        <v>384.01760320000005</v>
      </c>
      <c r="P117" s="11">
        <f t="shared" si="16"/>
        <v>0</v>
      </c>
    </row>
    <row r="118" spans="1:16" ht="15" customHeight="1">
      <c r="A118" s="44"/>
      <c r="B118" s="5">
        <f t="shared" si="15"/>
        <v>45809</v>
      </c>
      <c r="C118" s="218" t="s">
        <v>533</v>
      </c>
      <c r="D118" s="195">
        <v>5988</v>
      </c>
      <c r="E118" s="186"/>
      <c r="F118" s="2">
        <v>205962.09</v>
      </c>
      <c r="G118" s="3">
        <f t="shared" ref="G118:G182" si="17">F118-SUM(M118:P118)</f>
        <v>164481.32507399999</v>
      </c>
      <c r="H118" s="187"/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24715.450799999999</v>
      </c>
      <c r="N118" s="11">
        <f t="shared" si="3"/>
        <v>2990.5695468000004</v>
      </c>
      <c r="O118" s="11">
        <f t="shared" si="4"/>
        <v>13774.7445792</v>
      </c>
      <c r="P118" s="11">
        <f t="shared" si="16"/>
        <v>0</v>
      </c>
    </row>
    <row r="119" spans="1:16" ht="15" customHeight="1">
      <c r="A119" s="44"/>
      <c r="B119" s="5">
        <f t="shared" si="15"/>
        <v>45809</v>
      </c>
      <c r="C119" s="218" t="s">
        <v>533</v>
      </c>
      <c r="D119" s="195">
        <v>5989</v>
      </c>
      <c r="E119" s="186"/>
      <c r="F119" s="2">
        <v>11151.27</v>
      </c>
      <c r="G119" s="3">
        <f t="shared" si="17"/>
        <v>8905.404222000001</v>
      </c>
      <c r="H119" s="187"/>
      <c r="I119" s="7">
        <v>0.12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1338.1523999999999</v>
      </c>
      <c r="N119" s="11">
        <f t="shared" si="3"/>
        <v>161.91644040000003</v>
      </c>
      <c r="O119" s="11">
        <f t="shared" si="4"/>
        <v>745.79693760000009</v>
      </c>
      <c r="P119" s="11">
        <f t="shared" si="16"/>
        <v>0</v>
      </c>
    </row>
    <row r="120" spans="1:16" ht="15" customHeight="1">
      <c r="A120" s="44"/>
      <c r="B120" s="5">
        <f t="shared" si="15"/>
        <v>45809</v>
      </c>
      <c r="C120" s="218" t="s">
        <v>533</v>
      </c>
      <c r="D120" s="195">
        <v>23446</v>
      </c>
      <c r="E120" s="186"/>
      <c r="F120" s="2">
        <v>2391.59</v>
      </c>
      <c r="G120" s="3">
        <f t="shared" si="17"/>
        <v>2018.4421702500001</v>
      </c>
      <c r="H120" s="187"/>
      <c r="I120" s="7">
        <v>7.0000000000000007E-2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167.41130000000004</v>
      </c>
      <c r="N120" s="11">
        <f t="shared" si="3"/>
        <v>36.698948549999997</v>
      </c>
      <c r="O120" s="11">
        <f t="shared" si="4"/>
        <v>169.03758119999998</v>
      </c>
      <c r="P120" s="11">
        <f t="shared" si="16"/>
        <v>0</v>
      </c>
    </row>
    <row r="121" spans="1:16" ht="15" customHeight="1">
      <c r="A121" s="44"/>
      <c r="B121" s="5">
        <f t="shared" si="15"/>
        <v>45809</v>
      </c>
      <c r="C121" s="218" t="s">
        <v>533</v>
      </c>
      <c r="D121" s="195">
        <v>23447</v>
      </c>
      <c r="E121" s="186"/>
      <c r="F121" s="2">
        <v>118.39</v>
      </c>
      <c r="G121" s="3">
        <f t="shared" si="17"/>
        <v>99.918200249999998</v>
      </c>
      <c r="H121" s="187"/>
      <c r="I121" s="7">
        <v>7.0000000000000007E-2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8.2873000000000001</v>
      </c>
      <c r="N121" s="11">
        <f t="shared" si="3"/>
        <v>1.81669455</v>
      </c>
      <c r="O121" s="11">
        <f t="shared" si="4"/>
        <v>8.3678051999999994</v>
      </c>
      <c r="P121" s="11">
        <f t="shared" si="16"/>
        <v>0</v>
      </c>
    </row>
    <row r="122" spans="1:16" ht="15" customHeight="1">
      <c r="A122" s="44"/>
      <c r="B122" s="5">
        <f t="shared" si="15"/>
        <v>45809</v>
      </c>
      <c r="C122" s="218" t="s">
        <v>533</v>
      </c>
      <c r="D122" s="195">
        <v>21586</v>
      </c>
      <c r="E122" s="186"/>
      <c r="F122" s="2">
        <v>28944.44</v>
      </c>
      <c r="G122" s="3">
        <f t="shared" si="17"/>
        <v>23115.029783999998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3473.3327999999997</v>
      </c>
      <c r="N122" s="11">
        <f t="shared" si="3"/>
        <v>420.27326879999998</v>
      </c>
      <c r="O122" s="11">
        <f t="shared" si="4"/>
        <v>1935.8041471999998</v>
      </c>
      <c r="P122" s="11">
        <f t="shared" si="16"/>
        <v>0</v>
      </c>
    </row>
    <row r="123" spans="1:16" ht="15" customHeight="1">
      <c r="A123" s="44"/>
      <c r="B123" s="5">
        <f t="shared" ref="B123:B182" si="18">B122</f>
        <v>45809</v>
      </c>
      <c r="C123" s="218" t="s">
        <v>533</v>
      </c>
      <c r="D123" s="195">
        <v>21587</v>
      </c>
      <c r="E123" s="186"/>
      <c r="F123" s="2">
        <v>2688.62</v>
      </c>
      <c r="G123" s="3">
        <f t="shared" si="17"/>
        <v>2147.1319319999998</v>
      </c>
      <c r="H123" s="187"/>
      <c r="I123" s="7">
        <v>0.12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322.63439999999997</v>
      </c>
      <c r="N123" s="11">
        <f t="shared" si="3"/>
        <v>39.038762400000003</v>
      </c>
      <c r="O123" s="11">
        <f t="shared" si="4"/>
        <v>179.8149056</v>
      </c>
      <c r="P123" s="11">
        <f t="shared" si="16"/>
        <v>0</v>
      </c>
    </row>
    <row r="124" spans="1:16" ht="15" customHeight="1">
      <c r="A124" s="44"/>
      <c r="B124" s="5">
        <f t="shared" si="18"/>
        <v>45809</v>
      </c>
      <c r="C124" s="218" t="s">
        <v>533</v>
      </c>
      <c r="D124" s="195">
        <v>23508</v>
      </c>
      <c r="E124" s="186"/>
      <c r="F124" s="2">
        <v>50297.23</v>
      </c>
      <c r="G124" s="3">
        <f t="shared" si="17"/>
        <v>42449.604689250002</v>
      </c>
      <c r="H124" s="187"/>
      <c r="I124" s="7">
        <v>7.0000000000000007E-2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3520.8061000000007</v>
      </c>
      <c r="N124" s="11">
        <f t="shared" si="3"/>
        <v>771.8109943500001</v>
      </c>
      <c r="O124" s="11">
        <f t="shared" si="4"/>
        <v>3555.0082164</v>
      </c>
      <c r="P124" s="11">
        <f t="shared" si="16"/>
        <v>0</v>
      </c>
    </row>
    <row r="125" spans="1:16" ht="15" customHeight="1">
      <c r="A125" s="44"/>
      <c r="B125" s="5">
        <f t="shared" si="18"/>
        <v>45809</v>
      </c>
      <c r="C125" s="218" t="s">
        <v>533</v>
      </c>
      <c r="D125" s="195">
        <v>23509</v>
      </c>
      <c r="E125" s="186"/>
      <c r="F125" s="2">
        <v>4853.88</v>
      </c>
      <c r="G125" s="3">
        <f t="shared" si="17"/>
        <v>4096.5533729999997</v>
      </c>
      <c r="H125" s="187"/>
      <c r="I125" s="7">
        <v>7.0000000000000007E-2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339.77160000000003</v>
      </c>
      <c r="N125" s="11">
        <f t="shared" si="3"/>
        <v>74.482788600000006</v>
      </c>
      <c r="O125" s="11">
        <f t="shared" si="4"/>
        <v>343.0722384</v>
      </c>
      <c r="P125" s="11">
        <f t="shared" si="16"/>
        <v>0</v>
      </c>
    </row>
    <row r="126" spans="1:16" ht="15" customHeight="1">
      <c r="A126" s="44"/>
      <c r="B126" s="5">
        <f t="shared" si="18"/>
        <v>45809</v>
      </c>
      <c r="C126" s="218" t="s">
        <v>533</v>
      </c>
      <c r="D126" s="195">
        <v>23512</v>
      </c>
      <c r="E126" s="186"/>
      <c r="F126" s="2">
        <v>26324.83</v>
      </c>
      <c r="G126" s="3">
        <f t="shared" si="17"/>
        <v>22217.498399250002</v>
      </c>
      <c r="H126" s="187"/>
      <c r="I126" s="7">
        <v>7.0000000000000007E-2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1842.7381000000003</v>
      </c>
      <c r="N126" s="11">
        <f t="shared" si="3"/>
        <v>403.95451635000006</v>
      </c>
      <c r="O126" s="11">
        <f t="shared" si="4"/>
        <v>1860.6389844000003</v>
      </c>
      <c r="P126" s="11">
        <f t="shared" si="16"/>
        <v>0</v>
      </c>
    </row>
    <row r="127" spans="1:16" ht="15" customHeight="1">
      <c r="A127" s="44"/>
      <c r="B127" s="5">
        <f t="shared" si="18"/>
        <v>45809</v>
      </c>
      <c r="C127" s="218" t="s">
        <v>533</v>
      </c>
      <c r="D127" s="195">
        <v>23513</v>
      </c>
      <c r="E127" s="186"/>
      <c r="F127" s="2">
        <v>3249.69</v>
      </c>
      <c r="G127" s="3">
        <f t="shared" si="17"/>
        <v>2742.65711775</v>
      </c>
      <c r="H127" s="187"/>
      <c r="I127" s="7">
        <v>7.0000000000000007E-2</v>
      </c>
      <c r="J127" s="7">
        <v>1.6500000000000001E-2</v>
      </c>
      <c r="K127" s="7">
        <v>7.5999999999999998E-2</v>
      </c>
      <c r="L127" s="7">
        <v>0</v>
      </c>
      <c r="M127" s="11">
        <f t="shared" si="2"/>
        <v>227.47830000000002</v>
      </c>
      <c r="N127" s="11">
        <f t="shared" si="3"/>
        <v>49.866493050000003</v>
      </c>
      <c r="O127" s="11">
        <f t="shared" si="4"/>
        <v>229.68808919999998</v>
      </c>
      <c r="P127" s="11">
        <f t="shared" si="16"/>
        <v>0</v>
      </c>
    </row>
    <row r="128" spans="1:16" ht="15" customHeight="1">
      <c r="A128" s="44"/>
      <c r="B128" s="5">
        <f t="shared" si="18"/>
        <v>45809</v>
      </c>
      <c r="C128" s="218" t="s">
        <v>533</v>
      </c>
      <c r="D128" s="195">
        <v>23514</v>
      </c>
      <c r="E128" s="186"/>
      <c r="F128" s="2">
        <v>7437.23</v>
      </c>
      <c r="G128" s="3">
        <f t="shared" si="17"/>
        <v>6276.8361892499997</v>
      </c>
      <c r="H128" s="187"/>
      <c r="I128" s="7">
        <v>7.0000000000000007E-2</v>
      </c>
      <c r="J128" s="7">
        <v>1.6500000000000001E-2</v>
      </c>
      <c r="K128" s="7">
        <v>7.5999999999999998E-2</v>
      </c>
      <c r="L128" s="7">
        <v>0</v>
      </c>
      <c r="M128" s="11">
        <f t="shared" si="2"/>
        <v>520.60609999999997</v>
      </c>
      <c r="N128" s="11">
        <f t="shared" si="3"/>
        <v>114.12429435</v>
      </c>
      <c r="O128" s="11">
        <f t="shared" si="4"/>
        <v>525.66341639999996</v>
      </c>
      <c r="P128" s="11">
        <f t="shared" si="16"/>
        <v>0</v>
      </c>
    </row>
    <row r="129" spans="1:16" ht="15" customHeight="1">
      <c r="A129" s="44"/>
      <c r="B129" s="5">
        <f t="shared" si="18"/>
        <v>45809</v>
      </c>
      <c r="C129" s="218" t="s">
        <v>533</v>
      </c>
      <c r="D129" s="195">
        <v>23517</v>
      </c>
      <c r="E129" s="186"/>
      <c r="F129" s="2">
        <v>910.86</v>
      </c>
      <c r="G129" s="3">
        <f t="shared" si="17"/>
        <v>768.74306850000005</v>
      </c>
      <c r="H129" s="187"/>
      <c r="I129" s="7">
        <v>7.0000000000000007E-2</v>
      </c>
      <c r="J129" s="7">
        <v>1.6500000000000001E-2</v>
      </c>
      <c r="K129" s="7">
        <v>7.5999999999999998E-2</v>
      </c>
      <c r="L129" s="7">
        <v>0</v>
      </c>
      <c r="M129" s="11">
        <f t="shared" si="2"/>
        <v>63.760200000000005</v>
      </c>
      <c r="N129" s="11">
        <f t="shared" si="3"/>
        <v>13.9771467</v>
      </c>
      <c r="O129" s="11">
        <f t="shared" si="4"/>
        <v>64.379584799999989</v>
      </c>
      <c r="P129" s="11">
        <f t="shared" si="16"/>
        <v>0</v>
      </c>
    </row>
    <row r="130" spans="1:16" ht="15" customHeight="1">
      <c r="A130" s="44"/>
      <c r="B130" s="5">
        <f t="shared" si="18"/>
        <v>45809</v>
      </c>
      <c r="C130" s="218" t="s">
        <v>533</v>
      </c>
      <c r="D130" s="195">
        <v>23518</v>
      </c>
      <c r="E130" s="186"/>
      <c r="F130" s="2">
        <v>4688</v>
      </c>
      <c r="G130" s="3">
        <f t="shared" si="17"/>
        <v>3956.5547999999999</v>
      </c>
      <c r="H130" s="187"/>
      <c r="I130" s="7">
        <v>7.0000000000000007E-2</v>
      </c>
      <c r="J130" s="7">
        <v>1.6500000000000001E-2</v>
      </c>
      <c r="K130" s="7">
        <v>7.5999999999999998E-2</v>
      </c>
      <c r="L130" s="7">
        <v>0</v>
      </c>
      <c r="M130" s="11">
        <f t="shared" si="2"/>
        <v>328.16</v>
      </c>
      <c r="N130" s="11">
        <f t="shared" si="3"/>
        <v>71.937360000000012</v>
      </c>
      <c r="O130" s="11">
        <f t="shared" si="4"/>
        <v>331.34784000000002</v>
      </c>
      <c r="P130" s="11">
        <f t="shared" si="16"/>
        <v>0</v>
      </c>
    </row>
    <row r="131" spans="1:16" ht="15" customHeight="1">
      <c r="A131" s="44"/>
      <c r="B131" s="5">
        <f t="shared" si="18"/>
        <v>45809</v>
      </c>
      <c r="C131" s="218" t="s">
        <v>533</v>
      </c>
      <c r="D131" s="195">
        <v>23519</v>
      </c>
      <c r="E131" s="186"/>
      <c r="F131" s="2">
        <v>575.46</v>
      </c>
      <c r="G131" s="3">
        <f t="shared" si="17"/>
        <v>485.67385350000006</v>
      </c>
      <c r="H131" s="187"/>
      <c r="I131" s="7">
        <v>7.0000000000000007E-2</v>
      </c>
      <c r="J131" s="7">
        <v>1.6500000000000001E-2</v>
      </c>
      <c r="K131" s="7">
        <v>7.5999999999999998E-2</v>
      </c>
      <c r="L131" s="7">
        <v>0</v>
      </c>
      <c r="M131" s="11">
        <f t="shared" si="2"/>
        <v>40.282200000000003</v>
      </c>
      <c r="N131" s="11">
        <f t="shared" si="3"/>
        <v>8.8304337000000004</v>
      </c>
      <c r="O131" s="11">
        <f t="shared" si="4"/>
        <v>40.673512800000005</v>
      </c>
      <c r="P131" s="11">
        <f t="shared" si="16"/>
        <v>0</v>
      </c>
    </row>
    <row r="132" spans="1:16" ht="15" customHeight="1">
      <c r="A132" s="44"/>
      <c r="B132" s="5">
        <f t="shared" si="18"/>
        <v>45809</v>
      </c>
      <c r="C132" s="218" t="s">
        <v>533</v>
      </c>
      <c r="D132" s="195">
        <v>23520</v>
      </c>
      <c r="E132" s="186"/>
      <c r="F132" s="2">
        <v>21712.11</v>
      </c>
      <c r="G132" s="3">
        <f t="shared" si="17"/>
        <v>18324.478037249999</v>
      </c>
      <c r="H132" s="187"/>
      <c r="I132" s="7">
        <v>7.0000000000000007E-2</v>
      </c>
      <c r="J132" s="7">
        <v>1.6500000000000001E-2</v>
      </c>
      <c r="K132" s="7">
        <v>7.5999999999999998E-2</v>
      </c>
      <c r="L132" s="7">
        <v>0</v>
      </c>
      <c r="M132" s="11">
        <f t="shared" si="2"/>
        <v>1519.8477000000003</v>
      </c>
      <c r="N132" s="11">
        <f t="shared" si="3"/>
        <v>333.17232795000007</v>
      </c>
      <c r="O132" s="11">
        <f t="shared" si="4"/>
        <v>1534.6119348000002</v>
      </c>
      <c r="P132" s="11">
        <f t="shared" si="16"/>
        <v>0</v>
      </c>
    </row>
    <row r="133" spans="1:16" ht="15" customHeight="1">
      <c r="A133" s="44"/>
      <c r="B133" s="5">
        <f t="shared" si="18"/>
        <v>45809</v>
      </c>
      <c r="C133" s="218" t="s">
        <v>533</v>
      </c>
      <c r="D133" s="195">
        <v>23521</v>
      </c>
      <c r="E133" s="186"/>
      <c r="F133" s="2">
        <v>2671.17</v>
      </c>
      <c r="G133" s="3">
        <f t="shared" si="17"/>
        <v>2254.4007007499999</v>
      </c>
      <c r="H133" s="187"/>
      <c r="I133" s="7">
        <v>7.0000000000000007E-2</v>
      </c>
      <c r="J133" s="7">
        <v>1.6500000000000001E-2</v>
      </c>
      <c r="K133" s="7">
        <v>7.5999999999999998E-2</v>
      </c>
      <c r="L133" s="7">
        <v>0</v>
      </c>
      <c r="M133" s="11">
        <f t="shared" si="2"/>
        <v>186.98190000000002</v>
      </c>
      <c r="N133" s="11">
        <f t="shared" si="3"/>
        <v>40.989103649999997</v>
      </c>
      <c r="O133" s="11">
        <f t="shared" si="4"/>
        <v>188.79829559999999</v>
      </c>
      <c r="P133" s="11">
        <f t="shared" si="16"/>
        <v>0</v>
      </c>
    </row>
    <row r="134" spans="1:16" ht="15" customHeight="1">
      <c r="A134" s="44"/>
      <c r="B134" s="5">
        <f t="shared" si="18"/>
        <v>45809</v>
      </c>
      <c r="C134" s="218" t="s">
        <v>533</v>
      </c>
      <c r="D134" s="195">
        <v>23522</v>
      </c>
      <c r="E134" s="186"/>
      <c r="F134" s="2">
        <v>9363.81</v>
      </c>
      <c r="G134" s="3">
        <f t="shared" si="17"/>
        <v>7902.8215447499997</v>
      </c>
      <c r="H134" s="187"/>
      <c r="I134" s="7">
        <v>7.0000000000000007E-2</v>
      </c>
      <c r="J134" s="7">
        <v>1.6500000000000001E-2</v>
      </c>
      <c r="K134" s="7">
        <v>7.5999999999999998E-2</v>
      </c>
      <c r="L134" s="7">
        <v>0</v>
      </c>
      <c r="M134" s="11">
        <f t="shared" si="2"/>
        <v>655.46670000000006</v>
      </c>
      <c r="N134" s="11">
        <f t="shared" si="3"/>
        <v>143.68766444999997</v>
      </c>
      <c r="O134" s="11">
        <f t="shared" si="4"/>
        <v>661.8340907999999</v>
      </c>
      <c r="P134" s="11">
        <f t="shared" si="16"/>
        <v>0</v>
      </c>
    </row>
    <row r="135" spans="1:16" ht="15" customHeight="1">
      <c r="A135" s="44"/>
      <c r="B135" s="5">
        <f t="shared" si="18"/>
        <v>45809</v>
      </c>
      <c r="C135" s="218" t="s">
        <v>533</v>
      </c>
      <c r="D135" s="195">
        <v>23527</v>
      </c>
      <c r="E135" s="186"/>
      <c r="F135" s="2">
        <v>1150.8699999999999</v>
      </c>
      <c r="G135" s="3">
        <f t="shared" si="17"/>
        <v>971.30550824999989</v>
      </c>
      <c r="H135" s="187"/>
      <c r="I135" s="7">
        <v>7.0000000000000007E-2</v>
      </c>
      <c r="J135" s="7">
        <v>1.6500000000000001E-2</v>
      </c>
      <c r="K135" s="7">
        <v>7.5999999999999998E-2</v>
      </c>
      <c r="L135" s="7">
        <v>0</v>
      </c>
      <c r="M135" s="11">
        <f t="shared" si="2"/>
        <v>80.560900000000004</v>
      </c>
      <c r="N135" s="11">
        <f t="shared" si="3"/>
        <v>17.660100150000002</v>
      </c>
      <c r="O135" s="11">
        <f t="shared" si="4"/>
        <v>81.343491599999993</v>
      </c>
      <c r="P135" s="11">
        <f t="shared" si="16"/>
        <v>0</v>
      </c>
    </row>
    <row r="136" spans="1:16" ht="15" customHeight="1">
      <c r="A136" s="44"/>
      <c r="B136" s="5">
        <f t="shared" si="18"/>
        <v>45809</v>
      </c>
      <c r="C136" s="218" t="s">
        <v>533</v>
      </c>
      <c r="D136" s="195">
        <v>23528</v>
      </c>
      <c r="E136" s="186"/>
      <c r="F136" s="2">
        <v>24233.96</v>
      </c>
      <c r="G136" s="3">
        <f t="shared" si="17"/>
        <v>20452.856391000001</v>
      </c>
      <c r="H136" s="187"/>
      <c r="I136" s="7">
        <v>7.0000000000000007E-2</v>
      </c>
      <c r="J136" s="7">
        <v>1.6500000000000001E-2</v>
      </c>
      <c r="K136" s="7">
        <v>7.5999999999999998E-2</v>
      </c>
      <c r="L136" s="7">
        <v>0</v>
      </c>
      <c r="M136" s="11">
        <f t="shared" si="2"/>
        <v>1696.3772000000001</v>
      </c>
      <c r="N136" s="11">
        <f t="shared" si="3"/>
        <v>371.87011620000004</v>
      </c>
      <c r="O136" s="11">
        <f t="shared" si="4"/>
        <v>1712.8562927999999</v>
      </c>
      <c r="P136" s="11">
        <f t="shared" si="16"/>
        <v>0</v>
      </c>
    </row>
    <row r="137" spans="1:16" ht="15" customHeight="1">
      <c r="A137" s="44"/>
      <c r="B137" s="5">
        <f t="shared" si="18"/>
        <v>45809</v>
      </c>
      <c r="C137" s="218" t="s">
        <v>533</v>
      </c>
      <c r="D137" s="195">
        <v>23529</v>
      </c>
      <c r="E137" s="186"/>
      <c r="F137" s="2">
        <v>2951.2</v>
      </c>
      <c r="G137" s="3">
        <f t="shared" si="17"/>
        <v>2490.73902</v>
      </c>
      <c r="H137" s="187"/>
      <c r="I137" s="7">
        <v>7.0000000000000007E-2</v>
      </c>
      <c r="J137" s="7">
        <v>1.6500000000000001E-2</v>
      </c>
      <c r="K137" s="7">
        <v>7.5999999999999998E-2</v>
      </c>
      <c r="L137" s="7">
        <v>0</v>
      </c>
      <c r="M137" s="11">
        <f t="shared" si="2"/>
        <v>206.584</v>
      </c>
      <c r="N137" s="11">
        <f t="shared" si="3"/>
        <v>45.286163999999999</v>
      </c>
      <c r="O137" s="11">
        <f t="shared" si="4"/>
        <v>208.59081599999999</v>
      </c>
      <c r="P137" s="11">
        <f t="shared" si="16"/>
        <v>0</v>
      </c>
    </row>
    <row r="138" spans="1:16" ht="15" customHeight="1">
      <c r="A138" s="44"/>
      <c r="B138" s="5">
        <f t="shared" si="18"/>
        <v>45809</v>
      </c>
      <c r="C138" s="218" t="s">
        <v>533</v>
      </c>
      <c r="D138" s="195">
        <v>23530</v>
      </c>
      <c r="E138" s="186"/>
      <c r="F138" s="2">
        <v>12511.25</v>
      </c>
      <c r="G138" s="3">
        <f t="shared" si="17"/>
        <v>10559.18221875</v>
      </c>
      <c r="H138" s="187"/>
      <c r="I138" s="7">
        <v>7.0000000000000007E-2</v>
      </c>
      <c r="J138" s="7">
        <v>1.6500000000000001E-2</v>
      </c>
      <c r="K138" s="7">
        <v>7.5999999999999998E-2</v>
      </c>
      <c r="L138" s="7">
        <v>0</v>
      </c>
      <c r="M138" s="11">
        <f t="shared" si="2"/>
        <v>875.78750000000014</v>
      </c>
      <c r="N138" s="11">
        <f t="shared" si="3"/>
        <v>191.98513124999999</v>
      </c>
      <c r="O138" s="11">
        <f t="shared" si="4"/>
        <v>884.29514999999992</v>
      </c>
      <c r="P138" s="11">
        <f t="shared" si="16"/>
        <v>0</v>
      </c>
    </row>
    <row r="139" spans="1:16" ht="15" customHeight="1">
      <c r="A139" s="44"/>
      <c r="B139" s="5">
        <f t="shared" si="18"/>
        <v>45809</v>
      </c>
      <c r="C139" s="218" t="s">
        <v>533</v>
      </c>
      <c r="D139" s="195">
        <v>23531</v>
      </c>
      <c r="E139" s="186"/>
      <c r="F139" s="2">
        <v>1512.35</v>
      </c>
      <c r="G139" s="3">
        <f t="shared" si="17"/>
        <v>1276.3855912499998</v>
      </c>
      <c r="H139" s="187"/>
      <c r="I139" s="7">
        <v>7.0000000000000007E-2</v>
      </c>
      <c r="J139" s="7">
        <v>1.6500000000000001E-2</v>
      </c>
      <c r="K139" s="7">
        <v>7.5999999999999998E-2</v>
      </c>
      <c r="L139" s="7">
        <v>0</v>
      </c>
      <c r="M139" s="11">
        <f t="shared" si="2"/>
        <v>105.86450000000001</v>
      </c>
      <c r="N139" s="11">
        <f t="shared" si="3"/>
        <v>23.207010750000002</v>
      </c>
      <c r="O139" s="11">
        <f t="shared" si="4"/>
        <v>106.892898</v>
      </c>
      <c r="P139" s="11">
        <f t="shared" si="16"/>
        <v>0</v>
      </c>
    </row>
    <row r="140" spans="1:16" ht="15" hidden="1" customHeight="1">
      <c r="A140" s="44"/>
      <c r="B140" s="5">
        <f t="shared" si="18"/>
        <v>45809</v>
      </c>
      <c r="C140" s="218" t="s">
        <v>533</v>
      </c>
      <c r="D140" s="195"/>
      <c r="E140" s="186"/>
      <c r="F140" s="2"/>
      <c r="G140" s="3">
        <f t="shared" si="17"/>
        <v>0</v>
      </c>
      <c r="H140" s="187"/>
      <c r="I140" s="7"/>
      <c r="J140" s="7">
        <v>1.6500000000000001E-2</v>
      </c>
      <c r="K140" s="7">
        <v>7.5999999999999998E-2</v>
      </c>
      <c r="L140" s="7">
        <v>0</v>
      </c>
      <c r="M140" s="11">
        <f t="shared" si="2"/>
        <v>0</v>
      </c>
      <c r="N140" s="11">
        <f t="shared" si="3"/>
        <v>0</v>
      </c>
      <c r="O140" s="11">
        <f t="shared" si="4"/>
        <v>0</v>
      </c>
      <c r="P140" s="11">
        <f t="shared" si="16"/>
        <v>0</v>
      </c>
    </row>
    <row r="141" spans="1:16" ht="15" hidden="1" customHeight="1">
      <c r="A141" s="44"/>
      <c r="B141" s="5">
        <f t="shared" si="18"/>
        <v>45809</v>
      </c>
      <c r="C141" s="218" t="s">
        <v>533</v>
      </c>
      <c r="D141" s="195"/>
      <c r="E141" s="186"/>
      <c r="F141" s="2"/>
      <c r="G141" s="3">
        <f t="shared" si="17"/>
        <v>0</v>
      </c>
      <c r="H141" s="187"/>
      <c r="I141" s="7"/>
      <c r="J141" s="7">
        <v>1.6500000000000001E-2</v>
      </c>
      <c r="K141" s="7">
        <v>7.5999999999999998E-2</v>
      </c>
      <c r="L141" s="7">
        <v>0</v>
      </c>
      <c r="M141" s="11">
        <f t="shared" si="2"/>
        <v>0</v>
      </c>
      <c r="N141" s="11">
        <f t="shared" si="3"/>
        <v>0</v>
      </c>
      <c r="O141" s="11">
        <f t="shared" si="4"/>
        <v>0</v>
      </c>
      <c r="P141" s="11">
        <f t="shared" si="16"/>
        <v>0</v>
      </c>
    </row>
    <row r="142" spans="1:16" ht="15" hidden="1" customHeight="1">
      <c r="A142" s="44"/>
      <c r="B142" s="5">
        <f t="shared" si="18"/>
        <v>45809</v>
      </c>
      <c r="C142" s="218" t="s">
        <v>533</v>
      </c>
      <c r="D142" s="195"/>
      <c r="E142" s="186"/>
      <c r="F142" s="2"/>
      <c r="G142" s="3">
        <f t="shared" si="17"/>
        <v>0</v>
      </c>
      <c r="H142" s="187"/>
      <c r="I142" s="7"/>
      <c r="J142" s="7">
        <v>1.6500000000000001E-2</v>
      </c>
      <c r="K142" s="7">
        <v>7.5999999999999998E-2</v>
      </c>
      <c r="L142" s="7">
        <v>0</v>
      </c>
      <c r="M142" s="11">
        <f t="shared" si="2"/>
        <v>0</v>
      </c>
      <c r="N142" s="11">
        <f t="shared" si="3"/>
        <v>0</v>
      </c>
      <c r="O142" s="11">
        <f t="shared" si="4"/>
        <v>0</v>
      </c>
      <c r="P142" s="11">
        <f t="shared" si="16"/>
        <v>0</v>
      </c>
    </row>
    <row r="143" spans="1:16" ht="15" hidden="1" customHeight="1">
      <c r="A143" s="44"/>
      <c r="B143" s="5">
        <f t="shared" si="18"/>
        <v>45809</v>
      </c>
      <c r="C143" s="218" t="s">
        <v>533</v>
      </c>
      <c r="D143" s="195"/>
      <c r="E143" s="186"/>
      <c r="F143" s="2"/>
      <c r="G143" s="3">
        <f t="shared" si="17"/>
        <v>0</v>
      </c>
      <c r="H143" s="187"/>
      <c r="I143" s="7"/>
      <c r="J143" s="7">
        <v>1.6500000000000001E-2</v>
      </c>
      <c r="K143" s="7">
        <v>7.5999999999999998E-2</v>
      </c>
      <c r="L143" s="7">
        <v>0</v>
      </c>
      <c r="M143" s="11">
        <f t="shared" si="2"/>
        <v>0</v>
      </c>
      <c r="N143" s="11">
        <f t="shared" si="3"/>
        <v>0</v>
      </c>
      <c r="O143" s="11">
        <f t="shared" si="4"/>
        <v>0</v>
      </c>
      <c r="P143" s="11">
        <f t="shared" si="16"/>
        <v>0</v>
      </c>
    </row>
    <row r="144" spans="1:16" ht="15" hidden="1" customHeight="1">
      <c r="A144" s="44"/>
      <c r="B144" s="5">
        <f t="shared" si="18"/>
        <v>45809</v>
      </c>
      <c r="C144" s="218" t="s">
        <v>533</v>
      </c>
      <c r="D144" s="195"/>
      <c r="E144" s="186"/>
      <c r="F144" s="2"/>
      <c r="G144" s="3">
        <f t="shared" si="17"/>
        <v>0</v>
      </c>
      <c r="H144" s="187"/>
      <c r="I144" s="7"/>
      <c r="J144" s="7">
        <v>1.6500000000000001E-2</v>
      </c>
      <c r="K144" s="7">
        <v>7.5999999999999998E-2</v>
      </c>
      <c r="L144" s="7">
        <v>0</v>
      </c>
      <c r="M144" s="11">
        <f t="shared" si="2"/>
        <v>0</v>
      </c>
      <c r="N144" s="11">
        <f t="shared" si="3"/>
        <v>0</v>
      </c>
      <c r="O144" s="11">
        <f t="shared" si="4"/>
        <v>0</v>
      </c>
      <c r="P144" s="11">
        <f t="shared" si="16"/>
        <v>0</v>
      </c>
    </row>
    <row r="145" spans="1:16" ht="15" hidden="1" customHeight="1">
      <c r="A145" s="44"/>
      <c r="B145" s="5">
        <f t="shared" si="18"/>
        <v>45809</v>
      </c>
      <c r="C145" s="218" t="s">
        <v>533</v>
      </c>
      <c r="D145" s="195"/>
      <c r="E145" s="186"/>
      <c r="F145" s="2"/>
      <c r="G145" s="3">
        <f t="shared" si="17"/>
        <v>0</v>
      </c>
      <c r="H145" s="187"/>
      <c r="I145" s="7"/>
      <c r="J145" s="7">
        <v>1.6500000000000001E-2</v>
      </c>
      <c r="K145" s="7">
        <v>7.5999999999999998E-2</v>
      </c>
      <c r="L145" s="7">
        <v>0</v>
      </c>
      <c r="M145" s="11">
        <f t="shared" si="2"/>
        <v>0</v>
      </c>
      <c r="N145" s="11">
        <f t="shared" si="3"/>
        <v>0</v>
      </c>
      <c r="O145" s="11">
        <f t="shared" si="4"/>
        <v>0</v>
      </c>
      <c r="P145" s="11">
        <f t="shared" si="16"/>
        <v>0</v>
      </c>
    </row>
    <row r="146" spans="1:16" ht="15" hidden="1" customHeight="1">
      <c r="A146" s="44"/>
      <c r="B146" s="5">
        <f t="shared" si="18"/>
        <v>45809</v>
      </c>
      <c r="C146" s="218" t="s">
        <v>533</v>
      </c>
      <c r="D146" s="195"/>
      <c r="E146" s="186"/>
      <c r="F146" s="2"/>
      <c r="G146" s="3">
        <f t="shared" si="17"/>
        <v>0</v>
      </c>
      <c r="H146" s="187"/>
      <c r="I146" s="7"/>
      <c r="J146" s="7">
        <v>1.6500000000000001E-2</v>
      </c>
      <c r="K146" s="7">
        <v>7.5999999999999998E-2</v>
      </c>
      <c r="L146" s="7">
        <v>0</v>
      </c>
      <c r="M146" s="11">
        <f t="shared" si="2"/>
        <v>0</v>
      </c>
      <c r="N146" s="11">
        <f t="shared" si="3"/>
        <v>0</v>
      </c>
      <c r="O146" s="11">
        <f t="shared" si="4"/>
        <v>0</v>
      </c>
      <c r="P146" s="11">
        <f t="shared" si="16"/>
        <v>0</v>
      </c>
    </row>
    <row r="147" spans="1:16" ht="15" hidden="1" customHeight="1">
      <c r="A147" s="44"/>
      <c r="B147" s="5">
        <f t="shared" si="18"/>
        <v>45809</v>
      </c>
      <c r="C147" s="218" t="s">
        <v>533</v>
      </c>
      <c r="D147" s="195"/>
      <c r="E147" s="186"/>
      <c r="F147" s="2"/>
      <c r="G147" s="3">
        <f t="shared" si="17"/>
        <v>0</v>
      </c>
      <c r="H147" s="187"/>
      <c r="I147" s="7"/>
      <c r="J147" s="7">
        <v>1.6500000000000001E-2</v>
      </c>
      <c r="K147" s="7">
        <v>7.5999999999999998E-2</v>
      </c>
      <c r="L147" s="7">
        <v>0</v>
      </c>
      <c r="M147" s="11">
        <f t="shared" si="2"/>
        <v>0</v>
      </c>
      <c r="N147" s="11">
        <f t="shared" si="3"/>
        <v>0</v>
      </c>
      <c r="O147" s="11">
        <f t="shared" si="4"/>
        <v>0</v>
      </c>
      <c r="P147" s="11">
        <f t="shared" si="16"/>
        <v>0</v>
      </c>
    </row>
    <row r="148" spans="1:16" ht="15" hidden="1" customHeight="1">
      <c r="A148" s="44"/>
      <c r="B148" s="5">
        <f t="shared" si="18"/>
        <v>45809</v>
      </c>
      <c r="C148" s="218" t="s">
        <v>533</v>
      </c>
      <c r="D148" s="195"/>
      <c r="E148" s="186"/>
      <c r="F148" s="2"/>
      <c r="G148" s="3">
        <f t="shared" si="17"/>
        <v>0</v>
      </c>
      <c r="H148" s="187"/>
      <c r="I148" s="7"/>
      <c r="J148" s="7">
        <v>1.6500000000000001E-2</v>
      </c>
      <c r="K148" s="7">
        <v>7.5999999999999998E-2</v>
      </c>
      <c r="L148" s="7">
        <v>0</v>
      </c>
      <c r="M148" s="11">
        <f t="shared" si="2"/>
        <v>0</v>
      </c>
      <c r="N148" s="11">
        <f t="shared" si="3"/>
        <v>0</v>
      </c>
      <c r="O148" s="11">
        <f t="shared" si="4"/>
        <v>0</v>
      </c>
      <c r="P148" s="11">
        <f t="shared" si="16"/>
        <v>0</v>
      </c>
    </row>
    <row r="149" spans="1:16" ht="15" hidden="1" customHeight="1">
      <c r="A149" s="44"/>
      <c r="B149" s="5">
        <f t="shared" si="18"/>
        <v>45809</v>
      </c>
      <c r="C149" s="218" t="s">
        <v>533</v>
      </c>
      <c r="D149" s="195"/>
      <c r="E149" s="186"/>
      <c r="F149" s="2"/>
      <c r="G149" s="3">
        <f t="shared" si="17"/>
        <v>0</v>
      </c>
      <c r="H149" s="187"/>
      <c r="I149" s="7"/>
      <c r="J149" s="7">
        <v>1.6500000000000001E-2</v>
      </c>
      <c r="K149" s="7">
        <v>7.5999999999999998E-2</v>
      </c>
      <c r="L149" s="7">
        <v>0</v>
      </c>
      <c r="M149" s="11">
        <f t="shared" si="2"/>
        <v>0</v>
      </c>
      <c r="N149" s="11">
        <f t="shared" si="3"/>
        <v>0</v>
      </c>
      <c r="O149" s="11">
        <f t="shared" si="4"/>
        <v>0</v>
      </c>
      <c r="P149" s="11">
        <f t="shared" si="16"/>
        <v>0</v>
      </c>
    </row>
    <row r="150" spans="1:16" ht="15" hidden="1" customHeight="1">
      <c r="A150" s="44"/>
      <c r="B150" s="5">
        <f t="shared" si="18"/>
        <v>45809</v>
      </c>
      <c r="C150" s="218" t="s">
        <v>533</v>
      </c>
      <c r="D150" s="195"/>
      <c r="E150" s="186"/>
      <c r="F150" s="2"/>
      <c r="G150" s="3">
        <f t="shared" si="17"/>
        <v>0</v>
      </c>
      <c r="H150" s="187"/>
      <c r="I150" s="7"/>
      <c r="J150" s="7">
        <v>1.6500000000000001E-2</v>
      </c>
      <c r="K150" s="7">
        <v>7.5999999999999998E-2</v>
      </c>
      <c r="L150" s="7">
        <v>0</v>
      </c>
      <c r="M150" s="11">
        <f t="shared" si="2"/>
        <v>0</v>
      </c>
      <c r="N150" s="11">
        <f t="shared" si="3"/>
        <v>0</v>
      </c>
      <c r="O150" s="11">
        <f t="shared" si="4"/>
        <v>0</v>
      </c>
      <c r="P150" s="11">
        <f t="shared" si="16"/>
        <v>0</v>
      </c>
    </row>
    <row r="151" spans="1:16" ht="15" hidden="1" customHeight="1">
      <c r="A151" s="44"/>
      <c r="B151" s="5">
        <f t="shared" si="18"/>
        <v>45809</v>
      </c>
      <c r="C151" s="218" t="s">
        <v>533</v>
      </c>
      <c r="D151" s="195"/>
      <c r="E151" s="186"/>
      <c r="F151" s="2"/>
      <c r="G151" s="3">
        <f t="shared" si="17"/>
        <v>0</v>
      </c>
      <c r="H151" s="187"/>
      <c r="I151" s="7"/>
      <c r="J151" s="7">
        <v>1.6500000000000001E-2</v>
      </c>
      <c r="K151" s="7">
        <v>7.5999999999999998E-2</v>
      </c>
      <c r="L151" s="7">
        <v>0</v>
      </c>
      <c r="M151" s="11">
        <f t="shared" si="2"/>
        <v>0</v>
      </c>
      <c r="N151" s="11">
        <f t="shared" si="3"/>
        <v>0</v>
      </c>
      <c r="O151" s="11">
        <f t="shared" si="4"/>
        <v>0</v>
      </c>
      <c r="P151" s="11">
        <f t="shared" si="16"/>
        <v>0</v>
      </c>
    </row>
    <row r="152" spans="1:16" ht="15" hidden="1" customHeight="1">
      <c r="A152" s="44"/>
      <c r="B152" s="5">
        <f t="shared" si="18"/>
        <v>45809</v>
      </c>
      <c r="C152" s="218" t="s">
        <v>533</v>
      </c>
      <c r="D152" s="195"/>
      <c r="E152" s="186"/>
      <c r="F152" s="2"/>
      <c r="G152" s="3">
        <f t="shared" si="17"/>
        <v>0</v>
      </c>
      <c r="H152" s="187"/>
      <c r="I152" s="7"/>
      <c r="J152" s="7">
        <v>1.6500000000000001E-2</v>
      </c>
      <c r="K152" s="7">
        <v>7.5999999999999998E-2</v>
      </c>
      <c r="L152" s="7">
        <v>0</v>
      </c>
      <c r="M152" s="11">
        <f t="shared" si="2"/>
        <v>0</v>
      </c>
      <c r="N152" s="11">
        <f t="shared" si="3"/>
        <v>0</v>
      </c>
      <c r="O152" s="11">
        <f t="shared" si="4"/>
        <v>0</v>
      </c>
      <c r="P152" s="11">
        <f t="shared" si="16"/>
        <v>0</v>
      </c>
    </row>
    <row r="153" spans="1:16" ht="15" hidden="1" customHeight="1">
      <c r="A153" s="44"/>
      <c r="B153" s="5">
        <f t="shared" si="18"/>
        <v>45809</v>
      </c>
      <c r="C153" s="218" t="s">
        <v>533</v>
      </c>
      <c r="D153" s="195"/>
      <c r="E153" s="186"/>
      <c r="F153" s="2"/>
      <c r="G153" s="3">
        <f t="shared" si="17"/>
        <v>0</v>
      </c>
      <c r="H153" s="187"/>
      <c r="I153" s="7"/>
      <c r="J153" s="7">
        <v>1.6500000000000001E-2</v>
      </c>
      <c r="K153" s="7">
        <v>7.5999999999999998E-2</v>
      </c>
      <c r="L153" s="7">
        <v>0</v>
      </c>
      <c r="M153" s="11">
        <f t="shared" si="2"/>
        <v>0</v>
      </c>
      <c r="N153" s="11">
        <f t="shared" si="3"/>
        <v>0</v>
      </c>
      <c r="O153" s="11">
        <f t="shared" si="4"/>
        <v>0</v>
      </c>
      <c r="P153" s="11">
        <f t="shared" si="16"/>
        <v>0</v>
      </c>
    </row>
    <row r="154" spans="1:16" ht="15" hidden="1" customHeight="1">
      <c r="A154" s="44"/>
      <c r="B154" s="5">
        <f t="shared" si="18"/>
        <v>45809</v>
      </c>
      <c r="C154" s="218" t="s">
        <v>533</v>
      </c>
      <c r="D154" s="195"/>
      <c r="E154" s="186"/>
      <c r="F154" s="2"/>
      <c r="G154" s="3">
        <f t="shared" si="17"/>
        <v>0</v>
      </c>
      <c r="H154" s="187"/>
      <c r="I154" s="7"/>
      <c r="J154" s="7">
        <v>1.6500000000000001E-2</v>
      </c>
      <c r="K154" s="7">
        <v>7.5999999999999998E-2</v>
      </c>
      <c r="L154" s="7">
        <v>0</v>
      </c>
      <c r="M154" s="11">
        <f t="shared" si="2"/>
        <v>0</v>
      </c>
      <c r="N154" s="11">
        <f t="shared" si="3"/>
        <v>0</v>
      </c>
      <c r="O154" s="11">
        <f t="shared" si="4"/>
        <v>0</v>
      </c>
      <c r="P154" s="11">
        <f t="shared" si="16"/>
        <v>0</v>
      </c>
    </row>
    <row r="155" spans="1:16" ht="15" hidden="1" customHeight="1">
      <c r="A155" s="44"/>
      <c r="B155" s="5">
        <f t="shared" si="18"/>
        <v>45809</v>
      </c>
      <c r="C155" s="218" t="s">
        <v>533</v>
      </c>
      <c r="D155" s="195"/>
      <c r="E155" s="186"/>
      <c r="F155" s="2"/>
      <c r="G155" s="3">
        <f t="shared" si="17"/>
        <v>0</v>
      </c>
      <c r="H155" s="187"/>
      <c r="I155" s="7"/>
      <c r="J155" s="7">
        <v>1.6500000000000001E-2</v>
      </c>
      <c r="K155" s="7">
        <v>7.5999999999999998E-2</v>
      </c>
      <c r="L155" s="7">
        <v>0</v>
      </c>
      <c r="M155" s="11">
        <f t="shared" si="2"/>
        <v>0</v>
      </c>
      <c r="N155" s="11">
        <f t="shared" si="3"/>
        <v>0</v>
      </c>
      <c r="O155" s="11">
        <f t="shared" si="4"/>
        <v>0</v>
      </c>
      <c r="P155" s="11">
        <f t="shared" si="16"/>
        <v>0</v>
      </c>
    </row>
    <row r="156" spans="1:16" ht="15" hidden="1" customHeight="1">
      <c r="A156" s="44"/>
      <c r="B156" s="5">
        <f t="shared" si="18"/>
        <v>45809</v>
      </c>
      <c r="C156" s="218" t="s">
        <v>533</v>
      </c>
      <c r="D156" s="195"/>
      <c r="E156" s="186"/>
      <c r="F156" s="2"/>
      <c r="G156" s="3">
        <f t="shared" si="17"/>
        <v>0</v>
      </c>
      <c r="H156" s="187"/>
      <c r="I156" s="7"/>
      <c r="J156" s="7">
        <v>1.6500000000000001E-2</v>
      </c>
      <c r="K156" s="7">
        <v>7.5999999999999998E-2</v>
      </c>
      <c r="L156" s="7">
        <v>0</v>
      </c>
      <c r="M156" s="11">
        <f t="shared" si="2"/>
        <v>0</v>
      </c>
      <c r="N156" s="11">
        <f t="shared" si="3"/>
        <v>0</v>
      </c>
      <c r="O156" s="11">
        <f t="shared" si="4"/>
        <v>0</v>
      </c>
      <c r="P156" s="11">
        <f t="shared" si="16"/>
        <v>0</v>
      </c>
    </row>
    <row r="157" spans="1:16" ht="15" hidden="1" customHeight="1">
      <c r="A157" s="44"/>
      <c r="B157" s="5">
        <f t="shared" si="18"/>
        <v>45809</v>
      </c>
      <c r="C157" s="218" t="s">
        <v>533</v>
      </c>
      <c r="D157" s="195"/>
      <c r="E157" s="186"/>
      <c r="F157" s="2"/>
      <c r="G157" s="3">
        <f t="shared" si="17"/>
        <v>0</v>
      </c>
      <c r="H157" s="187"/>
      <c r="I157" s="7"/>
      <c r="J157" s="7">
        <v>1.6500000000000001E-2</v>
      </c>
      <c r="K157" s="7">
        <v>7.5999999999999998E-2</v>
      </c>
      <c r="L157" s="7">
        <v>0</v>
      </c>
      <c r="M157" s="11">
        <f t="shared" si="2"/>
        <v>0</v>
      </c>
      <c r="N157" s="11">
        <f t="shared" si="3"/>
        <v>0</v>
      </c>
      <c r="O157" s="11">
        <f t="shared" si="4"/>
        <v>0</v>
      </c>
      <c r="P157" s="11">
        <f t="shared" si="16"/>
        <v>0</v>
      </c>
    </row>
    <row r="158" spans="1:16" ht="15" hidden="1" customHeight="1">
      <c r="A158" s="44"/>
      <c r="B158" s="5">
        <f t="shared" si="18"/>
        <v>45809</v>
      </c>
      <c r="C158" s="218" t="s">
        <v>533</v>
      </c>
      <c r="D158" s="195"/>
      <c r="E158" s="186"/>
      <c r="F158" s="2"/>
      <c r="G158" s="3">
        <f t="shared" si="17"/>
        <v>0</v>
      </c>
      <c r="H158" s="187"/>
      <c r="I158" s="7"/>
      <c r="J158" s="7">
        <v>1.6500000000000001E-2</v>
      </c>
      <c r="K158" s="7">
        <v>7.5999999999999998E-2</v>
      </c>
      <c r="L158" s="7">
        <v>0</v>
      </c>
      <c r="M158" s="11">
        <f t="shared" si="2"/>
        <v>0</v>
      </c>
      <c r="N158" s="11">
        <f t="shared" si="3"/>
        <v>0</v>
      </c>
      <c r="O158" s="11">
        <f t="shared" si="4"/>
        <v>0</v>
      </c>
      <c r="P158" s="11">
        <f t="shared" si="16"/>
        <v>0</v>
      </c>
    </row>
    <row r="159" spans="1:16" ht="15" hidden="1" customHeight="1">
      <c r="A159" s="44"/>
      <c r="B159" s="5">
        <f t="shared" si="18"/>
        <v>45809</v>
      </c>
      <c r="C159" s="218" t="s">
        <v>533</v>
      </c>
      <c r="D159" s="195"/>
      <c r="E159" s="186"/>
      <c r="F159" s="2"/>
      <c r="G159" s="3">
        <f t="shared" si="17"/>
        <v>0</v>
      </c>
      <c r="H159" s="187"/>
      <c r="I159" s="7"/>
      <c r="J159" s="7">
        <v>1.6500000000000001E-2</v>
      </c>
      <c r="K159" s="7">
        <v>7.5999999999999998E-2</v>
      </c>
      <c r="L159" s="7">
        <v>0</v>
      </c>
      <c r="M159" s="11">
        <f t="shared" si="2"/>
        <v>0</v>
      </c>
      <c r="N159" s="11">
        <f t="shared" si="3"/>
        <v>0</v>
      </c>
      <c r="O159" s="11">
        <f t="shared" si="4"/>
        <v>0</v>
      </c>
      <c r="P159" s="11">
        <f t="shared" si="16"/>
        <v>0</v>
      </c>
    </row>
    <row r="160" spans="1:16" ht="15" hidden="1" customHeight="1">
      <c r="A160" s="44"/>
      <c r="B160" s="5">
        <f t="shared" si="18"/>
        <v>45809</v>
      </c>
      <c r="C160" s="218" t="s">
        <v>533</v>
      </c>
      <c r="D160" s="195"/>
      <c r="E160" s="186"/>
      <c r="F160" s="2"/>
      <c r="G160" s="3">
        <f t="shared" si="17"/>
        <v>0</v>
      </c>
      <c r="H160" s="187"/>
      <c r="I160" s="7"/>
      <c r="J160" s="7">
        <v>1.6500000000000001E-2</v>
      </c>
      <c r="K160" s="7">
        <v>7.5999999999999998E-2</v>
      </c>
      <c r="L160" s="7">
        <v>0</v>
      </c>
      <c r="M160" s="11">
        <f t="shared" si="2"/>
        <v>0</v>
      </c>
      <c r="N160" s="11">
        <f t="shared" si="3"/>
        <v>0</v>
      </c>
      <c r="O160" s="11">
        <f t="shared" si="4"/>
        <v>0</v>
      </c>
      <c r="P160" s="11">
        <f t="shared" si="16"/>
        <v>0</v>
      </c>
    </row>
    <row r="161" spans="1:16" ht="15" hidden="1" customHeight="1">
      <c r="A161" s="44"/>
      <c r="B161" s="5">
        <f t="shared" si="18"/>
        <v>45809</v>
      </c>
      <c r="C161" s="218" t="s">
        <v>533</v>
      </c>
      <c r="D161" s="195"/>
      <c r="E161" s="186"/>
      <c r="F161" s="2"/>
      <c r="G161" s="3">
        <f t="shared" si="17"/>
        <v>0</v>
      </c>
      <c r="H161" s="187"/>
      <c r="I161" s="7"/>
      <c r="J161" s="7">
        <v>1.6500000000000001E-2</v>
      </c>
      <c r="K161" s="7">
        <v>7.5999999999999998E-2</v>
      </c>
      <c r="L161" s="7">
        <v>0</v>
      </c>
      <c r="M161" s="11">
        <f t="shared" si="2"/>
        <v>0</v>
      </c>
      <c r="N161" s="11">
        <f t="shared" si="3"/>
        <v>0</v>
      </c>
      <c r="O161" s="11">
        <f t="shared" si="4"/>
        <v>0</v>
      </c>
      <c r="P161" s="11">
        <f t="shared" si="16"/>
        <v>0</v>
      </c>
    </row>
    <row r="162" spans="1:16" ht="15" hidden="1" customHeight="1">
      <c r="A162" s="44"/>
      <c r="B162" s="5">
        <f t="shared" si="18"/>
        <v>45809</v>
      </c>
      <c r="C162" s="218" t="s">
        <v>533</v>
      </c>
      <c r="D162" s="195"/>
      <c r="E162" s="186"/>
      <c r="F162" s="2"/>
      <c r="G162" s="3">
        <f t="shared" si="17"/>
        <v>0</v>
      </c>
      <c r="H162" s="187"/>
      <c r="I162" s="7"/>
      <c r="J162" s="7">
        <v>1.6500000000000001E-2</v>
      </c>
      <c r="K162" s="7">
        <v>7.5999999999999998E-2</v>
      </c>
      <c r="L162" s="7">
        <v>0</v>
      </c>
      <c r="M162" s="11">
        <f t="shared" si="2"/>
        <v>0</v>
      </c>
      <c r="N162" s="11">
        <f t="shared" si="3"/>
        <v>0</v>
      </c>
      <c r="O162" s="11">
        <f t="shared" si="4"/>
        <v>0</v>
      </c>
      <c r="P162" s="11">
        <f t="shared" si="16"/>
        <v>0</v>
      </c>
    </row>
    <row r="163" spans="1:16" ht="15" hidden="1" customHeight="1">
      <c r="A163" s="44"/>
      <c r="B163" s="5">
        <f t="shared" si="18"/>
        <v>45809</v>
      </c>
      <c r="C163" s="218" t="s">
        <v>533</v>
      </c>
      <c r="D163" s="195"/>
      <c r="E163" s="186"/>
      <c r="F163" s="2"/>
      <c r="G163" s="3">
        <f t="shared" si="17"/>
        <v>0</v>
      </c>
      <c r="H163" s="187"/>
      <c r="I163" s="7"/>
      <c r="J163" s="7">
        <v>1.6500000000000001E-2</v>
      </c>
      <c r="K163" s="7">
        <v>7.5999999999999998E-2</v>
      </c>
      <c r="L163" s="7">
        <v>0</v>
      </c>
      <c r="M163" s="11">
        <f t="shared" si="2"/>
        <v>0</v>
      </c>
      <c r="N163" s="11">
        <f t="shared" si="3"/>
        <v>0</v>
      </c>
      <c r="O163" s="11">
        <f t="shared" si="4"/>
        <v>0</v>
      </c>
      <c r="P163" s="11">
        <f t="shared" si="16"/>
        <v>0</v>
      </c>
    </row>
    <row r="164" spans="1:16" ht="15" hidden="1" customHeight="1">
      <c r="A164" s="44"/>
      <c r="B164" s="5">
        <f t="shared" si="18"/>
        <v>45809</v>
      </c>
      <c r="C164" s="218" t="s">
        <v>533</v>
      </c>
      <c r="D164" s="195"/>
      <c r="E164" s="186"/>
      <c r="F164" s="2"/>
      <c r="G164" s="3">
        <f t="shared" si="17"/>
        <v>0</v>
      </c>
      <c r="H164" s="187"/>
      <c r="I164" s="7"/>
      <c r="J164" s="7">
        <v>1.6500000000000001E-2</v>
      </c>
      <c r="K164" s="7">
        <v>7.5999999999999998E-2</v>
      </c>
      <c r="L164" s="7">
        <v>0</v>
      </c>
      <c r="M164" s="11">
        <f t="shared" si="2"/>
        <v>0</v>
      </c>
      <c r="N164" s="11">
        <f t="shared" si="3"/>
        <v>0</v>
      </c>
      <c r="O164" s="11">
        <f t="shared" si="4"/>
        <v>0</v>
      </c>
      <c r="P164" s="11">
        <f t="shared" si="16"/>
        <v>0</v>
      </c>
    </row>
    <row r="165" spans="1:16" ht="15" hidden="1" customHeight="1">
      <c r="A165" s="44"/>
      <c r="B165" s="5">
        <f t="shared" si="18"/>
        <v>45809</v>
      </c>
      <c r="C165" s="218" t="s">
        <v>533</v>
      </c>
      <c r="D165" s="195"/>
      <c r="E165" s="186"/>
      <c r="F165" s="2"/>
      <c r="G165" s="3">
        <f t="shared" si="17"/>
        <v>0</v>
      </c>
      <c r="H165" s="187"/>
      <c r="I165" s="7"/>
      <c r="J165" s="7">
        <v>1.6500000000000001E-2</v>
      </c>
      <c r="K165" s="7">
        <v>7.5999999999999998E-2</v>
      </c>
      <c r="L165" s="7">
        <v>0</v>
      </c>
      <c r="M165" s="11">
        <f t="shared" si="2"/>
        <v>0</v>
      </c>
      <c r="N165" s="11">
        <f t="shared" si="3"/>
        <v>0</v>
      </c>
      <c r="O165" s="11">
        <f t="shared" si="4"/>
        <v>0</v>
      </c>
      <c r="P165" s="11">
        <f t="shared" si="16"/>
        <v>0</v>
      </c>
    </row>
    <row r="166" spans="1:16" ht="15" hidden="1" customHeight="1">
      <c r="A166" s="44"/>
      <c r="B166" s="5">
        <f t="shared" si="18"/>
        <v>45809</v>
      </c>
      <c r="C166" s="218" t="s">
        <v>533</v>
      </c>
      <c r="D166" s="195"/>
      <c r="E166" s="186"/>
      <c r="F166" s="2"/>
      <c r="G166" s="3">
        <f t="shared" si="17"/>
        <v>0</v>
      </c>
      <c r="H166" s="187"/>
      <c r="I166" s="7"/>
      <c r="J166" s="7">
        <v>1.6500000000000001E-2</v>
      </c>
      <c r="K166" s="7">
        <v>7.5999999999999998E-2</v>
      </c>
      <c r="L166" s="7">
        <v>0</v>
      </c>
      <c r="M166" s="11">
        <f t="shared" si="2"/>
        <v>0</v>
      </c>
      <c r="N166" s="11">
        <f t="shared" si="3"/>
        <v>0</v>
      </c>
      <c r="O166" s="11">
        <f t="shared" si="4"/>
        <v>0</v>
      </c>
      <c r="P166" s="11">
        <f t="shared" si="16"/>
        <v>0</v>
      </c>
    </row>
    <row r="167" spans="1:16" ht="15" hidden="1" customHeight="1">
      <c r="A167" s="44"/>
      <c r="B167" s="5">
        <f t="shared" si="18"/>
        <v>45809</v>
      </c>
      <c r="C167" s="218" t="s">
        <v>533</v>
      </c>
      <c r="D167" s="195"/>
      <c r="E167" s="186"/>
      <c r="F167" s="2"/>
      <c r="G167" s="3">
        <f t="shared" si="17"/>
        <v>0</v>
      </c>
      <c r="H167" s="187"/>
      <c r="I167" s="7"/>
      <c r="J167" s="7">
        <v>1.6500000000000001E-2</v>
      </c>
      <c r="K167" s="7">
        <v>7.5999999999999998E-2</v>
      </c>
      <c r="L167" s="7">
        <v>0</v>
      </c>
      <c r="M167" s="11">
        <f t="shared" si="2"/>
        <v>0</v>
      </c>
      <c r="N167" s="11">
        <f t="shared" si="3"/>
        <v>0</v>
      </c>
      <c r="O167" s="11">
        <f t="shared" si="4"/>
        <v>0</v>
      </c>
      <c r="P167" s="11">
        <f t="shared" si="16"/>
        <v>0</v>
      </c>
    </row>
    <row r="168" spans="1:16" ht="15" hidden="1" customHeight="1">
      <c r="A168" s="44"/>
      <c r="B168" s="5">
        <f t="shared" si="18"/>
        <v>45809</v>
      </c>
      <c r="C168" s="218" t="s">
        <v>533</v>
      </c>
      <c r="D168" s="195"/>
      <c r="E168" s="186"/>
      <c r="F168" s="2"/>
      <c r="G168" s="3">
        <f t="shared" si="17"/>
        <v>0</v>
      </c>
      <c r="H168" s="187"/>
      <c r="I168" s="7"/>
      <c r="J168" s="7">
        <v>1.6500000000000001E-2</v>
      </c>
      <c r="K168" s="7">
        <v>7.5999999999999998E-2</v>
      </c>
      <c r="L168" s="7">
        <v>0</v>
      </c>
      <c r="M168" s="11">
        <f t="shared" si="2"/>
        <v>0</v>
      </c>
      <c r="N168" s="11">
        <f t="shared" si="3"/>
        <v>0</v>
      </c>
      <c r="O168" s="11">
        <f t="shared" si="4"/>
        <v>0</v>
      </c>
      <c r="P168" s="11">
        <f t="shared" si="16"/>
        <v>0</v>
      </c>
    </row>
    <row r="169" spans="1:16" ht="15" hidden="1" customHeight="1">
      <c r="A169" s="44"/>
      <c r="B169" s="5">
        <f t="shared" si="18"/>
        <v>45809</v>
      </c>
      <c r="C169" s="218" t="s">
        <v>533</v>
      </c>
      <c r="D169" s="195"/>
      <c r="E169" s="186"/>
      <c r="F169" s="2"/>
      <c r="G169" s="3">
        <f t="shared" si="17"/>
        <v>0</v>
      </c>
      <c r="H169" s="187"/>
      <c r="I169" s="7"/>
      <c r="J169" s="7">
        <v>1.6500000000000001E-2</v>
      </c>
      <c r="K169" s="7">
        <v>7.5999999999999998E-2</v>
      </c>
      <c r="L169" s="7">
        <v>0</v>
      </c>
      <c r="M169" s="11">
        <f t="shared" si="2"/>
        <v>0</v>
      </c>
      <c r="N169" s="11">
        <f t="shared" si="3"/>
        <v>0</v>
      </c>
      <c r="O169" s="11">
        <f t="shared" si="4"/>
        <v>0</v>
      </c>
      <c r="P169" s="11">
        <f t="shared" si="16"/>
        <v>0</v>
      </c>
    </row>
    <row r="170" spans="1:16" ht="15" hidden="1" customHeight="1">
      <c r="A170" s="44"/>
      <c r="B170" s="5">
        <f t="shared" si="18"/>
        <v>45809</v>
      </c>
      <c r="C170" s="218" t="s">
        <v>533</v>
      </c>
      <c r="D170" s="195"/>
      <c r="E170" s="186"/>
      <c r="F170" s="2"/>
      <c r="G170" s="3">
        <f t="shared" si="17"/>
        <v>0</v>
      </c>
      <c r="H170" s="187"/>
      <c r="I170" s="7"/>
      <c r="J170" s="7">
        <v>1.6500000000000001E-2</v>
      </c>
      <c r="K170" s="7">
        <v>7.5999999999999998E-2</v>
      </c>
      <c r="L170" s="7">
        <v>0</v>
      </c>
      <c r="M170" s="11">
        <f t="shared" si="2"/>
        <v>0</v>
      </c>
      <c r="N170" s="11">
        <f t="shared" si="3"/>
        <v>0</v>
      </c>
      <c r="O170" s="11">
        <f t="shared" si="4"/>
        <v>0</v>
      </c>
      <c r="P170" s="11">
        <f t="shared" si="16"/>
        <v>0</v>
      </c>
    </row>
    <row r="171" spans="1:16" ht="15" hidden="1" customHeight="1">
      <c r="A171" s="44"/>
      <c r="B171" s="5">
        <f t="shared" si="18"/>
        <v>45809</v>
      </c>
      <c r="C171" s="218" t="s">
        <v>533</v>
      </c>
      <c r="D171" s="195"/>
      <c r="E171" s="186"/>
      <c r="F171" s="2"/>
      <c r="G171" s="3">
        <f t="shared" si="17"/>
        <v>0</v>
      </c>
      <c r="H171" s="187"/>
      <c r="I171" s="7"/>
      <c r="J171" s="7">
        <v>1.6500000000000001E-2</v>
      </c>
      <c r="K171" s="7">
        <v>7.5999999999999998E-2</v>
      </c>
      <c r="L171" s="7">
        <v>0</v>
      </c>
      <c r="M171" s="11">
        <f t="shared" si="2"/>
        <v>0</v>
      </c>
      <c r="N171" s="11">
        <f t="shared" si="3"/>
        <v>0</v>
      </c>
      <c r="O171" s="11">
        <f t="shared" si="4"/>
        <v>0</v>
      </c>
      <c r="P171" s="11">
        <f t="shared" si="16"/>
        <v>0</v>
      </c>
    </row>
    <row r="172" spans="1:16" ht="15" hidden="1" customHeight="1">
      <c r="A172" s="44"/>
      <c r="B172" s="5">
        <f t="shared" si="18"/>
        <v>45809</v>
      </c>
      <c r="C172" s="218" t="s">
        <v>533</v>
      </c>
      <c r="D172" s="195"/>
      <c r="E172" s="186"/>
      <c r="F172" s="2"/>
      <c r="G172" s="3">
        <f t="shared" si="17"/>
        <v>0</v>
      </c>
      <c r="H172" s="187"/>
      <c r="I172" s="7"/>
      <c r="J172" s="7">
        <v>1.6500000000000001E-2</v>
      </c>
      <c r="K172" s="7">
        <v>7.5999999999999998E-2</v>
      </c>
      <c r="L172" s="7">
        <v>0</v>
      </c>
      <c r="M172" s="11">
        <f t="shared" si="2"/>
        <v>0</v>
      </c>
      <c r="N172" s="11">
        <f t="shared" si="3"/>
        <v>0</v>
      </c>
      <c r="O172" s="11">
        <f t="shared" si="4"/>
        <v>0</v>
      </c>
      <c r="P172" s="11">
        <f t="shared" si="16"/>
        <v>0</v>
      </c>
    </row>
    <row r="173" spans="1:16" ht="15" hidden="1" customHeight="1">
      <c r="A173" s="44"/>
      <c r="B173" s="5">
        <f t="shared" si="18"/>
        <v>45809</v>
      </c>
      <c r="C173" s="218" t="s">
        <v>533</v>
      </c>
      <c r="D173" s="195"/>
      <c r="E173" s="186"/>
      <c r="F173" s="2"/>
      <c r="G173" s="3">
        <f t="shared" si="17"/>
        <v>0</v>
      </c>
      <c r="H173" s="187"/>
      <c r="I173" s="7"/>
      <c r="J173" s="7">
        <v>1.6500000000000001E-2</v>
      </c>
      <c r="K173" s="7">
        <v>7.5999999999999998E-2</v>
      </c>
      <c r="L173" s="7">
        <v>0</v>
      </c>
      <c r="M173" s="11">
        <f t="shared" si="2"/>
        <v>0</v>
      </c>
      <c r="N173" s="11">
        <f t="shared" si="3"/>
        <v>0</v>
      </c>
      <c r="O173" s="11">
        <f t="shared" si="4"/>
        <v>0</v>
      </c>
      <c r="P173" s="11">
        <f t="shared" si="16"/>
        <v>0</v>
      </c>
    </row>
    <row r="174" spans="1:16" ht="15" hidden="1" customHeight="1">
      <c r="A174" s="44"/>
      <c r="B174" s="5">
        <f t="shared" si="18"/>
        <v>45809</v>
      </c>
      <c r="C174" s="218" t="s">
        <v>533</v>
      </c>
      <c r="D174" s="195"/>
      <c r="E174" s="186"/>
      <c r="F174" s="2"/>
      <c r="G174" s="3">
        <f t="shared" si="17"/>
        <v>0</v>
      </c>
      <c r="H174" s="187"/>
      <c r="I174" s="7"/>
      <c r="J174" s="7">
        <v>1.6500000000000001E-2</v>
      </c>
      <c r="K174" s="7">
        <v>7.5999999999999998E-2</v>
      </c>
      <c r="L174" s="7">
        <v>0</v>
      </c>
      <c r="M174" s="11">
        <f t="shared" si="2"/>
        <v>0</v>
      </c>
      <c r="N174" s="11">
        <f t="shared" si="3"/>
        <v>0</v>
      </c>
      <c r="O174" s="11">
        <f t="shared" si="4"/>
        <v>0</v>
      </c>
      <c r="P174" s="11">
        <f t="shared" si="16"/>
        <v>0</v>
      </c>
    </row>
    <row r="175" spans="1:16" ht="15" hidden="1" customHeight="1">
      <c r="A175" s="44"/>
      <c r="B175" s="5">
        <f t="shared" si="18"/>
        <v>45809</v>
      </c>
      <c r="C175" s="218" t="s">
        <v>533</v>
      </c>
      <c r="D175" s="195"/>
      <c r="E175" s="186"/>
      <c r="F175" s="2"/>
      <c r="G175" s="3">
        <f t="shared" si="17"/>
        <v>0</v>
      </c>
      <c r="H175" s="187"/>
      <c r="I175" s="7"/>
      <c r="J175" s="7">
        <v>1.6500000000000001E-2</v>
      </c>
      <c r="K175" s="7">
        <v>7.5999999999999998E-2</v>
      </c>
      <c r="L175" s="7">
        <v>0</v>
      </c>
      <c r="M175" s="11">
        <f t="shared" si="2"/>
        <v>0</v>
      </c>
      <c r="N175" s="11">
        <f t="shared" si="3"/>
        <v>0</v>
      </c>
      <c r="O175" s="11">
        <f t="shared" si="4"/>
        <v>0</v>
      </c>
      <c r="P175" s="11">
        <f t="shared" si="16"/>
        <v>0</v>
      </c>
    </row>
    <row r="176" spans="1:16" ht="15" hidden="1" customHeight="1">
      <c r="A176" s="44"/>
      <c r="B176" s="5">
        <f t="shared" si="18"/>
        <v>45809</v>
      </c>
      <c r="C176" s="218" t="s">
        <v>533</v>
      </c>
      <c r="D176" s="195"/>
      <c r="E176" s="186"/>
      <c r="F176" s="2"/>
      <c r="G176" s="3">
        <f t="shared" si="17"/>
        <v>0</v>
      </c>
      <c r="H176" s="187"/>
      <c r="I176" s="7"/>
      <c r="J176" s="7">
        <v>1.6500000000000001E-2</v>
      </c>
      <c r="K176" s="7">
        <v>7.5999999999999998E-2</v>
      </c>
      <c r="L176" s="7">
        <v>0</v>
      </c>
      <c r="M176" s="11">
        <f t="shared" si="2"/>
        <v>0</v>
      </c>
      <c r="N176" s="11">
        <f t="shared" si="3"/>
        <v>0</v>
      </c>
      <c r="O176" s="11">
        <f t="shared" si="4"/>
        <v>0</v>
      </c>
      <c r="P176" s="11">
        <f t="shared" si="16"/>
        <v>0</v>
      </c>
    </row>
    <row r="177" spans="1:16" ht="15" hidden="1" customHeight="1">
      <c r="A177" s="44"/>
      <c r="B177" s="5">
        <f t="shared" si="18"/>
        <v>45809</v>
      </c>
      <c r="C177" s="218" t="s">
        <v>533</v>
      </c>
      <c r="D177" s="195"/>
      <c r="E177" s="186"/>
      <c r="F177" s="2"/>
      <c r="G177" s="3">
        <f t="shared" si="17"/>
        <v>0</v>
      </c>
      <c r="H177" s="187"/>
      <c r="I177" s="7"/>
      <c r="J177" s="7">
        <v>1.6500000000000001E-2</v>
      </c>
      <c r="K177" s="7">
        <v>7.5999999999999998E-2</v>
      </c>
      <c r="L177" s="7">
        <v>0</v>
      </c>
      <c r="M177" s="11">
        <f t="shared" si="2"/>
        <v>0</v>
      </c>
      <c r="N177" s="11">
        <f t="shared" si="3"/>
        <v>0</v>
      </c>
      <c r="O177" s="11">
        <f t="shared" si="4"/>
        <v>0</v>
      </c>
      <c r="P177" s="11">
        <f t="shared" si="16"/>
        <v>0</v>
      </c>
    </row>
    <row r="178" spans="1:16" ht="15" hidden="1" customHeight="1">
      <c r="A178" s="44"/>
      <c r="B178" s="5">
        <f t="shared" si="18"/>
        <v>45809</v>
      </c>
      <c r="C178" s="218" t="s">
        <v>533</v>
      </c>
      <c r="D178" s="195"/>
      <c r="E178" s="186"/>
      <c r="F178" s="2"/>
      <c r="G178" s="3">
        <f t="shared" ref="G178:G180" si="19">F178-SUM(M178:P178)</f>
        <v>0</v>
      </c>
      <c r="H178" s="187"/>
      <c r="I178" s="7"/>
      <c r="J178" s="7">
        <v>1.6500000000000001E-2</v>
      </c>
      <c r="K178" s="7">
        <v>7.5999999999999998E-2</v>
      </c>
      <c r="L178" s="7">
        <v>0</v>
      </c>
      <c r="M178" s="11">
        <f t="shared" si="2"/>
        <v>0</v>
      </c>
      <c r="N178" s="11">
        <f t="shared" si="3"/>
        <v>0</v>
      </c>
      <c r="O178" s="11">
        <f t="shared" si="4"/>
        <v>0</v>
      </c>
      <c r="P178" s="11">
        <f t="shared" si="16"/>
        <v>0</v>
      </c>
    </row>
    <row r="179" spans="1:16" ht="15" hidden="1" customHeight="1">
      <c r="A179" s="44"/>
      <c r="B179" s="5">
        <f t="shared" si="18"/>
        <v>45809</v>
      </c>
      <c r="C179" s="218" t="s">
        <v>533</v>
      </c>
      <c r="D179" s="195"/>
      <c r="E179" s="186"/>
      <c r="F179" s="2"/>
      <c r="G179" s="3">
        <f t="shared" si="19"/>
        <v>0</v>
      </c>
      <c r="H179" s="187"/>
      <c r="I179" s="7"/>
      <c r="J179" s="7">
        <v>1.6500000000000001E-2</v>
      </c>
      <c r="K179" s="7">
        <v>7.5999999999999998E-2</v>
      </c>
      <c r="L179" s="7">
        <v>0</v>
      </c>
      <c r="M179" s="11">
        <f t="shared" si="2"/>
        <v>0</v>
      </c>
      <c r="N179" s="11">
        <f t="shared" si="3"/>
        <v>0</v>
      </c>
      <c r="O179" s="11">
        <f t="shared" si="4"/>
        <v>0</v>
      </c>
      <c r="P179" s="11">
        <f t="shared" si="16"/>
        <v>0</v>
      </c>
    </row>
    <row r="180" spans="1:16" ht="15" hidden="1" customHeight="1">
      <c r="A180" s="44"/>
      <c r="B180" s="5">
        <f t="shared" si="18"/>
        <v>45809</v>
      </c>
      <c r="C180" s="218" t="s">
        <v>533</v>
      </c>
      <c r="D180" s="195"/>
      <c r="E180" s="186"/>
      <c r="F180" s="2"/>
      <c r="G180" s="3">
        <f t="shared" si="19"/>
        <v>0</v>
      </c>
      <c r="H180" s="187"/>
      <c r="I180" s="7"/>
      <c r="J180" s="7">
        <v>1.6500000000000001E-2</v>
      </c>
      <c r="K180" s="7">
        <v>7.5999999999999998E-2</v>
      </c>
      <c r="L180" s="7">
        <v>0</v>
      </c>
      <c r="M180" s="11">
        <f t="shared" si="2"/>
        <v>0</v>
      </c>
      <c r="N180" s="11">
        <f t="shared" si="3"/>
        <v>0</v>
      </c>
      <c r="O180" s="11">
        <f t="shared" si="4"/>
        <v>0</v>
      </c>
      <c r="P180" s="11">
        <f t="shared" si="16"/>
        <v>0</v>
      </c>
    </row>
    <row r="181" spans="1:16" ht="15" hidden="1" customHeight="1">
      <c r="A181" s="44"/>
      <c r="B181" s="5">
        <f t="shared" si="18"/>
        <v>45809</v>
      </c>
      <c r="C181" s="218" t="s">
        <v>533</v>
      </c>
      <c r="D181" s="195"/>
      <c r="E181" s="186"/>
      <c r="F181" s="2"/>
      <c r="G181" s="3">
        <f t="shared" si="17"/>
        <v>0</v>
      </c>
      <c r="H181" s="187"/>
      <c r="I181" s="7"/>
      <c r="J181" s="7">
        <v>1.6500000000000001E-2</v>
      </c>
      <c r="K181" s="7">
        <v>7.5999999999999998E-2</v>
      </c>
      <c r="L181" s="7">
        <v>0</v>
      </c>
      <c r="M181" s="11">
        <f t="shared" si="2"/>
        <v>0</v>
      </c>
      <c r="N181" s="11">
        <f t="shared" si="3"/>
        <v>0</v>
      </c>
      <c r="O181" s="11">
        <f t="shared" si="4"/>
        <v>0</v>
      </c>
      <c r="P181" s="11">
        <f t="shared" si="16"/>
        <v>0</v>
      </c>
    </row>
    <row r="182" spans="1:16" ht="15" hidden="1" customHeight="1">
      <c r="A182" s="44"/>
      <c r="B182" s="5">
        <f t="shared" si="18"/>
        <v>45809</v>
      </c>
      <c r="C182" s="218" t="s">
        <v>533</v>
      </c>
      <c r="D182" s="195"/>
      <c r="E182" s="186"/>
      <c r="F182" s="2"/>
      <c r="G182" s="3">
        <f t="shared" si="17"/>
        <v>0</v>
      </c>
      <c r="H182" s="187"/>
      <c r="I182" s="7"/>
      <c r="J182" s="7">
        <v>1.6500000000000001E-2</v>
      </c>
      <c r="K182" s="7">
        <v>7.5999999999999998E-2</v>
      </c>
      <c r="L182" s="7">
        <v>0</v>
      </c>
      <c r="M182" s="11">
        <f t="shared" si="2"/>
        <v>0</v>
      </c>
      <c r="N182" s="11">
        <f t="shared" si="3"/>
        <v>0</v>
      </c>
      <c r="O182" s="11">
        <f t="shared" si="4"/>
        <v>0</v>
      </c>
      <c r="P182" s="11">
        <f t="shared" si="16"/>
        <v>0</v>
      </c>
    </row>
    <row r="183" spans="1:16">
      <c r="B183" s="5"/>
      <c r="C183" s="1"/>
      <c r="E183" s="1"/>
      <c r="F183" s="2"/>
      <c r="G183" s="4"/>
      <c r="H183" s="4"/>
      <c r="I183" s="7"/>
      <c r="J183" s="7"/>
      <c r="K183" s="7"/>
      <c r="L183" s="7"/>
    </row>
    <row r="184" spans="1:16">
      <c r="E184" s="28">
        <f>SUM(E18:E182)</f>
        <v>40086417.329999998</v>
      </c>
      <c r="F184" s="133"/>
      <c r="G184" s="29">
        <f>SUM(G18:G182)</f>
        <v>96742306.583096594</v>
      </c>
    </row>
    <row r="185" spans="1:16">
      <c r="E185" s="137"/>
      <c r="F185" s="41"/>
    </row>
    <row r="186" spans="1:16" ht="15.75" thickBot="1"/>
    <row r="187" spans="1:16">
      <c r="B187" s="391" t="s">
        <v>795</v>
      </c>
      <c r="C187" s="383"/>
      <c r="D187" s="383"/>
      <c r="E187" s="383"/>
      <c r="F187" s="383"/>
      <c r="G187" s="383"/>
      <c r="H187" s="383"/>
      <c r="I187" s="383"/>
      <c r="J187" s="383"/>
      <c r="K187" s="383"/>
      <c r="L187" s="383"/>
      <c r="M187" s="383"/>
      <c r="N187" s="383"/>
      <c r="O187" s="384"/>
    </row>
    <row r="188" spans="1:16">
      <c r="B188" s="385"/>
      <c r="C188" s="386"/>
      <c r="D188" s="386"/>
      <c r="E188" s="386"/>
      <c r="F188" s="386"/>
      <c r="G188" s="386"/>
      <c r="H188" s="386"/>
      <c r="I188" s="386"/>
      <c r="J188" s="386"/>
      <c r="K188" s="386"/>
      <c r="L188" s="386"/>
      <c r="M188" s="386"/>
      <c r="N188" s="386"/>
      <c r="O188" s="387"/>
    </row>
    <row r="189" spans="1:16">
      <c r="B189" s="385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7"/>
    </row>
    <row r="190" spans="1:16">
      <c r="B190" s="385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7"/>
    </row>
    <row r="191" spans="1:16" ht="27" customHeight="1">
      <c r="B191" s="385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7"/>
    </row>
    <row r="192" spans="1:16" ht="44.25" customHeight="1" thickBot="1">
      <c r="B192" s="388"/>
      <c r="C192" s="389"/>
      <c r="D192" s="389"/>
      <c r="E192" s="389"/>
      <c r="F192" s="389"/>
      <c r="G192" s="389"/>
      <c r="H192" s="389"/>
      <c r="I192" s="389"/>
      <c r="J192" s="389"/>
      <c r="K192" s="389"/>
      <c r="L192" s="389"/>
      <c r="M192" s="389"/>
      <c r="N192" s="389"/>
      <c r="O192" s="390"/>
    </row>
    <row r="203" spans="5:5">
      <c r="E203" s="19"/>
    </row>
    <row r="204" spans="5:5">
      <c r="E204" s="19"/>
    </row>
  </sheetData>
  <mergeCells count="3">
    <mergeCell ref="C2:M2"/>
    <mergeCell ref="M16:P16"/>
    <mergeCell ref="B187:O192"/>
  </mergeCells>
  <conditionalFormatting sqref="D1:D1048576">
    <cfRule type="duplicateValues" dxfId="51" priority="1"/>
    <cfRule type="duplicateValues" dxfId="50" priority="2"/>
  </conditionalFormatting>
  <conditionalFormatting sqref="D7">
    <cfRule type="duplicateValues" dxfId="49" priority="5"/>
  </conditionalFormatting>
  <conditionalFormatting sqref="D18:D54">
    <cfRule type="duplicateValues" dxfId="48" priority="4"/>
  </conditionalFormatting>
  <conditionalFormatting sqref="D186:D1048576 D1:D184">
    <cfRule type="duplicateValues" dxfId="47" priority="3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F8DA-179E-4B17-AF30-E2E0B787C432}">
  <sheetPr>
    <pageSetUpPr fitToPage="1"/>
  </sheetPr>
  <dimension ref="A2:P204"/>
  <sheetViews>
    <sheetView showGridLines="0" zoomScale="90" zoomScaleNormal="90" workbookViewId="0"/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6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2:16" ht="23.25">
      <c r="C3" s="13">
        <v>45839</v>
      </c>
    </row>
    <row r="5" spans="2:16">
      <c r="C5" t="s">
        <v>17</v>
      </c>
      <c r="D5" s="14">
        <f t="shared" ref="D5:D10" ca="1" si="0">SUMIF($C$18:$G$182,$C$5:$C$10,$G$18:$G$182)/SUMIF($C$18:$G$182,$C$5:$C$10,$E$18:$E$182)</f>
        <v>2.4044941642376312</v>
      </c>
    </row>
    <row r="6" spans="2:16">
      <c r="C6" t="s">
        <v>440</v>
      </c>
      <c r="D6" s="14">
        <f t="shared" ca="1" si="0"/>
        <v>2.1570313050000003</v>
      </c>
    </row>
    <row r="7" spans="2:16">
      <c r="C7" t="s">
        <v>491</v>
      </c>
      <c r="D7" s="14">
        <f t="shared" ca="1" si="0"/>
        <v>2.1430000000732261</v>
      </c>
    </row>
    <row r="8" spans="2:16">
      <c r="C8" t="s">
        <v>756</v>
      </c>
      <c r="D8" s="14">
        <f t="shared" ca="1" si="0"/>
        <v>3.4705232090606812</v>
      </c>
      <c r="I8" s="19"/>
    </row>
    <row r="9" spans="2:16">
      <c r="C9" t="s">
        <v>757</v>
      </c>
      <c r="D9" s="14">
        <f t="shared" ca="1" si="0"/>
        <v>3.8635038425344872</v>
      </c>
      <c r="E9" s="14"/>
      <c r="F9" s="32"/>
      <c r="H9" s="137"/>
      <c r="I9" s="19"/>
    </row>
    <row r="10" spans="2:16">
      <c r="C10" t="s">
        <v>533</v>
      </c>
      <c r="D10" s="14" t="e">
        <f t="shared" ca="1" si="0"/>
        <v>#DIV/0!</v>
      </c>
    </row>
    <row r="11" spans="2:16">
      <c r="C11" s="30" t="s">
        <v>129</v>
      </c>
      <c r="D11" s="31">
        <f>+G184/E184</f>
        <v>2.3728064946392418</v>
      </c>
    </row>
    <row r="12" spans="2:16">
      <c r="D12" s="19"/>
    </row>
    <row r="13" spans="2:16">
      <c r="D13" s="22"/>
    </row>
    <row r="15" spans="2:16">
      <c r="E15" s="137"/>
    </row>
    <row r="16" spans="2:16" ht="15" customHeight="1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24"/>
      <c r="M16" s="381" t="s">
        <v>100</v>
      </c>
      <c r="N16" s="381"/>
      <c r="O16" s="381"/>
      <c r="P16" s="381"/>
    </row>
    <row r="17" spans="1:16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6" t="s">
        <v>537</v>
      </c>
      <c r="M17" s="27" t="s">
        <v>3</v>
      </c>
      <c r="N17" s="27" t="s">
        <v>97</v>
      </c>
      <c r="O17" s="27" t="s">
        <v>98</v>
      </c>
      <c r="P17" s="27" t="s">
        <v>537</v>
      </c>
    </row>
    <row r="18" spans="1:16" ht="18.75" customHeight="1">
      <c r="A18" s="44"/>
      <c r="B18" s="5">
        <f>C3</f>
        <v>45839</v>
      </c>
      <c r="C18" s="217" t="s">
        <v>17</v>
      </c>
      <c r="D18" s="216" t="s">
        <v>969</v>
      </c>
      <c r="E18" s="1">
        <v>33072</v>
      </c>
      <c r="F18" s="2">
        <v>88187.85</v>
      </c>
      <c r="G18" s="3">
        <f>F18-SUM(M18:P18)</f>
        <v>70426.817009999999</v>
      </c>
      <c r="H18" s="202">
        <f t="shared" ref="H18:H44" si="1">+IF(G18=0,0,G18/E18)</f>
        <v>2.1294997886429607</v>
      </c>
      <c r="I18" s="200">
        <v>0.12</v>
      </c>
      <c r="J18" s="7">
        <v>1.6500000000000001E-2</v>
      </c>
      <c r="K18" s="7">
        <v>7.5999999999999998E-2</v>
      </c>
      <c r="L18" s="7">
        <v>0</v>
      </c>
      <c r="M18" s="11">
        <f t="shared" ref="M18:M182" si="2">+I18*F18</f>
        <v>10582.541999999999</v>
      </c>
      <c r="N18" s="11">
        <f t="shared" ref="N18:N182" si="3">J18*(F18-M18)</f>
        <v>1280.4875820000002</v>
      </c>
      <c r="O18" s="11">
        <f t="shared" ref="O18:O182" si="4">K18*(F18-M18)</f>
        <v>5898.0034080000005</v>
      </c>
      <c r="P18" s="11">
        <f t="shared" ref="P18:P81" si="5">L18*(F18)</f>
        <v>0</v>
      </c>
    </row>
    <row r="19" spans="1:16">
      <c r="A19" s="44"/>
      <c r="B19" s="5">
        <f>B18</f>
        <v>45839</v>
      </c>
      <c r="C19" s="217" t="s">
        <v>17</v>
      </c>
      <c r="D19" s="216" t="s">
        <v>970</v>
      </c>
      <c r="E19" s="1">
        <v>2224</v>
      </c>
      <c r="F19" s="2">
        <v>6385.99</v>
      </c>
      <c r="G19" s="3">
        <f t="shared" ref="G19:G52" si="6">F19-SUM(M19:P19)</f>
        <v>5099.8516140000002</v>
      </c>
      <c r="H19" s="202">
        <f t="shared" si="1"/>
        <v>2.2930987473021585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si="2"/>
        <v>766.3187999999999</v>
      </c>
      <c r="N19" s="11">
        <f t="shared" si="3"/>
        <v>92.724574799999999</v>
      </c>
      <c r="O19" s="11">
        <f t="shared" si="4"/>
        <v>427.09501119999999</v>
      </c>
      <c r="P19" s="11">
        <f t="shared" si="5"/>
        <v>0</v>
      </c>
    </row>
    <row r="20" spans="1:16">
      <c r="A20" s="44"/>
      <c r="B20" s="5">
        <f t="shared" ref="B20:B53" si="7">B19</f>
        <v>45839</v>
      </c>
      <c r="C20" s="217" t="s">
        <v>17</v>
      </c>
      <c r="D20" s="216" t="s">
        <v>971</v>
      </c>
      <c r="E20" s="1">
        <v>117965</v>
      </c>
      <c r="F20" s="2">
        <v>360483.08</v>
      </c>
      <c r="G20" s="3">
        <f t="shared" si="6"/>
        <v>287881.78768800001</v>
      </c>
      <c r="H20" s="202">
        <f t="shared" si="1"/>
        <v>2.4404000143093292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43257.969599999997</v>
      </c>
      <c r="N20" s="11">
        <f t="shared" si="3"/>
        <v>5234.2143216000004</v>
      </c>
      <c r="O20" s="11">
        <f t="shared" si="4"/>
        <v>24109.108390400001</v>
      </c>
      <c r="P20" s="11">
        <f t="shared" si="5"/>
        <v>0</v>
      </c>
    </row>
    <row r="21" spans="1:16">
      <c r="A21" s="44"/>
      <c r="B21" s="5">
        <f t="shared" si="7"/>
        <v>45839</v>
      </c>
      <c r="C21" s="217" t="s">
        <v>17</v>
      </c>
      <c r="D21" s="214" t="s">
        <v>972</v>
      </c>
      <c r="E21" s="1">
        <v>108336</v>
      </c>
      <c r="F21" s="2">
        <v>311075.98</v>
      </c>
      <c r="G21" s="3">
        <f t="shared" si="6"/>
        <v>248425.27762799998</v>
      </c>
      <c r="H21" s="202">
        <f t="shared" si="1"/>
        <v>2.293099963336287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37329.117599999998</v>
      </c>
      <c r="N21" s="11">
        <f t="shared" si="3"/>
        <v>4516.8232295999996</v>
      </c>
      <c r="O21" s="11">
        <f t="shared" si="4"/>
        <v>20804.7615424</v>
      </c>
      <c r="P21" s="11">
        <f t="shared" si="5"/>
        <v>0</v>
      </c>
    </row>
    <row r="22" spans="1:16">
      <c r="A22" s="44"/>
      <c r="B22" s="5">
        <f t="shared" si="7"/>
        <v>45839</v>
      </c>
      <c r="C22" s="217" t="s">
        <v>17</v>
      </c>
      <c r="D22" s="214" t="s">
        <v>973</v>
      </c>
      <c r="E22" s="1">
        <v>565720</v>
      </c>
      <c r="F22" s="2">
        <v>1508515.83</v>
      </c>
      <c r="G22" s="3">
        <f t="shared" si="6"/>
        <v>1204700.741838</v>
      </c>
      <c r="H22" s="202">
        <f t="shared" si="1"/>
        <v>2.1295000032489573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181021.8996</v>
      </c>
      <c r="N22" s="11">
        <f t="shared" si="3"/>
        <v>21903.649851599999</v>
      </c>
      <c r="O22" s="11">
        <f t="shared" si="4"/>
        <v>100889.5387104</v>
      </c>
      <c r="P22" s="11">
        <f t="shared" si="5"/>
        <v>0</v>
      </c>
    </row>
    <row r="23" spans="1:16">
      <c r="A23" s="44"/>
      <c r="B23" s="5">
        <f t="shared" si="7"/>
        <v>45839</v>
      </c>
      <c r="C23" s="217" t="s">
        <v>17</v>
      </c>
      <c r="D23" s="214" t="s">
        <v>974</v>
      </c>
      <c r="E23" s="1">
        <v>6355394</v>
      </c>
      <c r="F23" s="2">
        <v>19421116.350000001</v>
      </c>
      <c r="G23" s="3">
        <f t="shared" si="6"/>
        <v>15509703.517110001</v>
      </c>
      <c r="H23" s="202">
        <f t="shared" si="1"/>
        <v>2.4403999999229002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2330533.9620000003</v>
      </c>
      <c r="N23" s="11">
        <f t="shared" si="3"/>
        <v>281994.60940200003</v>
      </c>
      <c r="O23" s="11">
        <f t="shared" si="4"/>
        <v>1298884.2614879999</v>
      </c>
      <c r="P23" s="11">
        <f t="shared" si="5"/>
        <v>0</v>
      </c>
    </row>
    <row r="24" spans="1:16">
      <c r="A24" s="44"/>
      <c r="B24" s="5">
        <f t="shared" si="7"/>
        <v>45839</v>
      </c>
      <c r="C24" s="217" t="s">
        <v>17</v>
      </c>
      <c r="D24" s="194" t="s">
        <v>975</v>
      </c>
      <c r="E24" s="1">
        <v>15000942</v>
      </c>
      <c r="F24" s="2">
        <v>45840594.619999997</v>
      </c>
      <c r="G24" s="3">
        <f t="shared" si="6"/>
        <v>36608298.863531999</v>
      </c>
      <c r="H24" s="202">
        <f t="shared" si="1"/>
        <v>2.4404000004487716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5500871.3543999996</v>
      </c>
      <c r="N24" s="11">
        <f t="shared" si="3"/>
        <v>665605.43388239993</v>
      </c>
      <c r="O24" s="11">
        <f t="shared" si="4"/>
        <v>3065818.9681855994</v>
      </c>
      <c r="P24" s="11">
        <f t="shared" si="5"/>
        <v>0</v>
      </c>
    </row>
    <row r="25" spans="1:16">
      <c r="A25" s="44"/>
      <c r="B25" s="5">
        <f t="shared" si="7"/>
        <v>45839</v>
      </c>
      <c r="C25" s="217" t="s">
        <v>17</v>
      </c>
      <c r="D25" s="196" t="s">
        <v>976</v>
      </c>
      <c r="E25" s="1">
        <v>272052</v>
      </c>
      <c r="F25" s="2">
        <v>781170.1</v>
      </c>
      <c r="G25" s="3">
        <f t="shared" si="6"/>
        <v>623842.4418599999</v>
      </c>
      <c r="H25" s="202">
        <f t="shared" si="1"/>
        <v>2.2931000024260064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93740.411999999997</v>
      </c>
      <c r="N25" s="11">
        <f t="shared" si="3"/>
        <v>11342.589851999999</v>
      </c>
      <c r="O25" s="11">
        <f t="shared" si="4"/>
        <v>52244.656287999998</v>
      </c>
      <c r="P25" s="11">
        <f t="shared" si="5"/>
        <v>0</v>
      </c>
    </row>
    <row r="26" spans="1:16">
      <c r="A26" s="44"/>
      <c r="B26" s="5">
        <f t="shared" si="7"/>
        <v>45839</v>
      </c>
      <c r="C26" s="217" t="s">
        <v>17</v>
      </c>
      <c r="D26" s="194" t="s">
        <v>977</v>
      </c>
      <c r="E26" s="1">
        <v>5243585</v>
      </c>
      <c r="F26" s="2">
        <v>16023597.33</v>
      </c>
      <c r="G26" s="3">
        <f t="shared" si="6"/>
        <v>12796444.827738</v>
      </c>
      <c r="H26" s="202">
        <f t="shared" si="1"/>
        <v>2.4403999988057787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1922831.6795999999</v>
      </c>
      <c r="N26" s="11">
        <f t="shared" si="3"/>
        <v>232662.63323160002</v>
      </c>
      <c r="O26" s="11">
        <f t="shared" si="4"/>
        <v>1071658.1894304</v>
      </c>
      <c r="P26" s="11">
        <f t="shared" si="5"/>
        <v>0</v>
      </c>
    </row>
    <row r="27" spans="1:16">
      <c r="A27" s="44"/>
      <c r="B27" s="5">
        <f t="shared" si="7"/>
        <v>45839</v>
      </c>
      <c r="C27" s="217" t="s">
        <v>17</v>
      </c>
      <c r="D27" s="194" t="s">
        <v>978</v>
      </c>
      <c r="E27" s="1">
        <v>84536</v>
      </c>
      <c r="F27" s="2">
        <v>242736.66</v>
      </c>
      <c r="G27" s="3">
        <f t="shared" si="6"/>
        <v>193849.49667600001</v>
      </c>
      <c r="H27" s="202">
        <f t="shared" si="1"/>
        <v>2.2930999417526263</v>
      </c>
      <c r="I27" s="200">
        <v>0.12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29128.3992</v>
      </c>
      <c r="N27" s="11">
        <f t="shared" si="3"/>
        <v>3524.5363032</v>
      </c>
      <c r="O27" s="11">
        <f t="shared" si="4"/>
        <v>16234.227820799999</v>
      </c>
      <c r="P27" s="11">
        <f t="shared" si="5"/>
        <v>0</v>
      </c>
    </row>
    <row r="28" spans="1:16">
      <c r="A28" s="44"/>
      <c r="B28" s="5">
        <f t="shared" si="7"/>
        <v>45839</v>
      </c>
      <c r="C28" s="217" t="s">
        <v>17</v>
      </c>
      <c r="D28" s="194" t="s">
        <v>979</v>
      </c>
      <c r="E28" s="1">
        <v>648351</v>
      </c>
      <c r="F28" s="2">
        <v>1728854.81</v>
      </c>
      <c r="G28" s="3">
        <f t="shared" si="6"/>
        <v>1380663.451266</v>
      </c>
      <c r="H28" s="202">
        <f t="shared" si="1"/>
        <v>2.1294999950119613</v>
      </c>
      <c r="I28" s="200">
        <v>0.12</v>
      </c>
      <c r="J28" s="7">
        <v>1.6500000000000001E-2</v>
      </c>
      <c r="K28" s="7">
        <v>7.5999999999999998E-2</v>
      </c>
      <c r="L28" s="7">
        <v>0</v>
      </c>
      <c r="M28" s="11">
        <f t="shared" si="2"/>
        <v>207462.5772</v>
      </c>
      <c r="N28" s="11">
        <f t="shared" si="3"/>
        <v>25102.971841200004</v>
      </c>
      <c r="O28" s="11">
        <f t="shared" si="4"/>
        <v>115625.8096928</v>
      </c>
      <c r="P28" s="11">
        <f t="shared" si="5"/>
        <v>0</v>
      </c>
    </row>
    <row r="29" spans="1:16">
      <c r="A29" s="44"/>
      <c r="B29" s="5">
        <f t="shared" si="7"/>
        <v>45839</v>
      </c>
      <c r="C29" s="217" t="s">
        <v>17</v>
      </c>
      <c r="D29" s="194" t="s">
        <v>981</v>
      </c>
      <c r="E29" s="1">
        <v>453996.21399999998</v>
      </c>
      <c r="F29" s="2">
        <v>1210599.72</v>
      </c>
      <c r="G29" s="3">
        <f t="shared" si="6"/>
        <v>966784.93639199995</v>
      </c>
      <c r="H29" s="202">
        <f t="shared" si="1"/>
        <v>2.1294999970902841</v>
      </c>
      <c r="I29" s="200">
        <v>0.12</v>
      </c>
      <c r="J29" s="7">
        <v>1.6500000000000001E-2</v>
      </c>
      <c r="K29" s="7">
        <v>7.5999999999999998E-2</v>
      </c>
      <c r="L29" s="7">
        <v>0</v>
      </c>
      <c r="M29" s="11">
        <f t="shared" si="2"/>
        <v>145271.9664</v>
      </c>
      <c r="N29" s="11">
        <f t="shared" si="3"/>
        <v>17577.907934399998</v>
      </c>
      <c r="O29" s="11">
        <f t="shared" si="4"/>
        <v>80964.909273599988</v>
      </c>
      <c r="P29" s="11">
        <f t="shared" si="5"/>
        <v>0</v>
      </c>
    </row>
    <row r="30" spans="1:16">
      <c r="A30" s="44"/>
      <c r="B30" s="5">
        <f t="shared" si="7"/>
        <v>45839</v>
      </c>
      <c r="C30" s="217" t="s">
        <v>17</v>
      </c>
      <c r="D30" s="194" t="s">
        <v>980</v>
      </c>
      <c r="E30" s="1">
        <v>1763583.7860000001</v>
      </c>
      <c r="F30" s="2">
        <v>4702669.26</v>
      </c>
      <c r="G30" s="3">
        <f t="shared" ref="G30:G44" si="8">F30-SUM(M30:P30)</f>
        <v>3755551.6710359999</v>
      </c>
      <c r="H30" s="202">
        <f t="shared" si="1"/>
        <v>2.1294999992906489</v>
      </c>
      <c r="I30" s="200">
        <v>0.12</v>
      </c>
      <c r="J30" s="7">
        <v>1.6500000000000001E-2</v>
      </c>
      <c r="K30" s="7">
        <v>7.5999999999999998E-2</v>
      </c>
      <c r="L30" s="7">
        <v>0</v>
      </c>
      <c r="M30" s="11">
        <f t="shared" si="2"/>
        <v>564320.3112</v>
      </c>
      <c r="N30" s="11">
        <f t="shared" si="3"/>
        <v>68282.757655199995</v>
      </c>
      <c r="O30" s="11">
        <f t="shared" si="4"/>
        <v>314514.52010879997</v>
      </c>
      <c r="P30" s="11">
        <f t="shared" si="5"/>
        <v>0</v>
      </c>
    </row>
    <row r="31" spans="1:16">
      <c r="A31" s="44"/>
      <c r="B31" s="5">
        <f t="shared" si="7"/>
        <v>45839</v>
      </c>
      <c r="C31" s="217" t="s">
        <v>17</v>
      </c>
      <c r="D31" s="194" t="s">
        <v>982</v>
      </c>
      <c r="E31" s="1">
        <v>1711131</v>
      </c>
      <c r="F31" s="2">
        <v>4947829.13</v>
      </c>
      <c r="G31" s="3">
        <f t="shared" si="8"/>
        <v>4175844.0899917497</v>
      </c>
      <c r="H31" s="202">
        <f t="shared" si="1"/>
        <v>2.4403999985925973</v>
      </c>
      <c r="I31" s="200">
        <v>7.0000000000000007E-2</v>
      </c>
      <c r="J31" s="7">
        <v>1.6500000000000001E-2</v>
      </c>
      <c r="K31" s="7">
        <v>7.5999999999999998E-2</v>
      </c>
      <c r="L31" s="7">
        <v>0</v>
      </c>
      <c r="M31" s="11">
        <f t="shared" si="2"/>
        <v>346348.03910000005</v>
      </c>
      <c r="N31" s="11">
        <f t="shared" si="3"/>
        <v>75924.437999850008</v>
      </c>
      <c r="O31" s="11">
        <f t="shared" si="4"/>
        <v>349712.56290840002</v>
      </c>
      <c r="P31" s="11">
        <f t="shared" si="5"/>
        <v>0</v>
      </c>
    </row>
    <row r="32" spans="1:16">
      <c r="A32" s="44"/>
      <c r="B32" s="5">
        <f t="shared" si="7"/>
        <v>45839</v>
      </c>
      <c r="C32" s="217" t="s">
        <v>17</v>
      </c>
      <c r="D32" s="194" t="s">
        <v>983</v>
      </c>
      <c r="E32" s="1">
        <v>10752</v>
      </c>
      <c r="F32" s="2">
        <v>29213.439999999999</v>
      </c>
      <c r="G32" s="3">
        <f t="shared" si="8"/>
        <v>24655.413023999998</v>
      </c>
      <c r="H32" s="202">
        <f t="shared" si="1"/>
        <v>2.293100169642857</v>
      </c>
      <c r="I32" s="200">
        <v>7.0000000000000007E-2</v>
      </c>
      <c r="J32" s="7">
        <v>1.6500000000000001E-2</v>
      </c>
      <c r="K32" s="7">
        <v>7.5999999999999998E-2</v>
      </c>
      <c r="L32" s="7">
        <v>0</v>
      </c>
      <c r="M32" s="11">
        <f t="shared" si="2"/>
        <v>2044.9408000000001</v>
      </c>
      <c r="N32" s="11">
        <f t="shared" si="3"/>
        <v>448.28023680000001</v>
      </c>
      <c r="O32" s="11">
        <f t="shared" si="4"/>
        <v>2064.8059392</v>
      </c>
      <c r="P32" s="11">
        <f t="shared" si="5"/>
        <v>0</v>
      </c>
    </row>
    <row r="33" spans="1:16">
      <c r="A33" s="44"/>
      <c r="B33" s="5">
        <f t="shared" si="7"/>
        <v>45839</v>
      </c>
      <c r="C33" s="217" t="s">
        <v>17</v>
      </c>
      <c r="D33" s="194" t="s">
        <v>984</v>
      </c>
      <c r="E33" s="1">
        <v>53651</v>
      </c>
      <c r="F33" s="2">
        <v>135371.07</v>
      </c>
      <c r="G33" s="3">
        <f t="shared" si="8"/>
        <v>114249.79880325001</v>
      </c>
      <c r="H33" s="202">
        <f t="shared" si="1"/>
        <v>2.129499893818382</v>
      </c>
      <c r="I33" s="200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9475.9749000000011</v>
      </c>
      <c r="N33" s="11">
        <f t="shared" si="3"/>
        <v>2077.2690691500002</v>
      </c>
      <c r="O33" s="11">
        <f t="shared" si="4"/>
        <v>9568.0272275999996</v>
      </c>
      <c r="P33" s="11">
        <f t="shared" si="5"/>
        <v>0</v>
      </c>
    </row>
    <row r="34" spans="1:16" hidden="1">
      <c r="A34" s="44"/>
      <c r="B34" s="5">
        <f t="shared" si="7"/>
        <v>45839</v>
      </c>
      <c r="C34" s="217" t="s">
        <v>17</v>
      </c>
      <c r="D34" s="194"/>
      <c r="E34" s="1"/>
      <c r="F34" s="2"/>
      <c r="G34" s="3">
        <f t="shared" si="8"/>
        <v>0</v>
      </c>
      <c r="H34" s="202">
        <f t="shared" si="1"/>
        <v>0</v>
      </c>
      <c r="I34" s="200"/>
      <c r="J34" s="7">
        <v>1.6500000000000001E-2</v>
      </c>
      <c r="K34" s="7">
        <v>7.5999999999999998E-2</v>
      </c>
      <c r="L34" s="7">
        <v>0</v>
      </c>
      <c r="M34" s="11">
        <f t="shared" si="2"/>
        <v>0</v>
      </c>
      <c r="N34" s="11">
        <f t="shared" si="3"/>
        <v>0</v>
      </c>
      <c r="O34" s="11">
        <f t="shared" si="4"/>
        <v>0</v>
      </c>
      <c r="P34" s="11">
        <f t="shared" si="5"/>
        <v>0</v>
      </c>
    </row>
    <row r="35" spans="1:16" hidden="1">
      <c r="A35" s="44"/>
      <c r="B35" s="5">
        <f t="shared" si="7"/>
        <v>45839</v>
      </c>
      <c r="C35" s="217" t="s">
        <v>17</v>
      </c>
      <c r="D35" s="194"/>
      <c r="E35" s="1"/>
      <c r="F35" s="2"/>
      <c r="G35" s="3">
        <f t="shared" si="8"/>
        <v>0</v>
      </c>
      <c r="H35" s="202">
        <f t="shared" si="1"/>
        <v>0</v>
      </c>
      <c r="I35" s="200"/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 hidden="1">
      <c r="A36" s="44"/>
      <c r="B36" s="5">
        <f t="shared" si="7"/>
        <v>45839</v>
      </c>
      <c r="C36" s="217" t="s">
        <v>17</v>
      </c>
      <c r="D36" s="194"/>
      <c r="E36" s="1"/>
      <c r="F36" s="2"/>
      <c r="G36" s="3">
        <f t="shared" si="8"/>
        <v>0</v>
      </c>
      <c r="H36" s="202">
        <f t="shared" si="1"/>
        <v>0</v>
      </c>
      <c r="I36" s="200"/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 hidden="1">
      <c r="A37" s="44"/>
      <c r="B37" s="5">
        <f t="shared" si="7"/>
        <v>45839</v>
      </c>
      <c r="C37" s="217" t="s">
        <v>17</v>
      </c>
      <c r="D37" s="194"/>
      <c r="E37" s="1"/>
      <c r="F37" s="2"/>
      <c r="G37" s="3">
        <f t="shared" si="8"/>
        <v>0</v>
      </c>
      <c r="H37" s="202">
        <f t="shared" si="1"/>
        <v>0</v>
      </c>
      <c r="I37" s="200"/>
      <c r="J37" s="7">
        <v>1.6500000000000001E-2</v>
      </c>
      <c r="K37" s="7">
        <v>7.5999999999999998E-2</v>
      </c>
      <c r="L37" s="7">
        <v>0</v>
      </c>
      <c r="M37" s="11">
        <f t="shared" si="2"/>
        <v>0</v>
      </c>
      <c r="N37" s="11">
        <f t="shared" si="3"/>
        <v>0</v>
      </c>
      <c r="O37" s="11">
        <f t="shared" si="4"/>
        <v>0</v>
      </c>
      <c r="P37" s="11">
        <f t="shared" si="5"/>
        <v>0</v>
      </c>
    </row>
    <row r="38" spans="1:16" hidden="1">
      <c r="A38" s="44"/>
      <c r="B38" s="5">
        <f t="shared" si="7"/>
        <v>45839</v>
      </c>
      <c r="C38" s="217" t="s">
        <v>17</v>
      </c>
      <c r="D38" s="194"/>
      <c r="E38" s="1"/>
      <c r="F38" s="2"/>
      <c r="G38" s="3">
        <f t="shared" si="8"/>
        <v>0</v>
      </c>
      <c r="H38" s="202">
        <f t="shared" si="1"/>
        <v>0</v>
      </c>
      <c r="I38" s="200"/>
      <c r="J38" s="7">
        <v>1.6500000000000001E-2</v>
      </c>
      <c r="K38" s="7">
        <v>7.5999999999999998E-2</v>
      </c>
      <c r="L38" s="7">
        <v>0</v>
      </c>
      <c r="M38" s="11">
        <f t="shared" si="2"/>
        <v>0</v>
      </c>
      <c r="N38" s="11">
        <f t="shared" si="3"/>
        <v>0</v>
      </c>
      <c r="O38" s="11">
        <f t="shared" si="4"/>
        <v>0</v>
      </c>
      <c r="P38" s="11">
        <f t="shared" si="5"/>
        <v>0</v>
      </c>
    </row>
    <row r="39" spans="1:16" hidden="1">
      <c r="A39" s="44"/>
      <c r="B39" s="5">
        <f t="shared" si="7"/>
        <v>45839</v>
      </c>
      <c r="C39" s="217" t="s">
        <v>17</v>
      </c>
      <c r="D39" s="194"/>
      <c r="E39" s="1"/>
      <c r="F39" s="2"/>
      <c r="G39" s="3">
        <f t="shared" si="8"/>
        <v>0</v>
      </c>
      <c r="H39" s="202">
        <f t="shared" si="1"/>
        <v>0</v>
      </c>
      <c r="I39" s="200"/>
      <c r="J39" s="7">
        <v>1.6500000000000001E-2</v>
      </c>
      <c r="K39" s="7">
        <v>7.5999999999999998E-2</v>
      </c>
      <c r="L39" s="7">
        <v>0</v>
      </c>
      <c r="M39" s="11">
        <f t="shared" si="2"/>
        <v>0</v>
      </c>
      <c r="N39" s="11">
        <f t="shared" si="3"/>
        <v>0</v>
      </c>
      <c r="O39" s="11">
        <f t="shared" si="4"/>
        <v>0</v>
      </c>
      <c r="P39" s="11">
        <f t="shared" si="5"/>
        <v>0</v>
      </c>
    </row>
    <row r="40" spans="1:16" hidden="1">
      <c r="A40" s="44"/>
      <c r="B40" s="5">
        <f t="shared" si="7"/>
        <v>45839</v>
      </c>
      <c r="C40" s="217" t="s">
        <v>17</v>
      </c>
      <c r="D40" s="194"/>
      <c r="E40" s="1"/>
      <c r="F40" s="2"/>
      <c r="G40" s="3">
        <f t="shared" si="8"/>
        <v>0</v>
      </c>
      <c r="H40" s="202">
        <f t="shared" si="1"/>
        <v>0</v>
      </c>
      <c r="I40" s="200"/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 hidden="1">
      <c r="A41" s="44"/>
      <c r="B41" s="5">
        <f t="shared" si="7"/>
        <v>45839</v>
      </c>
      <c r="C41" s="217" t="s">
        <v>17</v>
      </c>
      <c r="D41" s="194"/>
      <c r="E41" s="1"/>
      <c r="F41" s="2"/>
      <c r="G41" s="3">
        <f t="shared" si="8"/>
        <v>0</v>
      </c>
      <c r="H41" s="202">
        <f t="shared" si="1"/>
        <v>0</v>
      </c>
      <c r="I41" s="200"/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idden="1">
      <c r="A42" s="44"/>
      <c r="B42" s="5">
        <f t="shared" si="7"/>
        <v>45839</v>
      </c>
      <c r="C42" s="217" t="s">
        <v>17</v>
      </c>
      <c r="D42" s="194"/>
      <c r="E42" s="1"/>
      <c r="F42" s="2"/>
      <c r="G42" s="3">
        <f t="shared" si="8"/>
        <v>0</v>
      </c>
      <c r="H42" s="202">
        <f t="shared" si="1"/>
        <v>0</v>
      </c>
      <c r="I42" s="200"/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 hidden="1">
      <c r="A43" s="44"/>
      <c r="B43" s="5">
        <f t="shared" si="7"/>
        <v>45839</v>
      </c>
      <c r="C43" s="217" t="s">
        <v>17</v>
      </c>
      <c r="D43" s="194"/>
      <c r="E43" s="1"/>
      <c r="F43" s="2"/>
      <c r="G43" s="3">
        <f t="shared" si="8"/>
        <v>0</v>
      </c>
      <c r="H43" s="202">
        <f t="shared" si="1"/>
        <v>0</v>
      </c>
      <c r="I43" s="200"/>
      <c r="J43" s="7">
        <v>1.6500000000000001E-2</v>
      </c>
      <c r="K43" s="7">
        <v>7.5999999999999998E-2</v>
      </c>
      <c r="L43" s="7">
        <v>0</v>
      </c>
      <c r="M43" s="11">
        <f t="shared" si="2"/>
        <v>0</v>
      </c>
      <c r="N43" s="11">
        <f t="shared" si="3"/>
        <v>0</v>
      </c>
      <c r="O43" s="11">
        <f t="shared" si="4"/>
        <v>0</v>
      </c>
      <c r="P43" s="11">
        <f t="shared" si="5"/>
        <v>0</v>
      </c>
    </row>
    <row r="44" spans="1:16">
      <c r="A44" s="44"/>
      <c r="B44" s="5">
        <f t="shared" si="7"/>
        <v>45839</v>
      </c>
      <c r="C44" s="218" t="s">
        <v>830</v>
      </c>
      <c r="D44" s="194" t="s">
        <v>985</v>
      </c>
      <c r="E44" s="1">
        <v>2378000</v>
      </c>
      <c r="F44" s="2">
        <v>5794782.2199999997</v>
      </c>
      <c r="G44" s="3">
        <f t="shared" si="8"/>
        <v>4627713.0808920003</v>
      </c>
      <c r="H44" s="202">
        <f t="shared" si="1"/>
        <v>1.9460525991976452</v>
      </c>
      <c r="I44" s="200">
        <v>0.12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695373.86639999994</v>
      </c>
      <c r="N44" s="11">
        <f t="shared" si="3"/>
        <v>84140.237834400003</v>
      </c>
      <c r="O44" s="11">
        <f t="shared" si="4"/>
        <v>387555.0348736</v>
      </c>
      <c r="P44" s="11">
        <f t="shared" si="5"/>
        <v>0</v>
      </c>
    </row>
    <row r="45" spans="1:16">
      <c r="A45" s="44"/>
      <c r="B45" s="5">
        <f>B44</f>
        <v>45839</v>
      </c>
      <c r="C45" s="218" t="s">
        <v>830</v>
      </c>
      <c r="D45" s="194" t="s">
        <v>986</v>
      </c>
      <c r="E45" s="1">
        <v>3822000</v>
      </c>
      <c r="F45" s="2">
        <v>9293731.0999999996</v>
      </c>
      <c r="G45" s="3">
        <f t="shared" si="6"/>
        <v>7421973.6564600002</v>
      </c>
      <c r="H45" s="202">
        <f>+IF(G45=0,0,G45/E45)</f>
        <v>1.941908335023548</v>
      </c>
      <c r="I45" s="200">
        <v>0.12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1115247.7319999998</v>
      </c>
      <c r="N45" s="11">
        <f t="shared" si="3"/>
        <v>134944.975572</v>
      </c>
      <c r="O45" s="11">
        <f t="shared" si="4"/>
        <v>621564.73596800002</v>
      </c>
      <c r="P45" s="11">
        <f t="shared" si="5"/>
        <v>0</v>
      </c>
    </row>
    <row r="46" spans="1:16" hidden="1">
      <c r="A46" s="44"/>
      <c r="B46" s="5">
        <f t="shared" si="7"/>
        <v>45839</v>
      </c>
      <c r="C46" s="218" t="s">
        <v>830</v>
      </c>
      <c r="D46" s="194"/>
      <c r="E46" s="1"/>
      <c r="F46" s="2"/>
      <c r="G46" s="3">
        <f t="shared" si="6"/>
        <v>0</v>
      </c>
      <c r="H46" s="202">
        <f t="shared" ref="H46:H55" si="9">+IF(G46=0,0,G46/E46)</f>
        <v>0</v>
      </c>
      <c r="I46" s="200"/>
      <c r="J46" s="7">
        <v>1.6500000000000001E-2</v>
      </c>
      <c r="K46" s="7">
        <v>7.5999999999999998E-2</v>
      </c>
      <c r="L46" s="7">
        <v>0</v>
      </c>
      <c r="M46" s="11">
        <f t="shared" si="2"/>
        <v>0</v>
      </c>
      <c r="N46" s="11">
        <f t="shared" si="3"/>
        <v>0</v>
      </c>
      <c r="O46" s="11">
        <f t="shared" si="4"/>
        <v>0</v>
      </c>
      <c r="P46" s="11">
        <f t="shared" si="5"/>
        <v>0</v>
      </c>
    </row>
    <row r="47" spans="1:16">
      <c r="A47" s="44"/>
      <c r="B47" s="5">
        <f t="shared" si="7"/>
        <v>45839</v>
      </c>
      <c r="C47" s="219" t="s">
        <v>440</v>
      </c>
      <c r="D47" s="194" t="s">
        <v>987</v>
      </c>
      <c r="E47" s="1">
        <v>310000</v>
      </c>
      <c r="F47" s="2">
        <v>792298</v>
      </c>
      <c r="G47" s="3">
        <f t="shared" si="6"/>
        <v>668679.70455000002</v>
      </c>
      <c r="H47" s="202">
        <f t="shared" si="9"/>
        <v>2.1570313050000003</v>
      </c>
      <c r="I47" s="7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55460.860000000008</v>
      </c>
      <c r="N47" s="11">
        <f t="shared" si="3"/>
        <v>12157.812810000001</v>
      </c>
      <c r="O47" s="11">
        <f t="shared" si="4"/>
        <v>55999.622640000001</v>
      </c>
      <c r="P47" s="11">
        <f t="shared" si="5"/>
        <v>0</v>
      </c>
    </row>
    <row r="48" spans="1:16">
      <c r="A48" s="44"/>
      <c r="B48" s="5">
        <f t="shared" si="7"/>
        <v>45839</v>
      </c>
      <c r="C48" s="217" t="s">
        <v>491</v>
      </c>
      <c r="D48" s="194" t="s">
        <v>989</v>
      </c>
      <c r="E48" s="1">
        <v>6200000</v>
      </c>
      <c r="F48" s="2">
        <v>16637365.390000001</v>
      </c>
      <c r="G48" s="3">
        <f>F48-SUM(M48:P48)</f>
        <v>13286600.000454001</v>
      </c>
      <c r="H48" s="202">
        <f>+IF(G48=0,0,G48/E48)</f>
        <v>2.1430000000732261</v>
      </c>
      <c r="I48" s="7">
        <v>0.12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1996483.8467999999</v>
      </c>
      <c r="N48" s="11">
        <f t="shared" si="3"/>
        <v>241574.54546280004</v>
      </c>
      <c r="O48" s="11">
        <f t="shared" si="4"/>
        <v>1112706.9972832</v>
      </c>
      <c r="P48" s="11">
        <f t="shared" si="5"/>
        <v>0</v>
      </c>
    </row>
    <row r="49" spans="1:16" hidden="1">
      <c r="A49" s="44"/>
      <c r="B49" s="5">
        <f t="shared" si="7"/>
        <v>45839</v>
      </c>
      <c r="C49" s="217" t="s">
        <v>491</v>
      </c>
      <c r="D49" s="194"/>
      <c r="E49" s="185"/>
      <c r="F49" s="2"/>
      <c r="G49" s="3">
        <f t="shared" ref="G49" si="10">F49-SUM(M49:P49)</f>
        <v>0</v>
      </c>
      <c r="H49" s="202">
        <f>+IF(G49=0,0,G49/E49)</f>
        <v>0</v>
      </c>
      <c r="I49" s="7"/>
      <c r="J49" s="7">
        <v>1.6500000000000001E-2</v>
      </c>
      <c r="K49" s="7">
        <v>7.5999999999999998E-2</v>
      </c>
      <c r="L49" s="7">
        <v>0</v>
      </c>
      <c r="M49" s="11">
        <f t="shared" si="2"/>
        <v>0</v>
      </c>
      <c r="N49" s="11">
        <f t="shared" si="3"/>
        <v>0</v>
      </c>
      <c r="O49" s="11">
        <f t="shared" si="4"/>
        <v>0</v>
      </c>
      <c r="P49" s="11">
        <f t="shared" si="5"/>
        <v>0</v>
      </c>
    </row>
    <row r="50" spans="1:16" hidden="1">
      <c r="A50" s="44"/>
      <c r="B50" s="5">
        <f>B46</f>
        <v>45839</v>
      </c>
      <c r="C50" s="217" t="s">
        <v>491</v>
      </c>
      <c r="D50" s="194"/>
      <c r="E50" s="1"/>
      <c r="F50" s="2"/>
      <c r="G50" s="3">
        <f t="shared" ref="G50:G51" si="11">F50-SUM(M50:P50)</f>
        <v>0</v>
      </c>
      <c r="H50" s="202">
        <f t="shared" si="9"/>
        <v>0</v>
      </c>
      <c r="I50" s="7"/>
      <c r="J50" s="7">
        <v>1.6500000000000001E-2</v>
      </c>
      <c r="K50" s="7">
        <v>7.5999999999999998E-2</v>
      </c>
      <c r="L50" s="7">
        <v>0</v>
      </c>
      <c r="M50" s="11">
        <f t="shared" si="2"/>
        <v>0</v>
      </c>
      <c r="N50" s="11">
        <f t="shared" si="3"/>
        <v>0</v>
      </c>
      <c r="O50" s="11">
        <f t="shared" si="4"/>
        <v>0</v>
      </c>
      <c r="P50" s="11">
        <f t="shared" si="5"/>
        <v>0</v>
      </c>
    </row>
    <row r="51" spans="1:16" hidden="1">
      <c r="A51" s="44"/>
      <c r="B51" s="5">
        <f>B47</f>
        <v>45839</v>
      </c>
      <c r="C51" s="217" t="s">
        <v>491</v>
      </c>
      <c r="D51" s="195"/>
      <c r="E51" s="118"/>
      <c r="F51" s="2"/>
      <c r="G51" s="3">
        <f t="shared" si="11"/>
        <v>0</v>
      </c>
      <c r="H51" s="202">
        <f t="shared" si="9"/>
        <v>0</v>
      </c>
      <c r="I51" s="7"/>
      <c r="J51" s="7">
        <v>1.6500000000000001E-2</v>
      </c>
      <c r="K51" s="7">
        <v>7.5999999999999998E-2</v>
      </c>
      <c r="L51" s="7">
        <v>0</v>
      </c>
      <c r="M51" s="11">
        <f t="shared" si="2"/>
        <v>0</v>
      </c>
      <c r="N51" s="11">
        <f t="shared" si="3"/>
        <v>0</v>
      </c>
      <c r="O51" s="11">
        <f t="shared" si="4"/>
        <v>0</v>
      </c>
      <c r="P51" s="11">
        <f t="shared" si="5"/>
        <v>0</v>
      </c>
    </row>
    <row r="52" spans="1:16">
      <c r="A52" s="44"/>
      <c r="B52" s="5">
        <f>B48</f>
        <v>45839</v>
      </c>
      <c r="C52" s="220" t="s">
        <v>756</v>
      </c>
      <c r="D52" s="195" t="s">
        <v>988</v>
      </c>
      <c r="E52" s="118">
        <v>890961.65</v>
      </c>
      <c r="F52" s="2">
        <v>4285881.92</v>
      </c>
      <c r="G52" s="3">
        <f t="shared" si="6"/>
        <v>3092103.0847079996</v>
      </c>
      <c r="H52" s="202">
        <f t="shared" si="9"/>
        <v>3.4705232090606812</v>
      </c>
      <c r="I52" s="7">
        <v>0.20499999999999999</v>
      </c>
      <c r="J52" s="200">
        <v>1.6500000000000001E-2</v>
      </c>
      <c r="K52" s="200">
        <v>7.5999999999999998E-2</v>
      </c>
      <c r="L52" s="200">
        <v>0</v>
      </c>
      <c r="M52" s="11">
        <f t="shared" si="2"/>
        <v>878605.79359999998</v>
      </c>
      <c r="N52" s="11">
        <f t="shared" si="3"/>
        <v>56220.056085600001</v>
      </c>
      <c r="O52" s="11">
        <f t="shared" si="4"/>
        <v>258952.98560639998</v>
      </c>
      <c r="P52" s="11">
        <f t="shared" si="5"/>
        <v>0</v>
      </c>
    </row>
    <row r="53" spans="1:16" hidden="1">
      <c r="A53" s="44"/>
      <c r="B53" s="5">
        <f t="shared" si="7"/>
        <v>45839</v>
      </c>
      <c r="C53" s="220" t="s">
        <v>756</v>
      </c>
      <c r="D53" s="212"/>
      <c r="E53" s="118"/>
      <c r="F53" s="2"/>
      <c r="G53" s="3">
        <f t="shared" ref="G53" si="12">F53-SUM(M53:P53)</f>
        <v>0</v>
      </c>
      <c r="H53" s="202">
        <f t="shared" si="9"/>
        <v>0</v>
      </c>
      <c r="I53" s="7"/>
      <c r="J53" s="200">
        <v>1.6500000000000001E-2</v>
      </c>
      <c r="K53" s="200">
        <v>7.5999999999999998E-2</v>
      </c>
      <c r="L53" s="200">
        <v>0</v>
      </c>
      <c r="M53" s="11">
        <f t="shared" si="2"/>
        <v>0</v>
      </c>
      <c r="N53" s="11">
        <f t="shared" si="3"/>
        <v>0</v>
      </c>
      <c r="O53" s="11">
        <f t="shared" si="4"/>
        <v>0</v>
      </c>
      <c r="P53" s="11">
        <f t="shared" si="5"/>
        <v>0</v>
      </c>
    </row>
    <row r="54" spans="1:16">
      <c r="A54" s="44"/>
      <c r="B54" s="5">
        <f>B53</f>
        <v>45839</v>
      </c>
      <c r="C54" s="220" t="s">
        <v>757</v>
      </c>
      <c r="D54" s="212" t="s">
        <v>247</v>
      </c>
      <c r="E54" s="118">
        <v>139291.04</v>
      </c>
      <c r="F54" s="2">
        <v>745917.45</v>
      </c>
      <c r="G54" s="3">
        <f t="shared" ref="G54:G117" si="13">F54-SUM(M54:P54)</f>
        <v>538151.46827062499</v>
      </c>
      <c r="H54" s="202">
        <f t="shared" si="9"/>
        <v>3.8635038425344872</v>
      </c>
      <c r="I54" s="7">
        <v>0.20499999999999999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152913.07724999997</v>
      </c>
      <c r="N54" s="11">
        <f t="shared" si="3"/>
        <v>9784.572150375001</v>
      </c>
      <c r="O54" s="11">
        <f t="shared" si="4"/>
        <v>45068.332328999997</v>
      </c>
      <c r="P54" s="11">
        <f t="shared" si="5"/>
        <v>0</v>
      </c>
    </row>
    <row r="55" spans="1:16" ht="15" hidden="1" customHeight="1">
      <c r="A55" s="44"/>
      <c r="B55" s="5">
        <f>B54</f>
        <v>45839</v>
      </c>
      <c r="C55" s="220" t="s">
        <v>757</v>
      </c>
      <c r="D55" s="195"/>
      <c r="E55" s="118"/>
      <c r="F55" s="2"/>
      <c r="G55" s="3">
        <f t="shared" si="13"/>
        <v>0</v>
      </c>
      <c r="H55" s="202">
        <f t="shared" si="9"/>
        <v>0</v>
      </c>
      <c r="I55" s="7"/>
      <c r="J55" s="7">
        <v>1.6500000000000001E-2</v>
      </c>
      <c r="K55" s="7">
        <v>7.5999999999999998E-2</v>
      </c>
      <c r="L55" s="7">
        <v>0</v>
      </c>
      <c r="M55" s="11">
        <f t="shared" si="2"/>
        <v>0</v>
      </c>
      <c r="N55" s="11">
        <f t="shared" si="3"/>
        <v>0</v>
      </c>
      <c r="O55" s="11">
        <f t="shared" si="4"/>
        <v>0</v>
      </c>
      <c r="P55" s="11">
        <f t="shared" si="5"/>
        <v>0</v>
      </c>
    </row>
    <row r="56" spans="1:16" ht="15" hidden="1" customHeight="1">
      <c r="A56" s="44"/>
      <c r="B56" s="5">
        <f>B55</f>
        <v>45839</v>
      </c>
      <c r="C56" s="221" t="s">
        <v>792</v>
      </c>
      <c r="D56" s="195"/>
      <c r="E56" s="186"/>
      <c r="F56" s="2"/>
      <c r="G56" s="3">
        <f t="shared" si="13"/>
        <v>0</v>
      </c>
      <c r="H56" s="187"/>
      <c r="I56" s="193"/>
      <c r="J56" s="7">
        <v>1.6500000000000001E-2</v>
      </c>
      <c r="K56" s="7">
        <v>7.5999999999999998E-2</v>
      </c>
      <c r="L56" s="7">
        <v>0</v>
      </c>
      <c r="M56" s="11">
        <f t="shared" si="2"/>
        <v>0</v>
      </c>
      <c r="N56" s="11">
        <f t="shared" si="3"/>
        <v>0</v>
      </c>
      <c r="O56" s="11">
        <f t="shared" si="4"/>
        <v>0</v>
      </c>
      <c r="P56" s="11">
        <f t="shared" si="5"/>
        <v>0</v>
      </c>
    </row>
    <row r="57" spans="1:16" hidden="1">
      <c r="A57" s="44"/>
      <c r="B57" s="5">
        <f>B56</f>
        <v>45839</v>
      </c>
      <c r="C57" s="221" t="s">
        <v>792</v>
      </c>
      <c r="D57" s="195"/>
      <c r="E57" s="186"/>
      <c r="F57" s="2"/>
      <c r="G57" s="3">
        <f t="shared" si="13"/>
        <v>0</v>
      </c>
      <c r="H57" s="187"/>
      <c r="I57" s="193"/>
      <c r="J57" s="7">
        <v>1.6500000000000001E-2</v>
      </c>
      <c r="K57" s="7">
        <v>7.5999999999999998E-2</v>
      </c>
      <c r="L57" s="7">
        <v>0</v>
      </c>
      <c r="M57" s="11">
        <f t="shared" si="2"/>
        <v>0</v>
      </c>
      <c r="N57" s="11">
        <f t="shared" si="3"/>
        <v>0</v>
      </c>
      <c r="O57" s="11">
        <f t="shared" si="4"/>
        <v>0</v>
      </c>
      <c r="P57" s="11">
        <f t="shared" si="5"/>
        <v>0</v>
      </c>
    </row>
    <row r="58" spans="1:16" hidden="1">
      <c r="A58" s="44"/>
      <c r="B58" s="5">
        <f>B57</f>
        <v>45839</v>
      </c>
      <c r="C58" s="1" t="s">
        <v>33</v>
      </c>
      <c r="D58" s="195"/>
      <c r="E58" s="118"/>
      <c r="F58" s="2"/>
      <c r="G58" s="3">
        <f t="shared" si="13"/>
        <v>0</v>
      </c>
      <c r="H58" s="202">
        <f t="shared" ref="H58:H59" si="14">+IF(G58=0,0,G58/E58)</f>
        <v>0</v>
      </c>
      <c r="I58" s="7"/>
      <c r="J58" s="7">
        <v>1.6500000000000001E-2</v>
      </c>
      <c r="K58" s="7">
        <v>7.5999999999999998E-2</v>
      </c>
      <c r="L58" s="7">
        <v>0</v>
      </c>
      <c r="M58" s="11">
        <f t="shared" si="2"/>
        <v>0</v>
      </c>
      <c r="N58" s="11">
        <f t="shared" si="3"/>
        <v>0</v>
      </c>
      <c r="O58" s="11">
        <f t="shared" si="4"/>
        <v>0</v>
      </c>
      <c r="P58" s="11">
        <f t="shared" si="5"/>
        <v>0</v>
      </c>
    </row>
    <row r="59" spans="1:16" hidden="1">
      <c r="A59" s="44"/>
      <c r="B59" s="5">
        <f t="shared" ref="B59:B122" si="15">B58</f>
        <v>45839</v>
      </c>
      <c r="C59" s="1" t="s">
        <v>33</v>
      </c>
      <c r="D59" s="195"/>
      <c r="E59" s="118"/>
      <c r="F59" s="2"/>
      <c r="G59" s="3">
        <f t="shared" si="13"/>
        <v>0</v>
      </c>
      <c r="H59" s="202">
        <f t="shared" si="14"/>
        <v>0</v>
      </c>
      <c r="I59" s="7"/>
      <c r="J59" s="7">
        <v>1.6500000000000001E-2</v>
      </c>
      <c r="K59" s="7">
        <v>7.5999999999999998E-2</v>
      </c>
      <c r="L59" s="7">
        <v>0</v>
      </c>
      <c r="M59" s="11">
        <f t="shared" si="2"/>
        <v>0</v>
      </c>
      <c r="N59" s="11">
        <f t="shared" si="3"/>
        <v>0</v>
      </c>
      <c r="O59" s="11">
        <f t="shared" si="4"/>
        <v>0</v>
      </c>
      <c r="P59" s="11">
        <f t="shared" si="5"/>
        <v>0</v>
      </c>
    </row>
    <row r="60" spans="1:16" ht="15" customHeight="1">
      <c r="A60" s="44"/>
      <c r="B60" s="5">
        <f t="shared" si="15"/>
        <v>45839</v>
      </c>
      <c r="C60" s="218" t="s">
        <v>533</v>
      </c>
      <c r="D60" s="195">
        <v>11173</v>
      </c>
      <c r="E60" s="186"/>
      <c r="F60" s="2">
        <v>264976.69</v>
      </c>
      <c r="G60" s="3">
        <f>F60-SUM(M60:P60)</f>
        <v>211610.38463400002</v>
      </c>
      <c r="H60" s="187"/>
      <c r="I60" s="7">
        <v>0.12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31797.202799999999</v>
      </c>
      <c r="N60" s="11">
        <f t="shared" si="3"/>
        <v>3847.4615388000002</v>
      </c>
      <c r="O60" s="11">
        <f t="shared" si="4"/>
        <v>17721.641027199999</v>
      </c>
      <c r="P60" s="11">
        <f t="shared" si="5"/>
        <v>0</v>
      </c>
    </row>
    <row r="61" spans="1:16" ht="15" customHeight="1">
      <c r="A61" s="44"/>
      <c r="B61" s="5">
        <f t="shared" si="15"/>
        <v>45839</v>
      </c>
      <c r="C61" s="218" t="s">
        <v>533</v>
      </c>
      <c r="D61" s="195">
        <v>11174</v>
      </c>
      <c r="E61" s="186"/>
      <c r="F61" s="2">
        <v>4405.7299999999996</v>
      </c>
      <c r="G61" s="3">
        <f>F61-SUM(M61:P61)</f>
        <v>3518.4159779999995</v>
      </c>
      <c r="H61" s="187"/>
      <c r="I61" s="7">
        <v>0.12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528.68759999999997</v>
      </c>
      <c r="N61" s="11">
        <f t="shared" si="3"/>
        <v>63.971199599999991</v>
      </c>
      <c r="O61" s="11">
        <f t="shared" si="4"/>
        <v>294.65522239999996</v>
      </c>
      <c r="P61" s="11">
        <f t="shared" si="5"/>
        <v>0</v>
      </c>
    </row>
    <row r="62" spans="1:16" ht="15" customHeight="1">
      <c r="A62" s="44"/>
      <c r="B62" s="5">
        <f t="shared" si="15"/>
        <v>45839</v>
      </c>
      <c r="C62" s="218" t="s">
        <v>533</v>
      </c>
      <c r="D62" s="195">
        <v>6223</v>
      </c>
      <c r="E62" s="186"/>
      <c r="F62" s="2">
        <v>330291.12</v>
      </c>
      <c r="G62" s="3">
        <f t="shared" si="13"/>
        <v>263770.48843199998</v>
      </c>
      <c r="H62" s="187"/>
      <c r="I62" s="7">
        <v>0.12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39634.934399999998</v>
      </c>
      <c r="N62" s="11">
        <f t="shared" si="3"/>
        <v>4795.8270623999997</v>
      </c>
      <c r="O62" s="11">
        <f t="shared" si="4"/>
        <v>22089.870105599995</v>
      </c>
      <c r="P62" s="11">
        <f t="shared" si="5"/>
        <v>0</v>
      </c>
    </row>
    <row r="63" spans="1:16" ht="15" customHeight="1">
      <c r="A63" s="44"/>
      <c r="B63" s="5">
        <f t="shared" si="15"/>
        <v>45839</v>
      </c>
      <c r="C63" s="218" t="s">
        <v>533</v>
      </c>
      <c r="D63" s="195">
        <v>6224</v>
      </c>
      <c r="E63" s="186"/>
      <c r="F63" s="2">
        <v>6658.86</v>
      </c>
      <c r="G63" s="3">
        <f t="shared" si="13"/>
        <v>5317.7655959999993</v>
      </c>
      <c r="H63" s="187"/>
      <c r="I63" s="7">
        <v>0.12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799.06319999999994</v>
      </c>
      <c r="N63" s="11">
        <f t="shared" si="3"/>
        <v>96.68664720000001</v>
      </c>
      <c r="O63" s="11">
        <f t="shared" si="4"/>
        <v>445.34455680000002</v>
      </c>
      <c r="P63" s="11">
        <f t="shared" si="5"/>
        <v>0</v>
      </c>
    </row>
    <row r="64" spans="1:16" ht="15" customHeight="1">
      <c r="A64" s="44"/>
      <c r="B64" s="5">
        <f t="shared" si="15"/>
        <v>45839</v>
      </c>
      <c r="C64" s="218" t="s">
        <v>533</v>
      </c>
      <c r="D64" s="195">
        <v>24534</v>
      </c>
      <c r="E64" s="186"/>
      <c r="F64" s="2">
        <v>3915.43</v>
      </c>
      <c r="G64" s="3">
        <f t="shared" si="13"/>
        <v>3304.5250342499999</v>
      </c>
      <c r="H64" s="187"/>
      <c r="I64" s="7">
        <v>7.0000000000000007E-2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274.08010000000002</v>
      </c>
      <c r="N64" s="11">
        <f t="shared" si="3"/>
        <v>60.082273350000001</v>
      </c>
      <c r="O64" s="11">
        <f t="shared" si="4"/>
        <v>276.74259239999998</v>
      </c>
      <c r="P64" s="11">
        <f t="shared" si="5"/>
        <v>0</v>
      </c>
    </row>
    <row r="65" spans="1:16" ht="15" customHeight="1">
      <c r="A65" s="44"/>
      <c r="B65" s="5">
        <f t="shared" si="15"/>
        <v>45839</v>
      </c>
      <c r="C65" s="218" t="s">
        <v>533</v>
      </c>
      <c r="D65" s="195">
        <v>24535</v>
      </c>
      <c r="E65" s="186"/>
      <c r="F65" s="2">
        <v>64.239999999999995</v>
      </c>
      <c r="G65" s="3">
        <f t="shared" si="13"/>
        <v>54.216953999999994</v>
      </c>
      <c r="H65" s="187"/>
      <c r="I65" s="7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4.4968000000000004</v>
      </c>
      <c r="N65" s="11">
        <f t="shared" si="3"/>
        <v>0.98576279999999994</v>
      </c>
      <c r="O65" s="11">
        <f t="shared" si="4"/>
        <v>4.5404831999999997</v>
      </c>
      <c r="P65" s="11">
        <f t="shared" si="5"/>
        <v>0</v>
      </c>
    </row>
    <row r="66" spans="1:16" ht="15" customHeight="1">
      <c r="A66" s="44"/>
      <c r="B66" s="5">
        <f t="shared" si="15"/>
        <v>45839</v>
      </c>
      <c r="C66" s="218" t="s">
        <v>533</v>
      </c>
      <c r="D66" s="195">
        <v>11175</v>
      </c>
      <c r="E66" s="186"/>
      <c r="F66" s="2">
        <v>172209.11</v>
      </c>
      <c r="G66" s="3">
        <f t="shared" si="13"/>
        <v>137526.19524599999</v>
      </c>
      <c r="H66" s="187"/>
      <c r="I66" s="7">
        <v>0.12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20665.093199999999</v>
      </c>
      <c r="N66" s="11">
        <f t="shared" si="3"/>
        <v>2500.4762771999999</v>
      </c>
      <c r="O66" s="11">
        <f t="shared" si="4"/>
        <v>11517.345276799999</v>
      </c>
      <c r="P66" s="11">
        <f t="shared" si="5"/>
        <v>0</v>
      </c>
    </row>
    <row r="67" spans="1:16" ht="15" customHeight="1">
      <c r="A67" s="44"/>
      <c r="B67" s="5">
        <f t="shared" si="15"/>
        <v>45839</v>
      </c>
      <c r="C67" s="218" t="s">
        <v>533</v>
      </c>
      <c r="D67" s="195">
        <v>11176</v>
      </c>
      <c r="E67" s="186"/>
      <c r="F67" s="2">
        <v>3587</v>
      </c>
      <c r="G67" s="3">
        <f t="shared" si="13"/>
        <v>2864.5781999999999</v>
      </c>
      <c r="H67" s="187"/>
      <c r="I67" s="7">
        <v>0.12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430.44</v>
      </c>
      <c r="N67" s="11">
        <f t="shared" si="3"/>
        <v>52.083240000000004</v>
      </c>
      <c r="O67" s="11">
        <f t="shared" si="4"/>
        <v>239.89856</v>
      </c>
      <c r="P67" s="11">
        <f t="shared" si="5"/>
        <v>0</v>
      </c>
    </row>
    <row r="68" spans="1:16" ht="15" customHeight="1">
      <c r="A68" s="44"/>
      <c r="B68" s="5">
        <f t="shared" si="15"/>
        <v>45839</v>
      </c>
      <c r="C68" s="218" t="s">
        <v>533</v>
      </c>
      <c r="D68" s="195">
        <v>6156</v>
      </c>
      <c r="E68" s="186"/>
      <c r="F68" s="2">
        <v>216224.59</v>
      </c>
      <c r="G68" s="3">
        <f t="shared" si="13"/>
        <v>172676.957574</v>
      </c>
      <c r="H68" s="187"/>
      <c r="I68" s="7">
        <v>0.12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25946.950799999999</v>
      </c>
      <c r="N68" s="11">
        <f t="shared" si="3"/>
        <v>3139.5810468000004</v>
      </c>
      <c r="O68" s="11">
        <f t="shared" si="4"/>
        <v>14461.1005792</v>
      </c>
      <c r="P68" s="11">
        <f t="shared" si="5"/>
        <v>0</v>
      </c>
    </row>
    <row r="69" spans="1:16" ht="15" customHeight="1">
      <c r="A69" s="44"/>
      <c r="B69" s="5">
        <f t="shared" si="15"/>
        <v>45839</v>
      </c>
      <c r="C69" s="218" t="s">
        <v>533</v>
      </c>
      <c r="D69" s="195">
        <v>6157</v>
      </c>
      <c r="E69" s="186"/>
      <c r="F69" s="2">
        <v>5395.25</v>
      </c>
      <c r="G69" s="3">
        <f t="shared" si="13"/>
        <v>4308.6466500000006</v>
      </c>
      <c r="H69" s="187"/>
      <c r="I69" s="7">
        <v>0.12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647.42999999999995</v>
      </c>
      <c r="N69" s="11">
        <f t="shared" si="3"/>
        <v>78.339029999999994</v>
      </c>
      <c r="O69" s="11">
        <f t="shared" si="4"/>
        <v>360.83431999999999</v>
      </c>
      <c r="P69" s="11">
        <f t="shared" si="5"/>
        <v>0</v>
      </c>
    </row>
    <row r="70" spans="1:16" ht="15" customHeight="1">
      <c r="A70" s="44"/>
      <c r="B70" s="5">
        <f t="shared" si="15"/>
        <v>45839</v>
      </c>
      <c r="C70" s="218" t="s">
        <v>533</v>
      </c>
      <c r="D70" s="195">
        <v>24358</v>
      </c>
      <c r="E70" s="186"/>
      <c r="F70" s="2">
        <v>15322.77</v>
      </c>
      <c r="G70" s="3">
        <f t="shared" si="13"/>
        <v>12932.034810749999</v>
      </c>
      <c r="H70" s="187"/>
      <c r="I70" s="7">
        <v>7.0000000000000007E-2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1072.5939000000001</v>
      </c>
      <c r="N70" s="11">
        <f t="shared" si="3"/>
        <v>235.12790565000003</v>
      </c>
      <c r="O70" s="11">
        <f t="shared" si="4"/>
        <v>1083.0133836</v>
      </c>
      <c r="P70" s="11">
        <f t="shared" si="5"/>
        <v>0</v>
      </c>
    </row>
    <row r="71" spans="1:16" ht="15" customHeight="1">
      <c r="A71" s="44"/>
      <c r="B71" s="5">
        <f t="shared" si="15"/>
        <v>45839</v>
      </c>
      <c r="C71" s="218" t="s">
        <v>533</v>
      </c>
      <c r="D71" s="195">
        <v>24359</v>
      </c>
      <c r="E71" s="186"/>
      <c r="F71" s="2">
        <v>313.63</v>
      </c>
      <c r="G71" s="3">
        <f t="shared" si="13"/>
        <v>264.69587924999996</v>
      </c>
      <c r="H71" s="187"/>
      <c r="I71" s="7">
        <v>7.0000000000000007E-2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21.9541</v>
      </c>
      <c r="N71" s="11">
        <f t="shared" si="3"/>
        <v>4.8126523500000005</v>
      </c>
      <c r="O71" s="11">
        <f t="shared" si="4"/>
        <v>22.167368400000001</v>
      </c>
      <c r="P71" s="11">
        <f t="shared" si="5"/>
        <v>0</v>
      </c>
    </row>
    <row r="72" spans="1:16" ht="15" customHeight="1">
      <c r="A72" s="44"/>
      <c r="B72" s="5">
        <f t="shared" si="15"/>
        <v>45839</v>
      </c>
      <c r="C72" s="218" t="s">
        <v>533</v>
      </c>
      <c r="D72" s="195">
        <v>11139</v>
      </c>
      <c r="E72" s="186"/>
      <c r="F72" s="2">
        <v>50106.559999999998</v>
      </c>
      <c r="G72" s="3">
        <f t="shared" si="13"/>
        <v>40015.098815999998</v>
      </c>
      <c r="H72" s="187"/>
      <c r="I72" s="7">
        <v>0.12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6012.7871999999998</v>
      </c>
      <c r="N72" s="11">
        <f t="shared" si="3"/>
        <v>727.54725120000001</v>
      </c>
      <c r="O72" s="11">
        <f t="shared" si="4"/>
        <v>3351.1267327999999</v>
      </c>
      <c r="P72" s="11">
        <f t="shared" si="5"/>
        <v>0</v>
      </c>
    </row>
    <row r="73" spans="1:16" ht="15" customHeight="1">
      <c r="A73" s="44"/>
      <c r="B73" s="5">
        <f t="shared" si="15"/>
        <v>45839</v>
      </c>
      <c r="C73" s="218" t="s">
        <v>533</v>
      </c>
      <c r="D73" s="195">
        <v>11140</v>
      </c>
      <c r="E73" s="186"/>
      <c r="F73" s="2">
        <v>1006.42</v>
      </c>
      <c r="G73" s="3">
        <f t="shared" si="13"/>
        <v>803.72701199999995</v>
      </c>
      <c r="H73" s="187"/>
      <c r="I73" s="7">
        <v>0.12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120.7704</v>
      </c>
      <c r="N73" s="11">
        <f t="shared" si="3"/>
        <v>14.613218400000001</v>
      </c>
      <c r="O73" s="11">
        <f t="shared" si="4"/>
        <v>67.309369599999997</v>
      </c>
      <c r="P73" s="11">
        <f t="shared" si="5"/>
        <v>0</v>
      </c>
    </row>
    <row r="74" spans="1:16" ht="15" customHeight="1">
      <c r="A74" s="44"/>
      <c r="B74" s="5">
        <f t="shared" si="15"/>
        <v>45839</v>
      </c>
      <c r="C74" s="218" t="s">
        <v>533</v>
      </c>
      <c r="D74" s="195">
        <v>6158</v>
      </c>
      <c r="E74" s="186"/>
      <c r="F74" s="2">
        <v>62289.54</v>
      </c>
      <c r="G74" s="3">
        <f t="shared" si="13"/>
        <v>49744.426644000006</v>
      </c>
      <c r="H74" s="187"/>
      <c r="I74" s="7">
        <v>0.12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7474.7447999999995</v>
      </c>
      <c r="N74" s="11">
        <f t="shared" si="3"/>
        <v>904.44412080000006</v>
      </c>
      <c r="O74" s="11">
        <f t="shared" si="4"/>
        <v>4165.9244351999996</v>
      </c>
      <c r="P74" s="11">
        <f t="shared" si="5"/>
        <v>0</v>
      </c>
    </row>
    <row r="75" spans="1:16" ht="15" customHeight="1">
      <c r="A75" s="44"/>
      <c r="B75" s="5">
        <f t="shared" si="15"/>
        <v>45839</v>
      </c>
      <c r="C75" s="218" t="s">
        <v>533</v>
      </c>
      <c r="D75" s="195">
        <v>6159</v>
      </c>
      <c r="E75" s="186"/>
      <c r="F75" s="2">
        <v>1509.77</v>
      </c>
      <c r="G75" s="3">
        <f t="shared" si="13"/>
        <v>1205.7023220000001</v>
      </c>
      <c r="H75" s="187"/>
      <c r="I75" s="7">
        <v>0.12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181.17239999999998</v>
      </c>
      <c r="N75" s="11">
        <f t="shared" si="3"/>
        <v>21.921860400000003</v>
      </c>
      <c r="O75" s="11">
        <f t="shared" si="4"/>
        <v>100.9734176</v>
      </c>
      <c r="P75" s="11">
        <f t="shared" si="5"/>
        <v>0</v>
      </c>
    </row>
    <row r="76" spans="1:16" ht="15" customHeight="1">
      <c r="A76" s="44"/>
      <c r="B76" s="5">
        <f t="shared" si="15"/>
        <v>45839</v>
      </c>
      <c r="C76" s="218" t="s">
        <v>533</v>
      </c>
      <c r="D76" s="195">
        <v>24361</v>
      </c>
      <c r="E76" s="186"/>
      <c r="F76" s="2">
        <v>4441.68</v>
      </c>
      <c r="G76" s="3">
        <f t="shared" si="13"/>
        <v>3748.666878</v>
      </c>
      <c r="H76" s="187"/>
      <c r="I76" s="7">
        <v>7.0000000000000007E-2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310.91760000000005</v>
      </c>
      <c r="N76" s="11">
        <f t="shared" si="3"/>
        <v>68.157579600000005</v>
      </c>
      <c r="O76" s="11">
        <f t="shared" si="4"/>
        <v>313.93794240000005</v>
      </c>
      <c r="P76" s="11">
        <f t="shared" si="5"/>
        <v>0</v>
      </c>
    </row>
    <row r="77" spans="1:16" ht="15" customHeight="1">
      <c r="A77" s="44"/>
      <c r="B77" s="5">
        <f t="shared" si="15"/>
        <v>45839</v>
      </c>
      <c r="C77" s="218" t="s">
        <v>533</v>
      </c>
      <c r="D77" s="195">
        <v>24362</v>
      </c>
      <c r="E77" s="186"/>
      <c r="F77" s="2">
        <v>87.87</v>
      </c>
      <c r="G77" s="3">
        <f t="shared" si="13"/>
        <v>74.16008325</v>
      </c>
      <c r="H77" s="187"/>
      <c r="I77" s="7">
        <v>7.0000000000000007E-2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6.1509000000000009</v>
      </c>
      <c r="N77" s="11">
        <f t="shared" si="3"/>
        <v>1.34836515</v>
      </c>
      <c r="O77" s="11">
        <f t="shared" si="4"/>
        <v>6.2106515999999994</v>
      </c>
      <c r="P77" s="11">
        <f t="shared" si="5"/>
        <v>0</v>
      </c>
    </row>
    <row r="78" spans="1:16" ht="15" customHeight="1">
      <c r="A78" s="44"/>
      <c r="B78" s="5">
        <f t="shared" si="15"/>
        <v>45839</v>
      </c>
      <c r="C78" s="218" t="s">
        <v>533</v>
      </c>
      <c r="D78" s="195">
        <v>11141</v>
      </c>
      <c r="E78" s="186"/>
      <c r="F78" s="2">
        <v>35895.74</v>
      </c>
      <c r="G78" s="3">
        <f t="shared" si="13"/>
        <v>28666.337963999998</v>
      </c>
      <c r="H78" s="187"/>
      <c r="I78" s="7">
        <v>0.12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4307.4887999999992</v>
      </c>
      <c r="N78" s="11">
        <f t="shared" si="3"/>
        <v>521.20614480000006</v>
      </c>
      <c r="O78" s="11">
        <f t="shared" si="4"/>
        <v>2400.7070911999999</v>
      </c>
      <c r="P78" s="11">
        <f t="shared" si="5"/>
        <v>0</v>
      </c>
    </row>
    <row r="79" spans="1:16" ht="15" customHeight="1">
      <c r="A79" s="44"/>
      <c r="B79" s="5">
        <f t="shared" si="15"/>
        <v>45839</v>
      </c>
      <c r="C79" s="218" t="s">
        <v>533</v>
      </c>
      <c r="D79" s="195">
        <v>11142</v>
      </c>
      <c r="E79" s="186"/>
      <c r="F79" s="2">
        <v>718.6</v>
      </c>
      <c r="G79" s="3">
        <f t="shared" si="13"/>
        <v>573.87396000000001</v>
      </c>
      <c r="H79" s="187"/>
      <c r="I79" s="7">
        <v>0.12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86.231999999999999</v>
      </c>
      <c r="N79" s="11">
        <f t="shared" si="3"/>
        <v>10.434072000000002</v>
      </c>
      <c r="O79" s="11">
        <f t="shared" si="4"/>
        <v>48.059968000000005</v>
      </c>
      <c r="P79" s="11">
        <f t="shared" si="5"/>
        <v>0</v>
      </c>
    </row>
    <row r="80" spans="1:16" ht="15" customHeight="1">
      <c r="A80" s="44"/>
      <c r="B80" s="5">
        <f t="shared" si="15"/>
        <v>45839</v>
      </c>
      <c r="C80" s="218" t="s">
        <v>533</v>
      </c>
      <c r="D80" s="195">
        <v>6162</v>
      </c>
      <c r="E80" s="186"/>
      <c r="F80" s="2">
        <v>44495.29</v>
      </c>
      <c r="G80" s="3">
        <f t="shared" si="13"/>
        <v>35533.938593999999</v>
      </c>
      <c r="H80" s="187"/>
      <c r="I80" s="7">
        <v>0.12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5339.4348</v>
      </c>
      <c r="N80" s="11">
        <f t="shared" si="3"/>
        <v>646.07161080000003</v>
      </c>
      <c r="O80" s="11">
        <f t="shared" si="4"/>
        <v>2975.8449951999996</v>
      </c>
      <c r="P80" s="11">
        <f t="shared" si="5"/>
        <v>0</v>
      </c>
    </row>
    <row r="81" spans="1:16" ht="15" customHeight="1">
      <c r="A81" s="44"/>
      <c r="B81" s="5">
        <f t="shared" si="15"/>
        <v>45839</v>
      </c>
      <c r="C81" s="218" t="s">
        <v>533</v>
      </c>
      <c r="D81" s="195">
        <v>6163</v>
      </c>
      <c r="E81" s="186"/>
      <c r="F81" s="2">
        <v>1075.6400000000001</v>
      </c>
      <c r="G81" s="3">
        <f t="shared" si="13"/>
        <v>859.00610400000005</v>
      </c>
      <c r="H81" s="187"/>
      <c r="I81" s="7">
        <v>0.12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129.07680000000002</v>
      </c>
      <c r="N81" s="11">
        <f t="shared" si="3"/>
        <v>15.618292800000001</v>
      </c>
      <c r="O81" s="11">
        <f t="shared" si="4"/>
        <v>71.938803199999995</v>
      </c>
      <c r="P81" s="11">
        <f t="shared" si="5"/>
        <v>0</v>
      </c>
    </row>
    <row r="82" spans="1:16" ht="15" customHeight="1">
      <c r="A82" s="44"/>
      <c r="B82" s="5">
        <f t="shared" si="15"/>
        <v>45839</v>
      </c>
      <c r="C82" s="218" t="s">
        <v>533</v>
      </c>
      <c r="D82" s="195">
        <v>24363</v>
      </c>
      <c r="E82" s="186"/>
      <c r="F82" s="2">
        <v>3180.7</v>
      </c>
      <c r="G82" s="3">
        <f t="shared" si="13"/>
        <v>2684.4312824999997</v>
      </c>
      <c r="H82" s="187"/>
      <c r="I82" s="7">
        <v>7.0000000000000007E-2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222.649</v>
      </c>
      <c r="N82" s="11">
        <f t="shared" si="3"/>
        <v>48.807841500000002</v>
      </c>
      <c r="O82" s="11">
        <f t="shared" si="4"/>
        <v>224.81187599999998</v>
      </c>
      <c r="P82" s="11">
        <f t="shared" ref="P82:P182" si="16">L82*(F82)</f>
        <v>0</v>
      </c>
    </row>
    <row r="83" spans="1:16" ht="15" customHeight="1">
      <c r="A83" s="44"/>
      <c r="B83" s="5">
        <f t="shared" si="15"/>
        <v>45839</v>
      </c>
      <c r="C83" s="218" t="s">
        <v>533</v>
      </c>
      <c r="D83" s="195">
        <v>24364</v>
      </c>
      <c r="E83" s="186"/>
      <c r="F83" s="2">
        <v>62.69</v>
      </c>
      <c r="G83" s="3">
        <f t="shared" si="13"/>
        <v>52.908792749999996</v>
      </c>
      <c r="H83" s="187"/>
      <c r="I83" s="7">
        <v>7.0000000000000007E-2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4.3883000000000001</v>
      </c>
      <c r="N83" s="11">
        <f t="shared" si="3"/>
        <v>0.96197805000000003</v>
      </c>
      <c r="O83" s="11">
        <f t="shared" si="4"/>
        <v>4.4309291999999996</v>
      </c>
      <c r="P83" s="11">
        <f t="shared" si="16"/>
        <v>0</v>
      </c>
    </row>
    <row r="84" spans="1:16" ht="15" customHeight="1">
      <c r="A84" s="44"/>
      <c r="B84" s="5">
        <f t="shared" si="15"/>
        <v>45839</v>
      </c>
      <c r="C84" s="218" t="s">
        <v>533</v>
      </c>
      <c r="D84" s="195">
        <v>11148</v>
      </c>
      <c r="E84" s="186"/>
      <c r="F84" s="2">
        <v>137533.49</v>
      </c>
      <c r="G84" s="3">
        <f t="shared" si="13"/>
        <v>109834.24511399999</v>
      </c>
      <c r="H84" s="187"/>
      <c r="I84" s="7">
        <v>0.12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16504.018799999998</v>
      </c>
      <c r="N84" s="11">
        <f t="shared" si="3"/>
        <v>1996.9862748</v>
      </c>
      <c r="O84" s="11">
        <f t="shared" si="4"/>
        <v>9198.2398111999992</v>
      </c>
      <c r="P84" s="11">
        <f t="shared" si="16"/>
        <v>0</v>
      </c>
    </row>
    <row r="85" spans="1:16" ht="15" customHeight="1">
      <c r="A85" s="44"/>
      <c r="B85" s="5">
        <f t="shared" si="15"/>
        <v>45839</v>
      </c>
      <c r="C85" s="218" t="s">
        <v>533</v>
      </c>
      <c r="D85" s="195">
        <v>11149</v>
      </c>
      <c r="E85" s="186"/>
      <c r="F85" s="2">
        <v>2714.66</v>
      </c>
      <c r="G85" s="3">
        <f t="shared" si="13"/>
        <v>2167.9274759999998</v>
      </c>
      <c r="H85" s="187"/>
      <c r="I85" s="7">
        <v>0.12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325.75919999999996</v>
      </c>
      <c r="N85" s="11">
        <f t="shared" si="3"/>
        <v>39.416863200000002</v>
      </c>
      <c r="O85" s="11">
        <f t="shared" si="4"/>
        <v>181.5564608</v>
      </c>
      <c r="P85" s="11">
        <f t="shared" si="16"/>
        <v>0</v>
      </c>
    </row>
    <row r="86" spans="1:16" ht="15" customHeight="1">
      <c r="A86" s="44"/>
      <c r="B86" s="5">
        <f t="shared" si="15"/>
        <v>45839</v>
      </c>
      <c r="C86" s="218" t="s">
        <v>533</v>
      </c>
      <c r="D86" s="195">
        <v>6171</v>
      </c>
      <c r="E86" s="186"/>
      <c r="F86" s="2">
        <v>171238.79</v>
      </c>
      <c r="G86" s="3">
        <f t="shared" si="13"/>
        <v>136751.29769400001</v>
      </c>
      <c r="H86" s="187"/>
      <c r="I86" s="7">
        <v>0.12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20548.6548</v>
      </c>
      <c r="N86" s="11">
        <f t="shared" si="3"/>
        <v>2486.3872308000005</v>
      </c>
      <c r="O86" s="11">
        <f t="shared" si="4"/>
        <v>11452.450275200001</v>
      </c>
      <c r="P86" s="11">
        <f t="shared" si="16"/>
        <v>0</v>
      </c>
    </row>
    <row r="87" spans="1:16" ht="15" customHeight="1">
      <c r="A87" s="44"/>
      <c r="B87" s="5">
        <f t="shared" si="15"/>
        <v>45839</v>
      </c>
      <c r="C87" s="218" t="s">
        <v>533</v>
      </c>
      <c r="D87" s="195">
        <v>6172</v>
      </c>
      <c r="E87" s="186"/>
      <c r="F87" s="2">
        <v>4062.21</v>
      </c>
      <c r="G87" s="3">
        <f t="shared" si="13"/>
        <v>3244.0809060000001</v>
      </c>
      <c r="H87" s="187"/>
      <c r="I87" s="7">
        <v>0.12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487.46519999999998</v>
      </c>
      <c r="N87" s="11">
        <f t="shared" si="3"/>
        <v>58.983289200000002</v>
      </c>
      <c r="O87" s="11">
        <f t="shared" si="4"/>
        <v>271.68060479999997</v>
      </c>
      <c r="P87" s="11">
        <f t="shared" si="16"/>
        <v>0</v>
      </c>
    </row>
    <row r="88" spans="1:16" ht="15" customHeight="1">
      <c r="A88" s="44"/>
      <c r="B88" s="5">
        <f t="shared" si="15"/>
        <v>45839</v>
      </c>
      <c r="C88" s="218" t="s">
        <v>533</v>
      </c>
      <c r="D88" s="195">
        <v>24373</v>
      </c>
      <c r="E88" s="186"/>
      <c r="F88" s="2">
        <v>12208.99</v>
      </c>
      <c r="G88" s="3">
        <f t="shared" si="13"/>
        <v>10304.082335249999</v>
      </c>
      <c r="H88" s="187"/>
      <c r="I88" s="7">
        <v>7.0000000000000007E-2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854.62930000000006</v>
      </c>
      <c r="N88" s="11">
        <f t="shared" si="3"/>
        <v>187.34695155</v>
      </c>
      <c r="O88" s="11">
        <f t="shared" si="4"/>
        <v>862.93141319999995</v>
      </c>
      <c r="P88" s="11">
        <f t="shared" si="16"/>
        <v>0</v>
      </c>
    </row>
    <row r="89" spans="1:16" ht="15" customHeight="1">
      <c r="A89" s="44"/>
      <c r="B89" s="5">
        <f t="shared" si="15"/>
        <v>45839</v>
      </c>
      <c r="C89" s="218" t="s">
        <v>533</v>
      </c>
      <c r="D89" s="195">
        <v>24372</v>
      </c>
      <c r="E89" s="186"/>
      <c r="F89" s="2">
        <v>236.83</v>
      </c>
      <c r="G89" s="3">
        <f t="shared" si="13"/>
        <v>199.87859925000001</v>
      </c>
      <c r="H89" s="187"/>
      <c r="I89" s="7">
        <v>7.0000000000000007E-2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16.578100000000003</v>
      </c>
      <c r="N89" s="11">
        <f t="shared" si="3"/>
        <v>3.6341563500000005</v>
      </c>
      <c r="O89" s="11">
        <f t="shared" si="4"/>
        <v>16.739144400000001</v>
      </c>
      <c r="P89" s="11">
        <f t="shared" si="16"/>
        <v>0</v>
      </c>
    </row>
    <row r="90" spans="1:16" ht="15" customHeight="1">
      <c r="A90" s="44"/>
      <c r="B90" s="5">
        <f t="shared" si="15"/>
        <v>45839</v>
      </c>
      <c r="C90" s="218" t="s">
        <v>533</v>
      </c>
      <c r="D90" s="195">
        <v>11153</v>
      </c>
      <c r="E90" s="186"/>
      <c r="F90" s="2">
        <v>62844.59</v>
      </c>
      <c r="G90" s="3">
        <f t="shared" si="13"/>
        <v>50187.689573999996</v>
      </c>
      <c r="H90" s="187"/>
      <c r="I90" s="7">
        <v>0.12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7541.3507999999993</v>
      </c>
      <c r="N90" s="11">
        <f t="shared" si="3"/>
        <v>912.50344680000001</v>
      </c>
      <c r="O90" s="11">
        <f t="shared" si="4"/>
        <v>4203.0461791999996</v>
      </c>
      <c r="P90" s="11">
        <f t="shared" si="16"/>
        <v>0</v>
      </c>
    </row>
    <row r="91" spans="1:16" ht="15" customHeight="1">
      <c r="A91" s="44"/>
      <c r="B91" s="5">
        <f t="shared" si="15"/>
        <v>45839</v>
      </c>
      <c r="C91" s="218" t="s">
        <v>533</v>
      </c>
      <c r="D91" s="195">
        <v>11154</v>
      </c>
      <c r="E91" s="186"/>
      <c r="F91" s="2">
        <v>1233.1300000000001</v>
      </c>
      <c r="G91" s="3">
        <f t="shared" si="13"/>
        <v>984.77761800000007</v>
      </c>
      <c r="H91" s="187"/>
      <c r="I91" s="7">
        <v>0.12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147.97560000000001</v>
      </c>
      <c r="N91" s="11">
        <f t="shared" si="3"/>
        <v>17.905047600000003</v>
      </c>
      <c r="O91" s="11">
        <f t="shared" si="4"/>
        <v>82.471734400000003</v>
      </c>
      <c r="P91" s="11">
        <f t="shared" si="16"/>
        <v>0</v>
      </c>
    </row>
    <row r="92" spans="1:16" ht="15" customHeight="1">
      <c r="A92" s="44"/>
      <c r="B92" s="5">
        <f t="shared" si="15"/>
        <v>45839</v>
      </c>
      <c r="C92" s="218" t="s">
        <v>533</v>
      </c>
      <c r="D92" s="195">
        <v>6178</v>
      </c>
      <c r="E92" s="186"/>
      <c r="F92" s="2">
        <v>77951.600000000006</v>
      </c>
      <c r="G92" s="3">
        <f t="shared" si="13"/>
        <v>62252.147760000007</v>
      </c>
      <c r="H92" s="187"/>
      <c r="I92" s="7">
        <v>0.12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9354.1920000000009</v>
      </c>
      <c r="N92" s="11">
        <f t="shared" si="3"/>
        <v>1131.8572320000003</v>
      </c>
      <c r="O92" s="11">
        <f t="shared" si="4"/>
        <v>5213.4030080000002</v>
      </c>
      <c r="P92" s="11">
        <f t="shared" si="16"/>
        <v>0</v>
      </c>
    </row>
    <row r="93" spans="1:16" ht="15" customHeight="1">
      <c r="A93" s="44"/>
      <c r="B93" s="5">
        <f t="shared" si="15"/>
        <v>45839</v>
      </c>
      <c r="C93" s="218" t="s">
        <v>533</v>
      </c>
      <c r="D93" s="195">
        <v>6179</v>
      </c>
      <c r="E93" s="186"/>
      <c r="F93" s="2">
        <v>1848.75</v>
      </c>
      <c r="G93" s="3">
        <f t="shared" si="13"/>
        <v>1476.41175</v>
      </c>
      <c r="H93" s="187"/>
      <c r="I93" s="7">
        <v>0.12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221.85</v>
      </c>
      <c r="N93" s="11">
        <f t="shared" si="3"/>
        <v>26.843850000000003</v>
      </c>
      <c r="O93" s="11">
        <f t="shared" si="4"/>
        <v>123.6444</v>
      </c>
      <c r="P93" s="11">
        <f t="shared" si="16"/>
        <v>0</v>
      </c>
    </row>
    <row r="94" spans="1:16" ht="15" customHeight="1">
      <c r="A94" s="44"/>
      <c r="B94" s="5">
        <f t="shared" si="15"/>
        <v>45839</v>
      </c>
      <c r="C94" s="218" t="s">
        <v>533</v>
      </c>
      <c r="D94" s="195">
        <v>24379</v>
      </c>
      <c r="E94" s="186"/>
      <c r="F94" s="2">
        <v>5572</v>
      </c>
      <c r="G94" s="3">
        <f t="shared" si="13"/>
        <v>4702.6287000000002</v>
      </c>
      <c r="H94" s="187"/>
      <c r="I94" s="7">
        <v>7.0000000000000007E-2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390.04</v>
      </c>
      <c r="N94" s="11">
        <f t="shared" si="3"/>
        <v>85.502340000000004</v>
      </c>
      <c r="O94" s="11">
        <f t="shared" si="4"/>
        <v>393.82896</v>
      </c>
      <c r="P94" s="11">
        <f t="shared" si="16"/>
        <v>0</v>
      </c>
    </row>
    <row r="95" spans="1:16" ht="15" customHeight="1">
      <c r="A95" s="44"/>
      <c r="B95" s="5">
        <f t="shared" si="15"/>
        <v>45839</v>
      </c>
      <c r="C95" s="218" t="s">
        <v>533</v>
      </c>
      <c r="D95" s="195">
        <v>24380</v>
      </c>
      <c r="E95" s="186"/>
      <c r="F95" s="2">
        <v>107.66</v>
      </c>
      <c r="G95" s="3">
        <f t="shared" si="13"/>
        <v>90.862348499999996</v>
      </c>
      <c r="H95" s="187"/>
      <c r="I95" s="7">
        <v>7.0000000000000007E-2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7.5362000000000009</v>
      </c>
      <c r="N95" s="11">
        <f t="shared" si="3"/>
        <v>1.6520427</v>
      </c>
      <c r="O95" s="11">
        <f t="shared" si="4"/>
        <v>7.6094087999999989</v>
      </c>
      <c r="P95" s="11">
        <f t="shared" si="16"/>
        <v>0</v>
      </c>
    </row>
    <row r="96" spans="1:16" ht="15" customHeight="1">
      <c r="A96" s="44"/>
      <c r="B96" s="5">
        <f t="shared" si="15"/>
        <v>45839</v>
      </c>
      <c r="C96" s="218" t="s">
        <v>533</v>
      </c>
      <c r="D96" s="195">
        <v>11155</v>
      </c>
      <c r="E96" s="186"/>
      <c r="F96" s="2">
        <v>159455.18</v>
      </c>
      <c r="G96" s="3">
        <f t="shared" si="13"/>
        <v>127340.90674799999</v>
      </c>
      <c r="H96" s="187"/>
      <c r="I96" s="7">
        <v>0.12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19134.621599999999</v>
      </c>
      <c r="N96" s="11">
        <f t="shared" si="3"/>
        <v>2315.2892135999996</v>
      </c>
      <c r="O96" s="11">
        <f t="shared" si="4"/>
        <v>10664.362438399998</v>
      </c>
      <c r="P96" s="11">
        <f t="shared" si="16"/>
        <v>0</v>
      </c>
    </row>
    <row r="97" spans="1:16" ht="15" customHeight="1">
      <c r="A97" s="44"/>
      <c r="B97" s="5">
        <f t="shared" si="15"/>
        <v>45839</v>
      </c>
      <c r="C97" s="218" t="s">
        <v>533</v>
      </c>
      <c r="D97" s="195">
        <v>11156</v>
      </c>
      <c r="E97" s="186"/>
      <c r="F97" s="2">
        <v>3071.51</v>
      </c>
      <c r="G97" s="3">
        <f t="shared" si="13"/>
        <v>2452.907886</v>
      </c>
      <c r="H97" s="187"/>
      <c r="I97" s="7">
        <v>0.12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368.58120000000002</v>
      </c>
      <c r="N97" s="11">
        <f t="shared" si="3"/>
        <v>44.598325200000005</v>
      </c>
      <c r="O97" s="11">
        <f t="shared" si="4"/>
        <v>205.4225888</v>
      </c>
      <c r="P97" s="11">
        <f t="shared" si="16"/>
        <v>0</v>
      </c>
    </row>
    <row r="98" spans="1:16" ht="15" customHeight="1">
      <c r="A98" s="44"/>
      <c r="B98" s="5">
        <f t="shared" si="15"/>
        <v>45839</v>
      </c>
      <c r="C98" s="218" t="s">
        <v>533</v>
      </c>
      <c r="D98" s="195">
        <v>6187</v>
      </c>
      <c r="E98" s="186"/>
      <c r="F98" s="2">
        <v>197282.7</v>
      </c>
      <c r="G98" s="3">
        <f t="shared" si="13"/>
        <v>157549.96422000002</v>
      </c>
      <c r="H98" s="187"/>
      <c r="I98" s="7">
        <v>0.12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23673.923999999999</v>
      </c>
      <c r="N98" s="11">
        <f t="shared" si="3"/>
        <v>2864.5448040000006</v>
      </c>
      <c r="O98" s="11">
        <f t="shared" si="4"/>
        <v>13194.266976000001</v>
      </c>
      <c r="P98" s="11">
        <f t="shared" si="16"/>
        <v>0</v>
      </c>
    </row>
    <row r="99" spans="1:16" ht="15" customHeight="1">
      <c r="A99" s="44"/>
      <c r="B99" s="5">
        <f t="shared" si="15"/>
        <v>45839</v>
      </c>
      <c r="C99" s="218" t="s">
        <v>533</v>
      </c>
      <c r="D99" s="195">
        <v>6188</v>
      </c>
      <c r="E99" s="186"/>
      <c r="F99" s="2">
        <v>4595.87</v>
      </c>
      <c r="G99" s="3">
        <f t="shared" si="13"/>
        <v>3670.261782</v>
      </c>
      <c r="H99" s="187"/>
      <c r="I99" s="7">
        <v>0.12</v>
      </c>
      <c r="J99" s="7">
        <v>1.6500000000000001E-2</v>
      </c>
      <c r="K99" s="7">
        <v>7.5999999999999998E-2</v>
      </c>
      <c r="L99" s="7">
        <v>0</v>
      </c>
      <c r="M99" s="11">
        <f t="shared" si="2"/>
        <v>551.50439999999992</v>
      </c>
      <c r="N99" s="11">
        <f t="shared" si="3"/>
        <v>66.732032400000008</v>
      </c>
      <c r="O99" s="11">
        <f t="shared" si="4"/>
        <v>307.37178560000001</v>
      </c>
      <c r="P99" s="11">
        <f t="shared" si="16"/>
        <v>0</v>
      </c>
    </row>
    <row r="100" spans="1:16" ht="15" customHeight="1">
      <c r="A100" s="44"/>
      <c r="B100" s="5">
        <f t="shared" si="15"/>
        <v>45839</v>
      </c>
      <c r="C100" s="218" t="s">
        <v>533</v>
      </c>
      <c r="D100" s="195">
        <v>24388</v>
      </c>
      <c r="E100" s="186"/>
      <c r="F100" s="2">
        <v>14117.74</v>
      </c>
      <c r="G100" s="3">
        <f t="shared" si="13"/>
        <v>11915.0196165</v>
      </c>
      <c r="H100" s="187"/>
      <c r="I100" s="7">
        <v>7.0000000000000007E-2</v>
      </c>
      <c r="J100" s="7">
        <v>1.6500000000000001E-2</v>
      </c>
      <c r="K100" s="7">
        <v>7.5999999999999998E-2</v>
      </c>
      <c r="L100" s="7">
        <v>0</v>
      </c>
      <c r="M100" s="11">
        <f t="shared" si="2"/>
        <v>988.24180000000013</v>
      </c>
      <c r="N100" s="11">
        <f t="shared" si="3"/>
        <v>216.63672030000001</v>
      </c>
      <c r="O100" s="11">
        <f t="shared" si="4"/>
        <v>997.84186319999992</v>
      </c>
      <c r="P100" s="11">
        <f t="shared" si="16"/>
        <v>0</v>
      </c>
    </row>
    <row r="101" spans="1:16" ht="15" customHeight="1">
      <c r="A101" s="44"/>
      <c r="B101" s="5">
        <f t="shared" si="15"/>
        <v>45839</v>
      </c>
      <c r="C101" s="218" t="s">
        <v>533</v>
      </c>
      <c r="D101" s="195">
        <v>24389</v>
      </c>
      <c r="E101" s="186"/>
      <c r="F101" s="2">
        <v>267.89999999999998</v>
      </c>
      <c r="G101" s="3">
        <f t="shared" si="13"/>
        <v>226.10090249999996</v>
      </c>
      <c r="H101" s="187"/>
      <c r="I101" s="7">
        <v>7.0000000000000007E-2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18.753</v>
      </c>
      <c r="N101" s="11">
        <f t="shared" si="3"/>
        <v>4.1109255000000005</v>
      </c>
      <c r="O101" s="11">
        <f t="shared" si="4"/>
        <v>18.935171999999998</v>
      </c>
      <c r="P101" s="11">
        <f t="shared" si="16"/>
        <v>0</v>
      </c>
    </row>
    <row r="102" spans="1:16" ht="15" customHeight="1">
      <c r="A102" s="44"/>
      <c r="B102" s="5">
        <f t="shared" si="15"/>
        <v>45839</v>
      </c>
      <c r="C102" s="218" t="s">
        <v>533</v>
      </c>
      <c r="D102" s="195">
        <v>11160</v>
      </c>
      <c r="E102" s="186"/>
      <c r="F102" s="2">
        <v>147894.88</v>
      </c>
      <c r="G102" s="3">
        <f t="shared" si="13"/>
        <v>118108.85116800001</v>
      </c>
      <c r="H102" s="187"/>
      <c r="I102" s="7">
        <v>0.12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17747.385600000001</v>
      </c>
      <c r="N102" s="11">
        <f t="shared" si="3"/>
        <v>2147.4336576000001</v>
      </c>
      <c r="O102" s="11">
        <f t="shared" si="4"/>
        <v>9891.2095743999998</v>
      </c>
      <c r="P102" s="11">
        <f t="shared" si="16"/>
        <v>0</v>
      </c>
    </row>
    <row r="103" spans="1:16" ht="15" customHeight="1">
      <c r="A103" s="44"/>
      <c r="B103" s="5">
        <f t="shared" si="15"/>
        <v>45839</v>
      </c>
      <c r="C103" s="218" t="s">
        <v>533</v>
      </c>
      <c r="D103" s="195">
        <v>11161</v>
      </c>
      <c r="E103" s="186"/>
      <c r="F103" s="2">
        <v>2973.36</v>
      </c>
      <c r="G103" s="3">
        <f t="shared" si="13"/>
        <v>2374.5252959999998</v>
      </c>
      <c r="H103" s="187"/>
      <c r="I103" s="7">
        <v>0.12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356.8032</v>
      </c>
      <c r="N103" s="11">
        <f t="shared" si="3"/>
        <v>43.173187200000008</v>
      </c>
      <c r="O103" s="11">
        <f t="shared" si="4"/>
        <v>198.85831680000001</v>
      </c>
      <c r="P103" s="11">
        <f t="shared" si="16"/>
        <v>0</v>
      </c>
    </row>
    <row r="104" spans="1:16" ht="15" customHeight="1">
      <c r="A104" s="44"/>
      <c r="B104" s="5">
        <f t="shared" si="15"/>
        <v>45839</v>
      </c>
      <c r="C104" s="218" t="s">
        <v>533</v>
      </c>
      <c r="D104" s="195">
        <v>6192</v>
      </c>
      <c r="E104" s="186"/>
      <c r="F104" s="2">
        <v>183909.99</v>
      </c>
      <c r="G104" s="3">
        <f t="shared" si="13"/>
        <v>146870.518014</v>
      </c>
      <c r="H104" s="187"/>
      <c r="I104" s="7">
        <v>0.12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22069.198799999998</v>
      </c>
      <c r="N104" s="11">
        <f t="shared" si="3"/>
        <v>2670.3730547999999</v>
      </c>
      <c r="O104" s="11">
        <f t="shared" si="4"/>
        <v>12299.900131199998</v>
      </c>
      <c r="P104" s="11">
        <f t="shared" si="16"/>
        <v>0</v>
      </c>
    </row>
    <row r="105" spans="1:16" ht="15" customHeight="1">
      <c r="A105" s="44"/>
      <c r="B105" s="5">
        <f t="shared" si="15"/>
        <v>45839</v>
      </c>
      <c r="C105" s="218" t="s">
        <v>533</v>
      </c>
      <c r="D105" s="195">
        <v>6193</v>
      </c>
      <c r="E105" s="186"/>
      <c r="F105" s="2">
        <v>4453.3599999999997</v>
      </c>
      <c r="G105" s="3">
        <f t="shared" si="13"/>
        <v>3556.4532959999997</v>
      </c>
      <c r="H105" s="187"/>
      <c r="I105" s="7">
        <v>0.12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534.40319999999997</v>
      </c>
      <c r="N105" s="11">
        <f t="shared" si="3"/>
        <v>64.662787199999997</v>
      </c>
      <c r="O105" s="11">
        <f t="shared" si="4"/>
        <v>297.8407168</v>
      </c>
      <c r="P105" s="11">
        <f t="shared" si="16"/>
        <v>0</v>
      </c>
    </row>
    <row r="106" spans="1:16" ht="15" customHeight="1">
      <c r="A106" s="44"/>
      <c r="B106" s="5">
        <f t="shared" si="15"/>
        <v>45839</v>
      </c>
      <c r="C106" s="218" t="s">
        <v>533</v>
      </c>
      <c r="D106" s="195">
        <v>24397</v>
      </c>
      <c r="E106" s="186"/>
      <c r="F106" s="2">
        <v>2190.52</v>
      </c>
      <c r="G106" s="3">
        <f t="shared" si="13"/>
        <v>1848.744117</v>
      </c>
      <c r="H106" s="187"/>
      <c r="I106" s="7">
        <v>7.0000000000000007E-2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153.33640000000003</v>
      </c>
      <c r="N106" s="11">
        <f t="shared" si="3"/>
        <v>33.613529399999997</v>
      </c>
      <c r="O106" s="11">
        <f t="shared" si="4"/>
        <v>154.82595359999999</v>
      </c>
      <c r="P106" s="11">
        <f t="shared" si="16"/>
        <v>0</v>
      </c>
    </row>
    <row r="107" spans="1:16" ht="15" customHeight="1">
      <c r="A107" s="44"/>
      <c r="B107" s="5">
        <f t="shared" si="15"/>
        <v>45839</v>
      </c>
      <c r="C107" s="218" t="s">
        <v>533</v>
      </c>
      <c r="D107" s="195">
        <v>24398</v>
      </c>
      <c r="E107" s="186"/>
      <c r="F107" s="2">
        <v>43.19</v>
      </c>
      <c r="G107" s="3">
        <f t="shared" si="13"/>
        <v>36.451280249999996</v>
      </c>
      <c r="H107" s="187"/>
      <c r="I107" s="7">
        <v>7.0000000000000007E-2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3.0233000000000003</v>
      </c>
      <c r="N107" s="11">
        <f t="shared" si="3"/>
        <v>0.66275055000000005</v>
      </c>
      <c r="O107" s="11">
        <f t="shared" si="4"/>
        <v>3.0526692</v>
      </c>
      <c r="P107" s="11">
        <f t="shared" si="16"/>
        <v>0</v>
      </c>
    </row>
    <row r="108" spans="1:16" ht="15" hidden="1" customHeight="1">
      <c r="A108" s="44"/>
      <c r="B108" s="5">
        <f t="shared" si="15"/>
        <v>45839</v>
      </c>
      <c r="C108" s="218" t="s">
        <v>533</v>
      </c>
      <c r="D108" s="195"/>
      <c r="E108" s="186"/>
      <c r="F108" s="2"/>
      <c r="G108" s="3">
        <f t="shared" si="13"/>
        <v>0</v>
      </c>
      <c r="H108" s="187"/>
      <c r="I108" s="7"/>
      <c r="J108" s="7">
        <v>1.6500000000000001E-2</v>
      </c>
      <c r="K108" s="7">
        <v>7.5999999999999998E-2</v>
      </c>
      <c r="L108" s="7">
        <v>0</v>
      </c>
      <c r="M108" s="11">
        <f t="shared" si="2"/>
        <v>0</v>
      </c>
      <c r="N108" s="11">
        <f t="shared" si="3"/>
        <v>0</v>
      </c>
      <c r="O108" s="11">
        <f t="shared" si="4"/>
        <v>0</v>
      </c>
      <c r="P108" s="11">
        <f t="shared" si="16"/>
        <v>0</v>
      </c>
    </row>
    <row r="109" spans="1:16" ht="15" hidden="1" customHeight="1">
      <c r="A109" s="44"/>
      <c r="B109" s="5">
        <f t="shared" si="15"/>
        <v>45839</v>
      </c>
      <c r="C109" s="218" t="s">
        <v>533</v>
      </c>
      <c r="D109" s="195"/>
      <c r="E109" s="186"/>
      <c r="F109" s="2"/>
      <c r="G109" s="3">
        <f t="shared" si="13"/>
        <v>0</v>
      </c>
      <c r="H109" s="187"/>
      <c r="I109" s="7"/>
      <c r="J109" s="7">
        <v>1.6500000000000001E-2</v>
      </c>
      <c r="K109" s="7">
        <v>7.5999999999999998E-2</v>
      </c>
      <c r="L109" s="7">
        <v>0</v>
      </c>
      <c r="M109" s="11">
        <f t="shared" si="2"/>
        <v>0</v>
      </c>
      <c r="N109" s="11">
        <f t="shared" si="3"/>
        <v>0</v>
      </c>
      <c r="O109" s="11">
        <f t="shared" si="4"/>
        <v>0</v>
      </c>
      <c r="P109" s="11">
        <f t="shared" si="16"/>
        <v>0</v>
      </c>
    </row>
    <row r="110" spans="1:16" ht="15" hidden="1" customHeight="1">
      <c r="A110" s="44"/>
      <c r="B110" s="5">
        <f t="shared" si="15"/>
        <v>45839</v>
      </c>
      <c r="C110" s="218" t="s">
        <v>533</v>
      </c>
      <c r="D110" s="195"/>
      <c r="E110" s="186"/>
      <c r="F110" s="2"/>
      <c r="G110" s="3">
        <f t="shared" si="13"/>
        <v>0</v>
      </c>
      <c r="H110" s="187"/>
      <c r="I110" s="7"/>
      <c r="J110" s="7">
        <v>1.6500000000000001E-2</v>
      </c>
      <c r="K110" s="7">
        <v>7.5999999999999998E-2</v>
      </c>
      <c r="L110" s="7">
        <v>0</v>
      </c>
      <c r="M110" s="11">
        <f t="shared" si="2"/>
        <v>0</v>
      </c>
      <c r="N110" s="11">
        <f t="shared" si="3"/>
        <v>0</v>
      </c>
      <c r="O110" s="11">
        <f t="shared" si="4"/>
        <v>0</v>
      </c>
      <c r="P110" s="11">
        <f t="shared" si="16"/>
        <v>0</v>
      </c>
    </row>
    <row r="111" spans="1:16" ht="15" hidden="1" customHeight="1">
      <c r="A111" s="44"/>
      <c r="B111" s="5">
        <f t="shared" si="15"/>
        <v>45839</v>
      </c>
      <c r="C111" s="218" t="s">
        <v>533</v>
      </c>
      <c r="D111" s="195"/>
      <c r="E111" s="186"/>
      <c r="F111" s="2"/>
      <c r="G111" s="3">
        <f t="shared" si="13"/>
        <v>0</v>
      </c>
      <c r="H111" s="187"/>
      <c r="I111" s="7"/>
      <c r="J111" s="7">
        <v>1.6500000000000001E-2</v>
      </c>
      <c r="K111" s="7">
        <v>7.5999999999999998E-2</v>
      </c>
      <c r="L111" s="7">
        <v>0</v>
      </c>
      <c r="M111" s="11">
        <f t="shared" si="2"/>
        <v>0</v>
      </c>
      <c r="N111" s="11">
        <f t="shared" si="3"/>
        <v>0</v>
      </c>
      <c r="O111" s="11">
        <f t="shared" si="4"/>
        <v>0</v>
      </c>
      <c r="P111" s="11">
        <f t="shared" si="16"/>
        <v>0</v>
      </c>
    </row>
    <row r="112" spans="1:16" ht="15" hidden="1" customHeight="1">
      <c r="A112" s="44"/>
      <c r="B112" s="5">
        <f t="shared" si="15"/>
        <v>45839</v>
      </c>
      <c r="C112" s="218" t="s">
        <v>533</v>
      </c>
      <c r="D112" s="195"/>
      <c r="E112" s="186"/>
      <c r="F112" s="2"/>
      <c r="G112" s="3">
        <f t="shared" si="13"/>
        <v>0</v>
      </c>
      <c r="H112" s="187"/>
      <c r="I112" s="7"/>
      <c r="J112" s="7">
        <v>1.6500000000000001E-2</v>
      </c>
      <c r="K112" s="7">
        <v>7.5999999999999998E-2</v>
      </c>
      <c r="L112" s="7">
        <v>0</v>
      </c>
      <c r="M112" s="11">
        <f t="shared" si="2"/>
        <v>0</v>
      </c>
      <c r="N112" s="11">
        <f t="shared" si="3"/>
        <v>0</v>
      </c>
      <c r="O112" s="11">
        <f t="shared" si="4"/>
        <v>0</v>
      </c>
      <c r="P112" s="11">
        <f t="shared" si="16"/>
        <v>0</v>
      </c>
    </row>
    <row r="113" spans="1:16" ht="15" hidden="1" customHeight="1">
      <c r="A113" s="44"/>
      <c r="B113" s="5">
        <f t="shared" si="15"/>
        <v>45839</v>
      </c>
      <c r="C113" s="218" t="s">
        <v>533</v>
      </c>
      <c r="D113" s="195"/>
      <c r="E113" s="186"/>
      <c r="F113" s="2"/>
      <c r="G113" s="3">
        <f t="shared" si="13"/>
        <v>0</v>
      </c>
      <c r="H113" s="187"/>
      <c r="I113" s="7"/>
      <c r="J113" s="7">
        <v>1.6500000000000001E-2</v>
      </c>
      <c r="K113" s="7">
        <v>7.5999999999999998E-2</v>
      </c>
      <c r="L113" s="7">
        <v>0</v>
      </c>
      <c r="M113" s="11">
        <f t="shared" si="2"/>
        <v>0</v>
      </c>
      <c r="N113" s="11">
        <f t="shared" si="3"/>
        <v>0</v>
      </c>
      <c r="O113" s="11">
        <f t="shared" si="4"/>
        <v>0</v>
      </c>
      <c r="P113" s="11">
        <f t="shared" si="16"/>
        <v>0</v>
      </c>
    </row>
    <row r="114" spans="1:16" ht="15" hidden="1" customHeight="1">
      <c r="A114" s="44"/>
      <c r="B114" s="5">
        <f t="shared" si="15"/>
        <v>45839</v>
      </c>
      <c r="C114" s="218" t="s">
        <v>533</v>
      </c>
      <c r="D114" s="195"/>
      <c r="E114" s="186"/>
      <c r="F114" s="2"/>
      <c r="G114" s="3">
        <f t="shared" si="13"/>
        <v>0</v>
      </c>
      <c r="H114" s="187"/>
      <c r="I114" s="7"/>
      <c r="J114" s="7">
        <v>1.6500000000000001E-2</v>
      </c>
      <c r="K114" s="7">
        <v>7.5999999999999998E-2</v>
      </c>
      <c r="L114" s="7">
        <v>0</v>
      </c>
      <c r="M114" s="11">
        <f t="shared" si="2"/>
        <v>0</v>
      </c>
      <c r="N114" s="11">
        <f t="shared" si="3"/>
        <v>0</v>
      </c>
      <c r="O114" s="11">
        <f t="shared" si="4"/>
        <v>0</v>
      </c>
      <c r="P114" s="11">
        <f t="shared" si="16"/>
        <v>0</v>
      </c>
    </row>
    <row r="115" spans="1:16" ht="15" hidden="1" customHeight="1">
      <c r="A115" s="44"/>
      <c r="B115" s="5">
        <f t="shared" si="15"/>
        <v>45839</v>
      </c>
      <c r="C115" s="218" t="s">
        <v>533</v>
      </c>
      <c r="D115" s="195"/>
      <c r="E115" s="186"/>
      <c r="F115" s="2"/>
      <c r="G115" s="3">
        <f t="shared" si="13"/>
        <v>0</v>
      </c>
      <c r="H115" s="187"/>
      <c r="I115" s="7"/>
      <c r="J115" s="7">
        <v>1.6500000000000001E-2</v>
      </c>
      <c r="K115" s="7">
        <v>7.5999999999999998E-2</v>
      </c>
      <c r="L115" s="7">
        <v>0</v>
      </c>
      <c r="M115" s="11">
        <f t="shared" si="2"/>
        <v>0</v>
      </c>
      <c r="N115" s="11">
        <f t="shared" si="3"/>
        <v>0</v>
      </c>
      <c r="O115" s="11">
        <f t="shared" si="4"/>
        <v>0</v>
      </c>
      <c r="P115" s="11">
        <f t="shared" si="16"/>
        <v>0</v>
      </c>
    </row>
    <row r="116" spans="1:16" ht="15" hidden="1" customHeight="1">
      <c r="A116" s="44"/>
      <c r="B116" s="5">
        <f t="shared" si="15"/>
        <v>45839</v>
      </c>
      <c r="C116" s="218" t="s">
        <v>533</v>
      </c>
      <c r="D116" s="195"/>
      <c r="E116" s="186"/>
      <c r="F116" s="2"/>
      <c r="G116" s="3">
        <f t="shared" si="13"/>
        <v>0</v>
      </c>
      <c r="H116" s="187"/>
      <c r="I116" s="7"/>
      <c r="J116" s="7">
        <v>1.6500000000000001E-2</v>
      </c>
      <c r="K116" s="7">
        <v>7.5999999999999998E-2</v>
      </c>
      <c r="L116" s="7">
        <v>0</v>
      </c>
      <c r="M116" s="11">
        <f t="shared" si="2"/>
        <v>0</v>
      </c>
      <c r="N116" s="11">
        <f t="shared" si="3"/>
        <v>0</v>
      </c>
      <c r="O116" s="11">
        <f t="shared" si="4"/>
        <v>0</v>
      </c>
      <c r="P116" s="11">
        <f t="shared" si="16"/>
        <v>0</v>
      </c>
    </row>
    <row r="117" spans="1:16" ht="15" hidden="1" customHeight="1">
      <c r="A117" s="44"/>
      <c r="B117" s="5">
        <f t="shared" si="15"/>
        <v>45839</v>
      </c>
      <c r="C117" s="218" t="s">
        <v>533</v>
      </c>
      <c r="D117" s="195"/>
      <c r="E117" s="186"/>
      <c r="F117" s="2"/>
      <c r="G117" s="3">
        <f t="shared" si="13"/>
        <v>0</v>
      </c>
      <c r="H117" s="187"/>
      <c r="I117" s="7"/>
      <c r="J117" s="7">
        <v>1.6500000000000001E-2</v>
      </c>
      <c r="K117" s="7">
        <v>7.5999999999999998E-2</v>
      </c>
      <c r="L117" s="7">
        <v>0</v>
      </c>
      <c r="M117" s="11">
        <f t="shared" si="2"/>
        <v>0</v>
      </c>
      <c r="N117" s="11">
        <f t="shared" si="3"/>
        <v>0</v>
      </c>
      <c r="O117" s="11">
        <f t="shared" si="4"/>
        <v>0</v>
      </c>
      <c r="P117" s="11">
        <f t="shared" si="16"/>
        <v>0</v>
      </c>
    </row>
    <row r="118" spans="1:16" ht="15" hidden="1" customHeight="1">
      <c r="A118" s="44"/>
      <c r="B118" s="5">
        <f t="shared" si="15"/>
        <v>45839</v>
      </c>
      <c r="C118" s="218" t="s">
        <v>533</v>
      </c>
      <c r="D118" s="195"/>
      <c r="E118" s="186"/>
      <c r="F118" s="2"/>
      <c r="G118" s="3">
        <f t="shared" ref="G118:G182" si="17">F118-SUM(M118:P118)</f>
        <v>0</v>
      </c>
      <c r="H118" s="187"/>
      <c r="I118" s="7"/>
      <c r="J118" s="7">
        <v>1.6500000000000001E-2</v>
      </c>
      <c r="K118" s="7">
        <v>7.5999999999999998E-2</v>
      </c>
      <c r="L118" s="7">
        <v>0</v>
      </c>
      <c r="M118" s="11">
        <f t="shared" si="2"/>
        <v>0</v>
      </c>
      <c r="N118" s="11">
        <f t="shared" si="3"/>
        <v>0</v>
      </c>
      <c r="O118" s="11">
        <f t="shared" si="4"/>
        <v>0</v>
      </c>
      <c r="P118" s="11">
        <f t="shared" si="16"/>
        <v>0</v>
      </c>
    </row>
    <row r="119" spans="1:16" ht="15" hidden="1" customHeight="1">
      <c r="A119" s="44"/>
      <c r="B119" s="5">
        <f t="shared" si="15"/>
        <v>45839</v>
      </c>
      <c r="C119" s="218" t="s">
        <v>533</v>
      </c>
      <c r="D119" s="195"/>
      <c r="E119" s="186"/>
      <c r="F119" s="2"/>
      <c r="G119" s="3">
        <f t="shared" si="17"/>
        <v>0</v>
      </c>
      <c r="H119" s="187"/>
      <c r="I119" s="7"/>
      <c r="J119" s="7">
        <v>1.6500000000000001E-2</v>
      </c>
      <c r="K119" s="7">
        <v>7.5999999999999998E-2</v>
      </c>
      <c r="L119" s="7">
        <v>0</v>
      </c>
      <c r="M119" s="11">
        <f t="shared" si="2"/>
        <v>0</v>
      </c>
      <c r="N119" s="11">
        <f t="shared" si="3"/>
        <v>0</v>
      </c>
      <c r="O119" s="11">
        <f t="shared" si="4"/>
        <v>0</v>
      </c>
      <c r="P119" s="11">
        <f t="shared" si="16"/>
        <v>0</v>
      </c>
    </row>
    <row r="120" spans="1:16" ht="15" hidden="1" customHeight="1">
      <c r="A120" s="44"/>
      <c r="B120" s="5">
        <f t="shared" si="15"/>
        <v>45839</v>
      </c>
      <c r="C120" s="218" t="s">
        <v>533</v>
      </c>
      <c r="D120" s="195"/>
      <c r="E120" s="186"/>
      <c r="F120" s="2"/>
      <c r="G120" s="3">
        <f t="shared" si="17"/>
        <v>0</v>
      </c>
      <c r="H120" s="187"/>
      <c r="I120" s="7"/>
      <c r="J120" s="7">
        <v>1.6500000000000001E-2</v>
      </c>
      <c r="K120" s="7">
        <v>7.5999999999999998E-2</v>
      </c>
      <c r="L120" s="7">
        <v>0</v>
      </c>
      <c r="M120" s="11">
        <f t="shared" si="2"/>
        <v>0</v>
      </c>
      <c r="N120" s="11">
        <f t="shared" si="3"/>
        <v>0</v>
      </c>
      <c r="O120" s="11">
        <f t="shared" si="4"/>
        <v>0</v>
      </c>
      <c r="P120" s="11">
        <f t="shared" si="16"/>
        <v>0</v>
      </c>
    </row>
    <row r="121" spans="1:16" ht="15" hidden="1" customHeight="1">
      <c r="A121" s="44"/>
      <c r="B121" s="5">
        <f t="shared" si="15"/>
        <v>45839</v>
      </c>
      <c r="C121" s="218" t="s">
        <v>533</v>
      </c>
      <c r="D121" s="195"/>
      <c r="E121" s="186"/>
      <c r="F121" s="2"/>
      <c r="G121" s="3">
        <f t="shared" si="17"/>
        <v>0</v>
      </c>
      <c r="H121" s="187"/>
      <c r="I121" s="7"/>
      <c r="J121" s="7">
        <v>1.6500000000000001E-2</v>
      </c>
      <c r="K121" s="7">
        <v>7.5999999999999998E-2</v>
      </c>
      <c r="L121" s="7">
        <v>0</v>
      </c>
      <c r="M121" s="11">
        <f t="shared" si="2"/>
        <v>0</v>
      </c>
      <c r="N121" s="11">
        <f t="shared" si="3"/>
        <v>0</v>
      </c>
      <c r="O121" s="11">
        <f t="shared" si="4"/>
        <v>0</v>
      </c>
      <c r="P121" s="11">
        <f t="shared" si="16"/>
        <v>0</v>
      </c>
    </row>
    <row r="122" spans="1:16" ht="15" hidden="1" customHeight="1">
      <c r="A122" s="44"/>
      <c r="B122" s="5">
        <f t="shared" si="15"/>
        <v>45839</v>
      </c>
      <c r="C122" s="218" t="s">
        <v>533</v>
      </c>
      <c r="D122" s="195"/>
      <c r="E122" s="186"/>
      <c r="F122" s="2"/>
      <c r="G122" s="3">
        <f t="shared" si="17"/>
        <v>0</v>
      </c>
      <c r="H122" s="187"/>
      <c r="I122" s="7"/>
      <c r="J122" s="7">
        <v>1.6500000000000001E-2</v>
      </c>
      <c r="K122" s="7">
        <v>7.5999999999999998E-2</v>
      </c>
      <c r="L122" s="7">
        <v>0</v>
      </c>
      <c r="M122" s="11">
        <f t="shared" si="2"/>
        <v>0</v>
      </c>
      <c r="N122" s="11">
        <f t="shared" si="3"/>
        <v>0</v>
      </c>
      <c r="O122" s="11">
        <f t="shared" si="4"/>
        <v>0</v>
      </c>
      <c r="P122" s="11">
        <f t="shared" si="16"/>
        <v>0</v>
      </c>
    </row>
    <row r="123" spans="1:16" ht="15" hidden="1" customHeight="1">
      <c r="A123" s="44"/>
      <c r="B123" s="5">
        <f t="shared" ref="B123:B182" si="18">B122</f>
        <v>45839</v>
      </c>
      <c r="C123" s="218" t="s">
        <v>533</v>
      </c>
      <c r="D123" s="195"/>
      <c r="E123" s="186"/>
      <c r="F123" s="2"/>
      <c r="G123" s="3">
        <f t="shared" si="17"/>
        <v>0</v>
      </c>
      <c r="H123" s="187"/>
      <c r="I123" s="7"/>
      <c r="J123" s="7">
        <v>1.6500000000000001E-2</v>
      </c>
      <c r="K123" s="7">
        <v>7.5999999999999998E-2</v>
      </c>
      <c r="L123" s="7">
        <v>0</v>
      </c>
      <c r="M123" s="11">
        <f t="shared" si="2"/>
        <v>0</v>
      </c>
      <c r="N123" s="11">
        <f t="shared" si="3"/>
        <v>0</v>
      </c>
      <c r="O123" s="11">
        <f t="shared" si="4"/>
        <v>0</v>
      </c>
      <c r="P123" s="11">
        <f t="shared" si="16"/>
        <v>0</v>
      </c>
    </row>
    <row r="124" spans="1:16" ht="15" hidden="1" customHeight="1">
      <c r="A124" s="44"/>
      <c r="B124" s="5">
        <f t="shared" si="18"/>
        <v>45839</v>
      </c>
      <c r="C124" s="218" t="s">
        <v>533</v>
      </c>
      <c r="D124" s="195"/>
      <c r="E124" s="186"/>
      <c r="F124" s="2"/>
      <c r="G124" s="3">
        <f t="shared" si="17"/>
        <v>0</v>
      </c>
      <c r="H124" s="187"/>
      <c r="I124" s="7"/>
      <c r="J124" s="7">
        <v>1.6500000000000001E-2</v>
      </c>
      <c r="K124" s="7">
        <v>7.5999999999999998E-2</v>
      </c>
      <c r="L124" s="7">
        <v>0</v>
      </c>
      <c r="M124" s="11">
        <f t="shared" si="2"/>
        <v>0</v>
      </c>
      <c r="N124" s="11">
        <f t="shared" si="3"/>
        <v>0</v>
      </c>
      <c r="O124" s="11">
        <f t="shared" si="4"/>
        <v>0</v>
      </c>
      <c r="P124" s="11">
        <f t="shared" si="16"/>
        <v>0</v>
      </c>
    </row>
    <row r="125" spans="1:16" ht="15" hidden="1" customHeight="1">
      <c r="A125" s="44"/>
      <c r="B125" s="5">
        <f t="shared" si="18"/>
        <v>45839</v>
      </c>
      <c r="C125" s="218" t="s">
        <v>533</v>
      </c>
      <c r="D125" s="195"/>
      <c r="E125" s="186"/>
      <c r="F125" s="2"/>
      <c r="G125" s="3">
        <f t="shared" si="17"/>
        <v>0</v>
      </c>
      <c r="H125" s="187"/>
      <c r="I125" s="7"/>
      <c r="J125" s="7">
        <v>1.6500000000000001E-2</v>
      </c>
      <c r="K125" s="7">
        <v>7.5999999999999998E-2</v>
      </c>
      <c r="L125" s="7">
        <v>0</v>
      </c>
      <c r="M125" s="11">
        <f t="shared" si="2"/>
        <v>0</v>
      </c>
      <c r="N125" s="11">
        <f t="shared" si="3"/>
        <v>0</v>
      </c>
      <c r="O125" s="11">
        <f t="shared" si="4"/>
        <v>0</v>
      </c>
      <c r="P125" s="11">
        <f t="shared" si="16"/>
        <v>0</v>
      </c>
    </row>
    <row r="126" spans="1:16" ht="15" hidden="1" customHeight="1">
      <c r="A126" s="44"/>
      <c r="B126" s="5">
        <f t="shared" si="18"/>
        <v>45839</v>
      </c>
      <c r="C126" s="218" t="s">
        <v>533</v>
      </c>
      <c r="D126" s="195"/>
      <c r="E126" s="186"/>
      <c r="F126" s="2"/>
      <c r="G126" s="3">
        <f t="shared" si="17"/>
        <v>0</v>
      </c>
      <c r="H126" s="187"/>
      <c r="I126" s="7"/>
      <c r="J126" s="7">
        <v>1.6500000000000001E-2</v>
      </c>
      <c r="K126" s="7">
        <v>7.5999999999999998E-2</v>
      </c>
      <c r="L126" s="7">
        <v>0</v>
      </c>
      <c r="M126" s="11">
        <f t="shared" si="2"/>
        <v>0</v>
      </c>
      <c r="N126" s="11">
        <f t="shared" si="3"/>
        <v>0</v>
      </c>
      <c r="O126" s="11">
        <f t="shared" si="4"/>
        <v>0</v>
      </c>
      <c r="P126" s="11">
        <f t="shared" si="16"/>
        <v>0</v>
      </c>
    </row>
    <row r="127" spans="1:16" ht="15" hidden="1" customHeight="1">
      <c r="A127" s="44"/>
      <c r="B127" s="5">
        <f t="shared" si="18"/>
        <v>45839</v>
      </c>
      <c r="C127" s="218" t="s">
        <v>533</v>
      </c>
      <c r="D127" s="195"/>
      <c r="E127" s="186"/>
      <c r="F127" s="2"/>
      <c r="G127" s="3">
        <f t="shared" si="17"/>
        <v>0</v>
      </c>
      <c r="H127" s="187"/>
      <c r="I127" s="7"/>
      <c r="J127" s="7">
        <v>1.6500000000000001E-2</v>
      </c>
      <c r="K127" s="7">
        <v>7.5999999999999998E-2</v>
      </c>
      <c r="L127" s="7">
        <v>0</v>
      </c>
      <c r="M127" s="11">
        <f t="shared" si="2"/>
        <v>0</v>
      </c>
      <c r="N127" s="11">
        <f t="shared" si="3"/>
        <v>0</v>
      </c>
      <c r="O127" s="11">
        <f t="shared" si="4"/>
        <v>0</v>
      </c>
      <c r="P127" s="11">
        <f t="shared" si="16"/>
        <v>0</v>
      </c>
    </row>
    <row r="128" spans="1:16" ht="15" hidden="1" customHeight="1">
      <c r="A128" s="44"/>
      <c r="B128" s="5">
        <f t="shared" si="18"/>
        <v>45839</v>
      </c>
      <c r="C128" s="218" t="s">
        <v>533</v>
      </c>
      <c r="D128" s="195"/>
      <c r="E128" s="186"/>
      <c r="F128" s="2"/>
      <c r="G128" s="3">
        <f t="shared" si="17"/>
        <v>0</v>
      </c>
      <c r="H128" s="187"/>
      <c r="I128" s="7"/>
      <c r="J128" s="7">
        <v>1.6500000000000001E-2</v>
      </c>
      <c r="K128" s="7">
        <v>7.5999999999999998E-2</v>
      </c>
      <c r="L128" s="7">
        <v>0</v>
      </c>
      <c r="M128" s="11">
        <f t="shared" si="2"/>
        <v>0</v>
      </c>
      <c r="N128" s="11">
        <f t="shared" si="3"/>
        <v>0</v>
      </c>
      <c r="O128" s="11">
        <f t="shared" si="4"/>
        <v>0</v>
      </c>
      <c r="P128" s="11">
        <f t="shared" si="16"/>
        <v>0</v>
      </c>
    </row>
    <row r="129" spans="1:16" ht="15" hidden="1" customHeight="1">
      <c r="A129" s="44"/>
      <c r="B129" s="5">
        <f t="shared" si="18"/>
        <v>45839</v>
      </c>
      <c r="C129" s="218" t="s">
        <v>533</v>
      </c>
      <c r="D129" s="195"/>
      <c r="E129" s="186"/>
      <c r="F129" s="2"/>
      <c r="G129" s="3">
        <f t="shared" si="17"/>
        <v>0</v>
      </c>
      <c r="H129" s="187"/>
      <c r="I129" s="7"/>
      <c r="J129" s="7">
        <v>1.6500000000000001E-2</v>
      </c>
      <c r="K129" s="7">
        <v>7.5999999999999998E-2</v>
      </c>
      <c r="L129" s="7">
        <v>0</v>
      </c>
      <c r="M129" s="11">
        <f t="shared" si="2"/>
        <v>0</v>
      </c>
      <c r="N129" s="11">
        <f t="shared" si="3"/>
        <v>0</v>
      </c>
      <c r="O129" s="11">
        <f t="shared" si="4"/>
        <v>0</v>
      </c>
      <c r="P129" s="11">
        <f t="shared" si="16"/>
        <v>0</v>
      </c>
    </row>
    <row r="130" spans="1:16" ht="15" hidden="1" customHeight="1">
      <c r="A130" s="44"/>
      <c r="B130" s="5">
        <f t="shared" si="18"/>
        <v>45839</v>
      </c>
      <c r="C130" s="218" t="s">
        <v>533</v>
      </c>
      <c r="D130" s="195"/>
      <c r="E130" s="186"/>
      <c r="F130" s="2"/>
      <c r="G130" s="3">
        <f t="shared" si="17"/>
        <v>0</v>
      </c>
      <c r="H130" s="187"/>
      <c r="I130" s="7"/>
      <c r="J130" s="7">
        <v>1.6500000000000001E-2</v>
      </c>
      <c r="K130" s="7">
        <v>7.5999999999999998E-2</v>
      </c>
      <c r="L130" s="7">
        <v>0</v>
      </c>
      <c r="M130" s="11">
        <f t="shared" si="2"/>
        <v>0</v>
      </c>
      <c r="N130" s="11">
        <f t="shared" si="3"/>
        <v>0</v>
      </c>
      <c r="O130" s="11">
        <f t="shared" si="4"/>
        <v>0</v>
      </c>
      <c r="P130" s="11">
        <f t="shared" si="16"/>
        <v>0</v>
      </c>
    </row>
    <row r="131" spans="1:16" ht="15" hidden="1" customHeight="1">
      <c r="A131" s="44"/>
      <c r="B131" s="5">
        <f t="shared" si="18"/>
        <v>45839</v>
      </c>
      <c r="C131" s="218" t="s">
        <v>533</v>
      </c>
      <c r="D131" s="195"/>
      <c r="E131" s="186"/>
      <c r="F131" s="2"/>
      <c r="G131" s="3">
        <f t="shared" si="17"/>
        <v>0</v>
      </c>
      <c r="H131" s="187"/>
      <c r="I131" s="7"/>
      <c r="J131" s="7">
        <v>1.6500000000000001E-2</v>
      </c>
      <c r="K131" s="7">
        <v>7.5999999999999998E-2</v>
      </c>
      <c r="L131" s="7">
        <v>0</v>
      </c>
      <c r="M131" s="11">
        <f t="shared" si="2"/>
        <v>0</v>
      </c>
      <c r="N131" s="11">
        <f t="shared" si="3"/>
        <v>0</v>
      </c>
      <c r="O131" s="11">
        <f t="shared" si="4"/>
        <v>0</v>
      </c>
      <c r="P131" s="11">
        <f t="shared" si="16"/>
        <v>0</v>
      </c>
    </row>
    <row r="132" spans="1:16" ht="15" hidden="1" customHeight="1">
      <c r="A132" s="44"/>
      <c r="B132" s="5">
        <f t="shared" si="18"/>
        <v>45839</v>
      </c>
      <c r="C132" s="218" t="s">
        <v>533</v>
      </c>
      <c r="D132" s="195"/>
      <c r="E132" s="186"/>
      <c r="F132" s="2"/>
      <c r="G132" s="3">
        <f t="shared" si="17"/>
        <v>0</v>
      </c>
      <c r="H132" s="187"/>
      <c r="I132" s="7"/>
      <c r="J132" s="7">
        <v>1.6500000000000001E-2</v>
      </c>
      <c r="K132" s="7">
        <v>7.5999999999999998E-2</v>
      </c>
      <c r="L132" s="7">
        <v>0</v>
      </c>
      <c r="M132" s="11">
        <f t="shared" si="2"/>
        <v>0</v>
      </c>
      <c r="N132" s="11">
        <f t="shared" si="3"/>
        <v>0</v>
      </c>
      <c r="O132" s="11">
        <f t="shared" si="4"/>
        <v>0</v>
      </c>
      <c r="P132" s="11">
        <f t="shared" si="16"/>
        <v>0</v>
      </c>
    </row>
    <row r="133" spans="1:16" ht="15" hidden="1" customHeight="1">
      <c r="A133" s="44"/>
      <c r="B133" s="5">
        <f t="shared" si="18"/>
        <v>45839</v>
      </c>
      <c r="C133" s="218" t="s">
        <v>533</v>
      </c>
      <c r="D133" s="195"/>
      <c r="E133" s="186"/>
      <c r="F133" s="2"/>
      <c r="G133" s="3">
        <f t="shared" si="17"/>
        <v>0</v>
      </c>
      <c r="H133" s="187"/>
      <c r="I133" s="7"/>
      <c r="J133" s="7">
        <v>1.6500000000000001E-2</v>
      </c>
      <c r="K133" s="7">
        <v>7.5999999999999998E-2</v>
      </c>
      <c r="L133" s="7">
        <v>0</v>
      </c>
      <c r="M133" s="11">
        <f t="shared" si="2"/>
        <v>0</v>
      </c>
      <c r="N133" s="11">
        <f t="shared" si="3"/>
        <v>0</v>
      </c>
      <c r="O133" s="11">
        <f t="shared" si="4"/>
        <v>0</v>
      </c>
      <c r="P133" s="11">
        <f t="shared" si="16"/>
        <v>0</v>
      </c>
    </row>
    <row r="134" spans="1:16" ht="15" hidden="1" customHeight="1">
      <c r="A134" s="44"/>
      <c r="B134" s="5">
        <f t="shared" si="18"/>
        <v>45839</v>
      </c>
      <c r="C134" s="218" t="s">
        <v>533</v>
      </c>
      <c r="D134" s="195"/>
      <c r="E134" s="186"/>
      <c r="F134" s="2"/>
      <c r="G134" s="3">
        <f t="shared" si="17"/>
        <v>0</v>
      </c>
      <c r="H134" s="187"/>
      <c r="I134" s="7"/>
      <c r="J134" s="7">
        <v>1.6500000000000001E-2</v>
      </c>
      <c r="K134" s="7">
        <v>7.5999999999999998E-2</v>
      </c>
      <c r="L134" s="7">
        <v>0</v>
      </c>
      <c r="M134" s="11">
        <f t="shared" si="2"/>
        <v>0</v>
      </c>
      <c r="N134" s="11">
        <f t="shared" si="3"/>
        <v>0</v>
      </c>
      <c r="O134" s="11">
        <f t="shared" si="4"/>
        <v>0</v>
      </c>
      <c r="P134" s="11">
        <f t="shared" si="16"/>
        <v>0</v>
      </c>
    </row>
    <row r="135" spans="1:16" ht="15" hidden="1" customHeight="1">
      <c r="A135" s="44"/>
      <c r="B135" s="5">
        <f t="shared" si="18"/>
        <v>45839</v>
      </c>
      <c r="C135" s="218" t="s">
        <v>533</v>
      </c>
      <c r="D135" s="195"/>
      <c r="E135" s="186"/>
      <c r="F135" s="2"/>
      <c r="G135" s="3">
        <f t="shared" si="17"/>
        <v>0</v>
      </c>
      <c r="H135" s="187"/>
      <c r="I135" s="7"/>
      <c r="J135" s="7">
        <v>1.6500000000000001E-2</v>
      </c>
      <c r="K135" s="7">
        <v>7.5999999999999998E-2</v>
      </c>
      <c r="L135" s="7">
        <v>0</v>
      </c>
      <c r="M135" s="11">
        <f t="shared" si="2"/>
        <v>0</v>
      </c>
      <c r="N135" s="11">
        <f t="shared" si="3"/>
        <v>0</v>
      </c>
      <c r="O135" s="11">
        <f t="shared" si="4"/>
        <v>0</v>
      </c>
      <c r="P135" s="11">
        <f t="shared" si="16"/>
        <v>0</v>
      </c>
    </row>
    <row r="136" spans="1:16" ht="15" hidden="1" customHeight="1">
      <c r="A136" s="44"/>
      <c r="B136" s="5">
        <f t="shared" si="18"/>
        <v>45839</v>
      </c>
      <c r="C136" s="218" t="s">
        <v>533</v>
      </c>
      <c r="D136" s="195"/>
      <c r="E136" s="186"/>
      <c r="F136" s="2"/>
      <c r="G136" s="3">
        <f t="shared" si="17"/>
        <v>0</v>
      </c>
      <c r="H136" s="187"/>
      <c r="I136" s="7"/>
      <c r="J136" s="7">
        <v>1.6500000000000001E-2</v>
      </c>
      <c r="K136" s="7">
        <v>7.5999999999999998E-2</v>
      </c>
      <c r="L136" s="7">
        <v>0</v>
      </c>
      <c r="M136" s="11">
        <f t="shared" si="2"/>
        <v>0</v>
      </c>
      <c r="N136" s="11">
        <f t="shared" si="3"/>
        <v>0</v>
      </c>
      <c r="O136" s="11">
        <f t="shared" si="4"/>
        <v>0</v>
      </c>
      <c r="P136" s="11">
        <f t="shared" si="16"/>
        <v>0</v>
      </c>
    </row>
    <row r="137" spans="1:16" ht="15" hidden="1" customHeight="1">
      <c r="A137" s="44"/>
      <c r="B137" s="5">
        <f t="shared" si="18"/>
        <v>45839</v>
      </c>
      <c r="C137" s="218" t="s">
        <v>533</v>
      </c>
      <c r="D137" s="195"/>
      <c r="E137" s="186"/>
      <c r="F137" s="2"/>
      <c r="G137" s="3">
        <f t="shared" si="17"/>
        <v>0</v>
      </c>
      <c r="H137" s="187"/>
      <c r="I137" s="7"/>
      <c r="J137" s="7">
        <v>1.6500000000000001E-2</v>
      </c>
      <c r="K137" s="7">
        <v>7.5999999999999998E-2</v>
      </c>
      <c r="L137" s="7">
        <v>0</v>
      </c>
      <c r="M137" s="11">
        <f t="shared" si="2"/>
        <v>0</v>
      </c>
      <c r="N137" s="11">
        <f t="shared" si="3"/>
        <v>0</v>
      </c>
      <c r="O137" s="11">
        <f t="shared" si="4"/>
        <v>0</v>
      </c>
      <c r="P137" s="11">
        <f t="shared" si="16"/>
        <v>0</v>
      </c>
    </row>
    <row r="138" spans="1:16" ht="15" hidden="1" customHeight="1">
      <c r="A138" s="44"/>
      <c r="B138" s="5">
        <f t="shared" si="18"/>
        <v>45839</v>
      </c>
      <c r="C138" s="218" t="s">
        <v>533</v>
      </c>
      <c r="D138" s="195"/>
      <c r="E138" s="186"/>
      <c r="F138" s="2"/>
      <c r="G138" s="3">
        <f t="shared" si="17"/>
        <v>0</v>
      </c>
      <c r="H138" s="187"/>
      <c r="I138" s="7"/>
      <c r="J138" s="7">
        <v>1.6500000000000001E-2</v>
      </c>
      <c r="K138" s="7">
        <v>7.5999999999999998E-2</v>
      </c>
      <c r="L138" s="7">
        <v>0</v>
      </c>
      <c r="M138" s="11">
        <f t="shared" si="2"/>
        <v>0</v>
      </c>
      <c r="N138" s="11">
        <f t="shared" si="3"/>
        <v>0</v>
      </c>
      <c r="O138" s="11">
        <f t="shared" si="4"/>
        <v>0</v>
      </c>
      <c r="P138" s="11">
        <f t="shared" si="16"/>
        <v>0</v>
      </c>
    </row>
    <row r="139" spans="1:16" ht="15" hidden="1" customHeight="1">
      <c r="A139" s="44"/>
      <c r="B139" s="5">
        <f t="shared" si="18"/>
        <v>45839</v>
      </c>
      <c r="C139" s="218" t="s">
        <v>533</v>
      </c>
      <c r="D139" s="195"/>
      <c r="E139" s="186"/>
      <c r="F139" s="2"/>
      <c r="G139" s="3">
        <f t="shared" si="17"/>
        <v>0</v>
      </c>
      <c r="H139" s="187"/>
      <c r="I139" s="7"/>
      <c r="J139" s="7">
        <v>1.6500000000000001E-2</v>
      </c>
      <c r="K139" s="7">
        <v>7.5999999999999998E-2</v>
      </c>
      <c r="L139" s="7">
        <v>0</v>
      </c>
      <c r="M139" s="11">
        <f t="shared" si="2"/>
        <v>0</v>
      </c>
      <c r="N139" s="11">
        <f t="shared" si="3"/>
        <v>0</v>
      </c>
      <c r="O139" s="11">
        <f t="shared" si="4"/>
        <v>0</v>
      </c>
      <c r="P139" s="11">
        <f t="shared" si="16"/>
        <v>0</v>
      </c>
    </row>
    <row r="140" spans="1:16" ht="15" hidden="1" customHeight="1">
      <c r="A140" s="44"/>
      <c r="B140" s="5">
        <f t="shared" si="18"/>
        <v>45839</v>
      </c>
      <c r="C140" s="218" t="s">
        <v>533</v>
      </c>
      <c r="D140" s="195"/>
      <c r="E140" s="186"/>
      <c r="F140" s="2"/>
      <c r="G140" s="3">
        <f t="shared" si="17"/>
        <v>0</v>
      </c>
      <c r="H140" s="187"/>
      <c r="I140" s="7"/>
      <c r="J140" s="7">
        <v>1.6500000000000001E-2</v>
      </c>
      <c r="K140" s="7">
        <v>7.5999999999999998E-2</v>
      </c>
      <c r="L140" s="7">
        <v>0</v>
      </c>
      <c r="M140" s="11">
        <f t="shared" si="2"/>
        <v>0</v>
      </c>
      <c r="N140" s="11">
        <f t="shared" si="3"/>
        <v>0</v>
      </c>
      <c r="O140" s="11">
        <f t="shared" si="4"/>
        <v>0</v>
      </c>
      <c r="P140" s="11">
        <f t="shared" si="16"/>
        <v>0</v>
      </c>
    </row>
    <row r="141" spans="1:16" ht="15" hidden="1" customHeight="1">
      <c r="A141" s="44"/>
      <c r="B141" s="5">
        <f t="shared" si="18"/>
        <v>45839</v>
      </c>
      <c r="C141" s="218" t="s">
        <v>533</v>
      </c>
      <c r="D141" s="195"/>
      <c r="E141" s="186"/>
      <c r="F141" s="2"/>
      <c r="G141" s="3">
        <f t="shared" si="17"/>
        <v>0</v>
      </c>
      <c r="H141" s="187"/>
      <c r="I141" s="7"/>
      <c r="J141" s="7">
        <v>1.6500000000000001E-2</v>
      </c>
      <c r="K141" s="7">
        <v>7.5999999999999998E-2</v>
      </c>
      <c r="L141" s="7">
        <v>0</v>
      </c>
      <c r="M141" s="11">
        <f t="shared" si="2"/>
        <v>0</v>
      </c>
      <c r="N141" s="11">
        <f t="shared" si="3"/>
        <v>0</v>
      </c>
      <c r="O141" s="11">
        <f t="shared" si="4"/>
        <v>0</v>
      </c>
      <c r="P141" s="11">
        <f t="shared" si="16"/>
        <v>0</v>
      </c>
    </row>
    <row r="142" spans="1:16" ht="15" hidden="1" customHeight="1">
      <c r="A142" s="44"/>
      <c r="B142" s="5">
        <f t="shared" si="18"/>
        <v>45839</v>
      </c>
      <c r="C142" s="218" t="s">
        <v>533</v>
      </c>
      <c r="D142" s="195"/>
      <c r="E142" s="186"/>
      <c r="F142" s="2"/>
      <c r="G142" s="3">
        <f t="shared" si="17"/>
        <v>0</v>
      </c>
      <c r="H142" s="187"/>
      <c r="I142" s="7"/>
      <c r="J142" s="7">
        <v>1.6500000000000001E-2</v>
      </c>
      <c r="K142" s="7">
        <v>7.5999999999999998E-2</v>
      </c>
      <c r="L142" s="7">
        <v>0</v>
      </c>
      <c r="M142" s="11">
        <f t="shared" si="2"/>
        <v>0</v>
      </c>
      <c r="N142" s="11">
        <f t="shared" si="3"/>
        <v>0</v>
      </c>
      <c r="O142" s="11">
        <f t="shared" si="4"/>
        <v>0</v>
      </c>
      <c r="P142" s="11">
        <f t="shared" si="16"/>
        <v>0</v>
      </c>
    </row>
    <row r="143" spans="1:16" ht="15" hidden="1" customHeight="1">
      <c r="A143" s="44"/>
      <c r="B143" s="5">
        <f t="shared" si="18"/>
        <v>45839</v>
      </c>
      <c r="C143" s="218" t="s">
        <v>533</v>
      </c>
      <c r="D143" s="195"/>
      <c r="E143" s="186"/>
      <c r="F143" s="2"/>
      <c r="G143" s="3">
        <f t="shared" si="17"/>
        <v>0</v>
      </c>
      <c r="H143" s="187"/>
      <c r="I143" s="7"/>
      <c r="J143" s="7">
        <v>1.6500000000000001E-2</v>
      </c>
      <c r="K143" s="7">
        <v>7.5999999999999998E-2</v>
      </c>
      <c r="L143" s="7">
        <v>0</v>
      </c>
      <c r="M143" s="11">
        <f t="shared" si="2"/>
        <v>0</v>
      </c>
      <c r="N143" s="11">
        <f t="shared" si="3"/>
        <v>0</v>
      </c>
      <c r="O143" s="11">
        <f t="shared" si="4"/>
        <v>0</v>
      </c>
      <c r="P143" s="11">
        <f t="shared" si="16"/>
        <v>0</v>
      </c>
    </row>
    <row r="144" spans="1:16" ht="15" hidden="1" customHeight="1">
      <c r="A144" s="44"/>
      <c r="B144" s="5">
        <f t="shared" si="18"/>
        <v>45839</v>
      </c>
      <c r="C144" s="218" t="s">
        <v>533</v>
      </c>
      <c r="D144" s="195"/>
      <c r="E144" s="186"/>
      <c r="F144" s="2"/>
      <c r="G144" s="3">
        <f t="shared" si="17"/>
        <v>0</v>
      </c>
      <c r="H144" s="187"/>
      <c r="I144" s="7"/>
      <c r="J144" s="7">
        <v>1.6500000000000001E-2</v>
      </c>
      <c r="K144" s="7">
        <v>7.5999999999999998E-2</v>
      </c>
      <c r="L144" s="7">
        <v>0</v>
      </c>
      <c r="M144" s="11">
        <f t="shared" si="2"/>
        <v>0</v>
      </c>
      <c r="N144" s="11">
        <f t="shared" si="3"/>
        <v>0</v>
      </c>
      <c r="O144" s="11">
        <f t="shared" si="4"/>
        <v>0</v>
      </c>
      <c r="P144" s="11">
        <f t="shared" si="16"/>
        <v>0</v>
      </c>
    </row>
    <row r="145" spans="1:16" ht="15" hidden="1" customHeight="1">
      <c r="A145" s="44"/>
      <c r="B145" s="5">
        <f t="shared" si="18"/>
        <v>45839</v>
      </c>
      <c r="C145" s="218" t="s">
        <v>533</v>
      </c>
      <c r="D145" s="195"/>
      <c r="E145" s="186"/>
      <c r="F145" s="2"/>
      <c r="G145" s="3">
        <f t="shared" si="17"/>
        <v>0</v>
      </c>
      <c r="H145" s="187"/>
      <c r="I145" s="7"/>
      <c r="J145" s="7">
        <v>1.6500000000000001E-2</v>
      </c>
      <c r="K145" s="7">
        <v>7.5999999999999998E-2</v>
      </c>
      <c r="L145" s="7">
        <v>0</v>
      </c>
      <c r="M145" s="11">
        <f t="shared" si="2"/>
        <v>0</v>
      </c>
      <c r="N145" s="11">
        <f t="shared" si="3"/>
        <v>0</v>
      </c>
      <c r="O145" s="11">
        <f t="shared" si="4"/>
        <v>0</v>
      </c>
      <c r="P145" s="11">
        <f t="shared" si="16"/>
        <v>0</v>
      </c>
    </row>
    <row r="146" spans="1:16" ht="15" hidden="1" customHeight="1">
      <c r="A146" s="44"/>
      <c r="B146" s="5">
        <f t="shared" si="18"/>
        <v>45839</v>
      </c>
      <c r="C146" s="218" t="s">
        <v>533</v>
      </c>
      <c r="D146" s="195"/>
      <c r="E146" s="186"/>
      <c r="F146" s="2"/>
      <c r="G146" s="3">
        <f t="shared" si="17"/>
        <v>0</v>
      </c>
      <c r="H146" s="187"/>
      <c r="I146" s="7"/>
      <c r="J146" s="7">
        <v>1.6500000000000001E-2</v>
      </c>
      <c r="K146" s="7">
        <v>7.5999999999999998E-2</v>
      </c>
      <c r="L146" s="7">
        <v>0</v>
      </c>
      <c r="M146" s="11">
        <f t="shared" si="2"/>
        <v>0</v>
      </c>
      <c r="N146" s="11">
        <f t="shared" si="3"/>
        <v>0</v>
      </c>
      <c r="O146" s="11">
        <f t="shared" si="4"/>
        <v>0</v>
      </c>
      <c r="P146" s="11">
        <f t="shared" si="16"/>
        <v>0</v>
      </c>
    </row>
    <row r="147" spans="1:16" ht="15" hidden="1" customHeight="1">
      <c r="A147" s="44"/>
      <c r="B147" s="5">
        <f t="shared" si="18"/>
        <v>45839</v>
      </c>
      <c r="C147" s="218" t="s">
        <v>533</v>
      </c>
      <c r="D147" s="195"/>
      <c r="E147" s="186"/>
      <c r="F147" s="2"/>
      <c r="G147" s="3">
        <f t="shared" si="17"/>
        <v>0</v>
      </c>
      <c r="H147" s="187"/>
      <c r="I147" s="7"/>
      <c r="J147" s="7">
        <v>1.6500000000000001E-2</v>
      </c>
      <c r="K147" s="7">
        <v>7.5999999999999998E-2</v>
      </c>
      <c r="L147" s="7">
        <v>0</v>
      </c>
      <c r="M147" s="11">
        <f t="shared" si="2"/>
        <v>0</v>
      </c>
      <c r="N147" s="11">
        <f t="shared" si="3"/>
        <v>0</v>
      </c>
      <c r="O147" s="11">
        <f t="shared" si="4"/>
        <v>0</v>
      </c>
      <c r="P147" s="11">
        <f t="shared" si="16"/>
        <v>0</v>
      </c>
    </row>
    <row r="148" spans="1:16" ht="15" hidden="1" customHeight="1">
      <c r="A148" s="44"/>
      <c r="B148" s="5">
        <f t="shared" si="18"/>
        <v>45839</v>
      </c>
      <c r="C148" s="218" t="s">
        <v>533</v>
      </c>
      <c r="D148" s="195"/>
      <c r="E148" s="186"/>
      <c r="F148" s="2"/>
      <c r="G148" s="3">
        <f t="shared" si="17"/>
        <v>0</v>
      </c>
      <c r="H148" s="187"/>
      <c r="I148" s="7"/>
      <c r="J148" s="7">
        <v>1.6500000000000001E-2</v>
      </c>
      <c r="K148" s="7">
        <v>7.5999999999999998E-2</v>
      </c>
      <c r="L148" s="7">
        <v>0</v>
      </c>
      <c r="M148" s="11">
        <f t="shared" si="2"/>
        <v>0</v>
      </c>
      <c r="N148" s="11">
        <f t="shared" si="3"/>
        <v>0</v>
      </c>
      <c r="O148" s="11">
        <f t="shared" si="4"/>
        <v>0</v>
      </c>
      <c r="P148" s="11">
        <f t="shared" si="16"/>
        <v>0</v>
      </c>
    </row>
    <row r="149" spans="1:16" ht="15" hidden="1" customHeight="1">
      <c r="A149" s="44"/>
      <c r="B149" s="5">
        <f t="shared" si="18"/>
        <v>45839</v>
      </c>
      <c r="C149" s="218" t="s">
        <v>533</v>
      </c>
      <c r="D149" s="195"/>
      <c r="E149" s="186"/>
      <c r="F149" s="2"/>
      <c r="G149" s="3">
        <f t="shared" si="17"/>
        <v>0</v>
      </c>
      <c r="H149" s="187"/>
      <c r="I149" s="7"/>
      <c r="J149" s="7">
        <v>1.6500000000000001E-2</v>
      </c>
      <c r="K149" s="7">
        <v>7.5999999999999998E-2</v>
      </c>
      <c r="L149" s="7">
        <v>0</v>
      </c>
      <c r="M149" s="11">
        <f t="shared" si="2"/>
        <v>0</v>
      </c>
      <c r="N149" s="11">
        <f t="shared" si="3"/>
        <v>0</v>
      </c>
      <c r="O149" s="11">
        <f t="shared" si="4"/>
        <v>0</v>
      </c>
      <c r="P149" s="11">
        <f t="shared" si="16"/>
        <v>0</v>
      </c>
    </row>
    <row r="150" spans="1:16" ht="15" hidden="1" customHeight="1">
      <c r="A150" s="44"/>
      <c r="B150" s="5">
        <f t="shared" si="18"/>
        <v>45839</v>
      </c>
      <c r="C150" s="218" t="s">
        <v>533</v>
      </c>
      <c r="D150" s="195"/>
      <c r="E150" s="186"/>
      <c r="F150" s="2"/>
      <c r="G150" s="3">
        <f t="shared" si="17"/>
        <v>0</v>
      </c>
      <c r="H150" s="187"/>
      <c r="I150" s="7"/>
      <c r="J150" s="7">
        <v>1.6500000000000001E-2</v>
      </c>
      <c r="K150" s="7">
        <v>7.5999999999999998E-2</v>
      </c>
      <c r="L150" s="7">
        <v>0</v>
      </c>
      <c r="M150" s="11">
        <f t="shared" si="2"/>
        <v>0</v>
      </c>
      <c r="N150" s="11">
        <f t="shared" si="3"/>
        <v>0</v>
      </c>
      <c r="O150" s="11">
        <f t="shared" si="4"/>
        <v>0</v>
      </c>
      <c r="P150" s="11">
        <f t="shared" si="16"/>
        <v>0</v>
      </c>
    </row>
    <row r="151" spans="1:16" ht="15" hidden="1" customHeight="1">
      <c r="A151" s="44"/>
      <c r="B151" s="5">
        <f t="shared" si="18"/>
        <v>45839</v>
      </c>
      <c r="C151" s="218" t="s">
        <v>533</v>
      </c>
      <c r="D151" s="195"/>
      <c r="E151" s="186"/>
      <c r="F151" s="2"/>
      <c r="G151" s="3">
        <f t="shared" si="17"/>
        <v>0</v>
      </c>
      <c r="H151" s="187"/>
      <c r="I151" s="7"/>
      <c r="J151" s="7">
        <v>1.6500000000000001E-2</v>
      </c>
      <c r="K151" s="7">
        <v>7.5999999999999998E-2</v>
      </c>
      <c r="L151" s="7">
        <v>0</v>
      </c>
      <c r="M151" s="11">
        <f t="shared" si="2"/>
        <v>0</v>
      </c>
      <c r="N151" s="11">
        <f t="shared" si="3"/>
        <v>0</v>
      </c>
      <c r="O151" s="11">
        <f t="shared" si="4"/>
        <v>0</v>
      </c>
      <c r="P151" s="11">
        <f t="shared" si="16"/>
        <v>0</v>
      </c>
    </row>
    <row r="152" spans="1:16" ht="15" hidden="1" customHeight="1">
      <c r="A152" s="44"/>
      <c r="B152" s="5">
        <f t="shared" si="18"/>
        <v>45839</v>
      </c>
      <c r="C152" s="218" t="s">
        <v>533</v>
      </c>
      <c r="D152" s="195"/>
      <c r="E152" s="186"/>
      <c r="F152" s="2"/>
      <c r="G152" s="3">
        <f t="shared" si="17"/>
        <v>0</v>
      </c>
      <c r="H152" s="187"/>
      <c r="I152" s="7"/>
      <c r="J152" s="7">
        <v>1.6500000000000001E-2</v>
      </c>
      <c r="K152" s="7">
        <v>7.5999999999999998E-2</v>
      </c>
      <c r="L152" s="7">
        <v>0</v>
      </c>
      <c r="M152" s="11">
        <f t="shared" si="2"/>
        <v>0</v>
      </c>
      <c r="N152" s="11">
        <f t="shared" si="3"/>
        <v>0</v>
      </c>
      <c r="O152" s="11">
        <f t="shared" si="4"/>
        <v>0</v>
      </c>
      <c r="P152" s="11">
        <f t="shared" si="16"/>
        <v>0</v>
      </c>
    </row>
    <row r="153" spans="1:16" ht="15" hidden="1" customHeight="1">
      <c r="A153" s="44"/>
      <c r="B153" s="5">
        <f t="shared" si="18"/>
        <v>45839</v>
      </c>
      <c r="C153" s="218" t="s">
        <v>533</v>
      </c>
      <c r="D153" s="195"/>
      <c r="E153" s="186"/>
      <c r="F153" s="2"/>
      <c r="G153" s="3">
        <f t="shared" si="17"/>
        <v>0</v>
      </c>
      <c r="H153" s="187"/>
      <c r="I153" s="7"/>
      <c r="J153" s="7">
        <v>1.6500000000000001E-2</v>
      </c>
      <c r="K153" s="7">
        <v>7.5999999999999998E-2</v>
      </c>
      <c r="L153" s="7">
        <v>0</v>
      </c>
      <c r="M153" s="11">
        <f t="shared" si="2"/>
        <v>0</v>
      </c>
      <c r="N153" s="11">
        <f t="shared" si="3"/>
        <v>0</v>
      </c>
      <c r="O153" s="11">
        <f t="shared" si="4"/>
        <v>0</v>
      </c>
      <c r="P153" s="11">
        <f t="shared" si="16"/>
        <v>0</v>
      </c>
    </row>
    <row r="154" spans="1:16" ht="15" hidden="1" customHeight="1">
      <c r="A154" s="44"/>
      <c r="B154" s="5">
        <f t="shared" si="18"/>
        <v>45839</v>
      </c>
      <c r="C154" s="218" t="s">
        <v>533</v>
      </c>
      <c r="D154" s="195"/>
      <c r="E154" s="186"/>
      <c r="F154" s="2"/>
      <c r="G154" s="3">
        <f t="shared" si="17"/>
        <v>0</v>
      </c>
      <c r="H154" s="187"/>
      <c r="I154" s="7"/>
      <c r="J154" s="7">
        <v>1.6500000000000001E-2</v>
      </c>
      <c r="K154" s="7">
        <v>7.5999999999999998E-2</v>
      </c>
      <c r="L154" s="7">
        <v>0</v>
      </c>
      <c r="M154" s="11">
        <f t="shared" si="2"/>
        <v>0</v>
      </c>
      <c r="N154" s="11">
        <f t="shared" si="3"/>
        <v>0</v>
      </c>
      <c r="O154" s="11">
        <f t="shared" si="4"/>
        <v>0</v>
      </c>
      <c r="P154" s="11">
        <f t="shared" si="16"/>
        <v>0</v>
      </c>
    </row>
    <row r="155" spans="1:16" ht="15" hidden="1" customHeight="1">
      <c r="A155" s="44"/>
      <c r="B155" s="5">
        <f t="shared" si="18"/>
        <v>45839</v>
      </c>
      <c r="C155" s="218" t="s">
        <v>533</v>
      </c>
      <c r="D155" s="195"/>
      <c r="E155" s="186"/>
      <c r="F155" s="2"/>
      <c r="G155" s="3">
        <f t="shared" si="17"/>
        <v>0</v>
      </c>
      <c r="H155" s="187"/>
      <c r="I155" s="7"/>
      <c r="J155" s="7">
        <v>1.6500000000000001E-2</v>
      </c>
      <c r="K155" s="7">
        <v>7.5999999999999998E-2</v>
      </c>
      <c r="L155" s="7">
        <v>0</v>
      </c>
      <c r="M155" s="11">
        <f t="shared" si="2"/>
        <v>0</v>
      </c>
      <c r="N155" s="11">
        <f t="shared" si="3"/>
        <v>0</v>
      </c>
      <c r="O155" s="11">
        <f t="shared" si="4"/>
        <v>0</v>
      </c>
      <c r="P155" s="11">
        <f t="shared" si="16"/>
        <v>0</v>
      </c>
    </row>
    <row r="156" spans="1:16" ht="15" hidden="1" customHeight="1">
      <c r="A156" s="44"/>
      <c r="B156" s="5">
        <f t="shared" si="18"/>
        <v>45839</v>
      </c>
      <c r="C156" s="218" t="s">
        <v>533</v>
      </c>
      <c r="D156" s="195"/>
      <c r="E156" s="186"/>
      <c r="F156" s="2"/>
      <c r="G156" s="3">
        <f t="shared" si="17"/>
        <v>0</v>
      </c>
      <c r="H156" s="187"/>
      <c r="I156" s="7"/>
      <c r="J156" s="7">
        <v>1.6500000000000001E-2</v>
      </c>
      <c r="K156" s="7">
        <v>7.5999999999999998E-2</v>
      </c>
      <c r="L156" s="7">
        <v>0</v>
      </c>
      <c r="M156" s="11">
        <f t="shared" si="2"/>
        <v>0</v>
      </c>
      <c r="N156" s="11">
        <f t="shared" si="3"/>
        <v>0</v>
      </c>
      <c r="O156" s="11">
        <f t="shared" si="4"/>
        <v>0</v>
      </c>
      <c r="P156" s="11">
        <f t="shared" si="16"/>
        <v>0</v>
      </c>
    </row>
    <row r="157" spans="1:16" ht="15" hidden="1" customHeight="1">
      <c r="A157" s="44"/>
      <c r="B157" s="5">
        <f t="shared" si="18"/>
        <v>45839</v>
      </c>
      <c r="C157" s="218" t="s">
        <v>533</v>
      </c>
      <c r="D157" s="195"/>
      <c r="E157" s="186"/>
      <c r="F157" s="2"/>
      <c r="G157" s="3">
        <f t="shared" si="17"/>
        <v>0</v>
      </c>
      <c r="H157" s="187"/>
      <c r="I157" s="7"/>
      <c r="J157" s="7">
        <v>1.6500000000000001E-2</v>
      </c>
      <c r="K157" s="7">
        <v>7.5999999999999998E-2</v>
      </c>
      <c r="L157" s="7">
        <v>0</v>
      </c>
      <c r="M157" s="11">
        <f t="shared" si="2"/>
        <v>0</v>
      </c>
      <c r="N157" s="11">
        <f t="shared" si="3"/>
        <v>0</v>
      </c>
      <c r="O157" s="11">
        <f t="shared" si="4"/>
        <v>0</v>
      </c>
      <c r="P157" s="11">
        <f t="shared" si="16"/>
        <v>0</v>
      </c>
    </row>
    <row r="158" spans="1:16" ht="15" hidden="1" customHeight="1">
      <c r="A158" s="44"/>
      <c r="B158" s="5">
        <f t="shared" si="18"/>
        <v>45839</v>
      </c>
      <c r="C158" s="218" t="s">
        <v>533</v>
      </c>
      <c r="D158" s="195"/>
      <c r="E158" s="186"/>
      <c r="F158" s="2"/>
      <c r="G158" s="3">
        <f t="shared" si="17"/>
        <v>0</v>
      </c>
      <c r="H158" s="187"/>
      <c r="I158" s="7"/>
      <c r="J158" s="7">
        <v>1.6500000000000001E-2</v>
      </c>
      <c r="K158" s="7">
        <v>7.5999999999999998E-2</v>
      </c>
      <c r="L158" s="7">
        <v>0</v>
      </c>
      <c r="M158" s="11">
        <f t="shared" si="2"/>
        <v>0</v>
      </c>
      <c r="N158" s="11">
        <f t="shared" si="3"/>
        <v>0</v>
      </c>
      <c r="O158" s="11">
        <f t="shared" si="4"/>
        <v>0</v>
      </c>
      <c r="P158" s="11">
        <f t="shared" si="16"/>
        <v>0</v>
      </c>
    </row>
    <row r="159" spans="1:16" ht="15" hidden="1" customHeight="1">
      <c r="A159" s="44"/>
      <c r="B159" s="5">
        <f t="shared" si="18"/>
        <v>45839</v>
      </c>
      <c r="C159" s="218" t="s">
        <v>533</v>
      </c>
      <c r="D159" s="195"/>
      <c r="E159" s="186"/>
      <c r="F159" s="2"/>
      <c r="G159" s="3">
        <f t="shared" si="17"/>
        <v>0</v>
      </c>
      <c r="H159" s="187"/>
      <c r="I159" s="7"/>
      <c r="J159" s="7">
        <v>1.6500000000000001E-2</v>
      </c>
      <c r="K159" s="7">
        <v>7.5999999999999998E-2</v>
      </c>
      <c r="L159" s="7">
        <v>0</v>
      </c>
      <c r="M159" s="11">
        <f t="shared" si="2"/>
        <v>0</v>
      </c>
      <c r="N159" s="11">
        <f t="shared" si="3"/>
        <v>0</v>
      </c>
      <c r="O159" s="11">
        <f t="shared" si="4"/>
        <v>0</v>
      </c>
      <c r="P159" s="11">
        <f t="shared" si="16"/>
        <v>0</v>
      </c>
    </row>
    <row r="160" spans="1:16" ht="15" hidden="1" customHeight="1">
      <c r="A160" s="44"/>
      <c r="B160" s="5">
        <f t="shared" si="18"/>
        <v>45839</v>
      </c>
      <c r="C160" s="218" t="s">
        <v>533</v>
      </c>
      <c r="D160" s="195"/>
      <c r="E160" s="186"/>
      <c r="F160" s="2"/>
      <c r="G160" s="3">
        <f t="shared" si="17"/>
        <v>0</v>
      </c>
      <c r="H160" s="187"/>
      <c r="I160" s="7"/>
      <c r="J160" s="7">
        <v>1.6500000000000001E-2</v>
      </c>
      <c r="K160" s="7">
        <v>7.5999999999999998E-2</v>
      </c>
      <c r="L160" s="7">
        <v>0</v>
      </c>
      <c r="M160" s="11">
        <f t="shared" si="2"/>
        <v>0</v>
      </c>
      <c r="N160" s="11">
        <f t="shared" si="3"/>
        <v>0</v>
      </c>
      <c r="O160" s="11">
        <f t="shared" si="4"/>
        <v>0</v>
      </c>
      <c r="P160" s="11">
        <f t="shared" si="16"/>
        <v>0</v>
      </c>
    </row>
    <row r="161" spans="1:16" ht="15" hidden="1" customHeight="1">
      <c r="A161" s="44"/>
      <c r="B161" s="5">
        <f t="shared" si="18"/>
        <v>45839</v>
      </c>
      <c r="C161" s="218" t="s">
        <v>533</v>
      </c>
      <c r="D161" s="195"/>
      <c r="E161" s="186"/>
      <c r="F161" s="2"/>
      <c r="G161" s="3">
        <f t="shared" si="17"/>
        <v>0</v>
      </c>
      <c r="H161" s="187"/>
      <c r="I161" s="7"/>
      <c r="J161" s="7">
        <v>1.6500000000000001E-2</v>
      </c>
      <c r="K161" s="7">
        <v>7.5999999999999998E-2</v>
      </c>
      <c r="L161" s="7">
        <v>0</v>
      </c>
      <c r="M161" s="11">
        <f t="shared" si="2"/>
        <v>0</v>
      </c>
      <c r="N161" s="11">
        <f t="shared" si="3"/>
        <v>0</v>
      </c>
      <c r="O161" s="11">
        <f t="shared" si="4"/>
        <v>0</v>
      </c>
      <c r="P161" s="11">
        <f t="shared" si="16"/>
        <v>0</v>
      </c>
    </row>
    <row r="162" spans="1:16" ht="15" hidden="1" customHeight="1">
      <c r="A162" s="44"/>
      <c r="B162" s="5">
        <f t="shared" si="18"/>
        <v>45839</v>
      </c>
      <c r="C162" s="218" t="s">
        <v>533</v>
      </c>
      <c r="D162" s="195"/>
      <c r="E162" s="186"/>
      <c r="F162" s="2"/>
      <c r="G162" s="3">
        <f t="shared" si="17"/>
        <v>0</v>
      </c>
      <c r="H162" s="187"/>
      <c r="I162" s="7"/>
      <c r="J162" s="7">
        <v>1.6500000000000001E-2</v>
      </c>
      <c r="K162" s="7">
        <v>7.5999999999999998E-2</v>
      </c>
      <c r="L162" s="7">
        <v>0</v>
      </c>
      <c r="M162" s="11">
        <f t="shared" si="2"/>
        <v>0</v>
      </c>
      <c r="N162" s="11">
        <f t="shared" si="3"/>
        <v>0</v>
      </c>
      <c r="O162" s="11">
        <f t="shared" si="4"/>
        <v>0</v>
      </c>
      <c r="P162" s="11">
        <f t="shared" si="16"/>
        <v>0</v>
      </c>
    </row>
    <row r="163" spans="1:16" ht="15" hidden="1" customHeight="1">
      <c r="A163" s="44"/>
      <c r="B163" s="5">
        <f t="shared" si="18"/>
        <v>45839</v>
      </c>
      <c r="C163" s="218" t="s">
        <v>533</v>
      </c>
      <c r="D163" s="195"/>
      <c r="E163" s="186"/>
      <c r="F163" s="2"/>
      <c r="G163" s="3">
        <f t="shared" si="17"/>
        <v>0</v>
      </c>
      <c r="H163" s="187"/>
      <c r="I163" s="7"/>
      <c r="J163" s="7">
        <v>1.6500000000000001E-2</v>
      </c>
      <c r="K163" s="7">
        <v>7.5999999999999998E-2</v>
      </c>
      <c r="L163" s="7">
        <v>0</v>
      </c>
      <c r="M163" s="11">
        <f t="shared" si="2"/>
        <v>0</v>
      </c>
      <c r="N163" s="11">
        <f t="shared" si="3"/>
        <v>0</v>
      </c>
      <c r="O163" s="11">
        <f t="shared" si="4"/>
        <v>0</v>
      </c>
      <c r="P163" s="11">
        <f t="shared" si="16"/>
        <v>0</v>
      </c>
    </row>
    <row r="164" spans="1:16" ht="15" hidden="1" customHeight="1">
      <c r="A164" s="44"/>
      <c r="B164" s="5">
        <f t="shared" si="18"/>
        <v>45839</v>
      </c>
      <c r="C164" s="218" t="s">
        <v>533</v>
      </c>
      <c r="D164" s="195"/>
      <c r="E164" s="186"/>
      <c r="F164" s="2"/>
      <c r="G164" s="3">
        <f t="shared" si="17"/>
        <v>0</v>
      </c>
      <c r="H164" s="187"/>
      <c r="I164" s="7"/>
      <c r="J164" s="7">
        <v>1.6500000000000001E-2</v>
      </c>
      <c r="K164" s="7">
        <v>7.5999999999999998E-2</v>
      </c>
      <c r="L164" s="7">
        <v>0</v>
      </c>
      <c r="M164" s="11">
        <f t="shared" si="2"/>
        <v>0</v>
      </c>
      <c r="N164" s="11">
        <f t="shared" si="3"/>
        <v>0</v>
      </c>
      <c r="O164" s="11">
        <f t="shared" si="4"/>
        <v>0</v>
      </c>
      <c r="P164" s="11">
        <f t="shared" si="16"/>
        <v>0</v>
      </c>
    </row>
    <row r="165" spans="1:16" ht="15" hidden="1" customHeight="1">
      <c r="A165" s="44"/>
      <c r="B165" s="5">
        <f t="shared" si="18"/>
        <v>45839</v>
      </c>
      <c r="C165" s="218" t="s">
        <v>533</v>
      </c>
      <c r="D165" s="195"/>
      <c r="E165" s="186"/>
      <c r="F165" s="2"/>
      <c r="G165" s="3">
        <f t="shared" si="17"/>
        <v>0</v>
      </c>
      <c r="H165" s="187"/>
      <c r="I165" s="7"/>
      <c r="J165" s="7">
        <v>1.6500000000000001E-2</v>
      </c>
      <c r="K165" s="7">
        <v>7.5999999999999998E-2</v>
      </c>
      <c r="L165" s="7">
        <v>0</v>
      </c>
      <c r="M165" s="11">
        <f t="shared" si="2"/>
        <v>0</v>
      </c>
      <c r="N165" s="11">
        <f t="shared" si="3"/>
        <v>0</v>
      </c>
      <c r="O165" s="11">
        <f t="shared" si="4"/>
        <v>0</v>
      </c>
      <c r="P165" s="11">
        <f t="shared" si="16"/>
        <v>0</v>
      </c>
    </row>
    <row r="166" spans="1:16" ht="15" hidden="1" customHeight="1">
      <c r="A166" s="44"/>
      <c r="B166" s="5">
        <f t="shared" si="18"/>
        <v>45839</v>
      </c>
      <c r="C166" s="218" t="s">
        <v>533</v>
      </c>
      <c r="D166" s="195"/>
      <c r="E166" s="186"/>
      <c r="F166" s="2"/>
      <c r="G166" s="3">
        <f t="shared" si="17"/>
        <v>0</v>
      </c>
      <c r="H166" s="187"/>
      <c r="I166" s="7"/>
      <c r="J166" s="7">
        <v>1.6500000000000001E-2</v>
      </c>
      <c r="K166" s="7">
        <v>7.5999999999999998E-2</v>
      </c>
      <c r="L166" s="7">
        <v>0</v>
      </c>
      <c r="M166" s="11">
        <f t="shared" si="2"/>
        <v>0</v>
      </c>
      <c r="N166" s="11">
        <f t="shared" si="3"/>
        <v>0</v>
      </c>
      <c r="O166" s="11">
        <f t="shared" si="4"/>
        <v>0</v>
      </c>
      <c r="P166" s="11">
        <f t="shared" si="16"/>
        <v>0</v>
      </c>
    </row>
    <row r="167" spans="1:16" ht="15" hidden="1" customHeight="1">
      <c r="A167" s="44"/>
      <c r="B167" s="5">
        <f t="shared" si="18"/>
        <v>45839</v>
      </c>
      <c r="C167" s="218" t="s">
        <v>533</v>
      </c>
      <c r="D167" s="195"/>
      <c r="E167" s="186"/>
      <c r="F167" s="2"/>
      <c r="G167" s="3">
        <f t="shared" si="17"/>
        <v>0</v>
      </c>
      <c r="H167" s="187"/>
      <c r="I167" s="7"/>
      <c r="J167" s="7">
        <v>1.6500000000000001E-2</v>
      </c>
      <c r="K167" s="7">
        <v>7.5999999999999998E-2</v>
      </c>
      <c r="L167" s="7">
        <v>0</v>
      </c>
      <c r="M167" s="11">
        <f t="shared" si="2"/>
        <v>0</v>
      </c>
      <c r="N167" s="11">
        <f t="shared" si="3"/>
        <v>0</v>
      </c>
      <c r="O167" s="11">
        <f t="shared" si="4"/>
        <v>0</v>
      </c>
      <c r="P167" s="11">
        <f t="shared" si="16"/>
        <v>0</v>
      </c>
    </row>
    <row r="168" spans="1:16" ht="15" hidden="1" customHeight="1">
      <c r="A168" s="44"/>
      <c r="B168" s="5">
        <f t="shared" si="18"/>
        <v>45839</v>
      </c>
      <c r="C168" s="218" t="s">
        <v>533</v>
      </c>
      <c r="D168" s="195"/>
      <c r="E168" s="186"/>
      <c r="F168" s="2"/>
      <c r="G168" s="3">
        <f t="shared" si="17"/>
        <v>0</v>
      </c>
      <c r="H168" s="187"/>
      <c r="I168" s="7"/>
      <c r="J168" s="7">
        <v>1.6500000000000001E-2</v>
      </c>
      <c r="K168" s="7">
        <v>7.5999999999999998E-2</v>
      </c>
      <c r="L168" s="7">
        <v>0</v>
      </c>
      <c r="M168" s="11">
        <f t="shared" si="2"/>
        <v>0</v>
      </c>
      <c r="N168" s="11">
        <f t="shared" si="3"/>
        <v>0</v>
      </c>
      <c r="O168" s="11">
        <f t="shared" si="4"/>
        <v>0</v>
      </c>
      <c r="P168" s="11">
        <f t="shared" si="16"/>
        <v>0</v>
      </c>
    </row>
    <row r="169" spans="1:16" ht="15" hidden="1" customHeight="1">
      <c r="A169" s="44"/>
      <c r="B169" s="5">
        <f t="shared" si="18"/>
        <v>45839</v>
      </c>
      <c r="C169" s="218" t="s">
        <v>533</v>
      </c>
      <c r="D169" s="195"/>
      <c r="E169" s="186"/>
      <c r="F169" s="2"/>
      <c r="G169" s="3">
        <f t="shared" si="17"/>
        <v>0</v>
      </c>
      <c r="H169" s="187"/>
      <c r="I169" s="7"/>
      <c r="J169" s="7">
        <v>1.6500000000000001E-2</v>
      </c>
      <c r="K169" s="7">
        <v>7.5999999999999998E-2</v>
      </c>
      <c r="L169" s="7">
        <v>0</v>
      </c>
      <c r="M169" s="11">
        <f t="shared" si="2"/>
        <v>0</v>
      </c>
      <c r="N169" s="11">
        <f t="shared" si="3"/>
        <v>0</v>
      </c>
      <c r="O169" s="11">
        <f t="shared" si="4"/>
        <v>0</v>
      </c>
      <c r="P169" s="11">
        <f t="shared" si="16"/>
        <v>0</v>
      </c>
    </row>
    <row r="170" spans="1:16" ht="15" hidden="1" customHeight="1">
      <c r="A170" s="44"/>
      <c r="B170" s="5">
        <f t="shared" si="18"/>
        <v>45839</v>
      </c>
      <c r="C170" s="218" t="s">
        <v>533</v>
      </c>
      <c r="D170" s="195"/>
      <c r="E170" s="186"/>
      <c r="F170" s="2"/>
      <c r="G170" s="3">
        <f t="shared" si="17"/>
        <v>0</v>
      </c>
      <c r="H170" s="187"/>
      <c r="I170" s="7"/>
      <c r="J170" s="7">
        <v>1.6500000000000001E-2</v>
      </c>
      <c r="K170" s="7">
        <v>7.5999999999999998E-2</v>
      </c>
      <c r="L170" s="7">
        <v>0</v>
      </c>
      <c r="M170" s="11">
        <f t="shared" si="2"/>
        <v>0</v>
      </c>
      <c r="N170" s="11">
        <f t="shared" si="3"/>
        <v>0</v>
      </c>
      <c r="O170" s="11">
        <f t="shared" si="4"/>
        <v>0</v>
      </c>
      <c r="P170" s="11">
        <f t="shared" si="16"/>
        <v>0</v>
      </c>
    </row>
    <row r="171" spans="1:16" ht="15" hidden="1" customHeight="1">
      <c r="A171" s="44"/>
      <c r="B171" s="5">
        <f t="shared" si="18"/>
        <v>45839</v>
      </c>
      <c r="C171" s="218" t="s">
        <v>533</v>
      </c>
      <c r="D171" s="195"/>
      <c r="E171" s="186"/>
      <c r="F171" s="2"/>
      <c r="G171" s="3">
        <f t="shared" si="17"/>
        <v>0</v>
      </c>
      <c r="H171" s="187"/>
      <c r="I171" s="7"/>
      <c r="J171" s="7">
        <v>1.6500000000000001E-2</v>
      </c>
      <c r="K171" s="7">
        <v>7.5999999999999998E-2</v>
      </c>
      <c r="L171" s="7">
        <v>0</v>
      </c>
      <c r="M171" s="11">
        <f t="shared" si="2"/>
        <v>0</v>
      </c>
      <c r="N171" s="11">
        <f t="shared" si="3"/>
        <v>0</v>
      </c>
      <c r="O171" s="11">
        <f t="shared" si="4"/>
        <v>0</v>
      </c>
      <c r="P171" s="11">
        <f t="shared" si="16"/>
        <v>0</v>
      </c>
    </row>
    <row r="172" spans="1:16" ht="15" hidden="1" customHeight="1">
      <c r="A172" s="44"/>
      <c r="B172" s="5">
        <f t="shared" si="18"/>
        <v>45839</v>
      </c>
      <c r="C172" s="218" t="s">
        <v>533</v>
      </c>
      <c r="D172" s="195"/>
      <c r="E172" s="186"/>
      <c r="F172" s="2"/>
      <c r="G172" s="3">
        <f t="shared" si="17"/>
        <v>0</v>
      </c>
      <c r="H172" s="187"/>
      <c r="I172" s="7"/>
      <c r="J172" s="7">
        <v>1.6500000000000001E-2</v>
      </c>
      <c r="K172" s="7">
        <v>7.5999999999999998E-2</v>
      </c>
      <c r="L172" s="7">
        <v>0</v>
      </c>
      <c r="M172" s="11">
        <f t="shared" si="2"/>
        <v>0</v>
      </c>
      <c r="N172" s="11">
        <f t="shared" si="3"/>
        <v>0</v>
      </c>
      <c r="O172" s="11">
        <f t="shared" si="4"/>
        <v>0</v>
      </c>
      <c r="P172" s="11">
        <f t="shared" si="16"/>
        <v>0</v>
      </c>
    </row>
    <row r="173" spans="1:16" ht="15" hidden="1" customHeight="1">
      <c r="A173" s="44"/>
      <c r="B173" s="5">
        <f t="shared" si="18"/>
        <v>45839</v>
      </c>
      <c r="C173" s="218" t="s">
        <v>533</v>
      </c>
      <c r="D173" s="195"/>
      <c r="E173" s="186"/>
      <c r="F173" s="2"/>
      <c r="G173" s="3">
        <f t="shared" si="17"/>
        <v>0</v>
      </c>
      <c r="H173" s="187"/>
      <c r="I173" s="7"/>
      <c r="J173" s="7">
        <v>1.6500000000000001E-2</v>
      </c>
      <c r="K173" s="7">
        <v>7.5999999999999998E-2</v>
      </c>
      <c r="L173" s="7">
        <v>0</v>
      </c>
      <c r="M173" s="11">
        <f t="shared" si="2"/>
        <v>0</v>
      </c>
      <c r="N173" s="11">
        <f t="shared" si="3"/>
        <v>0</v>
      </c>
      <c r="O173" s="11">
        <f t="shared" si="4"/>
        <v>0</v>
      </c>
      <c r="P173" s="11">
        <f t="shared" si="16"/>
        <v>0</v>
      </c>
    </row>
    <row r="174" spans="1:16" ht="15" hidden="1" customHeight="1">
      <c r="A174" s="44"/>
      <c r="B174" s="5">
        <f t="shared" si="18"/>
        <v>45839</v>
      </c>
      <c r="C174" s="218" t="s">
        <v>533</v>
      </c>
      <c r="D174" s="195"/>
      <c r="E174" s="186"/>
      <c r="F174" s="2"/>
      <c r="G174" s="3">
        <f t="shared" si="17"/>
        <v>0</v>
      </c>
      <c r="H174" s="187"/>
      <c r="I174" s="7"/>
      <c r="J174" s="7">
        <v>1.6500000000000001E-2</v>
      </c>
      <c r="K174" s="7">
        <v>7.5999999999999998E-2</v>
      </c>
      <c r="L174" s="7">
        <v>0</v>
      </c>
      <c r="M174" s="11">
        <f t="shared" si="2"/>
        <v>0</v>
      </c>
      <c r="N174" s="11">
        <f t="shared" si="3"/>
        <v>0</v>
      </c>
      <c r="O174" s="11">
        <f t="shared" si="4"/>
        <v>0</v>
      </c>
      <c r="P174" s="11">
        <f t="shared" si="16"/>
        <v>0</v>
      </c>
    </row>
    <row r="175" spans="1:16" ht="15" hidden="1" customHeight="1">
      <c r="A175" s="44"/>
      <c r="B175" s="5">
        <f t="shared" si="18"/>
        <v>45839</v>
      </c>
      <c r="C175" s="218" t="s">
        <v>533</v>
      </c>
      <c r="D175" s="195"/>
      <c r="E175" s="186"/>
      <c r="F175" s="2"/>
      <c r="G175" s="3">
        <f t="shared" si="17"/>
        <v>0</v>
      </c>
      <c r="H175" s="187"/>
      <c r="I175" s="7"/>
      <c r="J175" s="7">
        <v>1.6500000000000001E-2</v>
      </c>
      <c r="K175" s="7">
        <v>7.5999999999999998E-2</v>
      </c>
      <c r="L175" s="7">
        <v>0</v>
      </c>
      <c r="M175" s="11">
        <f t="shared" si="2"/>
        <v>0</v>
      </c>
      <c r="N175" s="11">
        <f t="shared" si="3"/>
        <v>0</v>
      </c>
      <c r="O175" s="11">
        <f t="shared" si="4"/>
        <v>0</v>
      </c>
      <c r="P175" s="11">
        <f t="shared" si="16"/>
        <v>0</v>
      </c>
    </row>
    <row r="176" spans="1:16" ht="15" hidden="1" customHeight="1">
      <c r="A176" s="44"/>
      <c r="B176" s="5">
        <f t="shared" si="18"/>
        <v>45839</v>
      </c>
      <c r="C176" s="218" t="s">
        <v>533</v>
      </c>
      <c r="D176" s="195"/>
      <c r="E176" s="186"/>
      <c r="F176" s="2"/>
      <c r="G176" s="3">
        <f t="shared" si="17"/>
        <v>0</v>
      </c>
      <c r="H176" s="187"/>
      <c r="I176" s="7"/>
      <c r="J176" s="7">
        <v>1.6500000000000001E-2</v>
      </c>
      <c r="K176" s="7">
        <v>7.5999999999999998E-2</v>
      </c>
      <c r="L176" s="7">
        <v>0</v>
      </c>
      <c r="M176" s="11">
        <f t="shared" si="2"/>
        <v>0</v>
      </c>
      <c r="N176" s="11">
        <f t="shared" si="3"/>
        <v>0</v>
      </c>
      <c r="O176" s="11">
        <f t="shared" si="4"/>
        <v>0</v>
      </c>
      <c r="P176" s="11">
        <f t="shared" si="16"/>
        <v>0</v>
      </c>
    </row>
    <row r="177" spans="1:16" ht="15" hidden="1" customHeight="1">
      <c r="A177" s="44"/>
      <c r="B177" s="5">
        <f t="shared" si="18"/>
        <v>45839</v>
      </c>
      <c r="C177" s="218" t="s">
        <v>533</v>
      </c>
      <c r="D177" s="195"/>
      <c r="E177" s="186"/>
      <c r="F177" s="2"/>
      <c r="G177" s="3">
        <f t="shared" si="17"/>
        <v>0</v>
      </c>
      <c r="H177" s="187"/>
      <c r="I177" s="7"/>
      <c r="J177" s="7">
        <v>1.6500000000000001E-2</v>
      </c>
      <c r="K177" s="7">
        <v>7.5999999999999998E-2</v>
      </c>
      <c r="L177" s="7">
        <v>0</v>
      </c>
      <c r="M177" s="11">
        <f t="shared" si="2"/>
        <v>0</v>
      </c>
      <c r="N177" s="11">
        <f t="shared" si="3"/>
        <v>0</v>
      </c>
      <c r="O177" s="11">
        <f t="shared" si="4"/>
        <v>0</v>
      </c>
      <c r="P177" s="11">
        <f t="shared" si="16"/>
        <v>0</v>
      </c>
    </row>
    <row r="178" spans="1:16" ht="15" hidden="1" customHeight="1">
      <c r="A178" s="44"/>
      <c r="B178" s="5">
        <f t="shared" si="18"/>
        <v>45839</v>
      </c>
      <c r="C178" s="218" t="s">
        <v>533</v>
      </c>
      <c r="D178" s="195"/>
      <c r="E178" s="186"/>
      <c r="F178" s="2"/>
      <c r="G178" s="3">
        <f t="shared" si="17"/>
        <v>0</v>
      </c>
      <c r="H178" s="187"/>
      <c r="I178" s="7"/>
      <c r="J178" s="7">
        <v>1.6500000000000001E-2</v>
      </c>
      <c r="K178" s="7">
        <v>7.5999999999999998E-2</v>
      </c>
      <c r="L178" s="7">
        <v>0</v>
      </c>
      <c r="M178" s="11">
        <f t="shared" si="2"/>
        <v>0</v>
      </c>
      <c r="N178" s="11">
        <f t="shared" si="3"/>
        <v>0</v>
      </c>
      <c r="O178" s="11">
        <f t="shared" si="4"/>
        <v>0</v>
      </c>
      <c r="P178" s="11">
        <f t="shared" si="16"/>
        <v>0</v>
      </c>
    </row>
    <row r="179" spans="1:16" ht="15" hidden="1" customHeight="1">
      <c r="A179" s="44"/>
      <c r="B179" s="5">
        <f t="shared" si="18"/>
        <v>45839</v>
      </c>
      <c r="C179" s="218" t="s">
        <v>533</v>
      </c>
      <c r="D179" s="195"/>
      <c r="E179" s="186"/>
      <c r="F179" s="2"/>
      <c r="G179" s="3">
        <f t="shared" si="17"/>
        <v>0</v>
      </c>
      <c r="H179" s="187"/>
      <c r="I179" s="7"/>
      <c r="J179" s="7">
        <v>1.6500000000000001E-2</v>
      </c>
      <c r="K179" s="7">
        <v>7.5999999999999998E-2</v>
      </c>
      <c r="L179" s="7">
        <v>0</v>
      </c>
      <c r="M179" s="11">
        <f t="shared" si="2"/>
        <v>0</v>
      </c>
      <c r="N179" s="11">
        <f t="shared" si="3"/>
        <v>0</v>
      </c>
      <c r="O179" s="11">
        <f t="shared" si="4"/>
        <v>0</v>
      </c>
      <c r="P179" s="11">
        <f t="shared" si="16"/>
        <v>0</v>
      </c>
    </row>
    <row r="180" spans="1:16" ht="15" hidden="1" customHeight="1">
      <c r="A180" s="44"/>
      <c r="B180" s="5">
        <f t="shared" si="18"/>
        <v>45839</v>
      </c>
      <c r="C180" s="218" t="s">
        <v>533</v>
      </c>
      <c r="D180" s="195"/>
      <c r="E180" s="186"/>
      <c r="F180" s="2"/>
      <c r="G180" s="3">
        <f t="shared" si="17"/>
        <v>0</v>
      </c>
      <c r="H180" s="187"/>
      <c r="I180" s="7"/>
      <c r="J180" s="7">
        <v>1.6500000000000001E-2</v>
      </c>
      <c r="K180" s="7">
        <v>7.5999999999999998E-2</v>
      </c>
      <c r="L180" s="7">
        <v>0</v>
      </c>
      <c r="M180" s="11">
        <f t="shared" si="2"/>
        <v>0</v>
      </c>
      <c r="N180" s="11">
        <f t="shared" si="3"/>
        <v>0</v>
      </c>
      <c r="O180" s="11">
        <f t="shared" si="4"/>
        <v>0</v>
      </c>
      <c r="P180" s="11">
        <f t="shared" si="16"/>
        <v>0</v>
      </c>
    </row>
    <row r="181" spans="1:16" ht="15" hidden="1" customHeight="1">
      <c r="A181" s="44"/>
      <c r="B181" s="5">
        <f t="shared" si="18"/>
        <v>45839</v>
      </c>
      <c r="C181" s="218" t="s">
        <v>533</v>
      </c>
      <c r="D181" s="195"/>
      <c r="E181" s="186"/>
      <c r="F181" s="2"/>
      <c r="G181" s="3">
        <f t="shared" si="17"/>
        <v>0</v>
      </c>
      <c r="H181" s="187"/>
      <c r="I181" s="7"/>
      <c r="J181" s="7">
        <v>1.6500000000000001E-2</v>
      </c>
      <c r="K181" s="7">
        <v>7.5999999999999998E-2</v>
      </c>
      <c r="L181" s="7">
        <v>0</v>
      </c>
      <c r="M181" s="11">
        <f t="shared" si="2"/>
        <v>0</v>
      </c>
      <c r="N181" s="11">
        <f t="shared" si="3"/>
        <v>0</v>
      </c>
      <c r="O181" s="11">
        <f t="shared" si="4"/>
        <v>0</v>
      </c>
      <c r="P181" s="11">
        <f t="shared" si="16"/>
        <v>0</v>
      </c>
    </row>
    <row r="182" spans="1:16" ht="15" hidden="1" customHeight="1">
      <c r="A182" s="44"/>
      <c r="B182" s="5">
        <f t="shared" si="18"/>
        <v>45839</v>
      </c>
      <c r="C182" s="218" t="s">
        <v>533</v>
      </c>
      <c r="D182" s="195"/>
      <c r="E182" s="186"/>
      <c r="F182" s="2"/>
      <c r="G182" s="3">
        <f t="shared" si="17"/>
        <v>0</v>
      </c>
      <c r="H182" s="187"/>
      <c r="I182" s="7"/>
      <c r="J182" s="7">
        <v>1.6500000000000001E-2</v>
      </c>
      <c r="K182" s="7">
        <v>7.5999999999999998E-2</v>
      </c>
      <c r="L182" s="7">
        <v>0</v>
      </c>
      <c r="M182" s="11">
        <f t="shared" si="2"/>
        <v>0</v>
      </c>
      <c r="N182" s="11">
        <f t="shared" si="3"/>
        <v>0</v>
      </c>
      <c r="O182" s="11">
        <f t="shared" si="4"/>
        <v>0</v>
      </c>
      <c r="P182" s="11">
        <f t="shared" si="16"/>
        <v>0</v>
      </c>
    </row>
    <row r="183" spans="1:16">
      <c r="B183" s="5"/>
      <c r="C183" s="1"/>
      <c r="E183" s="1"/>
      <c r="F183" s="2"/>
      <c r="G183" s="4"/>
      <c r="H183" s="4"/>
      <c r="I183" s="7"/>
      <c r="J183" s="7"/>
      <c r="K183" s="7"/>
      <c r="L183" s="7"/>
    </row>
    <row r="184" spans="1:16">
      <c r="E184" s="28">
        <f>SUM(E18:E182)</f>
        <v>46165543.689999998</v>
      </c>
      <c r="F184" s="133"/>
      <c r="G184" s="29">
        <f>SUM(G18:G182)</f>
        <v>109541901.89618367</v>
      </c>
    </row>
    <row r="185" spans="1:16">
      <c r="E185" s="137"/>
      <c r="F185" s="41"/>
    </row>
    <row r="186" spans="1:16" ht="15.75" thickBot="1"/>
    <row r="187" spans="1:16">
      <c r="B187" s="391" t="s">
        <v>795</v>
      </c>
      <c r="C187" s="383"/>
      <c r="D187" s="383"/>
      <c r="E187" s="383"/>
      <c r="F187" s="383"/>
      <c r="G187" s="383"/>
      <c r="H187" s="383"/>
      <c r="I187" s="383"/>
      <c r="J187" s="383"/>
      <c r="K187" s="383"/>
      <c r="L187" s="383"/>
      <c r="M187" s="383"/>
      <c r="N187" s="383"/>
      <c r="O187" s="384"/>
    </row>
    <row r="188" spans="1:16">
      <c r="B188" s="385"/>
      <c r="C188" s="386"/>
      <c r="D188" s="386"/>
      <c r="E188" s="386"/>
      <c r="F188" s="386"/>
      <c r="G188" s="386"/>
      <c r="H188" s="386"/>
      <c r="I188" s="386"/>
      <c r="J188" s="386"/>
      <c r="K188" s="386"/>
      <c r="L188" s="386"/>
      <c r="M188" s="386"/>
      <c r="N188" s="386"/>
      <c r="O188" s="387"/>
    </row>
    <row r="189" spans="1:16">
      <c r="B189" s="385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7"/>
    </row>
    <row r="190" spans="1:16">
      <c r="B190" s="385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7"/>
    </row>
    <row r="191" spans="1:16" ht="27" customHeight="1">
      <c r="B191" s="385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7"/>
    </row>
    <row r="192" spans="1:16" ht="44.25" customHeight="1" thickBot="1">
      <c r="B192" s="388"/>
      <c r="C192" s="389"/>
      <c r="D192" s="389"/>
      <c r="E192" s="389"/>
      <c r="F192" s="389"/>
      <c r="G192" s="389"/>
      <c r="H192" s="389"/>
      <c r="I192" s="389"/>
      <c r="J192" s="389"/>
      <c r="K192" s="389"/>
      <c r="L192" s="389"/>
      <c r="M192" s="389"/>
      <c r="N192" s="389"/>
      <c r="O192" s="390"/>
    </row>
    <row r="203" spans="5:5">
      <c r="E203" s="19"/>
    </row>
    <row r="204" spans="5:5">
      <c r="E204" s="19"/>
    </row>
  </sheetData>
  <mergeCells count="3">
    <mergeCell ref="C2:M2"/>
    <mergeCell ref="M16:P16"/>
    <mergeCell ref="B187:O192"/>
  </mergeCells>
  <conditionalFormatting sqref="D1:D1048576">
    <cfRule type="duplicateValues" dxfId="46" priority="1"/>
    <cfRule type="duplicateValues" dxfId="45" priority="2"/>
  </conditionalFormatting>
  <conditionalFormatting sqref="D7">
    <cfRule type="duplicateValues" dxfId="44" priority="5"/>
  </conditionalFormatting>
  <conditionalFormatting sqref="D18:D54">
    <cfRule type="duplicateValues" dxfId="43" priority="4"/>
  </conditionalFormatting>
  <conditionalFormatting sqref="D186:D1048576 D1:D184">
    <cfRule type="duplicateValues" dxfId="42" priority="3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BDEC-F010-43A1-B8E4-71910666FC4B}">
  <sheetPr>
    <pageSetUpPr fitToPage="1"/>
  </sheetPr>
  <dimension ref="A2:P204"/>
  <sheetViews>
    <sheetView showGridLines="0" topLeftCell="A16" zoomScale="90" zoomScaleNormal="90" workbookViewId="0">
      <selection activeCell="H18" sqref="H18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6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2:16" ht="23.25">
      <c r="C3" s="13">
        <v>45870</v>
      </c>
    </row>
    <row r="5" spans="2:16">
      <c r="C5" t="s">
        <v>17</v>
      </c>
      <c r="D5" s="14">
        <f t="shared" ref="D5:D10" ca="1" si="0">SUMIF($C$18:$G$182,$C$5:$C$10,$G$18:$G$182)/SUMIF($C$18:$G$182,$C$5:$C$10,$E$18:$E$182)</f>
        <v>2.1347904758657883</v>
      </c>
    </row>
    <row r="6" spans="2:16">
      <c r="C6" t="s">
        <v>440</v>
      </c>
      <c r="D6" s="14">
        <f t="shared" ca="1" si="0"/>
        <v>1.888309665</v>
      </c>
    </row>
    <row r="7" spans="2:16">
      <c r="C7" t="s">
        <v>491</v>
      </c>
      <c r="D7" s="14">
        <f t="shared" ca="1" si="0"/>
        <v>2.0122999995929032</v>
      </c>
    </row>
    <row r="8" spans="2:16">
      <c r="C8" t="s">
        <v>756</v>
      </c>
      <c r="D8" s="14">
        <f t="shared" ca="1" si="0"/>
        <v>3.2161355354220849</v>
      </c>
      <c r="I8" s="19"/>
    </row>
    <row r="9" spans="2:16">
      <c r="C9" t="s">
        <v>757</v>
      </c>
      <c r="D9" s="14">
        <f t="shared" ca="1" si="0"/>
        <v>3.6301107287750409</v>
      </c>
      <c r="E9" s="14"/>
      <c r="F9" s="32"/>
      <c r="H9" s="137"/>
      <c r="I9" s="19"/>
    </row>
    <row r="10" spans="2:16">
      <c r="C10" t="s">
        <v>533</v>
      </c>
      <c r="D10" s="14" t="e">
        <f t="shared" ca="1" si="0"/>
        <v>#DIV/0!</v>
      </c>
    </row>
    <row r="11" spans="2:16">
      <c r="C11" s="30" t="s">
        <v>129</v>
      </c>
      <c r="D11" s="31">
        <f>+G184/E184</f>
        <v>2.1438818784588922</v>
      </c>
    </row>
    <row r="12" spans="2:16">
      <c r="D12" s="19"/>
    </row>
    <row r="13" spans="2:16">
      <c r="D13" s="22"/>
    </row>
    <row r="15" spans="2:16">
      <c r="E15" s="137"/>
    </row>
    <row r="16" spans="2:16" ht="15" customHeight="1">
      <c r="B16" s="23"/>
      <c r="C16" s="23"/>
      <c r="D16" s="23"/>
      <c r="E16" s="23"/>
      <c r="F16" s="23"/>
      <c r="G16" s="23"/>
      <c r="H16" s="23"/>
      <c r="I16" s="24"/>
      <c r="J16" s="24"/>
      <c r="K16" s="24"/>
      <c r="L16" s="24"/>
      <c r="M16" s="381" t="s">
        <v>100</v>
      </c>
      <c r="N16" s="381"/>
      <c r="O16" s="381"/>
      <c r="P16" s="381"/>
    </row>
    <row r="17" spans="1:16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6" t="s">
        <v>537</v>
      </c>
      <c r="M17" s="27" t="s">
        <v>3</v>
      </c>
      <c r="N17" s="27" t="s">
        <v>97</v>
      </c>
      <c r="O17" s="27" t="s">
        <v>98</v>
      </c>
      <c r="P17" s="27" t="s">
        <v>537</v>
      </c>
    </row>
    <row r="18" spans="1:16" ht="18.75" customHeight="1">
      <c r="A18" s="44"/>
      <c r="B18" s="5">
        <f>C3</f>
        <v>45870</v>
      </c>
      <c r="C18" s="217" t="s">
        <v>17</v>
      </c>
      <c r="D18" s="216" t="s">
        <v>997</v>
      </c>
      <c r="E18" s="1">
        <v>595047</v>
      </c>
      <c r="F18" s="2">
        <v>1415714.12</v>
      </c>
      <c r="G18" s="3">
        <f>F18-SUM(M18:P18)</f>
        <v>1130589.296232</v>
      </c>
      <c r="H18" s="202">
        <f t="shared" ref="H18:H44" si="1">+IF(G18=0,0,G18/E18)</f>
        <v>1.899999993667727</v>
      </c>
      <c r="I18" s="200">
        <v>0.12</v>
      </c>
      <c r="J18" s="7">
        <v>1.6500000000000001E-2</v>
      </c>
      <c r="K18" s="7">
        <v>7.5999999999999998E-2</v>
      </c>
      <c r="L18" s="7">
        <v>0</v>
      </c>
      <c r="M18" s="11">
        <f t="shared" ref="M18:M182" si="2">+I18*F18</f>
        <v>169885.69440000001</v>
      </c>
      <c r="N18" s="11">
        <f t="shared" ref="N18:N182" si="3">J18*(F18-M18)</f>
        <v>20556.169022400005</v>
      </c>
      <c r="O18" s="11">
        <f t="shared" ref="O18:O182" si="4">K18*(F18-M18)</f>
        <v>94682.960345600019</v>
      </c>
      <c r="P18" s="11">
        <f t="shared" ref="P18:P81" si="5">L18*(F18)</f>
        <v>0</v>
      </c>
    </row>
    <row r="19" spans="1:16">
      <c r="A19" s="44"/>
      <c r="B19" s="5">
        <f>B18</f>
        <v>45870</v>
      </c>
      <c r="C19" s="217" t="s">
        <v>17</v>
      </c>
      <c r="D19" s="216" t="s">
        <v>998</v>
      </c>
      <c r="E19" s="1">
        <v>72620</v>
      </c>
      <c r="F19" s="2">
        <v>185596.57</v>
      </c>
      <c r="G19" s="3">
        <f t="shared" ref="G19:G52" si="6">F19-SUM(M19:P19)</f>
        <v>148217.42080200001</v>
      </c>
      <c r="H19" s="202">
        <f t="shared" si="1"/>
        <v>2.0410000110437898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si="2"/>
        <v>22271.588400000001</v>
      </c>
      <c r="N19" s="11">
        <f t="shared" si="3"/>
        <v>2694.8621963999999</v>
      </c>
      <c r="O19" s="11">
        <f t="shared" si="4"/>
        <v>12412.698601599999</v>
      </c>
      <c r="P19" s="11">
        <f t="shared" si="5"/>
        <v>0</v>
      </c>
    </row>
    <row r="20" spans="1:16">
      <c r="A20" s="44"/>
      <c r="B20" s="5">
        <f t="shared" ref="B20:B53" si="7">B19</f>
        <v>45870</v>
      </c>
      <c r="C20" s="217" t="s">
        <v>17</v>
      </c>
      <c r="D20" s="216" t="s">
        <v>999</v>
      </c>
      <c r="E20" s="1">
        <v>3815632</v>
      </c>
      <c r="F20" s="2">
        <v>10358012.279999999</v>
      </c>
      <c r="G20" s="3">
        <f t="shared" si="6"/>
        <v>8271908.6068079993</v>
      </c>
      <c r="H20" s="202">
        <f t="shared" si="1"/>
        <v>2.1678999984296179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1242961.4735999999</v>
      </c>
      <c r="N20" s="11">
        <f t="shared" si="3"/>
        <v>150398.33830559999</v>
      </c>
      <c r="O20" s="11">
        <f t="shared" si="4"/>
        <v>692743.86128639989</v>
      </c>
      <c r="P20" s="11">
        <f t="shared" si="5"/>
        <v>0</v>
      </c>
    </row>
    <row r="21" spans="1:16">
      <c r="A21" s="44"/>
      <c r="B21" s="5">
        <f t="shared" si="7"/>
        <v>45870</v>
      </c>
      <c r="C21" s="217" t="s">
        <v>17</v>
      </c>
      <c r="D21" s="214" t="s">
        <v>1000</v>
      </c>
      <c r="E21" s="1">
        <v>68590</v>
      </c>
      <c r="F21" s="2">
        <v>175297.01</v>
      </c>
      <c r="G21" s="3">
        <f t="shared" si="6"/>
        <v>139992.192186</v>
      </c>
      <c r="H21" s="202">
        <f t="shared" si="1"/>
        <v>2.041000031870535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21035.641200000002</v>
      </c>
      <c r="N21" s="11">
        <f t="shared" si="3"/>
        <v>2545.3125852000003</v>
      </c>
      <c r="O21" s="11">
        <f t="shared" si="4"/>
        <v>11723.864028799999</v>
      </c>
      <c r="P21" s="11">
        <f t="shared" si="5"/>
        <v>0</v>
      </c>
    </row>
    <row r="22" spans="1:16">
      <c r="A22" s="44"/>
      <c r="B22" s="5">
        <f t="shared" si="7"/>
        <v>45870</v>
      </c>
      <c r="C22" s="217" t="s">
        <v>17</v>
      </c>
      <c r="D22" s="214" t="s">
        <v>1001</v>
      </c>
      <c r="E22" s="1">
        <v>18635478</v>
      </c>
      <c r="F22" s="2">
        <v>50588345.549999997</v>
      </c>
      <c r="G22" s="3">
        <f t="shared" si="6"/>
        <v>40399852.756229997</v>
      </c>
      <c r="H22" s="202">
        <f t="shared" si="1"/>
        <v>2.1679000000016098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6070601.4659999991</v>
      </c>
      <c r="N22" s="11">
        <f t="shared" si="3"/>
        <v>734542.77738600003</v>
      </c>
      <c r="O22" s="11">
        <f t="shared" si="4"/>
        <v>3383348.5503839999</v>
      </c>
      <c r="P22" s="11">
        <f t="shared" si="5"/>
        <v>0</v>
      </c>
    </row>
    <row r="23" spans="1:16">
      <c r="A23" s="44"/>
      <c r="B23" s="5">
        <f t="shared" si="7"/>
        <v>45870</v>
      </c>
      <c r="C23" s="217" t="s">
        <v>17</v>
      </c>
      <c r="D23" s="214" t="s">
        <v>1002</v>
      </c>
      <c r="E23" s="1">
        <v>4912649</v>
      </c>
      <c r="F23" s="2">
        <v>13336002.720000001</v>
      </c>
      <c r="G23" s="3">
        <f t="shared" si="6"/>
        <v>10650131.772192001</v>
      </c>
      <c r="H23" s="202">
        <f t="shared" si="1"/>
        <v>2.1679000010365082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1600320.3264000001</v>
      </c>
      <c r="N23" s="11">
        <f t="shared" si="3"/>
        <v>193638.7594944</v>
      </c>
      <c r="O23" s="11">
        <f t="shared" si="4"/>
        <v>891911.86191360001</v>
      </c>
      <c r="P23" s="11">
        <f t="shared" si="5"/>
        <v>0</v>
      </c>
    </row>
    <row r="24" spans="1:16">
      <c r="A24" s="44"/>
      <c r="B24" s="5">
        <f t="shared" si="7"/>
        <v>45870</v>
      </c>
      <c r="C24" s="217" t="s">
        <v>17</v>
      </c>
      <c r="D24" s="194" t="s">
        <v>1003</v>
      </c>
      <c r="E24" s="1">
        <v>310153</v>
      </c>
      <c r="F24" s="2">
        <v>792665</v>
      </c>
      <c r="G24" s="3">
        <f t="shared" si="6"/>
        <v>633022.26899999997</v>
      </c>
      <c r="H24" s="202">
        <f t="shared" si="1"/>
        <v>2.0409999871031395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95119.8</v>
      </c>
      <c r="N24" s="11">
        <f t="shared" si="3"/>
        <v>11509.495800000001</v>
      </c>
      <c r="O24" s="11">
        <f t="shared" si="4"/>
        <v>53013.435199999993</v>
      </c>
      <c r="P24" s="11">
        <f t="shared" si="5"/>
        <v>0</v>
      </c>
    </row>
    <row r="25" spans="1:16">
      <c r="A25" s="44"/>
      <c r="B25" s="5">
        <f t="shared" si="7"/>
        <v>45870</v>
      </c>
      <c r="C25" s="217" t="s">
        <v>17</v>
      </c>
      <c r="D25" s="196" t="s">
        <v>1004</v>
      </c>
      <c r="E25" s="1">
        <v>556852</v>
      </c>
      <c r="F25" s="2">
        <v>1324841.97</v>
      </c>
      <c r="G25" s="3">
        <f t="shared" si="6"/>
        <v>1058018.797242</v>
      </c>
      <c r="H25" s="202">
        <f t="shared" si="1"/>
        <v>1.899999995047158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158981.03639999998</v>
      </c>
      <c r="N25" s="11">
        <f t="shared" si="3"/>
        <v>19236.705404400003</v>
      </c>
      <c r="O25" s="11">
        <f t="shared" si="4"/>
        <v>88605.430953600007</v>
      </c>
      <c r="P25" s="11">
        <f t="shared" si="5"/>
        <v>0</v>
      </c>
    </row>
    <row r="26" spans="1:16">
      <c r="A26" s="44"/>
      <c r="B26" s="5">
        <f t="shared" si="7"/>
        <v>45870</v>
      </c>
      <c r="C26" s="217" t="s">
        <v>17</v>
      </c>
      <c r="D26" s="194" t="s">
        <v>1005</v>
      </c>
      <c r="E26" s="1">
        <v>2589679</v>
      </c>
      <c r="F26" s="2">
        <v>6161269.8499999996</v>
      </c>
      <c r="G26" s="3">
        <f t="shared" si="6"/>
        <v>4920390.1022100002</v>
      </c>
      <c r="H26" s="202">
        <f t="shared" si="1"/>
        <v>1.9000000008533877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739352.38199999998</v>
      </c>
      <c r="N26" s="11">
        <f t="shared" si="3"/>
        <v>89461.638221999994</v>
      </c>
      <c r="O26" s="11">
        <f t="shared" si="4"/>
        <v>412065.72756799997</v>
      </c>
      <c r="P26" s="11">
        <f t="shared" si="5"/>
        <v>0</v>
      </c>
    </row>
    <row r="27" spans="1:16">
      <c r="A27" s="44"/>
      <c r="B27" s="5">
        <f t="shared" si="7"/>
        <v>45870</v>
      </c>
      <c r="C27" s="217" t="s">
        <v>17</v>
      </c>
      <c r="D27" s="194" t="s">
        <v>1006</v>
      </c>
      <c r="E27" s="1">
        <v>8837</v>
      </c>
      <c r="F27" s="2">
        <v>21370.68</v>
      </c>
      <c r="G27" s="3">
        <f t="shared" si="6"/>
        <v>18036.319652999999</v>
      </c>
      <c r="H27" s="202">
        <f t="shared" si="1"/>
        <v>2.0410003002150048</v>
      </c>
      <c r="I27" s="200">
        <v>7.0000000000000007E-2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1495.9476000000002</v>
      </c>
      <c r="N27" s="11">
        <f t="shared" si="3"/>
        <v>327.93308460000003</v>
      </c>
      <c r="O27" s="11">
        <f t="shared" si="4"/>
        <v>1510.4796624000001</v>
      </c>
      <c r="P27" s="11">
        <f t="shared" si="5"/>
        <v>0</v>
      </c>
    </row>
    <row r="28" spans="1:16">
      <c r="A28" s="44"/>
      <c r="B28" s="5">
        <f t="shared" si="7"/>
        <v>45870</v>
      </c>
      <c r="C28" s="217" t="s">
        <v>17</v>
      </c>
      <c r="D28" s="194" t="s">
        <v>1007</v>
      </c>
      <c r="E28" s="1">
        <v>67362</v>
      </c>
      <c r="F28" s="2">
        <v>151648.79999999999</v>
      </c>
      <c r="G28" s="3">
        <f t="shared" si="6"/>
        <v>127987.79598</v>
      </c>
      <c r="H28" s="202">
        <f t="shared" si="1"/>
        <v>1.899999940322437</v>
      </c>
      <c r="I28" s="200">
        <v>7.0000000000000007E-2</v>
      </c>
      <c r="J28" s="7">
        <v>1.6500000000000001E-2</v>
      </c>
      <c r="K28" s="7">
        <v>7.5999999999999998E-2</v>
      </c>
      <c r="L28" s="7">
        <v>0</v>
      </c>
      <c r="M28" s="11">
        <f t="shared" si="2"/>
        <v>10615.416000000001</v>
      </c>
      <c r="N28" s="11">
        <f t="shared" si="3"/>
        <v>2327.0508359999999</v>
      </c>
      <c r="O28" s="11">
        <f t="shared" si="4"/>
        <v>10718.537183999999</v>
      </c>
      <c r="P28" s="11">
        <f t="shared" si="5"/>
        <v>0</v>
      </c>
    </row>
    <row r="29" spans="1:16">
      <c r="A29" s="44"/>
      <c r="B29" s="5">
        <f t="shared" si="7"/>
        <v>45870</v>
      </c>
      <c r="C29" s="217" t="s">
        <v>17</v>
      </c>
      <c r="D29" s="194" t="s">
        <v>1008</v>
      </c>
      <c r="E29" s="1">
        <v>950306</v>
      </c>
      <c r="F29" s="2">
        <v>2441030.1</v>
      </c>
      <c r="G29" s="3">
        <f t="shared" si="6"/>
        <v>2060168.3786475002</v>
      </c>
      <c r="H29" s="202">
        <f t="shared" si="1"/>
        <v>2.1679000013127352</v>
      </c>
      <c r="I29" s="200">
        <v>7.0000000000000007E-2</v>
      </c>
      <c r="J29" s="7">
        <v>1.6500000000000001E-2</v>
      </c>
      <c r="K29" s="7">
        <v>7.5999999999999998E-2</v>
      </c>
      <c r="L29" s="7">
        <v>0</v>
      </c>
      <c r="M29" s="11">
        <f t="shared" si="2"/>
        <v>170872.10700000002</v>
      </c>
      <c r="N29" s="11">
        <f t="shared" si="3"/>
        <v>37457.606884500005</v>
      </c>
      <c r="O29" s="11">
        <f t="shared" si="4"/>
        <v>172532.00746800003</v>
      </c>
      <c r="P29" s="11">
        <f t="shared" si="5"/>
        <v>0</v>
      </c>
    </row>
    <row r="30" spans="1:16" hidden="1">
      <c r="A30" s="44"/>
      <c r="B30" s="5">
        <f t="shared" si="7"/>
        <v>45870</v>
      </c>
      <c r="C30" s="217" t="s">
        <v>17</v>
      </c>
      <c r="D30" s="194"/>
      <c r="E30" s="1"/>
      <c r="F30" s="2"/>
      <c r="G30" s="3">
        <f t="shared" ref="G30:G44" si="8">F30-SUM(M30:P30)</f>
        <v>0</v>
      </c>
      <c r="H30" s="202">
        <f t="shared" si="1"/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45870</v>
      </c>
      <c r="C31" s="217" t="s">
        <v>17</v>
      </c>
      <c r="D31" s="194"/>
      <c r="E31" s="1"/>
      <c r="F31" s="2"/>
      <c r="G31" s="3">
        <f t="shared" si="8"/>
        <v>0</v>
      </c>
      <c r="H31" s="202">
        <f t="shared" si="1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45870</v>
      </c>
      <c r="C32" s="217" t="s">
        <v>17</v>
      </c>
      <c r="D32" s="194"/>
      <c r="E32" s="1"/>
      <c r="F32" s="2"/>
      <c r="G32" s="3">
        <f t="shared" si="8"/>
        <v>0</v>
      </c>
      <c r="H32" s="202">
        <f t="shared" si="1"/>
        <v>0</v>
      </c>
      <c r="I32" s="200"/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 hidden="1">
      <c r="A33" s="44"/>
      <c r="B33" s="5">
        <f t="shared" si="7"/>
        <v>45870</v>
      </c>
      <c r="C33" s="217" t="s">
        <v>17</v>
      </c>
      <c r="D33" s="194"/>
      <c r="E33" s="1"/>
      <c r="F33" s="2"/>
      <c r="G33" s="3">
        <f t="shared" si="8"/>
        <v>0</v>
      </c>
      <c r="H33" s="202">
        <f t="shared" si="1"/>
        <v>0</v>
      </c>
      <c r="I33" s="200"/>
      <c r="J33" s="7">
        <v>1.6500000000000001E-2</v>
      </c>
      <c r="K33" s="7">
        <v>7.5999999999999998E-2</v>
      </c>
      <c r="L33" s="7">
        <v>0</v>
      </c>
      <c r="M33" s="11">
        <f t="shared" si="2"/>
        <v>0</v>
      </c>
      <c r="N33" s="11">
        <f t="shared" si="3"/>
        <v>0</v>
      </c>
      <c r="O33" s="11">
        <f t="shared" si="4"/>
        <v>0</v>
      </c>
      <c r="P33" s="11">
        <f t="shared" si="5"/>
        <v>0</v>
      </c>
    </row>
    <row r="34" spans="1:16" hidden="1">
      <c r="A34" s="44"/>
      <c r="B34" s="5">
        <f t="shared" si="7"/>
        <v>45870</v>
      </c>
      <c r="C34" s="217" t="s">
        <v>17</v>
      </c>
      <c r="D34" s="194"/>
      <c r="E34" s="1"/>
      <c r="F34" s="2"/>
      <c r="G34" s="3">
        <f t="shared" si="8"/>
        <v>0</v>
      </c>
      <c r="H34" s="202">
        <f t="shared" si="1"/>
        <v>0</v>
      </c>
      <c r="I34" s="200"/>
      <c r="J34" s="7">
        <v>1.6500000000000001E-2</v>
      </c>
      <c r="K34" s="7">
        <v>7.5999999999999998E-2</v>
      </c>
      <c r="L34" s="7">
        <v>0</v>
      </c>
      <c r="M34" s="11">
        <f t="shared" si="2"/>
        <v>0</v>
      </c>
      <c r="N34" s="11">
        <f t="shared" si="3"/>
        <v>0</v>
      </c>
      <c r="O34" s="11">
        <f t="shared" si="4"/>
        <v>0</v>
      </c>
      <c r="P34" s="11">
        <f t="shared" si="5"/>
        <v>0</v>
      </c>
    </row>
    <row r="35" spans="1:16" hidden="1">
      <c r="A35" s="44"/>
      <c r="B35" s="5">
        <f t="shared" si="7"/>
        <v>45870</v>
      </c>
      <c r="C35" s="217" t="s">
        <v>17</v>
      </c>
      <c r="D35" s="194"/>
      <c r="E35" s="1"/>
      <c r="F35" s="2"/>
      <c r="G35" s="3">
        <f t="shared" si="8"/>
        <v>0</v>
      </c>
      <c r="H35" s="202">
        <f t="shared" si="1"/>
        <v>0</v>
      </c>
      <c r="I35" s="200"/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 hidden="1">
      <c r="A36" s="44"/>
      <c r="B36" s="5">
        <f t="shared" si="7"/>
        <v>45870</v>
      </c>
      <c r="C36" s="217" t="s">
        <v>17</v>
      </c>
      <c r="D36" s="194"/>
      <c r="E36" s="1"/>
      <c r="F36" s="2"/>
      <c r="G36" s="3">
        <f t="shared" si="8"/>
        <v>0</v>
      </c>
      <c r="H36" s="202">
        <f t="shared" si="1"/>
        <v>0</v>
      </c>
      <c r="I36" s="200"/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 hidden="1">
      <c r="A37" s="44"/>
      <c r="B37" s="5">
        <f t="shared" si="7"/>
        <v>45870</v>
      </c>
      <c r="C37" s="217" t="s">
        <v>17</v>
      </c>
      <c r="D37" s="194"/>
      <c r="E37" s="1"/>
      <c r="F37" s="2"/>
      <c r="G37" s="3">
        <f t="shared" si="8"/>
        <v>0</v>
      </c>
      <c r="H37" s="202">
        <f t="shared" si="1"/>
        <v>0</v>
      </c>
      <c r="I37" s="200"/>
      <c r="J37" s="7">
        <v>1.6500000000000001E-2</v>
      </c>
      <c r="K37" s="7">
        <v>7.5999999999999998E-2</v>
      </c>
      <c r="L37" s="7">
        <v>0</v>
      </c>
      <c r="M37" s="11">
        <f t="shared" si="2"/>
        <v>0</v>
      </c>
      <c r="N37" s="11">
        <f t="shared" si="3"/>
        <v>0</v>
      </c>
      <c r="O37" s="11">
        <f t="shared" si="4"/>
        <v>0</v>
      </c>
      <c r="P37" s="11">
        <f t="shared" si="5"/>
        <v>0</v>
      </c>
    </row>
    <row r="38" spans="1:16" hidden="1">
      <c r="A38" s="44"/>
      <c r="B38" s="5">
        <f t="shared" si="7"/>
        <v>45870</v>
      </c>
      <c r="C38" s="217" t="s">
        <v>17</v>
      </c>
      <c r="D38" s="194"/>
      <c r="E38" s="1"/>
      <c r="F38" s="2"/>
      <c r="G38" s="3">
        <f t="shared" si="8"/>
        <v>0</v>
      </c>
      <c r="H38" s="202">
        <f t="shared" si="1"/>
        <v>0</v>
      </c>
      <c r="I38" s="200"/>
      <c r="J38" s="7">
        <v>1.6500000000000001E-2</v>
      </c>
      <c r="K38" s="7">
        <v>7.5999999999999998E-2</v>
      </c>
      <c r="L38" s="7">
        <v>0</v>
      </c>
      <c r="M38" s="11">
        <f t="shared" si="2"/>
        <v>0</v>
      </c>
      <c r="N38" s="11">
        <f t="shared" si="3"/>
        <v>0</v>
      </c>
      <c r="O38" s="11">
        <f t="shared" si="4"/>
        <v>0</v>
      </c>
      <c r="P38" s="11">
        <f t="shared" si="5"/>
        <v>0</v>
      </c>
    </row>
    <row r="39" spans="1:16" hidden="1">
      <c r="A39" s="44"/>
      <c r="B39" s="5">
        <f t="shared" si="7"/>
        <v>45870</v>
      </c>
      <c r="C39" s="217" t="s">
        <v>17</v>
      </c>
      <c r="D39" s="194"/>
      <c r="E39" s="1"/>
      <c r="F39" s="2"/>
      <c r="G39" s="3">
        <f t="shared" si="8"/>
        <v>0</v>
      </c>
      <c r="H39" s="202">
        <f t="shared" si="1"/>
        <v>0</v>
      </c>
      <c r="I39" s="200"/>
      <c r="J39" s="7">
        <v>1.6500000000000001E-2</v>
      </c>
      <c r="K39" s="7">
        <v>7.5999999999999998E-2</v>
      </c>
      <c r="L39" s="7">
        <v>0</v>
      </c>
      <c r="M39" s="11">
        <f t="shared" si="2"/>
        <v>0</v>
      </c>
      <c r="N39" s="11">
        <f t="shared" si="3"/>
        <v>0</v>
      </c>
      <c r="O39" s="11">
        <f t="shared" si="4"/>
        <v>0</v>
      </c>
      <c r="P39" s="11">
        <f t="shared" si="5"/>
        <v>0</v>
      </c>
    </row>
    <row r="40" spans="1:16" hidden="1">
      <c r="A40" s="44"/>
      <c r="B40" s="5">
        <f t="shared" si="7"/>
        <v>45870</v>
      </c>
      <c r="C40" s="217" t="s">
        <v>17</v>
      </c>
      <c r="D40" s="194"/>
      <c r="E40" s="1"/>
      <c r="F40" s="2"/>
      <c r="G40" s="3">
        <f t="shared" si="8"/>
        <v>0</v>
      </c>
      <c r="H40" s="202">
        <f t="shared" si="1"/>
        <v>0</v>
      </c>
      <c r="I40" s="200"/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 hidden="1">
      <c r="A41" s="44"/>
      <c r="B41" s="5">
        <f t="shared" si="7"/>
        <v>45870</v>
      </c>
      <c r="C41" s="217" t="s">
        <v>17</v>
      </c>
      <c r="D41" s="194"/>
      <c r="E41" s="1"/>
      <c r="F41" s="2"/>
      <c r="G41" s="3">
        <f t="shared" si="8"/>
        <v>0</v>
      </c>
      <c r="H41" s="202">
        <f t="shared" si="1"/>
        <v>0</v>
      </c>
      <c r="I41" s="200"/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idden="1">
      <c r="A42" s="44"/>
      <c r="B42" s="5">
        <f t="shared" si="7"/>
        <v>45870</v>
      </c>
      <c r="C42" s="217" t="s">
        <v>17</v>
      </c>
      <c r="D42" s="194"/>
      <c r="E42" s="1"/>
      <c r="F42" s="2"/>
      <c r="G42" s="3">
        <f t="shared" si="8"/>
        <v>0</v>
      </c>
      <c r="H42" s="202">
        <f t="shared" si="1"/>
        <v>0</v>
      </c>
      <c r="I42" s="200"/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 hidden="1">
      <c r="A43" s="44"/>
      <c r="B43" s="5">
        <f t="shared" si="7"/>
        <v>45870</v>
      </c>
      <c r="C43" s="217" t="s">
        <v>17</v>
      </c>
      <c r="D43" s="194"/>
      <c r="E43" s="1"/>
      <c r="F43" s="2"/>
      <c r="G43" s="3">
        <f t="shared" si="8"/>
        <v>0</v>
      </c>
      <c r="H43" s="202">
        <f t="shared" si="1"/>
        <v>0</v>
      </c>
      <c r="I43" s="200"/>
      <c r="J43" s="7">
        <v>1.6500000000000001E-2</v>
      </c>
      <c r="K43" s="7">
        <v>7.5999999999999998E-2</v>
      </c>
      <c r="L43" s="7">
        <v>0</v>
      </c>
      <c r="M43" s="11">
        <f t="shared" si="2"/>
        <v>0</v>
      </c>
      <c r="N43" s="11">
        <f t="shared" si="3"/>
        <v>0</v>
      </c>
      <c r="O43" s="11">
        <f t="shared" si="4"/>
        <v>0</v>
      </c>
      <c r="P43" s="11">
        <f t="shared" si="5"/>
        <v>0</v>
      </c>
    </row>
    <row r="44" spans="1:16" hidden="1">
      <c r="A44" s="44"/>
      <c r="B44" s="5">
        <f t="shared" si="7"/>
        <v>45870</v>
      </c>
      <c r="C44" s="218" t="s">
        <v>830</v>
      </c>
      <c r="D44" s="194"/>
      <c r="E44" s="1"/>
      <c r="F44" s="2"/>
      <c r="G44" s="3">
        <f t="shared" si="8"/>
        <v>0</v>
      </c>
      <c r="H44" s="202">
        <f t="shared" si="1"/>
        <v>0</v>
      </c>
      <c r="I44" s="200"/>
      <c r="J44" s="7">
        <v>1.6500000000000001E-2</v>
      </c>
      <c r="K44" s="7">
        <v>7.5999999999999998E-2</v>
      </c>
      <c r="L44" s="7">
        <v>0</v>
      </c>
      <c r="M44" s="11">
        <f t="shared" si="2"/>
        <v>0</v>
      </c>
      <c r="N44" s="11">
        <f t="shared" si="3"/>
        <v>0</v>
      </c>
      <c r="O44" s="11">
        <f t="shared" si="4"/>
        <v>0</v>
      </c>
      <c r="P44" s="11">
        <f t="shared" si="5"/>
        <v>0</v>
      </c>
    </row>
    <row r="45" spans="1:16" hidden="1">
      <c r="A45" s="44"/>
      <c r="B45" s="5">
        <f>B44</f>
        <v>45870</v>
      </c>
      <c r="C45" s="218" t="s">
        <v>830</v>
      </c>
      <c r="D45" s="194"/>
      <c r="E45" s="1"/>
      <c r="F45" s="2"/>
      <c r="G45" s="3">
        <f t="shared" si="6"/>
        <v>0</v>
      </c>
      <c r="H45" s="202">
        <f>+IF(G45=0,0,G45/E45)</f>
        <v>0</v>
      </c>
      <c r="I45" s="200"/>
      <c r="J45" s="7">
        <v>1.6500000000000001E-2</v>
      </c>
      <c r="K45" s="7">
        <v>7.5999999999999998E-2</v>
      </c>
      <c r="L45" s="7">
        <v>0</v>
      </c>
      <c r="M45" s="11">
        <f t="shared" si="2"/>
        <v>0</v>
      </c>
      <c r="N45" s="11">
        <f t="shared" si="3"/>
        <v>0</v>
      </c>
      <c r="O45" s="11">
        <f t="shared" si="4"/>
        <v>0</v>
      </c>
      <c r="P45" s="11">
        <f t="shared" si="5"/>
        <v>0</v>
      </c>
    </row>
    <row r="46" spans="1:16">
      <c r="A46" s="44"/>
      <c r="B46" s="5">
        <f t="shared" si="7"/>
        <v>45870</v>
      </c>
      <c r="C46" s="218" t="s">
        <v>830</v>
      </c>
      <c r="D46" s="194" t="s">
        <v>991</v>
      </c>
      <c r="E46" s="1">
        <v>5960000</v>
      </c>
      <c r="F46" s="2">
        <v>12763904.41</v>
      </c>
      <c r="G46" s="3">
        <f t="shared" si="6"/>
        <v>10193254.061826</v>
      </c>
      <c r="H46" s="202">
        <f t="shared" ref="H46:H55" si="9">+IF(G46=0,0,G46/E46)</f>
        <v>1.7102775271520134</v>
      </c>
      <c r="I46" s="200">
        <v>0.12</v>
      </c>
      <c r="J46" s="7">
        <v>1.6500000000000001E-2</v>
      </c>
      <c r="K46" s="7">
        <v>7.5999999999999998E-2</v>
      </c>
      <c r="L46" s="7">
        <v>0</v>
      </c>
      <c r="M46" s="11">
        <f t="shared" si="2"/>
        <v>1531668.5292</v>
      </c>
      <c r="N46" s="11">
        <f t="shared" si="3"/>
        <v>185331.89203320001</v>
      </c>
      <c r="O46" s="11">
        <f t="shared" si="4"/>
        <v>853649.92694079992</v>
      </c>
      <c r="P46" s="11">
        <f t="shared" si="5"/>
        <v>0</v>
      </c>
    </row>
    <row r="47" spans="1:16">
      <c r="A47" s="44"/>
      <c r="B47" s="5">
        <f t="shared" si="7"/>
        <v>45870</v>
      </c>
      <c r="C47" s="219" t="s">
        <v>440</v>
      </c>
      <c r="D47" s="194" t="s">
        <v>990</v>
      </c>
      <c r="E47" s="1">
        <v>310000</v>
      </c>
      <c r="F47" s="2">
        <v>693594</v>
      </c>
      <c r="G47" s="3">
        <f t="shared" si="6"/>
        <v>585375.99615000002</v>
      </c>
      <c r="H47" s="202">
        <f t="shared" si="9"/>
        <v>1.888309665</v>
      </c>
      <c r="I47" s="7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48551.58</v>
      </c>
      <c r="N47" s="11">
        <f t="shared" si="3"/>
        <v>10643.199930000001</v>
      </c>
      <c r="O47" s="11">
        <f t="shared" si="4"/>
        <v>49023.223920000004</v>
      </c>
      <c r="P47" s="11">
        <f t="shared" si="5"/>
        <v>0</v>
      </c>
    </row>
    <row r="48" spans="1:16">
      <c r="A48" s="44"/>
      <c r="B48" s="5">
        <f t="shared" si="7"/>
        <v>45870</v>
      </c>
      <c r="C48" s="217" t="s">
        <v>491</v>
      </c>
      <c r="D48" s="194" t="s">
        <v>996</v>
      </c>
      <c r="E48" s="1">
        <v>6200000</v>
      </c>
      <c r="F48" s="2">
        <v>15622664.66</v>
      </c>
      <c r="G48" s="3">
        <f>F48-SUM(M48:P48)</f>
        <v>12476259.997476</v>
      </c>
      <c r="H48" s="202">
        <f>+IF(G48=0,0,G48/E48)</f>
        <v>2.0122999995929032</v>
      </c>
      <c r="I48" s="7">
        <v>0.12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1874719.7592</v>
      </c>
      <c r="N48" s="11">
        <f t="shared" si="3"/>
        <v>226841.09086320002</v>
      </c>
      <c r="O48" s="11">
        <f t="shared" si="4"/>
        <v>1044843.8124608001</v>
      </c>
      <c r="P48" s="11">
        <f t="shared" si="5"/>
        <v>0</v>
      </c>
    </row>
    <row r="49" spans="1:16" hidden="1">
      <c r="A49" s="44"/>
      <c r="B49" s="5">
        <f t="shared" si="7"/>
        <v>45870</v>
      </c>
      <c r="C49" s="217" t="s">
        <v>491</v>
      </c>
      <c r="D49" s="194"/>
      <c r="E49" s="185"/>
      <c r="F49" s="2"/>
      <c r="G49" s="3">
        <f t="shared" ref="G49" si="10">F49-SUM(M49:P49)</f>
        <v>0</v>
      </c>
      <c r="H49" s="202">
        <f>+IF(G49=0,0,G49/E49)</f>
        <v>0</v>
      </c>
      <c r="I49" s="7"/>
      <c r="J49" s="7">
        <v>1.6500000000000001E-2</v>
      </c>
      <c r="K49" s="7">
        <v>7.5999999999999998E-2</v>
      </c>
      <c r="L49" s="7">
        <v>0</v>
      </c>
      <c r="M49" s="11">
        <f t="shared" si="2"/>
        <v>0</v>
      </c>
      <c r="N49" s="11">
        <f t="shared" si="3"/>
        <v>0</v>
      </c>
      <c r="O49" s="11">
        <f t="shared" si="4"/>
        <v>0</v>
      </c>
      <c r="P49" s="11">
        <f t="shared" si="5"/>
        <v>0</v>
      </c>
    </row>
    <row r="50" spans="1:16" hidden="1">
      <c r="A50" s="44"/>
      <c r="B50" s="5">
        <f>B46</f>
        <v>45870</v>
      </c>
      <c r="C50" s="217" t="s">
        <v>491</v>
      </c>
      <c r="D50" s="194"/>
      <c r="E50" s="1"/>
      <c r="F50" s="2"/>
      <c r="G50" s="3">
        <f t="shared" ref="G50:G51" si="11">F50-SUM(M50:P50)</f>
        <v>0</v>
      </c>
      <c r="H50" s="202">
        <f t="shared" si="9"/>
        <v>0</v>
      </c>
      <c r="I50" s="7"/>
      <c r="J50" s="7">
        <v>1.6500000000000001E-2</v>
      </c>
      <c r="K50" s="7">
        <v>7.5999999999999998E-2</v>
      </c>
      <c r="L50" s="7">
        <v>0</v>
      </c>
      <c r="M50" s="11">
        <f t="shared" si="2"/>
        <v>0</v>
      </c>
      <c r="N50" s="11">
        <f t="shared" si="3"/>
        <v>0</v>
      </c>
      <c r="O50" s="11">
        <f t="shared" si="4"/>
        <v>0</v>
      </c>
      <c r="P50" s="11">
        <f t="shared" si="5"/>
        <v>0</v>
      </c>
    </row>
    <row r="51" spans="1:16" hidden="1">
      <c r="A51" s="44"/>
      <c r="B51" s="5">
        <f>B47</f>
        <v>45870</v>
      </c>
      <c r="C51" s="217" t="s">
        <v>491</v>
      </c>
      <c r="D51" s="195"/>
      <c r="E51" s="118"/>
      <c r="F51" s="2"/>
      <c r="G51" s="3">
        <f t="shared" si="11"/>
        <v>0</v>
      </c>
      <c r="H51" s="202">
        <f t="shared" si="9"/>
        <v>0</v>
      </c>
      <c r="I51" s="7"/>
      <c r="J51" s="7">
        <v>1.6500000000000001E-2</v>
      </c>
      <c r="K51" s="7">
        <v>7.5999999999999998E-2</v>
      </c>
      <c r="L51" s="7">
        <v>0</v>
      </c>
      <c r="M51" s="11">
        <f t="shared" si="2"/>
        <v>0</v>
      </c>
      <c r="N51" s="11">
        <f t="shared" si="3"/>
        <v>0</v>
      </c>
      <c r="O51" s="11">
        <f t="shared" si="4"/>
        <v>0</v>
      </c>
      <c r="P51" s="11">
        <f t="shared" si="5"/>
        <v>0</v>
      </c>
    </row>
    <row r="52" spans="1:16" hidden="1">
      <c r="A52" s="44"/>
      <c r="B52" s="5">
        <f>B48</f>
        <v>45870</v>
      </c>
      <c r="C52" s="220" t="s">
        <v>756</v>
      </c>
      <c r="D52" s="195"/>
      <c r="E52" s="118"/>
      <c r="F52" s="2"/>
      <c r="G52" s="3">
        <f t="shared" si="6"/>
        <v>0</v>
      </c>
      <c r="H52" s="202">
        <f t="shared" si="9"/>
        <v>0</v>
      </c>
      <c r="I52" s="7"/>
      <c r="J52" s="200">
        <v>1.6500000000000001E-2</v>
      </c>
      <c r="K52" s="200">
        <v>7.5999999999999998E-2</v>
      </c>
      <c r="L52" s="200">
        <v>0</v>
      </c>
      <c r="M52" s="11">
        <f t="shared" si="2"/>
        <v>0</v>
      </c>
      <c r="N52" s="11">
        <f t="shared" si="3"/>
        <v>0</v>
      </c>
      <c r="O52" s="11">
        <f t="shared" si="4"/>
        <v>0</v>
      </c>
      <c r="P52" s="11">
        <f t="shared" si="5"/>
        <v>0</v>
      </c>
    </row>
    <row r="53" spans="1:16">
      <c r="A53" s="44"/>
      <c r="B53" s="5">
        <f t="shared" si="7"/>
        <v>45870</v>
      </c>
      <c r="C53" s="220" t="s">
        <v>756</v>
      </c>
      <c r="D53" s="212" t="s">
        <v>992</v>
      </c>
      <c r="E53" s="118">
        <v>852298.66</v>
      </c>
      <c r="F53" s="2">
        <v>3799376.97</v>
      </c>
      <c r="G53" s="3">
        <f t="shared" ref="G53" si="12">F53-SUM(M53:P53)</f>
        <v>2741108.0072186254</v>
      </c>
      <c r="H53" s="202">
        <f t="shared" si="9"/>
        <v>3.2161355354220849</v>
      </c>
      <c r="I53" s="7">
        <v>0.20499999999999999</v>
      </c>
      <c r="J53" s="200">
        <v>1.6500000000000001E-2</v>
      </c>
      <c r="K53" s="200">
        <v>7.5999999999999998E-2</v>
      </c>
      <c r="L53" s="200">
        <v>0</v>
      </c>
      <c r="M53" s="11">
        <f t="shared" si="2"/>
        <v>778872.27885</v>
      </c>
      <c r="N53" s="11">
        <f t="shared" si="3"/>
        <v>49838.32740397501</v>
      </c>
      <c r="O53" s="11">
        <f t="shared" si="4"/>
        <v>229558.35652740003</v>
      </c>
      <c r="P53" s="11">
        <f t="shared" si="5"/>
        <v>0</v>
      </c>
    </row>
    <row r="54" spans="1:16">
      <c r="A54" s="44"/>
      <c r="B54" s="5">
        <f>B53</f>
        <v>45870</v>
      </c>
      <c r="C54" s="220" t="s">
        <v>757</v>
      </c>
      <c r="D54" s="212" t="s">
        <v>993</v>
      </c>
      <c r="E54" s="118">
        <v>134498.01999999999</v>
      </c>
      <c r="F54" s="2">
        <v>676740.24</v>
      </c>
      <c r="G54" s="3">
        <f t="shared" ref="G54:G117" si="13">F54-SUM(M54:P54)</f>
        <v>488242.70540099998</v>
      </c>
      <c r="H54" s="202">
        <f t="shared" si="9"/>
        <v>3.6301107287750409</v>
      </c>
      <c r="I54" s="7">
        <v>0.20499999999999999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138731.74919999999</v>
      </c>
      <c r="N54" s="11">
        <f t="shared" si="3"/>
        <v>8877.1400982000014</v>
      </c>
      <c r="O54" s="11">
        <f t="shared" si="4"/>
        <v>40888.645300800003</v>
      </c>
      <c r="P54" s="11">
        <f t="shared" si="5"/>
        <v>0</v>
      </c>
    </row>
    <row r="55" spans="1:16" ht="15" hidden="1" customHeight="1">
      <c r="A55" s="44"/>
      <c r="B55" s="5">
        <f>B54</f>
        <v>45870</v>
      </c>
      <c r="C55" s="220" t="s">
        <v>757</v>
      </c>
      <c r="D55" s="195"/>
      <c r="E55" s="118"/>
      <c r="F55" s="2"/>
      <c r="G55" s="3">
        <f t="shared" si="13"/>
        <v>0</v>
      </c>
      <c r="H55" s="202">
        <f t="shared" si="9"/>
        <v>0</v>
      </c>
      <c r="I55" s="7"/>
      <c r="J55" s="7">
        <v>1.6500000000000001E-2</v>
      </c>
      <c r="K55" s="7">
        <v>7.5999999999999998E-2</v>
      </c>
      <c r="L55" s="7">
        <v>0</v>
      </c>
      <c r="M55" s="11">
        <f t="shared" si="2"/>
        <v>0</v>
      </c>
      <c r="N55" s="11">
        <f t="shared" si="3"/>
        <v>0</v>
      </c>
      <c r="O55" s="11">
        <f t="shared" si="4"/>
        <v>0</v>
      </c>
      <c r="P55" s="11">
        <f t="shared" si="5"/>
        <v>0</v>
      </c>
    </row>
    <row r="56" spans="1:16" ht="15" customHeight="1">
      <c r="A56" s="44"/>
      <c r="B56" s="5">
        <f>B55</f>
        <v>45870</v>
      </c>
      <c r="C56" s="221" t="s">
        <v>792</v>
      </c>
      <c r="D56" s="195" t="s">
        <v>1009</v>
      </c>
      <c r="E56" s="186"/>
      <c r="F56" s="2">
        <v>265015.15000000002</v>
      </c>
      <c r="G56" s="3">
        <f t="shared" si="13"/>
        <v>240501.24862500001</v>
      </c>
      <c r="H56" s="187"/>
      <c r="I56" s="193"/>
      <c r="J56" s="7">
        <v>1.6500000000000001E-2</v>
      </c>
      <c r="K56" s="7">
        <v>7.5999999999999998E-2</v>
      </c>
      <c r="L56" s="7">
        <v>0</v>
      </c>
      <c r="M56" s="11">
        <f t="shared" si="2"/>
        <v>0</v>
      </c>
      <c r="N56" s="11">
        <f t="shared" si="3"/>
        <v>4372.7499750000006</v>
      </c>
      <c r="O56" s="11">
        <f t="shared" si="4"/>
        <v>20141.151400000002</v>
      </c>
      <c r="P56" s="11">
        <f t="shared" si="5"/>
        <v>0</v>
      </c>
    </row>
    <row r="57" spans="1:16">
      <c r="A57" s="44"/>
      <c r="B57" s="5">
        <f>B56</f>
        <v>45870</v>
      </c>
      <c r="C57" s="221" t="s">
        <v>792</v>
      </c>
      <c r="D57" s="195" t="s">
        <v>994</v>
      </c>
      <c r="E57" s="186"/>
      <c r="F57" s="2">
        <v>277649.42</v>
      </c>
      <c r="G57" s="3">
        <f t="shared" si="13"/>
        <v>251966.84865</v>
      </c>
      <c r="H57" s="187"/>
      <c r="I57" s="193"/>
      <c r="J57" s="7">
        <v>1.6500000000000001E-2</v>
      </c>
      <c r="K57" s="7">
        <v>7.5999999999999998E-2</v>
      </c>
      <c r="L57" s="7">
        <v>0</v>
      </c>
      <c r="M57" s="11">
        <f t="shared" si="2"/>
        <v>0</v>
      </c>
      <c r="N57" s="11">
        <f t="shared" si="3"/>
        <v>4581.2154300000002</v>
      </c>
      <c r="O57" s="11">
        <f t="shared" si="4"/>
        <v>21101.355919999998</v>
      </c>
      <c r="P57" s="11">
        <f t="shared" si="5"/>
        <v>0</v>
      </c>
    </row>
    <row r="58" spans="1:16" hidden="1">
      <c r="A58" s="44"/>
      <c r="B58" s="5">
        <f>B57</f>
        <v>45870</v>
      </c>
      <c r="C58" s="1" t="s">
        <v>33</v>
      </c>
      <c r="D58" s="195"/>
      <c r="E58" s="118"/>
      <c r="F58" s="2"/>
      <c r="G58" s="3">
        <f t="shared" si="13"/>
        <v>0</v>
      </c>
      <c r="H58" s="202">
        <f t="shared" ref="H58:H59" si="14">+IF(G58=0,0,G58/E58)</f>
        <v>0</v>
      </c>
      <c r="I58" s="7"/>
      <c r="J58" s="7">
        <v>1.6500000000000001E-2</v>
      </c>
      <c r="K58" s="7">
        <v>7.5999999999999998E-2</v>
      </c>
      <c r="L58" s="7">
        <v>0</v>
      </c>
      <c r="M58" s="11">
        <f t="shared" si="2"/>
        <v>0</v>
      </c>
      <c r="N58" s="11">
        <f t="shared" si="3"/>
        <v>0</v>
      </c>
      <c r="O58" s="11">
        <f t="shared" si="4"/>
        <v>0</v>
      </c>
      <c r="P58" s="11">
        <f t="shared" si="5"/>
        <v>0</v>
      </c>
    </row>
    <row r="59" spans="1:16" hidden="1">
      <c r="A59" s="44"/>
      <c r="B59" s="5">
        <f t="shared" ref="B59:B122" si="15">B58</f>
        <v>45870</v>
      </c>
      <c r="C59" s="1" t="s">
        <v>33</v>
      </c>
      <c r="D59" s="195"/>
      <c r="E59" s="118"/>
      <c r="F59" s="2"/>
      <c r="G59" s="3">
        <f t="shared" si="13"/>
        <v>0</v>
      </c>
      <c r="H59" s="202">
        <f t="shared" si="14"/>
        <v>0</v>
      </c>
      <c r="I59" s="7"/>
      <c r="J59" s="7">
        <v>1.6500000000000001E-2</v>
      </c>
      <c r="K59" s="7">
        <v>7.5999999999999998E-2</v>
      </c>
      <c r="L59" s="7">
        <v>0</v>
      </c>
      <c r="M59" s="11">
        <f t="shared" si="2"/>
        <v>0</v>
      </c>
      <c r="N59" s="11">
        <f t="shared" si="3"/>
        <v>0</v>
      </c>
      <c r="O59" s="11">
        <f t="shared" si="4"/>
        <v>0</v>
      </c>
      <c r="P59" s="11">
        <f t="shared" si="5"/>
        <v>0</v>
      </c>
    </row>
    <row r="60" spans="1:16" ht="15" customHeight="1">
      <c r="A60" s="44"/>
      <c r="B60" s="5">
        <f t="shared" si="15"/>
        <v>45870</v>
      </c>
      <c r="C60" s="218" t="s">
        <v>533</v>
      </c>
      <c r="D60" s="195">
        <v>11530</v>
      </c>
      <c r="E60" s="186"/>
      <c r="F60" s="2">
        <v>97760.49</v>
      </c>
      <c r="G60" s="3">
        <f>F60-SUM(M60:P60)</f>
        <v>78071.527314000006</v>
      </c>
      <c r="H60" s="187"/>
      <c r="I60" s="7">
        <v>0.12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11731.2588</v>
      </c>
      <c r="N60" s="11">
        <f t="shared" si="3"/>
        <v>1419.4823148000003</v>
      </c>
      <c r="O60" s="11">
        <f t="shared" si="4"/>
        <v>6538.2215712000007</v>
      </c>
      <c r="P60" s="11">
        <f t="shared" si="5"/>
        <v>0</v>
      </c>
    </row>
    <row r="61" spans="1:16" ht="15" customHeight="1">
      <c r="A61" s="44"/>
      <c r="B61" s="5">
        <f t="shared" si="15"/>
        <v>45870</v>
      </c>
      <c r="C61" s="218" t="s">
        <v>533</v>
      </c>
      <c r="D61" s="195">
        <v>11531</v>
      </c>
      <c r="E61" s="186"/>
      <c r="F61" s="2">
        <v>12854.1</v>
      </c>
      <c r="G61" s="3">
        <f>F61-SUM(M61:P61)</f>
        <v>10265.28426</v>
      </c>
      <c r="H61" s="187"/>
      <c r="I61" s="7">
        <v>0.12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1542.492</v>
      </c>
      <c r="N61" s="11">
        <f t="shared" si="3"/>
        <v>186.64153200000001</v>
      </c>
      <c r="O61" s="11">
        <f t="shared" si="4"/>
        <v>859.68220799999995</v>
      </c>
      <c r="P61" s="11">
        <f t="shared" si="5"/>
        <v>0</v>
      </c>
    </row>
    <row r="62" spans="1:16" ht="15" customHeight="1">
      <c r="A62" s="44"/>
      <c r="B62" s="5">
        <f t="shared" si="15"/>
        <v>45870</v>
      </c>
      <c r="C62" s="218" t="s">
        <v>533</v>
      </c>
      <c r="D62" s="195">
        <v>6507</v>
      </c>
      <c r="E62" s="186"/>
      <c r="F62" s="2">
        <v>248145.26</v>
      </c>
      <c r="G62" s="3">
        <f t="shared" si="13"/>
        <v>198168.80463600002</v>
      </c>
      <c r="H62" s="187"/>
      <c r="I62" s="7">
        <v>0.12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29777.431199999999</v>
      </c>
      <c r="N62" s="11">
        <f t="shared" si="3"/>
        <v>3603.0691752000002</v>
      </c>
      <c r="O62" s="11">
        <f t="shared" si="4"/>
        <v>16595.9549888</v>
      </c>
      <c r="P62" s="11">
        <f t="shared" si="5"/>
        <v>0</v>
      </c>
    </row>
    <row r="63" spans="1:16" ht="15" customHeight="1">
      <c r="A63" s="44"/>
      <c r="B63" s="5">
        <f t="shared" si="15"/>
        <v>45870</v>
      </c>
      <c r="C63" s="218" t="s">
        <v>533</v>
      </c>
      <c r="D63" s="195">
        <v>6508</v>
      </c>
      <c r="E63" s="186"/>
      <c r="F63" s="2">
        <v>37670.86</v>
      </c>
      <c r="G63" s="3">
        <f t="shared" si="13"/>
        <v>30083.948796000001</v>
      </c>
      <c r="H63" s="187"/>
      <c r="I63" s="7">
        <v>0.12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4520.5032000000001</v>
      </c>
      <c r="N63" s="11">
        <f t="shared" si="3"/>
        <v>546.9808872000001</v>
      </c>
      <c r="O63" s="11">
        <f t="shared" si="4"/>
        <v>2519.4271168</v>
      </c>
      <c r="P63" s="11">
        <f t="shared" si="5"/>
        <v>0</v>
      </c>
    </row>
    <row r="64" spans="1:16" ht="15" customHeight="1">
      <c r="A64" s="44"/>
      <c r="B64" s="5">
        <f t="shared" si="15"/>
        <v>45870</v>
      </c>
      <c r="C64" s="218" t="s">
        <v>533</v>
      </c>
      <c r="D64" s="195">
        <v>25645</v>
      </c>
      <c r="E64" s="186"/>
      <c r="F64" s="2">
        <v>3107.3</v>
      </c>
      <c r="G64" s="3">
        <f t="shared" si="13"/>
        <v>2622.4835175000003</v>
      </c>
      <c r="H64" s="187"/>
      <c r="I64" s="7">
        <v>7.0000000000000007E-2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217.51100000000002</v>
      </c>
      <c r="N64" s="11">
        <f t="shared" si="3"/>
        <v>47.681518500000003</v>
      </c>
      <c r="O64" s="11">
        <f t="shared" si="4"/>
        <v>219.623964</v>
      </c>
      <c r="P64" s="11">
        <f t="shared" si="5"/>
        <v>0</v>
      </c>
    </row>
    <row r="65" spans="1:16" ht="15" customHeight="1">
      <c r="A65" s="44"/>
      <c r="B65" s="5">
        <f t="shared" si="15"/>
        <v>45870</v>
      </c>
      <c r="C65" s="218" t="s">
        <v>533</v>
      </c>
      <c r="D65" s="195">
        <v>25646</v>
      </c>
      <c r="E65" s="186"/>
      <c r="F65" s="2">
        <v>356.44</v>
      </c>
      <c r="G65" s="3">
        <f t="shared" si="13"/>
        <v>300.82644900000003</v>
      </c>
      <c r="H65" s="187"/>
      <c r="I65" s="7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24.950800000000001</v>
      </c>
      <c r="N65" s="11">
        <f t="shared" si="3"/>
        <v>5.4695717999999998</v>
      </c>
      <c r="O65" s="11">
        <f t="shared" si="4"/>
        <v>25.193179199999999</v>
      </c>
      <c r="P65" s="11">
        <f t="shared" si="5"/>
        <v>0</v>
      </c>
    </row>
    <row r="66" spans="1:16" ht="15" customHeight="1">
      <c r="A66" s="44"/>
      <c r="B66" s="5">
        <f t="shared" si="15"/>
        <v>45870</v>
      </c>
      <c r="C66" s="218" t="s">
        <v>533</v>
      </c>
      <c r="D66" s="195">
        <v>11537</v>
      </c>
      <c r="E66" s="186"/>
      <c r="F66" s="2">
        <v>75927.27</v>
      </c>
      <c r="G66" s="3">
        <f t="shared" si="13"/>
        <v>60635.517822000002</v>
      </c>
      <c r="H66" s="187"/>
      <c r="I66" s="7">
        <v>0.12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9111.2723999999998</v>
      </c>
      <c r="N66" s="11">
        <f t="shared" si="3"/>
        <v>1102.4639604000001</v>
      </c>
      <c r="O66" s="11">
        <f t="shared" si="4"/>
        <v>5078.0158176000004</v>
      </c>
      <c r="P66" s="11">
        <f t="shared" si="5"/>
        <v>0</v>
      </c>
    </row>
    <row r="67" spans="1:16" ht="15" customHeight="1">
      <c r="A67" s="44"/>
      <c r="B67" s="5">
        <f t="shared" si="15"/>
        <v>45870</v>
      </c>
      <c r="C67" s="218" t="s">
        <v>533</v>
      </c>
      <c r="D67" s="195">
        <v>11538</v>
      </c>
      <c r="E67" s="186"/>
      <c r="F67" s="2">
        <v>10572.08</v>
      </c>
      <c r="G67" s="3">
        <f t="shared" si="13"/>
        <v>8442.8630880000001</v>
      </c>
      <c r="H67" s="187"/>
      <c r="I67" s="7">
        <v>0.12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1268.6496</v>
      </c>
      <c r="N67" s="11">
        <f t="shared" si="3"/>
        <v>153.50660159999998</v>
      </c>
      <c r="O67" s="11">
        <f t="shared" si="4"/>
        <v>707.06071039999995</v>
      </c>
      <c r="P67" s="11">
        <f t="shared" si="5"/>
        <v>0</v>
      </c>
    </row>
    <row r="68" spans="1:16" ht="15" customHeight="1">
      <c r="A68" s="44"/>
      <c r="B68" s="5">
        <f t="shared" si="15"/>
        <v>45870</v>
      </c>
      <c r="C68" s="218" t="s">
        <v>533</v>
      </c>
      <c r="D68" s="195">
        <v>6511</v>
      </c>
      <c r="E68" s="186"/>
      <c r="F68" s="2">
        <v>190230.8</v>
      </c>
      <c r="G68" s="3">
        <f t="shared" si="13"/>
        <v>151918.31688</v>
      </c>
      <c r="H68" s="187"/>
      <c r="I68" s="7">
        <v>0.12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22827.695999999996</v>
      </c>
      <c r="N68" s="11">
        <f t="shared" si="3"/>
        <v>2762.1512160000002</v>
      </c>
      <c r="O68" s="11">
        <f t="shared" si="4"/>
        <v>12722.635903999999</v>
      </c>
      <c r="P68" s="11">
        <f t="shared" si="5"/>
        <v>0</v>
      </c>
    </row>
    <row r="69" spans="1:16" ht="15" customHeight="1">
      <c r="A69" s="44"/>
      <c r="B69" s="5">
        <f t="shared" si="15"/>
        <v>45870</v>
      </c>
      <c r="C69" s="218" t="s">
        <v>533</v>
      </c>
      <c r="D69" s="195">
        <v>6512</v>
      </c>
      <c r="E69" s="186"/>
      <c r="F69" s="2">
        <v>30276.75</v>
      </c>
      <c r="G69" s="3">
        <f t="shared" si="13"/>
        <v>24179.012549999999</v>
      </c>
      <c r="H69" s="187"/>
      <c r="I69" s="7">
        <v>0.12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3633.21</v>
      </c>
      <c r="N69" s="11">
        <f t="shared" si="3"/>
        <v>439.61841000000004</v>
      </c>
      <c r="O69" s="11">
        <f t="shared" si="4"/>
        <v>2024.90904</v>
      </c>
      <c r="P69" s="11">
        <f t="shared" si="5"/>
        <v>0</v>
      </c>
    </row>
    <row r="70" spans="1:16" ht="15" customHeight="1">
      <c r="A70" s="44"/>
      <c r="B70" s="5">
        <f t="shared" si="15"/>
        <v>45870</v>
      </c>
      <c r="C70" s="218" t="s">
        <v>533</v>
      </c>
      <c r="D70" s="195">
        <v>25649</v>
      </c>
      <c r="E70" s="186"/>
      <c r="F70" s="2">
        <v>14137.04</v>
      </c>
      <c r="G70" s="3">
        <f t="shared" si="13"/>
        <v>11931.308334000001</v>
      </c>
      <c r="H70" s="187"/>
      <c r="I70" s="7">
        <v>7.0000000000000007E-2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989.59280000000012</v>
      </c>
      <c r="N70" s="11">
        <f t="shared" si="3"/>
        <v>216.93287880000003</v>
      </c>
      <c r="O70" s="11">
        <f t="shared" si="4"/>
        <v>999.20598719999998</v>
      </c>
      <c r="P70" s="11">
        <f t="shared" si="5"/>
        <v>0</v>
      </c>
    </row>
    <row r="71" spans="1:16" ht="15" customHeight="1">
      <c r="A71" s="44"/>
      <c r="B71" s="5">
        <f t="shared" si="15"/>
        <v>45870</v>
      </c>
      <c r="C71" s="218" t="s">
        <v>533</v>
      </c>
      <c r="D71" s="195">
        <v>25650</v>
      </c>
      <c r="E71" s="186"/>
      <c r="F71" s="2">
        <v>1718.95</v>
      </c>
      <c r="G71" s="3">
        <f t="shared" si="13"/>
        <v>1450.75082625</v>
      </c>
      <c r="H71" s="187"/>
      <c r="I71" s="7">
        <v>7.0000000000000007E-2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120.32650000000001</v>
      </c>
      <c r="N71" s="11">
        <f t="shared" si="3"/>
        <v>26.377287750000004</v>
      </c>
      <c r="O71" s="11">
        <f t="shared" si="4"/>
        <v>121.49538600000001</v>
      </c>
      <c r="P71" s="11">
        <f t="shared" si="5"/>
        <v>0</v>
      </c>
    </row>
    <row r="72" spans="1:16" ht="15" customHeight="1">
      <c r="A72" s="44"/>
      <c r="B72" s="5">
        <f t="shared" si="15"/>
        <v>45870</v>
      </c>
      <c r="C72" s="218" t="s">
        <v>533</v>
      </c>
      <c r="D72" s="195">
        <v>11546</v>
      </c>
      <c r="E72" s="186"/>
      <c r="F72" s="2">
        <v>21511.61</v>
      </c>
      <c r="G72" s="3">
        <f t="shared" si="13"/>
        <v>17179.171746</v>
      </c>
      <c r="H72" s="187"/>
      <c r="I72" s="7">
        <v>0.12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2581.3932</v>
      </c>
      <c r="N72" s="11">
        <f t="shared" si="3"/>
        <v>312.34857720000002</v>
      </c>
      <c r="O72" s="11">
        <f t="shared" si="4"/>
        <v>1438.6964768</v>
      </c>
      <c r="P72" s="11">
        <f t="shared" si="5"/>
        <v>0</v>
      </c>
    </row>
    <row r="73" spans="1:16" ht="15" customHeight="1">
      <c r="A73" s="44"/>
      <c r="B73" s="5">
        <f t="shared" si="15"/>
        <v>45870</v>
      </c>
      <c r="C73" s="218" t="s">
        <v>533</v>
      </c>
      <c r="D73" s="195">
        <v>11547</v>
      </c>
      <c r="E73" s="186"/>
      <c r="F73" s="2">
        <v>2970.7</v>
      </c>
      <c r="G73" s="3">
        <f t="shared" si="13"/>
        <v>2372.4010199999998</v>
      </c>
      <c r="H73" s="187"/>
      <c r="I73" s="7">
        <v>0.12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356.48399999999998</v>
      </c>
      <c r="N73" s="11">
        <f t="shared" si="3"/>
        <v>43.134563999999997</v>
      </c>
      <c r="O73" s="11">
        <f t="shared" si="4"/>
        <v>198.68041599999998</v>
      </c>
      <c r="P73" s="11">
        <f t="shared" si="5"/>
        <v>0</v>
      </c>
    </row>
    <row r="74" spans="1:16" ht="15" customHeight="1">
      <c r="A74" s="44"/>
      <c r="B74" s="5">
        <f t="shared" si="15"/>
        <v>45870</v>
      </c>
      <c r="C74" s="218" t="s">
        <v>533</v>
      </c>
      <c r="D74" s="195">
        <v>6513</v>
      </c>
      <c r="E74" s="186"/>
      <c r="F74" s="2">
        <v>53811.43</v>
      </c>
      <c r="G74" s="3">
        <f t="shared" si="13"/>
        <v>42973.807998000004</v>
      </c>
      <c r="H74" s="187"/>
      <c r="I74" s="7">
        <v>0.12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6457.3715999999995</v>
      </c>
      <c r="N74" s="11">
        <f t="shared" si="3"/>
        <v>781.3419636000001</v>
      </c>
      <c r="O74" s="11">
        <f t="shared" si="4"/>
        <v>3598.9084384000003</v>
      </c>
      <c r="P74" s="11">
        <f t="shared" si="5"/>
        <v>0</v>
      </c>
    </row>
    <row r="75" spans="1:16" ht="15" customHeight="1">
      <c r="A75" s="44"/>
      <c r="B75" s="5">
        <f t="shared" si="15"/>
        <v>45870</v>
      </c>
      <c r="C75" s="218" t="s">
        <v>533</v>
      </c>
      <c r="D75" s="195">
        <v>6514</v>
      </c>
      <c r="E75" s="186"/>
      <c r="F75" s="2">
        <v>8512.35</v>
      </c>
      <c r="G75" s="3">
        <f t="shared" si="13"/>
        <v>6797.9627099999998</v>
      </c>
      <c r="H75" s="187"/>
      <c r="I75" s="7">
        <v>0.12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1021.482</v>
      </c>
      <c r="N75" s="11">
        <f t="shared" si="3"/>
        <v>123.59932200000002</v>
      </c>
      <c r="O75" s="11">
        <f t="shared" si="4"/>
        <v>569.30596800000001</v>
      </c>
      <c r="P75" s="11">
        <f t="shared" si="5"/>
        <v>0</v>
      </c>
    </row>
    <row r="76" spans="1:16" ht="15" customHeight="1">
      <c r="A76" s="44"/>
      <c r="B76" s="5">
        <f t="shared" si="15"/>
        <v>45870</v>
      </c>
      <c r="C76" s="218" t="s">
        <v>533</v>
      </c>
      <c r="D76" s="195">
        <v>25652</v>
      </c>
      <c r="E76" s="186"/>
      <c r="F76" s="2">
        <v>4011.25</v>
      </c>
      <c r="G76" s="3">
        <f t="shared" si="13"/>
        <v>3385.3947187499998</v>
      </c>
      <c r="H76" s="187"/>
      <c r="I76" s="7">
        <v>7.0000000000000007E-2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280.78750000000002</v>
      </c>
      <c r="N76" s="11">
        <f t="shared" si="3"/>
        <v>61.552631250000005</v>
      </c>
      <c r="O76" s="11">
        <f t="shared" si="4"/>
        <v>283.51515000000001</v>
      </c>
      <c r="P76" s="11">
        <f t="shared" si="5"/>
        <v>0</v>
      </c>
    </row>
    <row r="77" spans="1:16" ht="15" customHeight="1">
      <c r="A77" s="44"/>
      <c r="B77" s="5">
        <f t="shared" si="15"/>
        <v>45870</v>
      </c>
      <c r="C77" s="218" t="s">
        <v>533</v>
      </c>
      <c r="D77" s="195">
        <v>25653</v>
      </c>
      <c r="E77" s="186"/>
      <c r="F77" s="2">
        <v>483.28</v>
      </c>
      <c r="G77" s="3">
        <f t="shared" si="13"/>
        <v>407.87623799999994</v>
      </c>
      <c r="H77" s="187"/>
      <c r="I77" s="7">
        <v>7.0000000000000007E-2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33.829599999999999</v>
      </c>
      <c r="N77" s="11">
        <f t="shared" si="3"/>
        <v>7.4159315999999995</v>
      </c>
      <c r="O77" s="11">
        <f t="shared" si="4"/>
        <v>34.158230399999994</v>
      </c>
      <c r="P77" s="11">
        <f t="shared" si="5"/>
        <v>0</v>
      </c>
    </row>
    <row r="78" spans="1:16" ht="15" customHeight="1">
      <c r="A78" s="44"/>
      <c r="B78" s="5">
        <f t="shared" si="15"/>
        <v>45870</v>
      </c>
      <c r="C78" s="218" t="s">
        <v>533</v>
      </c>
      <c r="D78" s="195">
        <v>11549</v>
      </c>
      <c r="E78" s="186"/>
      <c r="F78" s="2">
        <v>14829.17</v>
      </c>
      <c r="G78" s="3">
        <f t="shared" si="13"/>
        <v>11842.575162000001</v>
      </c>
      <c r="H78" s="187"/>
      <c r="I78" s="7">
        <v>0.12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1779.5003999999999</v>
      </c>
      <c r="N78" s="11">
        <f t="shared" si="3"/>
        <v>215.31954840000003</v>
      </c>
      <c r="O78" s="11">
        <f t="shared" si="4"/>
        <v>991.77488960000005</v>
      </c>
      <c r="P78" s="11">
        <f t="shared" si="5"/>
        <v>0</v>
      </c>
    </row>
    <row r="79" spans="1:16" ht="15" customHeight="1">
      <c r="A79" s="44"/>
      <c r="B79" s="5">
        <f t="shared" si="15"/>
        <v>45870</v>
      </c>
      <c r="C79" s="218" t="s">
        <v>533</v>
      </c>
      <c r="D79" s="195">
        <v>11550</v>
      </c>
      <c r="E79" s="186"/>
      <c r="F79" s="2">
        <v>2089.5</v>
      </c>
      <c r="G79" s="3">
        <f t="shared" si="13"/>
        <v>1668.6747</v>
      </c>
      <c r="H79" s="187"/>
      <c r="I79" s="7">
        <v>0.12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250.73999999999998</v>
      </c>
      <c r="N79" s="11">
        <f t="shared" si="3"/>
        <v>30.33954</v>
      </c>
      <c r="O79" s="11">
        <f t="shared" si="4"/>
        <v>139.74575999999999</v>
      </c>
      <c r="P79" s="11">
        <f t="shared" si="5"/>
        <v>0</v>
      </c>
    </row>
    <row r="80" spans="1:16" ht="15" customHeight="1">
      <c r="A80" s="44"/>
      <c r="B80" s="5">
        <f t="shared" si="15"/>
        <v>45870</v>
      </c>
      <c r="C80" s="218" t="s">
        <v>533</v>
      </c>
      <c r="D80" s="195">
        <v>6515</v>
      </c>
      <c r="E80" s="186"/>
      <c r="F80" s="2">
        <v>37381.300000000003</v>
      </c>
      <c r="G80" s="3">
        <f t="shared" si="13"/>
        <v>29852.706180000001</v>
      </c>
      <c r="H80" s="187"/>
      <c r="I80" s="7">
        <v>0.12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4485.7560000000003</v>
      </c>
      <c r="N80" s="11">
        <f t="shared" si="3"/>
        <v>542.776476</v>
      </c>
      <c r="O80" s="11">
        <f t="shared" si="4"/>
        <v>2500.0613440000002</v>
      </c>
      <c r="P80" s="11">
        <f t="shared" si="5"/>
        <v>0</v>
      </c>
    </row>
    <row r="81" spans="1:16" ht="15" customHeight="1">
      <c r="A81" s="44"/>
      <c r="B81" s="5">
        <f t="shared" si="15"/>
        <v>45870</v>
      </c>
      <c r="C81" s="218" t="s">
        <v>533</v>
      </c>
      <c r="D81" s="195">
        <v>6516</v>
      </c>
      <c r="E81" s="186"/>
      <c r="F81" s="2">
        <v>6072.15</v>
      </c>
      <c r="G81" s="3">
        <f t="shared" si="13"/>
        <v>4849.2189899999994</v>
      </c>
      <c r="H81" s="187"/>
      <c r="I81" s="7">
        <v>0.12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728.6579999999999</v>
      </c>
      <c r="N81" s="11">
        <f t="shared" si="3"/>
        <v>88.167618000000004</v>
      </c>
      <c r="O81" s="11">
        <f t="shared" si="4"/>
        <v>406.10539199999999</v>
      </c>
      <c r="P81" s="11">
        <f t="shared" si="5"/>
        <v>0</v>
      </c>
    </row>
    <row r="82" spans="1:16" ht="15" customHeight="1">
      <c r="A82" s="44"/>
      <c r="B82" s="5">
        <f t="shared" si="15"/>
        <v>45870</v>
      </c>
      <c r="C82" s="218" t="s">
        <v>533</v>
      </c>
      <c r="D82" s="195">
        <v>25654</v>
      </c>
      <c r="E82" s="186"/>
      <c r="F82" s="2">
        <v>2737.22</v>
      </c>
      <c r="G82" s="3">
        <f t="shared" si="13"/>
        <v>2310.1452494999999</v>
      </c>
      <c r="H82" s="187"/>
      <c r="I82" s="7">
        <v>7.0000000000000007E-2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191.6054</v>
      </c>
      <c r="N82" s="11">
        <f t="shared" si="3"/>
        <v>42.002640900000003</v>
      </c>
      <c r="O82" s="11">
        <f t="shared" si="4"/>
        <v>193.46670959999997</v>
      </c>
      <c r="P82" s="11">
        <f t="shared" ref="P82:P182" si="16">L82*(F82)</f>
        <v>0</v>
      </c>
    </row>
    <row r="83" spans="1:16" ht="15" customHeight="1">
      <c r="A83" s="44"/>
      <c r="B83" s="5">
        <f t="shared" si="15"/>
        <v>45870</v>
      </c>
      <c r="C83" s="218" t="s">
        <v>533</v>
      </c>
      <c r="D83" s="195">
        <v>25655</v>
      </c>
      <c r="E83" s="186"/>
      <c r="F83" s="2">
        <v>344.74</v>
      </c>
      <c r="G83" s="3">
        <f t="shared" si="13"/>
        <v>290.95194149999998</v>
      </c>
      <c r="H83" s="187"/>
      <c r="I83" s="7">
        <v>7.0000000000000007E-2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24.131800000000002</v>
      </c>
      <c r="N83" s="11">
        <f t="shared" si="3"/>
        <v>5.2900353000000004</v>
      </c>
      <c r="O83" s="11">
        <f t="shared" si="4"/>
        <v>24.3662232</v>
      </c>
      <c r="P83" s="11">
        <f t="shared" si="16"/>
        <v>0</v>
      </c>
    </row>
    <row r="84" spans="1:16" ht="15" customHeight="1">
      <c r="A84" s="44"/>
      <c r="B84" s="5">
        <f t="shared" si="15"/>
        <v>45870</v>
      </c>
      <c r="C84" s="218" t="s">
        <v>533</v>
      </c>
      <c r="D84" s="195">
        <v>11551</v>
      </c>
      <c r="E84" s="186"/>
      <c r="F84" s="2">
        <v>61537.85</v>
      </c>
      <c r="G84" s="3">
        <f t="shared" si="13"/>
        <v>49144.127009999997</v>
      </c>
      <c r="H84" s="187"/>
      <c r="I84" s="7">
        <v>0.12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7384.5419999999995</v>
      </c>
      <c r="N84" s="11">
        <f t="shared" si="3"/>
        <v>893.529582</v>
      </c>
      <c r="O84" s="11">
        <f t="shared" si="4"/>
        <v>4115.6514079999997</v>
      </c>
      <c r="P84" s="11">
        <f t="shared" si="16"/>
        <v>0</v>
      </c>
    </row>
    <row r="85" spans="1:16" ht="15" customHeight="1">
      <c r="A85" s="44"/>
      <c r="B85" s="5">
        <f t="shared" si="15"/>
        <v>45870</v>
      </c>
      <c r="C85" s="218" t="s">
        <v>533</v>
      </c>
      <c r="D85" s="195">
        <v>11552</v>
      </c>
      <c r="E85" s="186"/>
      <c r="F85" s="2">
        <v>8404.08</v>
      </c>
      <c r="G85" s="3">
        <f t="shared" si="13"/>
        <v>6711.4982879999998</v>
      </c>
      <c r="H85" s="187"/>
      <c r="I85" s="7">
        <v>0.12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1008.4896</v>
      </c>
      <c r="N85" s="11">
        <f t="shared" si="3"/>
        <v>122.02724160000001</v>
      </c>
      <c r="O85" s="11">
        <f t="shared" si="4"/>
        <v>562.06487040000002</v>
      </c>
      <c r="P85" s="11">
        <f t="shared" si="16"/>
        <v>0</v>
      </c>
    </row>
    <row r="86" spans="1:16" ht="15" customHeight="1">
      <c r="A86" s="44"/>
      <c r="B86" s="5">
        <f t="shared" si="15"/>
        <v>45870</v>
      </c>
      <c r="C86" s="218" t="s">
        <v>533</v>
      </c>
      <c r="D86" s="195">
        <v>6521</v>
      </c>
      <c r="E86" s="186"/>
      <c r="F86" s="2">
        <v>158479.14000000001</v>
      </c>
      <c r="G86" s="3">
        <f t="shared" si="13"/>
        <v>126561.44120400002</v>
      </c>
      <c r="H86" s="187"/>
      <c r="I86" s="7">
        <v>0.12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19017.496800000001</v>
      </c>
      <c r="N86" s="11">
        <f t="shared" si="3"/>
        <v>2301.1171128000005</v>
      </c>
      <c r="O86" s="11">
        <f t="shared" si="4"/>
        <v>10599.084883200001</v>
      </c>
      <c r="P86" s="11">
        <f t="shared" si="16"/>
        <v>0</v>
      </c>
    </row>
    <row r="87" spans="1:16" ht="15" customHeight="1">
      <c r="A87" s="44"/>
      <c r="B87" s="5">
        <f t="shared" si="15"/>
        <v>45870</v>
      </c>
      <c r="C87" s="218" t="s">
        <v>533</v>
      </c>
      <c r="D87" s="195">
        <v>6522</v>
      </c>
      <c r="E87" s="186"/>
      <c r="F87" s="2">
        <v>25049.02</v>
      </c>
      <c r="G87" s="3">
        <f t="shared" si="13"/>
        <v>20004.147371999999</v>
      </c>
      <c r="H87" s="187"/>
      <c r="I87" s="7">
        <v>0.12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3005.8824</v>
      </c>
      <c r="N87" s="11">
        <f t="shared" si="3"/>
        <v>363.71177040000003</v>
      </c>
      <c r="O87" s="11">
        <f t="shared" si="4"/>
        <v>1675.2784576000001</v>
      </c>
      <c r="P87" s="11">
        <f t="shared" si="16"/>
        <v>0</v>
      </c>
    </row>
    <row r="88" spans="1:16" ht="15" customHeight="1">
      <c r="A88" s="44"/>
      <c r="B88" s="5">
        <f t="shared" si="15"/>
        <v>45870</v>
      </c>
      <c r="C88" s="218" t="s">
        <v>533</v>
      </c>
      <c r="D88" s="195">
        <v>25659</v>
      </c>
      <c r="E88" s="186"/>
      <c r="F88" s="2">
        <v>11826.62</v>
      </c>
      <c r="G88" s="3">
        <f t="shared" si="13"/>
        <v>9981.3716144999999</v>
      </c>
      <c r="H88" s="187"/>
      <c r="I88" s="7">
        <v>7.0000000000000007E-2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827.86340000000018</v>
      </c>
      <c r="N88" s="11">
        <f t="shared" si="3"/>
        <v>181.47948390000002</v>
      </c>
      <c r="O88" s="11">
        <f t="shared" si="4"/>
        <v>835.90550159999998</v>
      </c>
      <c r="P88" s="11">
        <f t="shared" si="16"/>
        <v>0</v>
      </c>
    </row>
    <row r="89" spans="1:16" ht="15" customHeight="1">
      <c r="A89" s="44"/>
      <c r="B89" s="5">
        <f t="shared" si="15"/>
        <v>45870</v>
      </c>
      <c r="C89" s="218" t="s">
        <v>533</v>
      </c>
      <c r="D89" s="195">
        <v>25660</v>
      </c>
      <c r="E89" s="186"/>
      <c r="F89" s="2">
        <v>1422.14</v>
      </c>
      <c r="G89" s="3">
        <f t="shared" si="13"/>
        <v>1200.2506065</v>
      </c>
      <c r="H89" s="187"/>
      <c r="I89" s="7">
        <v>7.0000000000000007E-2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99.549800000000019</v>
      </c>
      <c r="N89" s="11">
        <f t="shared" si="3"/>
        <v>21.822738300000001</v>
      </c>
      <c r="O89" s="11">
        <f t="shared" si="4"/>
        <v>100.51685520000001</v>
      </c>
      <c r="P89" s="11">
        <f t="shared" si="16"/>
        <v>0</v>
      </c>
    </row>
    <row r="90" spans="1:16" ht="15" customHeight="1">
      <c r="A90" s="44"/>
      <c r="B90" s="5">
        <f t="shared" si="15"/>
        <v>45870</v>
      </c>
      <c r="C90" s="218" t="s">
        <v>533</v>
      </c>
      <c r="D90" s="195">
        <v>11553</v>
      </c>
      <c r="E90" s="186"/>
      <c r="F90" s="2">
        <v>26816.82</v>
      </c>
      <c r="G90" s="3">
        <f t="shared" si="13"/>
        <v>21415.912452</v>
      </c>
      <c r="H90" s="187"/>
      <c r="I90" s="7">
        <v>0.12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3218.0183999999999</v>
      </c>
      <c r="N90" s="11">
        <f t="shared" si="3"/>
        <v>389.38022640000003</v>
      </c>
      <c r="O90" s="11">
        <f t="shared" si="4"/>
        <v>1793.5089215999999</v>
      </c>
      <c r="P90" s="11">
        <f t="shared" si="16"/>
        <v>0</v>
      </c>
    </row>
    <row r="91" spans="1:16" ht="15" customHeight="1">
      <c r="A91" s="44"/>
      <c r="B91" s="5">
        <f t="shared" si="15"/>
        <v>45870</v>
      </c>
      <c r="C91" s="218" t="s">
        <v>533</v>
      </c>
      <c r="D91" s="195">
        <v>11554</v>
      </c>
      <c r="E91" s="186"/>
      <c r="F91" s="2">
        <v>3634.21</v>
      </c>
      <c r="G91" s="3">
        <f t="shared" si="13"/>
        <v>2902.2801060000002</v>
      </c>
      <c r="H91" s="187"/>
      <c r="I91" s="7">
        <v>0.12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436.10519999999997</v>
      </c>
      <c r="N91" s="11">
        <f t="shared" si="3"/>
        <v>52.768729200000003</v>
      </c>
      <c r="O91" s="11">
        <f t="shared" si="4"/>
        <v>243.0559648</v>
      </c>
      <c r="P91" s="11">
        <f t="shared" si="16"/>
        <v>0</v>
      </c>
    </row>
    <row r="92" spans="1:16" ht="15" customHeight="1">
      <c r="A92" s="44"/>
      <c r="B92" s="5">
        <f t="shared" si="15"/>
        <v>45870</v>
      </c>
      <c r="C92" s="218" t="s">
        <v>533</v>
      </c>
      <c r="D92" s="195">
        <v>6524</v>
      </c>
      <c r="E92" s="186"/>
      <c r="F92" s="2">
        <v>67932.69</v>
      </c>
      <c r="G92" s="3">
        <f t="shared" si="13"/>
        <v>54251.046234000001</v>
      </c>
      <c r="H92" s="187"/>
      <c r="I92" s="7">
        <v>0.12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8151.9228000000003</v>
      </c>
      <c r="N92" s="11">
        <f t="shared" si="3"/>
        <v>986.38265880000006</v>
      </c>
      <c r="O92" s="11">
        <f t="shared" si="4"/>
        <v>4543.3383071999997</v>
      </c>
      <c r="P92" s="11">
        <f t="shared" si="16"/>
        <v>0</v>
      </c>
    </row>
    <row r="93" spans="1:16" ht="15" customHeight="1">
      <c r="A93" s="44"/>
      <c r="B93" s="5">
        <f t="shared" si="15"/>
        <v>45870</v>
      </c>
      <c r="C93" s="218" t="s">
        <v>533</v>
      </c>
      <c r="D93" s="195">
        <v>6525</v>
      </c>
      <c r="E93" s="186"/>
      <c r="F93" s="2">
        <v>10725.57</v>
      </c>
      <c r="G93" s="3">
        <f t="shared" si="13"/>
        <v>8565.4402019999998</v>
      </c>
      <c r="H93" s="187"/>
      <c r="I93" s="7">
        <v>0.12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1287.0683999999999</v>
      </c>
      <c r="N93" s="11">
        <f t="shared" si="3"/>
        <v>155.7352764</v>
      </c>
      <c r="O93" s="11">
        <f t="shared" si="4"/>
        <v>717.32612159999996</v>
      </c>
      <c r="P93" s="11">
        <f t="shared" si="16"/>
        <v>0</v>
      </c>
    </row>
    <row r="94" spans="1:16" ht="15" customHeight="1">
      <c r="A94" s="44"/>
      <c r="B94" s="5">
        <f t="shared" si="15"/>
        <v>45870</v>
      </c>
      <c r="C94" s="218" t="s">
        <v>533</v>
      </c>
      <c r="D94" s="195">
        <v>25670</v>
      </c>
      <c r="E94" s="186"/>
      <c r="F94" s="2">
        <v>5076.18</v>
      </c>
      <c r="G94" s="3">
        <f t="shared" si="13"/>
        <v>4284.1690154999997</v>
      </c>
      <c r="H94" s="187"/>
      <c r="I94" s="7">
        <v>7.0000000000000007E-2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355.33260000000007</v>
      </c>
      <c r="N94" s="11">
        <f t="shared" si="3"/>
        <v>77.893982100000017</v>
      </c>
      <c r="O94" s="11">
        <f t="shared" si="4"/>
        <v>358.78440240000003</v>
      </c>
      <c r="P94" s="11">
        <f t="shared" si="16"/>
        <v>0</v>
      </c>
    </row>
    <row r="95" spans="1:16" ht="15" customHeight="1">
      <c r="A95" s="44"/>
      <c r="B95" s="5">
        <f t="shared" si="15"/>
        <v>45870</v>
      </c>
      <c r="C95" s="218" t="s">
        <v>533</v>
      </c>
      <c r="D95" s="195">
        <v>25671</v>
      </c>
      <c r="E95" s="186"/>
      <c r="F95" s="2">
        <v>608.94000000000005</v>
      </c>
      <c r="G95" s="3">
        <f t="shared" si="13"/>
        <v>513.9301365</v>
      </c>
      <c r="H95" s="187"/>
      <c r="I95" s="7">
        <v>7.0000000000000007E-2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42.625800000000005</v>
      </c>
      <c r="N95" s="11">
        <f t="shared" si="3"/>
        <v>9.3441843000000002</v>
      </c>
      <c r="O95" s="11">
        <f t="shared" si="4"/>
        <v>43.039879200000001</v>
      </c>
      <c r="P95" s="11">
        <f t="shared" si="16"/>
        <v>0</v>
      </c>
    </row>
    <row r="96" spans="1:16" ht="15" customHeight="1">
      <c r="A96" s="44"/>
      <c r="B96" s="5">
        <f t="shared" si="15"/>
        <v>45870</v>
      </c>
      <c r="C96" s="218" t="s">
        <v>533</v>
      </c>
      <c r="D96" s="195">
        <v>11555</v>
      </c>
      <c r="E96" s="186"/>
      <c r="F96" s="2">
        <v>69480.929999999993</v>
      </c>
      <c r="G96" s="3">
        <f t="shared" si="13"/>
        <v>55487.47069799999</v>
      </c>
      <c r="H96" s="187"/>
      <c r="I96" s="7">
        <v>0.12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8337.7115999999987</v>
      </c>
      <c r="N96" s="11">
        <f t="shared" si="3"/>
        <v>1008.8631036</v>
      </c>
      <c r="O96" s="11">
        <f t="shared" si="4"/>
        <v>4646.8845984</v>
      </c>
      <c r="P96" s="11">
        <f t="shared" si="16"/>
        <v>0</v>
      </c>
    </row>
    <row r="97" spans="1:16" ht="15" customHeight="1">
      <c r="A97" s="44"/>
      <c r="B97" s="5">
        <f t="shared" si="15"/>
        <v>45870</v>
      </c>
      <c r="C97" s="218" t="s">
        <v>533</v>
      </c>
      <c r="D97" s="195">
        <v>11556</v>
      </c>
      <c r="E97" s="186"/>
      <c r="F97" s="2">
        <v>9579.5</v>
      </c>
      <c r="G97" s="3">
        <f t="shared" si="13"/>
        <v>7650.1887000000006</v>
      </c>
      <c r="H97" s="187"/>
      <c r="I97" s="7">
        <v>0.12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1149.54</v>
      </c>
      <c r="N97" s="11">
        <f t="shared" si="3"/>
        <v>139.09433999999999</v>
      </c>
      <c r="O97" s="11">
        <f t="shared" si="4"/>
        <v>640.67695999999989</v>
      </c>
      <c r="P97" s="11">
        <f t="shared" si="16"/>
        <v>0</v>
      </c>
    </row>
    <row r="98" spans="1:16" ht="15" customHeight="1">
      <c r="A98" s="44"/>
      <c r="B98" s="5">
        <f t="shared" si="15"/>
        <v>45870</v>
      </c>
      <c r="C98" s="218" t="s">
        <v>533</v>
      </c>
      <c r="D98" s="195">
        <v>6526</v>
      </c>
      <c r="E98" s="186"/>
      <c r="F98" s="2">
        <v>172759.31</v>
      </c>
      <c r="G98" s="3">
        <f t="shared" si="13"/>
        <v>137965.58496599999</v>
      </c>
      <c r="H98" s="187"/>
      <c r="I98" s="7">
        <v>0.12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20731.117200000001</v>
      </c>
      <c r="N98" s="11">
        <f t="shared" si="3"/>
        <v>2508.4651811999997</v>
      </c>
      <c r="O98" s="11">
        <f t="shared" si="4"/>
        <v>11554.142652799999</v>
      </c>
      <c r="P98" s="11">
        <f t="shared" si="16"/>
        <v>0</v>
      </c>
    </row>
    <row r="99" spans="1:16" ht="15" customHeight="1">
      <c r="A99" s="44"/>
      <c r="B99" s="5">
        <f t="shared" si="15"/>
        <v>45870</v>
      </c>
      <c r="C99" s="218" t="s">
        <v>533</v>
      </c>
      <c r="D99" s="195">
        <v>6527</v>
      </c>
      <c r="E99" s="186"/>
      <c r="F99" s="2">
        <v>27187.33</v>
      </c>
      <c r="G99" s="3">
        <f t="shared" si="13"/>
        <v>21711.801738000002</v>
      </c>
      <c r="H99" s="187"/>
      <c r="I99" s="7">
        <v>0.12</v>
      </c>
      <c r="J99" s="7">
        <v>1.6500000000000001E-2</v>
      </c>
      <c r="K99" s="7">
        <v>7.5999999999999998E-2</v>
      </c>
      <c r="L99" s="7">
        <v>0</v>
      </c>
      <c r="M99" s="11">
        <f t="shared" si="2"/>
        <v>3262.4796000000001</v>
      </c>
      <c r="N99" s="11">
        <f t="shared" si="3"/>
        <v>394.76003160000005</v>
      </c>
      <c r="O99" s="11">
        <f t="shared" si="4"/>
        <v>1818.2886304000001</v>
      </c>
      <c r="P99" s="11">
        <f t="shared" si="16"/>
        <v>0</v>
      </c>
    </row>
    <row r="100" spans="1:16" ht="15" customHeight="1">
      <c r="A100" s="44"/>
      <c r="B100" s="5">
        <f t="shared" si="15"/>
        <v>45870</v>
      </c>
      <c r="C100" s="218" t="s">
        <v>533</v>
      </c>
      <c r="D100" s="195">
        <v>25679</v>
      </c>
      <c r="E100" s="186"/>
      <c r="F100" s="2">
        <v>12959.61</v>
      </c>
      <c r="G100" s="3">
        <f t="shared" si="13"/>
        <v>10937.586849750001</v>
      </c>
      <c r="H100" s="187"/>
      <c r="I100" s="7">
        <v>7.0000000000000007E-2</v>
      </c>
      <c r="J100" s="7">
        <v>1.6500000000000001E-2</v>
      </c>
      <c r="K100" s="7">
        <v>7.5999999999999998E-2</v>
      </c>
      <c r="L100" s="7">
        <v>0</v>
      </c>
      <c r="M100" s="11">
        <f t="shared" si="2"/>
        <v>907.17270000000008</v>
      </c>
      <c r="N100" s="11">
        <f t="shared" si="3"/>
        <v>198.86521545000002</v>
      </c>
      <c r="O100" s="11">
        <f t="shared" si="4"/>
        <v>915.98523480000006</v>
      </c>
      <c r="P100" s="11">
        <f t="shared" si="16"/>
        <v>0</v>
      </c>
    </row>
    <row r="101" spans="1:16" ht="15" customHeight="1">
      <c r="A101" s="44"/>
      <c r="B101" s="5">
        <f t="shared" si="15"/>
        <v>45870</v>
      </c>
      <c r="C101" s="218" t="s">
        <v>533</v>
      </c>
      <c r="D101" s="195">
        <v>25680</v>
      </c>
      <c r="E101" s="186"/>
      <c r="F101" s="2">
        <v>1543.53</v>
      </c>
      <c r="G101" s="3">
        <f t="shared" si="13"/>
        <v>1302.7007317499999</v>
      </c>
      <c r="H101" s="187"/>
      <c r="I101" s="7">
        <v>7.0000000000000007E-2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108.04710000000001</v>
      </c>
      <c r="N101" s="11">
        <f t="shared" si="3"/>
        <v>23.685467850000002</v>
      </c>
      <c r="O101" s="11">
        <f t="shared" si="4"/>
        <v>109.09670039999999</v>
      </c>
      <c r="P101" s="11">
        <f t="shared" si="16"/>
        <v>0</v>
      </c>
    </row>
    <row r="102" spans="1:16" ht="15" customHeight="1">
      <c r="A102" s="44"/>
      <c r="B102" s="5">
        <f t="shared" si="15"/>
        <v>45870</v>
      </c>
      <c r="C102" s="218" t="s">
        <v>533</v>
      </c>
      <c r="D102" s="195">
        <v>11558</v>
      </c>
      <c r="E102" s="186"/>
      <c r="F102" s="2">
        <v>82924.61</v>
      </c>
      <c r="G102" s="3">
        <f t="shared" si="13"/>
        <v>66223.593546000004</v>
      </c>
      <c r="H102" s="187"/>
      <c r="I102" s="7">
        <v>0.12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9950.9531999999999</v>
      </c>
      <c r="N102" s="11">
        <f t="shared" si="3"/>
        <v>1204.0653371999999</v>
      </c>
      <c r="O102" s="11">
        <f t="shared" si="4"/>
        <v>5545.9979168</v>
      </c>
      <c r="P102" s="11">
        <f t="shared" si="16"/>
        <v>0</v>
      </c>
    </row>
    <row r="103" spans="1:16" ht="15" customHeight="1">
      <c r="A103" s="44"/>
      <c r="B103" s="5">
        <f t="shared" si="15"/>
        <v>45870</v>
      </c>
      <c r="C103" s="218" t="s">
        <v>533</v>
      </c>
      <c r="D103" s="195">
        <v>11559</v>
      </c>
      <c r="E103" s="186"/>
      <c r="F103" s="2">
        <v>11363.28</v>
      </c>
      <c r="G103" s="3">
        <f t="shared" si="13"/>
        <v>9074.715408</v>
      </c>
      <c r="H103" s="187"/>
      <c r="I103" s="7">
        <v>0.12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1363.5935999999999</v>
      </c>
      <c r="N103" s="11">
        <f t="shared" si="3"/>
        <v>164.99482560000001</v>
      </c>
      <c r="O103" s="11">
        <f t="shared" si="4"/>
        <v>759.97616640000001</v>
      </c>
      <c r="P103" s="11">
        <f t="shared" si="16"/>
        <v>0</v>
      </c>
    </row>
    <row r="104" spans="1:16" ht="15" customHeight="1">
      <c r="A104" s="44"/>
      <c r="B104" s="5">
        <f t="shared" si="15"/>
        <v>45870</v>
      </c>
      <c r="C104" s="218" t="s">
        <v>533</v>
      </c>
      <c r="D104" s="195">
        <v>6531</v>
      </c>
      <c r="E104" s="186"/>
      <c r="F104" s="2">
        <v>207367.59</v>
      </c>
      <c r="G104" s="3">
        <f t="shared" si="13"/>
        <v>165603.75737399998</v>
      </c>
      <c r="H104" s="187"/>
      <c r="I104" s="7">
        <v>0.12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24884.110799999999</v>
      </c>
      <c r="N104" s="11">
        <f t="shared" si="3"/>
        <v>3010.9774068000002</v>
      </c>
      <c r="O104" s="11">
        <f t="shared" si="4"/>
        <v>13868.7444192</v>
      </c>
      <c r="P104" s="11">
        <f t="shared" si="16"/>
        <v>0</v>
      </c>
    </row>
    <row r="105" spans="1:16" ht="15" customHeight="1">
      <c r="A105" s="44"/>
      <c r="B105" s="5">
        <f t="shared" si="15"/>
        <v>45870</v>
      </c>
      <c r="C105" s="218" t="s">
        <v>533</v>
      </c>
      <c r="D105" s="195">
        <v>6532</v>
      </c>
      <c r="E105" s="186"/>
      <c r="F105" s="2">
        <v>32428.19</v>
      </c>
      <c r="G105" s="3">
        <f t="shared" si="13"/>
        <v>25897.152534000001</v>
      </c>
      <c r="H105" s="187"/>
      <c r="I105" s="7">
        <v>0.12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3891.3827999999999</v>
      </c>
      <c r="N105" s="11">
        <f t="shared" si="3"/>
        <v>470.85731880000003</v>
      </c>
      <c r="O105" s="11">
        <f t="shared" si="4"/>
        <v>2168.7973471999999</v>
      </c>
      <c r="P105" s="11">
        <f t="shared" si="16"/>
        <v>0</v>
      </c>
    </row>
    <row r="106" spans="1:16" ht="15" customHeight="1">
      <c r="A106" s="44"/>
      <c r="B106" s="5">
        <f t="shared" si="15"/>
        <v>45870</v>
      </c>
      <c r="C106" s="218" t="s">
        <v>533</v>
      </c>
      <c r="D106" s="195">
        <v>25685</v>
      </c>
      <c r="E106" s="186"/>
      <c r="F106" s="2">
        <v>2548.23</v>
      </c>
      <c r="G106" s="3">
        <f t="shared" si="13"/>
        <v>2150.64241425</v>
      </c>
      <c r="H106" s="187"/>
      <c r="I106" s="7">
        <v>7.0000000000000007E-2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178.37610000000001</v>
      </c>
      <c r="N106" s="11">
        <f t="shared" si="3"/>
        <v>39.102589350000002</v>
      </c>
      <c r="O106" s="11">
        <f t="shared" si="4"/>
        <v>180.10889639999999</v>
      </c>
      <c r="P106" s="11">
        <f t="shared" si="16"/>
        <v>0</v>
      </c>
    </row>
    <row r="107" spans="1:16" ht="15" customHeight="1">
      <c r="A107" s="44"/>
      <c r="B107" s="5">
        <f t="shared" si="15"/>
        <v>45870</v>
      </c>
      <c r="C107" s="218" t="s">
        <v>533</v>
      </c>
      <c r="D107" s="195">
        <v>25686</v>
      </c>
      <c r="E107" s="186"/>
      <c r="F107" s="2">
        <v>306.86</v>
      </c>
      <c r="G107" s="3">
        <f t="shared" si="13"/>
        <v>258.9821685</v>
      </c>
      <c r="H107" s="187"/>
      <c r="I107" s="7">
        <v>7.0000000000000007E-2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21.480200000000004</v>
      </c>
      <c r="N107" s="11">
        <f t="shared" si="3"/>
        <v>4.7087667</v>
      </c>
      <c r="O107" s="11">
        <f t="shared" si="4"/>
        <v>21.688864799999998</v>
      </c>
      <c r="P107" s="11">
        <f t="shared" si="16"/>
        <v>0</v>
      </c>
    </row>
    <row r="108" spans="1:16" ht="15" customHeight="1">
      <c r="A108" s="44"/>
      <c r="B108" s="5">
        <f t="shared" si="15"/>
        <v>45870</v>
      </c>
      <c r="C108" s="218" t="s">
        <v>533</v>
      </c>
      <c r="D108" s="195">
        <v>22195</v>
      </c>
      <c r="E108" s="186"/>
      <c r="F108" s="2">
        <v>164954.81</v>
      </c>
      <c r="G108" s="3">
        <f t="shared" si="13"/>
        <v>131732.91126600001</v>
      </c>
      <c r="H108" s="187"/>
      <c r="I108" s="7">
        <v>0.12</v>
      </c>
      <c r="J108" s="7">
        <v>1.6500000000000001E-2</v>
      </c>
      <c r="K108" s="7">
        <v>7.5999999999999998E-2</v>
      </c>
      <c r="L108" s="7">
        <v>0</v>
      </c>
      <c r="M108" s="11">
        <f t="shared" si="2"/>
        <v>19794.5772</v>
      </c>
      <c r="N108" s="11">
        <f t="shared" si="3"/>
        <v>2395.1438412000002</v>
      </c>
      <c r="O108" s="11">
        <f t="shared" si="4"/>
        <v>11032.1776928</v>
      </c>
      <c r="P108" s="11">
        <f t="shared" si="16"/>
        <v>0</v>
      </c>
    </row>
    <row r="109" spans="1:16" ht="15" customHeight="1">
      <c r="A109" s="44"/>
      <c r="B109" s="5">
        <f t="shared" si="15"/>
        <v>45870</v>
      </c>
      <c r="C109" s="218" t="s">
        <v>533</v>
      </c>
      <c r="D109" s="195">
        <v>22196</v>
      </c>
      <c r="E109" s="186"/>
      <c r="F109" s="2">
        <v>17282.59</v>
      </c>
      <c r="G109" s="3">
        <f t="shared" si="13"/>
        <v>13801.876373999999</v>
      </c>
      <c r="H109" s="187"/>
      <c r="I109" s="7">
        <v>0.12</v>
      </c>
      <c r="J109" s="7">
        <v>1.6500000000000001E-2</v>
      </c>
      <c r="K109" s="7">
        <v>7.5999999999999998E-2</v>
      </c>
      <c r="L109" s="7">
        <v>0</v>
      </c>
      <c r="M109" s="11">
        <f t="shared" si="2"/>
        <v>2073.9108000000001</v>
      </c>
      <c r="N109" s="11">
        <f t="shared" si="3"/>
        <v>250.94320680000001</v>
      </c>
      <c r="O109" s="11">
        <f t="shared" si="4"/>
        <v>1155.8596192</v>
      </c>
      <c r="P109" s="11">
        <f t="shared" si="16"/>
        <v>0</v>
      </c>
    </row>
    <row r="110" spans="1:16" ht="15" customHeight="1">
      <c r="A110" s="44"/>
      <c r="B110" s="5">
        <f t="shared" si="15"/>
        <v>45870</v>
      </c>
      <c r="C110" s="218" t="s">
        <v>533</v>
      </c>
      <c r="D110" s="195">
        <v>22197</v>
      </c>
      <c r="E110" s="186"/>
      <c r="F110" s="2">
        <v>123276.03</v>
      </c>
      <c r="G110" s="3">
        <f t="shared" si="13"/>
        <v>98448.237557999993</v>
      </c>
      <c r="H110" s="187"/>
      <c r="I110" s="7">
        <v>0.12</v>
      </c>
      <c r="J110" s="7">
        <v>1.6500000000000001E-2</v>
      </c>
      <c r="K110" s="7">
        <v>7.5999999999999998E-2</v>
      </c>
      <c r="L110" s="7">
        <v>0</v>
      </c>
      <c r="M110" s="11">
        <f t="shared" si="2"/>
        <v>14793.123599999999</v>
      </c>
      <c r="N110" s="11">
        <f t="shared" si="3"/>
        <v>1789.9679556000001</v>
      </c>
      <c r="O110" s="11">
        <f t="shared" si="4"/>
        <v>8244.7008863999999</v>
      </c>
      <c r="P110" s="11">
        <f t="shared" si="16"/>
        <v>0</v>
      </c>
    </row>
    <row r="111" spans="1:16" ht="15" customHeight="1">
      <c r="A111" s="44"/>
      <c r="B111" s="5">
        <f t="shared" si="15"/>
        <v>45870</v>
      </c>
      <c r="C111" s="218" t="s">
        <v>533</v>
      </c>
      <c r="D111" s="195">
        <v>22198</v>
      </c>
      <c r="E111" s="186"/>
      <c r="F111" s="2">
        <v>13649.32</v>
      </c>
      <c r="G111" s="3">
        <f t="shared" si="13"/>
        <v>10900.346952</v>
      </c>
      <c r="H111" s="187"/>
      <c r="I111" s="7">
        <v>0.12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1637.9183999999998</v>
      </c>
      <c r="N111" s="11">
        <f t="shared" si="3"/>
        <v>198.18812639999999</v>
      </c>
      <c r="O111" s="11">
        <f t="shared" si="4"/>
        <v>912.86652159999994</v>
      </c>
      <c r="P111" s="11">
        <f t="shared" si="16"/>
        <v>0</v>
      </c>
    </row>
    <row r="112" spans="1:16" ht="15" customHeight="1">
      <c r="A112" s="44"/>
      <c r="B112" s="5">
        <f t="shared" si="15"/>
        <v>45870</v>
      </c>
      <c r="C112" s="218" t="s">
        <v>533</v>
      </c>
      <c r="D112" s="195">
        <v>22199</v>
      </c>
      <c r="E112" s="186"/>
      <c r="F112" s="2">
        <v>35010.43</v>
      </c>
      <c r="G112" s="3">
        <f t="shared" si="13"/>
        <v>27959.329398000002</v>
      </c>
      <c r="H112" s="187"/>
      <c r="I112" s="7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4201.2515999999996</v>
      </c>
      <c r="N112" s="11">
        <f t="shared" si="3"/>
        <v>508.35144360000004</v>
      </c>
      <c r="O112" s="11">
        <f t="shared" si="4"/>
        <v>2341.4975583999999</v>
      </c>
      <c r="P112" s="11">
        <f t="shared" si="16"/>
        <v>0</v>
      </c>
    </row>
    <row r="113" spans="1:16" ht="15" customHeight="1">
      <c r="A113" s="44"/>
      <c r="B113" s="5">
        <f t="shared" si="15"/>
        <v>45870</v>
      </c>
      <c r="C113" s="218" t="s">
        <v>533</v>
      </c>
      <c r="D113" s="195">
        <v>22200</v>
      </c>
      <c r="E113" s="186"/>
      <c r="F113" s="2">
        <v>3839.19</v>
      </c>
      <c r="G113" s="3">
        <f t="shared" si="13"/>
        <v>3065.9771339999998</v>
      </c>
      <c r="H113" s="187"/>
      <c r="I113" s="7">
        <v>0.12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460.70279999999997</v>
      </c>
      <c r="N113" s="11">
        <f t="shared" si="3"/>
        <v>55.745038800000003</v>
      </c>
      <c r="O113" s="11">
        <f t="shared" si="4"/>
        <v>256.76502720000002</v>
      </c>
      <c r="P113" s="11">
        <f t="shared" si="16"/>
        <v>0</v>
      </c>
    </row>
    <row r="114" spans="1:16" ht="15" customHeight="1">
      <c r="A114" s="44"/>
      <c r="B114" s="5">
        <f t="shared" si="15"/>
        <v>45870</v>
      </c>
      <c r="C114" s="218" t="s">
        <v>533</v>
      </c>
      <c r="D114" s="195">
        <v>22201</v>
      </c>
      <c r="E114" s="186"/>
      <c r="F114" s="2">
        <v>23740.720000000001</v>
      </c>
      <c r="G114" s="3">
        <f t="shared" si="13"/>
        <v>18959.338992000001</v>
      </c>
      <c r="H114" s="187"/>
      <c r="I114" s="7">
        <v>0.12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2848.8863999999999</v>
      </c>
      <c r="N114" s="11">
        <f t="shared" si="3"/>
        <v>344.71525440000005</v>
      </c>
      <c r="O114" s="11">
        <f t="shared" si="4"/>
        <v>1587.7793536000001</v>
      </c>
      <c r="P114" s="11">
        <f t="shared" si="16"/>
        <v>0</v>
      </c>
    </row>
    <row r="115" spans="1:16" ht="15" customHeight="1">
      <c r="A115" s="44"/>
      <c r="B115" s="5">
        <f t="shared" si="15"/>
        <v>45870</v>
      </c>
      <c r="C115" s="218" t="s">
        <v>533</v>
      </c>
      <c r="D115" s="195">
        <v>22202</v>
      </c>
      <c r="E115" s="186"/>
      <c r="F115" s="2">
        <v>2768.22</v>
      </c>
      <c r="G115" s="3">
        <f t="shared" si="13"/>
        <v>2210.7004919999999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332.18639999999999</v>
      </c>
      <c r="N115" s="11">
        <f t="shared" si="3"/>
        <v>40.194554400000001</v>
      </c>
      <c r="O115" s="11">
        <f t="shared" si="4"/>
        <v>185.13855359999997</v>
      </c>
      <c r="P115" s="11">
        <f t="shared" si="16"/>
        <v>0</v>
      </c>
    </row>
    <row r="116" spans="1:16" ht="15" customHeight="1">
      <c r="A116" s="44"/>
      <c r="B116" s="5">
        <f t="shared" si="15"/>
        <v>45870</v>
      </c>
      <c r="C116" s="218" t="s">
        <v>533</v>
      </c>
      <c r="D116" s="195">
        <v>22204</v>
      </c>
      <c r="E116" s="186"/>
      <c r="F116" s="2">
        <v>105109.94</v>
      </c>
      <c r="G116" s="3">
        <f t="shared" si="13"/>
        <v>83940.798084000009</v>
      </c>
      <c r="H116" s="187"/>
      <c r="I116" s="7">
        <v>0.12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12613.192800000001</v>
      </c>
      <c r="N116" s="11">
        <f t="shared" si="3"/>
        <v>1526.1963287999999</v>
      </c>
      <c r="O116" s="11">
        <f t="shared" si="4"/>
        <v>7029.7527872000001</v>
      </c>
      <c r="P116" s="11">
        <f t="shared" si="16"/>
        <v>0</v>
      </c>
    </row>
    <row r="117" spans="1:16" ht="15" customHeight="1">
      <c r="A117" s="44"/>
      <c r="B117" s="5">
        <f t="shared" si="15"/>
        <v>45870</v>
      </c>
      <c r="C117" s="218" t="s">
        <v>533</v>
      </c>
      <c r="D117" s="195">
        <v>22205</v>
      </c>
      <c r="E117" s="186"/>
      <c r="F117" s="2">
        <v>11635.14</v>
      </c>
      <c r="G117" s="3">
        <f t="shared" si="13"/>
        <v>9291.8228039999995</v>
      </c>
      <c r="H117" s="187"/>
      <c r="I117" s="7">
        <v>0.12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1396.2167999999999</v>
      </c>
      <c r="N117" s="11">
        <f t="shared" si="3"/>
        <v>168.9422328</v>
      </c>
      <c r="O117" s="11">
        <f t="shared" si="4"/>
        <v>778.15816319999988</v>
      </c>
      <c r="P117" s="11">
        <f t="shared" si="16"/>
        <v>0</v>
      </c>
    </row>
    <row r="118" spans="1:16" ht="15" customHeight="1">
      <c r="A118" s="44"/>
      <c r="B118" s="5">
        <f t="shared" si="15"/>
        <v>45870</v>
      </c>
      <c r="C118" s="218" t="s">
        <v>533</v>
      </c>
      <c r="D118" s="195">
        <v>22203</v>
      </c>
      <c r="E118" s="186"/>
      <c r="F118" s="2">
        <v>44711.15</v>
      </c>
      <c r="G118" s="3">
        <f t="shared" ref="G118:G182" si="17">F118-SUM(M118:P118)</f>
        <v>35706.324390000002</v>
      </c>
      <c r="H118" s="187"/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5365.3379999999997</v>
      </c>
      <c r="N118" s="11">
        <f t="shared" si="3"/>
        <v>649.20589800000016</v>
      </c>
      <c r="O118" s="11">
        <f t="shared" si="4"/>
        <v>2990.2817120000004</v>
      </c>
      <c r="P118" s="11">
        <f t="shared" si="16"/>
        <v>0</v>
      </c>
    </row>
    <row r="119" spans="1:16" ht="15" customHeight="1">
      <c r="A119" s="44"/>
      <c r="B119" s="5">
        <f t="shared" si="15"/>
        <v>45870</v>
      </c>
      <c r="C119" s="218" t="s">
        <v>533</v>
      </c>
      <c r="D119" s="195">
        <v>22209</v>
      </c>
      <c r="E119" s="186"/>
      <c r="F119" s="2">
        <v>4946.25</v>
      </c>
      <c r="G119" s="3">
        <f t="shared" si="17"/>
        <v>3950.0752499999999</v>
      </c>
      <c r="H119" s="187"/>
      <c r="I119" s="7">
        <v>0.12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593.54999999999995</v>
      </c>
      <c r="N119" s="11">
        <f t="shared" si="3"/>
        <v>71.819550000000007</v>
      </c>
      <c r="O119" s="11">
        <f t="shared" si="4"/>
        <v>330.80519999999996</v>
      </c>
      <c r="P119" s="11">
        <f t="shared" si="16"/>
        <v>0</v>
      </c>
    </row>
    <row r="120" spans="1:16" ht="15" customHeight="1">
      <c r="A120" s="44"/>
      <c r="B120" s="5">
        <f t="shared" si="15"/>
        <v>45870</v>
      </c>
      <c r="C120" s="218" t="s">
        <v>533</v>
      </c>
      <c r="D120" s="195">
        <v>22210</v>
      </c>
      <c r="E120" s="186"/>
      <c r="F120" s="2">
        <v>113132.28</v>
      </c>
      <c r="G120" s="3">
        <f t="shared" si="17"/>
        <v>90347.438808000006</v>
      </c>
      <c r="H120" s="187"/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13575.873599999999</v>
      </c>
      <c r="N120" s="11">
        <f t="shared" si="3"/>
        <v>1642.6807056000002</v>
      </c>
      <c r="O120" s="11">
        <f t="shared" si="4"/>
        <v>7566.2868864000002</v>
      </c>
      <c r="P120" s="11">
        <f t="shared" si="16"/>
        <v>0</v>
      </c>
    </row>
    <row r="121" spans="1:16" ht="15" customHeight="1">
      <c r="A121" s="44"/>
      <c r="B121" s="5">
        <f t="shared" si="15"/>
        <v>45870</v>
      </c>
      <c r="C121" s="218" t="s">
        <v>533</v>
      </c>
      <c r="D121" s="195">
        <v>22211</v>
      </c>
      <c r="E121" s="186"/>
      <c r="F121" s="2">
        <v>12170.36</v>
      </c>
      <c r="G121" s="3">
        <f t="shared" si="17"/>
        <v>9719.2494960000004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1460.4431999999999</v>
      </c>
      <c r="N121" s="11">
        <f t="shared" si="3"/>
        <v>176.71362720000002</v>
      </c>
      <c r="O121" s="11">
        <f t="shared" si="4"/>
        <v>813.95367680000004</v>
      </c>
      <c r="P121" s="11">
        <f t="shared" si="16"/>
        <v>0</v>
      </c>
    </row>
    <row r="122" spans="1:16" ht="15" customHeight="1">
      <c r="A122" s="44"/>
      <c r="B122" s="5">
        <f t="shared" si="15"/>
        <v>45870</v>
      </c>
      <c r="C122" s="218" t="s">
        <v>533</v>
      </c>
      <c r="D122" s="195">
        <v>22212</v>
      </c>
      <c r="E122" s="186"/>
      <c r="F122" s="2">
        <v>132509.34</v>
      </c>
      <c r="G122" s="3">
        <f t="shared" si="17"/>
        <v>105821.95892400001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15901.120799999999</v>
      </c>
      <c r="N122" s="11">
        <f t="shared" si="3"/>
        <v>1924.0356168000001</v>
      </c>
      <c r="O122" s="11">
        <f t="shared" si="4"/>
        <v>8862.2246591999992</v>
      </c>
      <c r="P122" s="11">
        <f t="shared" si="16"/>
        <v>0</v>
      </c>
    </row>
    <row r="123" spans="1:16" ht="15" customHeight="1">
      <c r="A123" s="44"/>
      <c r="B123" s="5">
        <f t="shared" ref="B123:B182" si="18">B122</f>
        <v>45870</v>
      </c>
      <c r="C123" s="218" t="s">
        <v>533</v>
      </c>
      <c r="D123" s="195">
        <v>22213</v>
      </c>
      <c r="E123" s="186"/>
      <c r="F123" s="2">
        <v>14579.27</v>
      </c>
      <c r="G123" s="3">
        <f t="shared" si="17"/>
        <v>11643.005022000001</v>
      </c>
      <c r="H123" s="187"/>
      <c r="I123" s="7">
        <v>0.12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1749.5124000000001</v>
      </c>
      <c r="N123" s="11">
        <f t="shared" si="3"/>
        <v>211.69100040000004</v>
      </c>
      <c r="O123" s="11">
        <f t="shared" si="4"/>
        <v>975.06157760000008</v>
      </c>
      <c r="P123" s="11">
        <f t="shared" si="16"/>
        <v>0</v>
      </c>
    </row>
    <row r="124" spans="1:16" ht="15" hidden="1" customHeight="1">
      <c r="A124" s="44"/>
      <c r="B124" s="5">
        <f t="shared" si="18"/>
        <v>45870</v>
      </c>
      <c r="C124" s="218" t="s">
        <v>533</v>
      </c>
      <c r="D124" s="195"/>
      <c r="E124" s="186"/>
      <c r="F124" s="2"/>
      <c r="G124" s="3">
        <f t="shared" si="17"/>
        <v>0</v>
      </c>
      <c r="H124" s="187"/>
      <c r="I124" s="7"/>
      <c r="J124" s="7">
        <v>1.6500000000000001E-2</v>
      </c>
      <c r="K124" s="7">
        <v>7.5999999999999998E-2</v>
      </c>
      <c r="L124" s="7">
        <v>0</v>
      </c>
      <c r="M124" s="11">
        <f t="shared" si="2"/>
        <v>0</v>
      </c>
      <c r="N124" s="11">
        <f t="shared" si="3"/>
        <v>0</v>
      </c>
      <c r="O124" s="11">
        <f t="shared" si="4"/>
        <v>0</v>
      </c>
      <c r="P124" s="11">
        <f t="shared" si="16"/>
        <v>0</v>
      </c>
    </row>
    <row r="125" spans="1:16" ht="15" hidden="1" customHeight="1">
      <c r="A125" s="44"/>
      <c r="B125" s="5">
        <f t="shared" si="18"/>
        <v>45870</v>
      </c>
      <c r="C125" s="218" t="s">
        <v>533</v>
      </c>
      <c r="D125" s="195"/>
      <c r="E125" s="186"/>
      <c r="F125" s="2"/>
      <c r="G125" s="3">
        <f t="shared" si="17"/>
        <v>0</v>
      </c>
      <c r="H125" s="187"/>
      <c r="I125" s="7"/>
      <c r="J125" s="7">
        <v>1.6500000000000001E-2</v>
      </c>
      <c r="K125" s="7">
        <v>7.5999999999999998E-2</v>
      </c>
      <c r="L125" s="7">
        <v>0</v>
      </c>
      <c r="M125" s="11">
        <f t="shared" si="2"/>
        <v>0</v>
      </c>
      <c r="N125" s="11">
        <f t="shared" si="3"/>
        <v>0</v>
      </c>
      <c r="O125" s="11">
        <f t="shared" si="4"/>
        <v>0</v>
      </c>
      <c r="P125" s="11">
        <f t="shared" si="16"/>
        <v>0</v>
      </c>
    </row>
    <row r="126" spans="1:16" ht="15" hidden="1" customHeight="1">
      <c r="A126" s="44"/>
      <c r="B126" s="5">
        <f t="shared" si="18"/>
        <v>45870</v>
      </c>
      <c r="C126" s="218" t="s">
        <v>533</v>
      </c>
      <c r="D126" s="195"/>
      <c r="E126" s="186"/>
      <c r="F126" s="2"/>
      <c r="G126" s="3">
        <f t="shared" si="17"/>
        <v>0</v>
      </c>
      <c r="H126" s="187"/>
      <c r="I126" s="7"/>
      <c r="J126" s="7">
        <v>1.6500000000000001E-2</v>
      </c>
      <c r="K126" s="7">
        <v>7.5999999999999998E-2</v>
      </c>
      <c r="L126" s="7">
        <v>0</v>
      </c>
      <c r="M126" s="11">
        <f t="shared" si="2"/>
        <v>0</v>
      </c>
      <c r="N126" s="11">
        <f t="shared" si="3"/>
        <v>0</v>
      </c>
      <c r="O126" s="11">
        <f t="shared" si="4"/>
        <v>0</v>
      </c>
      <c r="P126" s="11">
        <f t="shared" si="16"/>
        <v>0</v>
      </c>
    </row>
    <row r="127" spans="1:16" ht="15" hidden="1" customHeight="1">
      <c r="A127" s="44"/>
      <c r="B127" s="5">
        <f t="shared" si="18"/>
        <v>45870</v>
      </c>
      <c r="C127" s="218" t="s">
        <v>533</v>
      </c>
      <c r="D127" s="195"/>
      <c r="E127" s="186"/>
      <c r="F127" s="2"/>
      <c r="G127" s="3">
        <f t="shared" si="17"/>
        <v>0</v>
      </c>
      <c r="H127" s="187"/>
      <c r="I127" s="7"/>
      <c r="J127" s="7">
        <v>1.6500000000000001E-2</v>
      </c>
      <c r="K127" s="7">
        <v>7.5999999999999998E-2</v>
      </c>
      <c r="L127" s="7">
        <v>0</v>
      </c>
      <c r="M127" s="11">
        <f t="shared" si="2"/>
        <v>0</v>
      </c>
      <c r="N127" s="11">
        <f t="shared" si="3"/>
        <v>0</v>
      </c>
      <c r="O127" s="11">
        <f t="shared" si="4"/>
        <v>0</v>
      </c>
      <c r="P127" s="11">
        <f t="shared" si="16"/>
        <v>0</v>
      </c>
    </row>
    <row r="128" spans="1:16" ht="15" hidden="1" customHeight="1">
      <c r="A128" s="44"/>
      <c r="B128" s="5">
        <f t="shared" si="18"/>
        <v>45870</v>
      </c>
      <c r="C128" s="218" t="s">
        <v>533</v>
      </c>
      <c r="D128" s="195"/>
      <c r="E128" s="186"/>
      <c r="F128" s="2"/>
      <c r="G128" s="3">
        <f t="shared" si="17"/>
        <v>0</v>
      </c>
      <c r="H128" s="187"/>
      <c r="I128" s="7"/>
      <c r="J128" s="7">
        <v>1.6500000000000001E-2</v>
      </c>
      <c r="K128" s="7">
        <v>7.5999999999999998E-2</v>
      </c>
      <c r="L128" s="7">
        <v>0</v>
      </c>
      <c r="M128" s="11">
        <f t="shared" si="2"/>
        <v>0</v>
      </c>
      <c r="N128" s="11">
        <f t="shared" si="3"/>
        <v>0</v>
      </c>
      <c r="O128" s="11">
        <f t="shared" si="4"/>
        <v>0</v>
      </c>
      <c r="P128" s="11">
        <f t="shared" si="16"/>
        <v>0</v>
      </c>
    </row>
    <row r="129" spans="1:16" ht="15" hidden="1" customHeight="1">
      <c r="A129" s="44"/>
      <c r="B129" s="5">
        <f t="shared" si="18"/>
        <v>45870</v>
      </c>
      <c r="C129" s="218" t="s">
        <v>533</v>
      </c>
      <c r="D129" s="195"/>
      <c r="E129" s="186"/>
      <c r="F129" s="2"/>
      <c r="G129" s="3">
        <f t="shared" si="17"/>
        <v>0</v>
      </c>
      <c r="H129" s="187"/>
      <c r="I129" s="7"/>
      <c r="J129" s="7">
        <v>1.6500000000000001E-2</v>
      </c>
      <c r="K129" s="7">
        <v>7.5999999999999998E-2</v>
      </c>
      <c r="L129" s="7">
        <v>0</v>
      </c>
      <c r="M129" s="11">
        <f t="shared" si="2"/>
        <v>0</v>
      </c>
      <c r="N129" s="11">
        <f t="shared" si="3"/>
        <v>0</v>
      </c>
      <c r="O129" s="11">
        <f t="shared" si="4"/>
        <v>0</v>
      </c>
      <c r="P129" s="11">
        <f t="shared" si="16"/>
        <v>0</v>
      </c>
    </row>
    <row r="130" spans="1:16" ht="15" hidden="1" customHeight="1">
      <c r="A130" s="44"/>
      <c r="B130" s="5">
        <f t="shared" si="18"/>
        <v>45870</v>
      </c>
      <c r="C130" s="218" t="s">
        <v>533</v>
      </c>
      <c r="D130" s="195"/>
      <c r="E130" s="186"/>
      <c r="F130" s="2"/>
      <c r="G130" s="3">
        <f t="shared" si="17"/>
        <v>0</v>
      </c>
      <c r="H130" s="187"/>
      <c r="I130" s="7"/>
      <c r="J130" s="7">
        <v>1.6500000000000001E-2</v>
      </c>
      <c r="K130" s="7">
        <v>7.5999999999999998E-2</v>
      </c>
      <c r="L130" s="7">
        <v>0</v>
      </c>
      <c r="M130" s="11">
        <f t="shared" si="2"/>
        <v>0</v>
      </c>
      <c r="N130" s="11">
        <f t="shared" si="3"/>
        <v>0</v>
      </c>
      <c r="O130" s="11">
        <f t="shared" si="4"/>
        <v>0</v>
      </c>
      <c r="P130" s="11">
        <f t="shared" si="16"/>
        <v>0</v>
      </c>
    </row>
    <row r="131" spans="1:16" ht="15" hidden="1" customHeight="1">
      <c r="A131" s="44"/>
      <c r="B131" s="5">
        <f t="shared" si="18"/>
        <v>45870</v>
      </c>
      <c r="C131" s="218" t="s">
        <v>533</v>
      </c>
      <c r="D131" s="195"/>
      <c r="E131" s="186"/>
      <c r="F131" s="2"/>
      <c r="G131" s="3">
        <f t="shared" si="17"/>
        <v>0</v>
      </c>
      <c r="H131" s="187"/>
      <c r="I131" s="7"/>
      <c r="J131" s="7">
        <v>1.6500000000000001E-2</v>
      </c>
      <c r="K131" s="7">
        <v>7.5999999999999998E-2</v>
      </c>
      <c r="L131" s="7">
        <v>0</v>
      </c>
      <c r="M131" s="11">
        <f t="shared" si="2"/>
        <v>0</v>
      </c>
      <c r="N131" s="11">
        <f t="shared" si="3"/>
        <v>0</v>
      </c>
      <c r="O131" s="11">
        <f t="shared" si="4"/>
        <v>0</v>
      </c>
      <c r="P131" s="11">
        <f t="shared" si="16"/>
        <v>0</v>
      </c>
    </row>
    <row r="132" spans="1:16" ht="15" hidden="1" customHeight="1">
      <c r="A132" s="44"/>
      <c r="B132" s="5">
        <f t="shared" si="18"/>
        <v>45870</v>
      </c>
      <c r="C132" s="218" t="s">
        <v>533</v>
      </c>
      <c r="D132" s="195"/>
      <c r="E132" s="186"/>
      <c r="F132" s="2"/>
      <c r="G132" s="3">
        <f t="shared" si="17"/>
        <v>0</v>
      </c>
      <c r="H132" s="187"/>
      <c r="I132" s="7"/>
      <c r="J132" s="7">
        <v>1.6500000000000001E-2</v>
      </c>
      <c r="K132" s="7">
        <v>7.5999999999999998E-2</v>
      </c>
      <c r="L132" s="7">
        <v>0</v>
      </c>
      <c r="M132" s="11">
        <f t="shared" si="2"/>
        <v>0</v>
      </c>
      <c r="N132" s="11">
        <f t="shared" si="3"/>
        <v>0</v>
      </c>
      <c r="O132" s="11">
        <f t="shared" si="4"/>
        <v>0</v>
      </c>
      <c r="P132" s="11">
        <f t="shared" si="16"/>
        <v>0</v>
      </c>
    </row>
    <row r="133" spans="1:16" ht="15" hidden="1" customHeight="1">
      <c r="A133" s="44"/>
      <c r="B133" s="5">
        <f t="shared" si="18"/>
        <v>45870</v>
      </c>
      <c r="C133" s="218" t="s">
        <v>533</v>
      </c>
      <c r="D133" s="195"/>
      <c r="E133" s="186"/>
      <c r="F133" s="2"/>
      <c r="G133" s="3">
        <f t="shared" si="17"/>
        <v>0</v>
      </c>
      <c r="H133" s="187"/>
      <c r="I133" s="7"/>
      <c r="J133" s="7">
        <v>1.6500000000000001E-2</v>
      </c>
      <c r="K133" s="7">
        <v>7.5999999999999998E-2</v>
      </c>
      <c r="L133" s="7">
        <v>0</v>
      </c>
      <c r="M133" s="11">
        <f t="shared" si="2"/>
        <v>0</v>
      </c>
      <c r="N133" s="11">
        <f t="shared" si="3"/>
        <v>0</v>
      </c>
      <c r="O133" s="11">
        <f t="shared" si="4"/>
        <v>0</v>
      </c>
      <c r="P133" s="11">
        <f t="shared" si="16"/>
        <v>0</v>
      </c>
    </row>
    <row r="134" spans="1:16" ht="15" hidden="1" customHeight="1">
      <c r="A134" s="44"/>
      <c r="B134" s="5">
        <f t="shared" si="18"/>
        <v>45870</v>
      </c>
      <c r="C134" s="218" t="s">
        <v>533</v>
      </c>
      <c r="D134" s="195"/>
      <c r="E134" s="186"/>
      <c r="F134" s="2"/>
      <c r="G134" s="3">
        <f t="shared" si="17"/>
        <v>0</v>
      </c>
      <c r="H134" s="187"/>
      <c r="I134" s="7"/>
      <c r="J134" s="7">
        <v>1.6500000000000001E-2</v>
      </c>
      <c r="K134" s="7">
        <v>7.5999999999999998E-2</v>
      </c>
      <c r="L134" s="7">
        <v>0</v>
      </c>
      <c r="M134" s="11">
        <f t="shared" si="2"/>
        <v>0</v>
      </c>
      <c r="N134" s="11">
        <f t="shared" si="3"/>
        <v>0</v>
      </c>
      <c r="O134" s="11">
        <f t="shared" si="4"/>
        <v>0</v>
      </c>
      <c r="P134" s="11">
        <f t="shared" si="16"/>
        <v>0</v>
      </c>
    </row>
    <row r="135" spans="1:16" ht="15" hidden="1" customHeight="1">
      <c r="A135" s="44"/>
      <c r="B135" s="5">
        <f t="shared" si="18"/>
        <v>45870</v>
      </c>
      <c r="C135" s="218" t="s">
        <v>533</v>
      </c>
      <c r="D135" s="195"/>
      <c r="E135" s="186"/>
      <c r="F135" s="2"/>
      <c r="G135" s="3">
        <f t="shared" si="17"/>
        <v>0</v>
      </c>
      <c r="H135" s="187"/>
      <c r="I135" s="7"/>
      <c r="J135" s="7">
        <v>1.6500000000000001E-2</v>
      </c>
      <c r="K135" s="7">
        <v>7.5999999999999998E-2</v>
      </c>
      <c r="L135" s="7">
        <v>0</v>
      </c>
      <c r="M135" s="11">
        <f t="shared" si="2"/>
        <v>0</v>
      </c>
      <c r="N135" s="11">
        <f t="shared" si="3"/>
        <v>0</v>
      </c>
      <c r="O135" s="11">
        <f t="shared" si="4"/>
        <v>0</v>
      </c>
      <c r="P135" s="11">
        <f t="shared" si="16"/>
        <v>0</v>
      </c>
    </row>
    <row r="136" spans="1:16" ht="15" hidden="1" customHeight="1">
      <c r="A136" s="44"/>
      <c r="B136" s="5">
        <f t="shared" si="18"/>
        <v>45870</v>
      </c>
      <c r="C136" s="218" t="s">
        <v>533</v>
      </c>
      <c r="D136" s="195"/>
      <c r="E136" s="186"/>
      <c r="F136" s="2"/>
      <c r="G136" s="3">
        <f t="shared" si="17"/>
        <v>0</v>
      </c>
      <c r="H136" s="187"/>
      <c r="I136" s="7"/>
      <c r="J136" s="7">
        <v>1.6500000000000001E-2</v>
      </c>
      <c r="K136" s="7">
        <v>7.5999999999999998E-2</v>
      </c>
      <c r="L136" s="7">
        <v>0</v>
      </c>
      <c r="M136" s="11">
        <f t="shared" si="2"/>
        <v>0</v>
      </c>
      <c r="N136" s="11">
        <f t="shared" si="3"/>
        <v>0</v>
      </c>
      <c r="O136" s="11">
        <f t="shared" si="4"/>
        <v>0</v>
      </c>
      <c r="P136" s="11">
        <f t="shared" si="16"/>
        <v>0</v>
      </c>
    </row>
    <row r="137" spans="1:16" ht="15" hidden="1" customHeight="1">
      <c r="A137" s="44"/>
      <c r="B137" s="5">
        <f t="shared" si="18"/>
        <v>45870</v>
      </c>
      <c r="C137" s="218" t="s">
        <v>533</v>
      </c>
      <c r="D137" s="195"/>
      <c r="E137" s="186"/>
      <c r="F137" s="2"/>
      <c r="G137" s="3">
        <f t="shared" si="17"/>
        <v>0</v>
      </c>
      <c r="H137" s="187"/>
      <c r="I137" s="7"/>
      <c r="J137" s="7">
        <v>1.6500000000000001E-2</v>
      </c>
      <c r="K137" s="7">
        <v>7.5999999999999998E-2</v>
      </c>
      <c r="L137" s="7">
        <v>0</v>
      </c>
      <c r="M137" s="11">
        <f t="shared" si="2"/>
        <v>0</v>
      </c>
      <c r="N137" s="11">
        <f t="shared" si="3"/>
        <v>0</v>
      </c>
      <c r="O137" s="11">
        <f t="shared" si="4"/>
        <v>0</v>
      </c>
      <c r="P137" s="11">
        <f t="shared" si="16"/>
        <v>0</v>
      </c>
    </row>
    <row r="138" spans="1:16" ht="15" hidden="1" customHeight="1">
      <c r="A138" s="44"/>
      <c r="B138" s="5">
        <f t="shared" si="18"/>
        <v>45870</v>
      </c>
      <c r="C138" s="218" t="s">
        <v>533</v>
      </c>
      <c r="D138" s="195"/>
      <c r="E138" s="186"/>
      <c r="F138" s="2"/>
      <c r="G138" s="3">
        <f t="shared" si="17"/>
        <v>0</v>
      </c>
      <c r="H138" s="187"/>
      <c r="I138" s="7"/>
      <c r="J138" s="7">
        <v>1.6500000000000001E-2</v>
      </c>
      <c r="K138" s="7">
        <v>7.5999999999999998E-2</v>
      </c>
      <c r="L138" s="7">
        <v>0</v>
      </c>
      <c r="M138" s="11">
        <f t="shared" si="2"/>
        <v>0</v>
      </c>
      <c r="N138" s="11">
        <f t="shared" si="3"/>
        <v>0</v>
      </c>
      <c r="O138" s="11">
        <f t="shared" si="4"/>
        <v>0</v>
      </c>
      <c r="P138" s="11">
        <f t="shared" si="16"/>
        <v>0</v>
      </c>
    </row>
    <row r="139" spans="1:16" ht="15" hidden="1" customHeight="1">
      <c r="A139" s="44"/>
      <c r="B139" s="5">
        <f t="shared" si="18"/>
        <v>45870</v>
      </c>
      <c r="C139" s="218" t="s">
        <v>533</v>
      </c>
      <c r="D139" s="195"/>
      <c r="E139" s="186"/>
      <c r="F139" s="2"/>
      <c r="G139" s="3">
        <f t="shared" si="17"/>
        <v>0</v>
      </c>
      <c r="H139" s="187"/>
      <c r="I139" s="7"/>
      <c r="J139" s="7">
        <v>1.6500000000000001E-2</v>
      </c>
      <c r="K139" s="7">
        <v>7.5999999999999998E-2</v>
      </c>
      <c r="L139" s="7">
        <v>0</v>
      </c>
      <c r="M139" s="11">
        <f t="shared" si="2"/>
        <v>0</v>
      </c>
      <c r="N139" s="11">
        <f t="shared" si="3"/>
        <v>0</v>
      </c>
      <c r="O139" s="11">
        <f t="shared" si="4"/>
        <v>0</v>
      </c>
      <c r="P139" s="11">
        <f t="shared" si="16"/>
        <v>0</v>
      </c>
    </row>
    <row r="140" spans="1:16" ht="15" hidden="1" customHeight="1">
      <c r="A140" s="44"/>
      <c r="B140" s="5">
        <f t="shared" si="18"/>
        <v>45870</v>
      </c>
      <c r="C140" s="218" t="s">
        <v>533</v>
      </c>
      <c r="D140" s="195"/>
      <c r="E140" s="186"/>
      <c r="F140" s="2"/>
      <c r="G140" s="3">
        <f t="shared" si="17"/>
        <v>0</v>
      </c>
      <c r="H140" s="187"/>
      <c r="I140" s="7"/>
      <c r="J140" s="7">
        <v>1.6500000000000001E-2</v>
      </c>
      <c r="K140" s="7">
        <v>7.5999999999999998E-2</v>
      </c>
      <c r="L140" s="7">
        <v>0</v>
      </c>
      <c r="M140" s="11">
        <f t="shared" si="2"/>
        <v>0</v>
      </c>
      <c r="N140" s="11">
        <f t="shared" si="3"/>
        <v>0</v>
      </c>
      <c r="O140" s="11">
        <f t="shared" si="4"/>
        <v>0</v>
      </c>
      <c r="P140" s="11">
        <f t="shared" si="16"/>
        <v>0</v>
      </c>
    </row>
    <row r="141" spans="1:16" ht="15" hidden="1" customHeight="1">
      <c r="A141" s="44"/>
      <c r="B141" s="5">
        <f t="shared" si="18"/>
        <v>45870</v>
      </c>
      <c r="C141" s="218" t="s">
        <v>533</v>
      </c>
      <c r="D141" s="195"/>
      <c r="E141" s="186"/>
      <c r="F141" s="2"/>
      <c r="G141" s="3">
        <f t="shared" si="17"/>
        <v>0</v>
      </c>
      <c r="H141" s="187"/>
      <c r="I141" s="7"/>
      <c r="J141" s="7">
        <v>1.6500000000000001E-2</v>
      </c>
      <c r="K141" s="7">
        <v>7.5999999999999998E-2</v>
      </c>
      <c r="L141" s="7">
        <v>0</v>
      </c>
      <c r="M141" s="11">
        <f t="shared" si="2"/>
        <v>0</v>
      </c>
      <c r="N141" s="11">
        <f t="shared" si="3"/>
        <v>0</v>
      </c>
      <c r="O141" s="11">
        <f t="shared" si="4"/>
        <v>0</v>
      </c>
      <c r="P141" s="11">
        <f t="shared" si="16"/>
        <v>0</v>
      </c>
    </row>
    <row r="142" spans="1:16" ht="15" hidden="1" customHeight="1">
      <c r="A142" s="44"/>
      <c r="B142" s="5">
        <f t="shared" si="18"/>
        <v>45870</v>
      </c>
      <c r="C142" s="218" t="s">
        <v>533</v>
      </c>
      <c r="D142" s="195"/>
      <c r="E142" s="186"/>
      <c r="F142" s="2"/>
      <c r="G142" s="3">
        <f t="shared" si="17"/>
        <v>0</v>
      </c>
      <c r="H142" s="187"/>
      <c r="I142" s="7"/>
      <c r="J142" s="7">
        <v>1.6500000000000001E-2</v>
      </c>
      <c r="K142" s="7">
        <v>7.5999999999999998E-2</v>
      </c>
      <c r="L142" s="7">
        <v>0</v>
      </c>
      <c r="M142" s="11">
        <f t="shared" si="2"/>
        <v>0</v>
      </c>
      <c r="N142" s="11">
        <f t="shared" si="3"/>
        <v>0</v>
      </c>
      <c r="O142" s="11">
        <f t="shared" si="4"/>
        <v>0</v>
      </c>
      <c r="P142" s="11">
        <f t="shared" si="16"/>
        <v>0</v>
      </c>
    </row>
    <row r="143" spans="1:16" ht="15" hidden="1" customHeight="1">
      <c r="A143" s="44"/>
      <c r="B143" s="5">
        <f t="shared" si="18"/>
        <v>45870</v>
      </c>
      <c r="C143" s="218" t="s">
        <v>533</v>
      </c>
      <c r="D143" s="195"/>
      <c r="E143" s="186"/>
      <c r="F143" s="2"/>
      <c r="G143" s="3">
        <f t="shared" si="17"/>
        <v>0</v>
      </c>
      <c r="H143" s="187"/>
      <c r="I143" s="7"/>
      <c r="J143" s="7">
        <v>1.6500000000000001E-2</v>
      </c>
      <c r="K143" s="7">
        <v>7.5999999999999998E-2</v>
      </c>
      <c r="L143" s="7">
        <v>0</v>
      </c>
      <c r="M143" s="11">
        <f t="shared" si="2"/>
        <v>0</v>
      </c>
      <c r="N143" s="11">
        <f t="shared" si="3"/>
        <v>0</v>
      </c>
      <c r="O143" s="11">
        <f t="shared" si="4"/>
        <v>0</v>
      </c>
      <c r="P143" s="11">
        <f t="shared" si="16"/>
        <v>0</v>
      </c>
    </row>
    <row r="144" spans="1:16" ht="15" hidden="1" customHeight="1">
      <c r="A144" s="44"/>
      <c r="B144" s="5">
        <f t="shared" si="18"/>
        <v>45870</v>
      </c>
      <c r="C144" s="218" t="s">
        <v>533</v>
      </c>
      <c r="D144" s="195"/>
      <c r="E144" s="186"/>
      <c r="F144" s="2"/>
      <c r="G144" s="3">
        <f t="shared" si="17"/>
        <v>0</v>
      </c>
      <c r="H144" s="187"/>
      <c r="I144" s="7"/>
      <c r="J144" s="7">
        <v>1.6500000000000001E-2</v>
      </c>
      <c r="K144" s="7">
        <v>7.5999999999999998E-2</v>
      </c>
      <c r="L144" s="7">
        <v>0</v>
      </c>
      <c r="M144" s="11">
        <f t="shared" si="2"/>
        <v>0</v>
      </c>
      <c r="N144" s="11">
        <f t="shared" si="3"/>
        <v>0</v>
      </c>
      <c r="O144" s="11">
        <f t="shared" si="4"/>
        <v>0</v>
      </c>
      <c r="P144" s="11">
        <f t="shared" si="16"/>
        <v>0</v>
      </c>
    </row>
    <row r="145" spans="1:16" ht="15" hidden="1" customHeight="1">
      <c r="A145" s="44"/>
      <c r="B145" s="5">
        <f t="shared" si="18"/>
        <v>45870</v>
      </c>
      <c r="C145" s="218" t="s">
        <v>533</v>
      </c>
      <c r="D145" s="195"/>
      <c r="E145" s="186"/>
      <c r="F145" s="2"/>
      <c r="G145" s="3">
        <f t="shared" si="17"/>
        <v>0</v>
      </c>
      <c r="H145" s="187"/>
      <c r="I145" s="7"/>
      <c r="J145" s="7">
        <v>1.6500000000000001E-2</v>
      </c>
      <c r="K145" s="7">
        <v>7.5999999999999998E-2</v>
      </c>
      <c r="L145" s="7">
        <v>0</v>
      </c>
      <c r="M145" s="11">
        <f t="shared" si="2"/>
        <v>0</v>
      </c>
      <c r="N145" s="11">
        <f t="shared" si="3"/>
        <v>0</v>
      </c>
      <c r="O145" s="11">
        <f t="shared" si="4"/>
        <v>0</v>
      </c>
      <c r="P145" s="11">
        <f t="shared" si="16"/>
        <v>0</v>
      </c>
    </row>
    <row r="146" spans="1:16" ht="15" hidden="1" customHeight="1">
      <c r="A146" s="44"/>
      <c r="B146" s="5">
        <f t="shared" si="18"/>
        <v>45870</v>
      </c>
      <c r="C146" s="218" t="s">
        <v>533</v>
      </c>
      <c r="D146" s="195"/>
      <c r="E146" s="186"/>
      <c r="F146" s="2"/>
      <c r="G146" s="3">
        <f t="shared" si="17"/>
        <v>0</v>
      </c>
      <c r="H146" s="187"/>
      <c r="I146" s="7"/>
      <c r="J146" s="7">
        <v>1.6500000000000001E-2</v>
      </c>
      <c r="K146" s="7">
        <v>7.5999999999999998E-2</v>
      </c>
      <c r="L146" s="7">
        <v>0</v>
      </c>
      <c r="M146" s="11">
        <f t="shared" si="2"/>
        <v>0</v>
      </c>
      <c r="N146" s="11">
        <f t="shared" si="3"/>
        <v>0</v>
      </c>
      <c r="O146" s="11">
        <f t="shared" si="4"/>
        <v>0</v>
      </c>
      <c r="P146" s="11">
        <f t="shared" si="16"/>
        <v>0</v>
      </c>
    </row>
    <row r="147" spans="1:16" ht="15" hidden="1" customHeight="1">
      <c r="A147" s="44"/>
      <c r="B147" s="5">
        <f t="shared" si="18"/>
        <v>45870</v>
      </c>
      <c r="C147" s="218" t="s">
        <v>533</v>
      </c>
      <c r="D147" s="195"/>
      <c r="E147" s="186"/>
      <c r="F147" s="2"/>
      <c r="G147" s="3">
        <f t="shared" si="17"/>
        <v>0</v>
      </c>
      <c r="H147" s="187"/>
      <c r="I147" s="7"/>
      <c r="J147" s="7">
        <v>1.6500000000000001E-2</v>
      </c>
      <c r="K147" s="7">
        <v>7.5999999999999998E-2</v>
      </c>
      <c r="L147" s="7">
        <v>0</v>
      </c>
      <c r="M147" s="11">
        <f t="shared" si="2"/>
        <v>0</v>
      </c>
      <c r="N147" s="11">
        <f t="shared" si="3"/>
        <v>0</v>
      </c>
      <c r="O147" s="11">
        <f t="shared" si="4"/>
        <v>0</v>
      </c>
      <c r="P147" s="11">
        <f t="shared" si="16"/>
        <v>0</v>
      </c>
    </row>
    <row r="148" spans="1:16" ht="15" hidden="1" customHeight="1">
      <c r="A148" s="44"/>
      <c r="B148" s="5">
        <f t="shared" si="18"/>
        <v>45870</v>
      </c>
      <c r="C148" s="218" t="s">
        <v>533</v>
      </c>
      <c r="D148" s="195"/>
      <c r="E148" s="186"/>
      <c r="F148" s="2"/>
      <c r="G148" s="3">
        <f t="shared" si="17"/>
        <v>0</v>
      </c>
      <c r="H148" s="187"/>
      <c r="I148" s="7"/>
      <c r="J148" s="7">
        <v>1.6500000000000001E-2</v>
      </c>
      <c r="K148" s="7">
        <v>7.5999999999999998E-2</v>
      </c>
      <c r="L148" s="7">
        <v>0</v>
      </c>
      <c r="M148" s="11">
        <f t="shared" si="2"/>
        <v>0</v>
      </c>
      <c r="N148" s="11">
        <f t="shared" si="3"/>
        <v>0</v>
      </c>
      <c r="O148" s="11">
        <f t="shared" si="4"/>
        <v>0</v>
      </c>
      <c r="P148" s="11">
        <f t="shared" si="16"/>
        <v>0</v>
      </c>
    </row>
    <row r="149" spans="1:16" ht="15" hidden="1" customHeight="1">
      <c r="A149" s="44"/>
      <c r="B149" s="5">
        <f t="shared" si="18"/>
        <v>45870</v>
      </c>
      <c r="C149" s="218" t="s">
        <v>533</v>
      </c>
      <c r="D149" s="195"/>
      <c r="E149" s="186"/>
      <c r="F149" s="2"/>
      <c r="G149" s="3">
        <f t="shared" si="17"/>
        <v>0</v>
      </c>
      <c r="H149" s="187"/>
      <c r="I149" s="7"/>
      <c r="J149" s="7">
        <v>1.6500000000000001E-2</v>
      </c>
      <c r="K149" s="7">
        <v>7.5999999999999998E-2</v>
      </c>
      <c r="L149" s="7">
        <v>0</v>
      </c>
      <c r="M149" s="11">
        <f t="shared" si="2"/>
        <v>0</v>
      </c>
      <c r="N149" s="11">
        <f t="shared" si="3"/>
        <v>0</v>
      </c>
      <c r="O149" s="11">
        <f t="shared" si="4"/>
        <v>0</v>
      </c>
      <c r="P149" s="11">
        <f t="shared" si="16"/>
        <v>0</v>
      </c>
    </row>
    <row r="150" spans="1:16" ht="15" hidden="1" customHeight="1">
      <c r="A150" s="44"/>
      <c r="B150" s="5">
        <f t="shared" si="18"/>
        <v>45870</v>
      </c>
      <c r="C150" s="218" t="s">
        <v>533</v>
      </c>
      <c r="D150" s="195"/>
      <c r="E150" s="186"/>
      <c r="F150" s="2"/>
      <c r="G150" s="3">
        <f t="shared" si="17"/>
        <v>0</v>
      </c>
      <c r="H150" s="187"/>
      <c r="I150" s="7"/>
      <c r="J150" s="7">
        <v>1.6500000000000001E-2</v>
      </c>
      <c r="K150" s="7">
        <v>7.5999999999999998E-2</v>
      </c>
      <c r="L150" s="7">
        <v>0</v>
      </c>
      <c r="M150" s="11">
        <f t="shared" si="2"/>
        <v>0</v>
      </c>
      <c r="N150" s="11">
        <f t="shared" si="3"/>
        <v>0</v>
      </c>
      <c r="O150" s="11">
        <f t="shared" si="4"/>
        <v>0</v>
      </c>
      <c r="P150" s="11">
        <f t="shared" si="16"/>
        <v>0</v>
      </c>
    </row>
    <row r="151" spans="1:16" ht="15" hidden="1" customHeight="1">
      <c r="A151" s="44"/>
      <c r="B151" s="5">
        <f t="shared" si="18"/>
        <v>45870</v>
      </c>
      <c r="C151" s="218" t="s">
        <v>533</v>
      </c>
      <c r="D151" s="195"/>
      <c r="E151" s="186"/>
      <c r="F151" s="2"/>
      <c r="G151" s="3">
        <f t="shared" si="17"/>
        <v>0</v>
      </c>
      <c r="H151" s="187"/>
      <c r="I151" s="7"/>
      <c r="J151" s="7">
        <v>1.6500000000000001E-2</v>
      </c>
      <c r="K151" s="7">
        <v>7.5999999999999998E-2</v>
      </c>
      <c r="L151" s="7">
        <v>0</v>
      </c>
      <c r="M151" s="11">
        <f t="shared" si="2"/>
        <v>0</v>
      </c>
      <c r="N151" s="11">
        <f t="shared" si="3"/>
        <v>0</v>
      </c>
      <c r="O151" s="11">
        <f t="shared" si="4"/>
        <v>0</v>
      </c>
      <c r="P151" s="11">
        <f t="shared" si="16"/>
        <v>0</v>
      </c>
    </row>
    <row r="152" spans="1:16" ht="15" hidden="1" customHeight="1">
      <c r="A152" s="44"/>
      <c r="B152" s="5">
        <f t="shared" si="18"/>
        <v>45870</v>
      </c>
      <c r="C152" s="218" t="s">
        <v>533</v>
      </c>
      <c r="D152" s="195"/>
      <c r="E152" s="186"/>
      <c r="F152" s="2"/>
      <c r="G152" s="3">
        <f t="shared" si="17"/>
        <v>0</v>
      </c>
      <c r="H152" s="187"/>
      <c r="I152" s="7"/>
      <c r="J152" s="7">
        <v>1.6500000000000001E-2</v>
      </c>
      <c r="K152" s="7">
        <v>7.5999999999999998E-2</v>
      </c>
      <c r="L152" s="7">
        <v>0</v>
      </c>
      <c r="M152" s="11">
        <f t="shared" si="2"/>
        <v>0</v>
      </c>
      <c r="N152" s="11">
        <f t="shared" si="3"/>
        <v>0</v>
      </c>
      <c r="O152" s="11">
        <f t="shared" si="4"/>
        <v>0</v>
      </c>
      <c r="P152" s="11">
        <f t="shared" si="16"/>
        <v>0</v>
      </c>
    </row>
    <row r="153" spans="1:16" ht="15" hidden="1" customHeight="1">
      <c r="A153" s="44"/>
      <c r="B153" s="5">
        <f t="shared" si="18"/>
        <v>45870</v>
      </c>
      <c r="C153" s="218" t="s">
        <v>533</v>
      </c>
      <c r="D153" s="195"/>
      <c r="E153" s="186"/>
      <c r="F153" s="2"/>
      <c r="G153" s="3">
        <f t="shared" si="17"/>
        <v>0</v>
      </c>
      <c r="H153" s="187"/>
      <c r="I153" s="7"/>
      <c r="J153" s="7">
        <v>1.6500000000000001E-2</v>
      </c>
      <c r="K153" s="7">
        <v>7.5999999999999998E-2</v>
      </c>
      <c r="L153" s="7">
        <v>0</v>
      </c>
      <c r="M153" s="11">
        <f t="shared" si="2"/>
        <v>0</v>
      </c>
      <c r="N153" s="11">
        <f t="shared" si="3"/>
        <v>0</v>
      </c>
      <c r="O153" s="11">
        <f t="shared" si="4"/>
        <v>0</v>
      </c>
      <c r="P153" s="11">
        <f t="shared" si="16"/>
        <v>0</v>
      </c>
    </row>
    <row r="154" spans="1:16" ht="15" hidden="1" customHeight="1">
      <c r="A154" s="44"/>
      <c r="B154" s="5">
        <f t="shared" si="18"/>
        <v>45870</v>
      </c>
      <c r="C154" s="218" t="s">
        <v>533</v>
      </c>
      <c r="D154" s="195"/>
      <c r="E154" s="186"/>
      <c r="F154" s="2"/>
      <c r="G154" s="3">
        <f t="shared" si="17"/>
        <v>0</v>
      </c>
      <c r="H154" s="187"/>
      <c r="I154" s="7"/>
      <c r="J154" s="7">
        <v>1.6500000000000001E-2</v>
      </c>
      <c r="K154" s="7">
        <v>7.5999999999999998E-2</v>
      </c>
      <c r="L154" s="7">
        <v>0</v>
      </c>
      <c r="M154" s="11">
        <f t="shared" si="2"/>
        <v>0</v>
      </c>
      <c r="N154" s="11">
        <f t="shared" si="3"/>
        <v>0</v>
      </c>
      <c r="O154" s="11">
        <f t="shared" si="4"/>
        <v>0</v>
      </c>
      <c r="P154" s="11">
        <f t="shared" si="16"/>
        <v>0</v>
      </c>
    </row>
    <row r="155" spans="1:16" ht="15" hidden="1" customHeight="1">
      <c r="A155" s="44"/>
      <c r="B155" s="5">
        <f t="shared" si="18"/>
        <v>45870</v>
      </c>
      <c r="C155" s="218" t="s">
        <v>533</v>
      </c>
      <c r="D155" s="195"/>
      <c r="E155" s="186"/>
      <c r="F155" s="2"/>
      <c r="G155" s="3">
        <f t="shared" si="17"/>
        <v>0</v>
      </c>
      <c r="H155" s="187"/>
      <c r="I155" s="7"/>
      <c r="J155" s="7">
        <v>1.6500000000000001E-2</v>
      </c>
      <c r="K155" s="7">
        <v>7.5999999999999998E-2</v>
      </c>
      <c r="L155" s="7">
        <v>0</v>
      </c>
      <c r="M155" s="11">
        <f t="shared" si="2"/>
        <v>0</v>
      </c>
      <c r="N155" s="11">
        <f t="shared" si="3"/>
        <v>0</v>
      </c>
      <c r="O155" s="11">
        <f t="shared" si="4"/>
        <v>0</v>
      </c>
      <c r="P155" s="11">
        <f t="shared" si="16"/>
        <v>0</v>
      </c>
    </row>
    <row r="156" spans="1:16" ht="15" hidden="1" customHeight="1">
      <c r="A156" s="44"/>
      <c r="B156" s="5">
        <f t="shared" si="18"/>
        <v>45870</v>
      </c>
      <c r="C156" s="218" t="s">
        <v>533</v>
      </c>
      <c r="D156" s="195"/>
      <c r="E156" s="186"/>
      <c r="F156" s="2"/>
      <c r="G156" s="3">
        <f t="shared" si="17"/>
        <v>0</v>
      </c>
      <c r="H156" s="187"/>
      <c r="I156" s="7"/>
      <c r="J156" s="7">
        <v>1.6500000000000001E-2</v>
      </c>
      <c r="K156" s="7">
        <v>7.5999999999999998E-2</v>
      </c>
      <c r="L156" s="7">
        <v>0</v>
      </c>
      <c r="M156" s="11">
        <f t="shared" si="2"/>
        <v>0</v>
      </c>
      <c r="N156" s="11">
        <f t="shared" si="3"/>
        <v>0</v>
      </c>
      <c r="O156" s="11">
        <f t="shared" si="4"/>
        <v>0</v>
      </c>
      <c r="P156" s="11">
        <f t="shared" si="16"/>
        <v>0</v>
      </c>
    </row>
    <row r="157" spans="1:16" ht="15" hidden="1" customHeight="1">
      <c r="A157" s="44"/>
      <c r="B157" s="5">
        <f t="shared" si="18"/>
        <v>45870</v>
      </c>
      <c r="C157" s="218" t="s">
        <v>533</v>
      </c>
      <c r="D157" s="195"/>
      <c r="E157" s="186"/>
      <c r="F157" s="2"/>
      <c r="G157" s="3">
        <f t="shared" si="17"/>
        <v>0</v>
      </c>
      <c r="H157" s="187"/>
      <c r="I157" s="7"/>
      <c r="J157" s="7">
        <v>1.6500000000000001E-2</v>
      </c>
      <c r="K157" s="7">
        <v>7.5999999999999998E-2</v>
      </c>
      <c r="L157" s="7">
        <v>0</v>
      </c>
      <c r="M157" s="11">
        <f t="shared" si="2"/>
        <v>0</v>
      </c>
      <c r="N157" s="11">
        <f t="shared" si="3"/>
        <v>0</v>
      </c>
      <c r="O157" s="11">
        <f t="shared" si="4"/>
        <v>0</v>
      </c>
      <c r="P157" s="11">
        <f t="shared" si="16"/>
        <v>0</v>
      </c>
    </row>
    <row r="158" spans="1:16" ht="15" hidden="1" customHeight="1">
      <c r="A158" s="44"/>
      <c r="B158" s="5">
        <f t="shared" si="18"/>
        <v>45870</v>
      </c>
      <c r="C158" s="218" t="s">
        <v>533</v>
      </c>
      <c r="D158" s="195"/>
      <c r="E158" s="186"/>
      <c r="F158" s="2"/>
      <c r="G158" s="3">
        <f t="shared" si="17"/>
        <v>0</v>
      </c>
      <c r="H158" s="187"/>
      <c r="I158" s="7"/>
      <c r="J158" s="7">
        <v>1.6500000000000001E-2</v>
      </c>
      <c r="K158" s="7">
        <v>7.5999999999999998E-2</v>
      </c>
      <c r="L158" s="7">
        <v>0</v>
      </c>
      <c r="M158" s="11">
        <f t="shared" si="2"/>
        <v>0</v>
      </c>
      <c r="N158" s="11">
        <f t="shared" si="3"/>
        <v>0</v>
      </c>
      <c r="O158" s="11">
        <f t="shared" si="4"/>
        <v>0</v>
      </c>
      <c r="P158" s="11">
        <f t="shared" si="16"/>
        <v>0</v>
      </c>
    </row>
    <row r="159" spans="1:16" ht="15" hidden="1" customHeight="1">
      <c r="A159" s="44"/>
      <c r="B159" s="5">
        <f t="shared" si="18"/>
        <v>45870</v>
      </c>
      <c r="C159" s="218" t="s">
        <v>533</v>
      </c>
      <c r="D159" s="195"/>
      <c r="E159" s="186"/>
      <c r="F159" s="2"/>
      <c r="G159" s="3">
        <f t="shared" si="17"/>
        <v>0</v>
      </c>
      <c r="H159" s="187"/>
      <c r="I159" s="7"/>
      <c r="J159" s="7">
        <v>1.6500000000000001E-2</v>
      </c>
      <c r="K159" s="7">
        <v>7.5999999999999998E-2</v>
      </c>
      <c r="L159" s="7">
        <v>0</v>
      </c>
      <c r="M159" s="11">
        <f t="shared" si="2"/>
        <v>0</v>
      </c>
      <c r="N159" s="11">
        <f t="shared" si="3"/>
        <v>0</v>
      </c>
      <c r="O159" s="11">
        <f t="shared" si="4"/>
        <v>0</v>
      </c>
      <c r="P159" s="11">
        <f t="shared" si="16"/>
        <v>0</v>
      </c>
    </row>
    <row r="160" spans="1:16" ht="15" hidden="1" customHeight="1">
      <c r="A160" s="44"/>
      <c r="B160" s="5">
        <f t="shared" si="18"/>
        <v>45870</v>
      </c>
      <c r="C160" s="218" t="s">
        <v>533</v>
      </c>
      <c r="D160" s="195"/>
      <c r="E160" s="186"/>
      <c r="F160" s="2"/>
      <c r="G160" s="3">
        <f t="shared" si="17"/>
        <v>0</v>
      </c>
      <c r="H160" s="187"/>
      <c r="I160" s="7"/>
      <c r="J160" s="7">
        <v>1.6500000000000001E-2</v>
      </c>
      <c r="K160" s="7">
        <v>7.5999999999999998E-2</v>
      </c>
      <c r="L160" s="7">
        <v>0</v>
      </c>
      <c r="M160" s="11">
        <f t="shared" si="2"/>
        <v>0</v>
      </c>
      <c r="N160" s="11">
        <f t="shared" si="3"/>
        <v>0</v>
      </c>
      <c r="O160" s="11">
        <f t="shared" si="4"/>
        <v>0</v>
      </c>
      <c r="P160" s="11">
        <f t="shared" si="16"/>
        <v>0</v>
      </c>
    </row>
    <row r="161" spans="1:16" ht="15" hidden="1" customHeight="1">
      <c r="A161" s="44"/>
      <c r="B161" s="5">
        <f t="shared" si="18"/>
        <v>45870</v>
      </c>
      <c r="C161" s="218" t="s">
        <v>533</v>
      </c>
      <c r="D161" s="195"/>
      <c r="E161" s="186"/>
      <c r="F161" s="2"/>
      <c r="G161" s="3">
        <f t="shared" si="17"/>
        <v>0</v>
      </c>
      <c r="H161" s="187"/>
      <c r="I161" s="7"/>
      <c r="J161" s="7">
        <v>1.6500000000000001E-2</v>
      </c>
      <c r="K161" s="7">
        <v>7.5999999999999998E-2</v>
      </c>
      <c r="L161" s="7">
        <v>0</v>
      </c>
      <c r="M161" s="11">
        <f t="shared" si="2"/>
        <v>0</v>
      </c>
      <c r="N161" s="11">
        <f t="shared" si="3"/>
        <v>0</v>
      </c>
      <c r="O161" s="11">
        <f t="shared" si="4"/>
        <v>0</v>
      </c>
      <c r="P161" s="11">
        <f t="shared" si="16"/>
        <v>0</v>
      </c>
    </row>
    <row r="162" spans="1:16" ht="15" hidden="1" customHeight="1">
      <c r="A162" s="44"/>
      <c r="B162" s="5">
        <f t="shared" si="18"/>
        <v>45870</v>
      </c>
      <c r="C162" s="218" t="s">
        <v>533</v>
      </c>
      <c r="D162" s="195"/>
      <c r="E162" s="186"/>
      <c r="F162" s="2"/>
      <c r="G162" s="3">
        <f t="shared" si="17"/>
        <v>0</v>
      </c>
      <c r="H162" s="187"/>
      <c r="I162" s="7"/>
      <c r="J162" s="7">
        <v>1.6500000000000001E-2</v>
      </c>
      <c r="K162" s="7">
        <v>7.5999999999999998E-2</v>
      </c>
      <c r="L162" s="7">
        <v>0</v>
      </c>
      <c r="M162" s="11">
        <f t="shared" si="2"/>
        <v>0</v>
      </c>
      <c r="N162" s="11">
        <f t="shared" si="3"/>
        <v>0</v>
      </c>
      <c r="O162" s="11">
        <f t="shared" si="4"/>
        <v>0</v>
      </c>
      <c r="P162" s="11">
        <f t="shared" si="16"/>
        <v>0</v>
      </c>
    </row>
    <row r="163" spans="1:16" ht="15" hidden="1" customHeight="1">
      <c r="A163" s="44"/>
      <c r="B163" s="5">
        <f t="shared" si="18"/>
        <v>45870</v>
      </c>
      <c r="C163" s="218" t="s">
        <v>533</v>
      </c>
      <c r="D163" s="195"/>
      <c r="E163" s="186"/>
      <c r="F163" s="2"/>
      <c r="G163" s="3">
        <f t="shared" si="17"/>
        <v>0</v>
      </c>
      <c r="H163" s="187"/>
      <c r="I163" s="7"/>
      <c r="J163" s="7">
        <v>1.6500000000000001E-2</v>
      </c>
      <c r="K163" s="7">
        <v>7.5999999999999998E-2</v>
      </c>
      <c r="L163" s="7">
        <v>0</v>
      </c>
      <c r="M163" s="11">
        <f t="shared" si="2"/>
        <v>0</v>
      </c>
      <c r="N163" s="11">
        <f t="shared" si="3"/>
        <v>0</v>
      </c>
      <c r="O163" s="11">
        <f t="shared" si="4"/>
        <v>0</v>
      </c>
      <c r="P163" s="11">
        <f t="shared" si="16"/>
        <v>0</v>
      </c>
    </row>
    <row r="164" spans="1:16" ht="15" hidden="1" customHeight="1">
      <c r="A164" s="44"/>
      <c r="B164" s="5">
        <f t="shared" si="18"/>
        <v>45870</v>
      </c>
      <c r="C164" s="218" t="s">
        <v>533</v>
      </c>
      <c r="D164" s="195"/>
      <c r="E164" s="186"/>
      <c r="F164" s="2"/>
      <c r="G164" s="3">
        <f t="shared" si="17"/>
        <v>0</v>
      </c>
      <c r="H164" s="187"/>
      <c r="I164" s="7"/>
      <c r="J164" s="7">
        <v>1.6500000000000001E-2</v>
      </c>
      <c r="K164" s="7">
        <v>7.5999999999999998E-2</v>
      </c>
      <c r="L164" s="7">
        <v>0</v>
      </c>
      <c r="M164" s="11">
        <f t="shared" si="2"/>
        <v>0</v>
      </c>
      <c r="N164" s="11">
        <f t="shared" si="3"/>
        <v>0</v>
      </c>
      <c r="O164" s="11">
        <f t="shared" si="4"/>
        <v>0</v>
      </c>
      <c r="P164" s="11">
        <f t="shared" si="16"/>
        <v>0</v>
      </c>
    </row>
    <row r="165" spans="1:16" ht="15" hidden="1" customHeight="1">
      <c r="A165" s="44"/>
      <c r="B165" s="5">
        <f t="shared" si="18"/>
        <v>45870</v>
      </c>
      <c r="C165" s="218" t="s">
        <v>533</v>
      </c>
      <c r="D165" s="195"/>
      <c r="E165" s="186"/>
      <c r="F165" s="2"/>
      <c r="G165" s="3">
        <f t="shared" si="17"/>
        <v>0</v>
      </c>
      <c r="H165" s="187"/>
      <c r="I165" s="7"/>
      <c r="J165" s="7">
        <v>1.6500000000000001E-2</v>
      </c>
      <c r="K165" s="7">
        <v>7.5999999999999998E-2</v>
      </c>
      <c r="L165" s="7">
        <v>0</v>
      </c>
      <c r="M165" s="11">
        <f t="shared" si="2"/>
        <v>0</v>
      </c>
      <c r="N165" s="11">
        <f t="shared" si="3"/>
        <v>0</v>
      </c>
      <c r="O165" s="11">
        <f t="shared" si="4"/>
        <v>0</v>
      </c>
      <c r="P165" s="11">
        <f t="shared" si="16"/>
        <v>0</v>
      </c>
    </row>
    <row r="166" spans="1:16" ht="15" hidden="1" customHeight="1">
      <c r="A166" s="44"/>
      <c r="B166" s="5">
        <f t="shared" si="18"/>
        <v>45870</v>
      </c>
      <c r="C166" s="218" t="s">
        <v>533</v>
      </c>
      <c r="D166" s="195"/>
      <c r="E166" s="186"/>
      <c r="F166" s="2"/>
      <c r="G166" s="3">
        <f t="shared" si="17"/>
        <v>0</v>
      </c>
      <c r="H166" s="187"/>
      <c r="I166" s="7"/>
      <c r="J166" s="7">
        <v>1.6500000000000001E-2</v>
      </c>
      <c r="K166" s="7">
        <v>7.5999999999999998E-2</v>
      </c>
      <c r="L166" s="7">
        <v>0</v>
      </c>
      <c r="M166" s="11">
        <f t="shared" si="2"/>
        <v>0</v>
      </c>
      <c r="N166" s="11">
        <f t="shared" si="3"/>
        <v>0</v>
      </c>
      <c r="O166" s="11">
        <f t="shared" si="4"/>
        <v>0</v>
      </c>
      <c r="P166" s="11">
        <f t="shared" si="16"/>
        <v>0</v>
      </c>
    </row>
    <row r="167" spans="1:16" ht="15" hidden="1" customHeight="1">
      <c r="A167" s="44"/>
      <c r="B167" s="5">
        <f t="shared" si="18"/>
        <v>45870</v>
      </c>
      <c r="C167" s="218" t="s">
        <v>533</v>
      </c>
      <c r="D167" s="195"/>
      <c r="E167" s="186"/>
      <c r="F167" s="2"/>
      <c r="G167" s="3">
        <f t="shared" si="17"/>
        <v>0</v>
      </c>
      <c r="H167" s="187"/>
      <c r="I167" s="7"/>
      <c r="J167" s="7">
        <v>1.6500000000000001E-2</v>
      </c>
      <c r="K167" s="7">
        <v>7.5999999999999998E-2</v>
      </c>
      <c r="L167" s="7">
        <v>0</v>
      </c>
      <c r="M167" s="11">
        <f t="shared" si="2"/>
        <v>0</v>
      </c>
      <c r="N167" s="11">
        <f t="shared" si="3"/>
        <v>0</v>
      </c>
      <c r="O167" s="11">
        <f t="shared" si="4"/>
        <v>0</v>
      </c>
      <c r="P167" s="11">
        <f t="shared" si="16"/>
        <v>0</v>
      </c>
    </row>
    <row r="168" spans="1:16" ht="15" hidden="1" customHeight="1">
      <c r="A168" s="44"/>
      <c r="B168" s="5">
        <f t="shared" si="18"/>
        <v>45870</v>
      </c>
      <c r="C168" s="218" t="s">
        <v>533</v>
      </c>
      <c r="D168" s="195"/>
      <c r="E168" s="186"/>
      <c r="F168" s="2"/>
      <c r="G168" s="3">
        <f t="shared" si="17"/>
        <v>0</v>
      </c>
      <c r="H168" s="187"/>
      <c r="I168" s="7"/>
      <c r="J168" s="7">
        <v>1.6500000000000001E-2</v>
      </c>
      <c r="K168" s="7">
        <v>7.5999999999999998E-2</v>
      </c>
      <c r="L168" s="7">
        <v>0</v>
      </c>
      <c r="M168" s="11">
        <f t="shared" si="2"/>
        <v>0</v>
      </c>
      <c r="N168" s="11">
        <f t="shared" si="3"/>
        <v>0</v>
      </c>
      <c r="O168" s="11">
        <f t="shared" si="4"/>
        <v>0</v>
      </c>
      <c r="P168" s="11">
        <f t="shared" si="16"/>
        <v>0</v>
      </c>
    </row>
    <row r="169" spans="1:16" ht="15" hidden="1" customHeight="1">
      <c r="A169" s="44"/>
      <c r="B169" s="5">
        <f t="shared" si="18"/>
        <v>45870</v>
      </c>
      <c r="C169" s="218" t="s">
        <v>533</v>
      </c>
      <c r="D169" s="195"/>
      <c r="E169" s="186"/>
      <c r="F169" s="2"/>
      <c r="G169" s="3">
        <f t="shared" si="17"/>
        <v>0</v>
      </c>
      <c r="H169" s="187"/>
      <c r="I169" s="7"/>
      <c r="J169" s="7">
        <v>1.6500000000000001E-2</v>
      </c>
      <c r="K169" s="7">
        <v>7.5999999999999998E-2</v>
      </c>
      <c r="L169" s="7">
        <v>0</v>
      </c>
      <c r="M169" s="11">
        <f t="shared" si="2"/>
        <v>0</v>
      </c>
      <c r="N169" s="11">
        <f t="shared" si="3"/>
        <v>0</v>
      </c>
      <c r="O169" s="11">
        <f t="shared" si="4"/>
        <v>0</v>
      </c>
      <c r="P169" s="11">
        <f t="shared" si="16"/>
        <v>0</v>
      </c>
    </row>
    <row r="170" spans="1:16" ht="15" hidden="1" customHeight="1">
      <c r="A170" s="44"/>
      <c r="B170" s="5">
        <f t="shared" si="18"/>
        <v>45870</v>
      </c>
      <c r="C170" s="218" t="s">
        <v>533</v>
      </c>
      <c r="D170" s="195"/>
      <c r="E170" s="186"/>
      <c r="F170" s="2"/>
      <c r="G170" s="3">
        <f t="shared" si="17"/>
        <v>0</v>
      </c>
      <c r="H170" s="187"/>
      <c r="I170" s="7"/>
      <c r="J170" s="7">
        <v>1.6500000000000001E-2</v>
      </c>
      <c r="K170" s="7">
        <v>7.5999999999999998E-2</v>
      </c>
      <c r="L170" s="7">
        <v>0</v>
      </c>
      <c r="M170" s="11">
        <f t="shared" si="2"/>
        <v>0</v>
      </c>
      <c r="N170" s="11">
        <f t="shared" si="3"/>
        <v>0</v>
      </c>
      <c r="O170" s="11">
        <f t="shared" si="4"/>
        <v>0</v>
      </c>
      <c r="P170" s="11">
        <f t="shared" si="16"/>
        <v>0</v>
      </c>
    </row>
    <row r="171" spans="1:16" ht="15" hidden="1" customHeight="1">
      <c r="A171" s="44"/>
      <c r="B171" s="5">
        <f t="shared" si="18"/>
        <v>45870</v>
      </c>
      <c r="C171" s="218" t="s">
        <v>533</v>
      </c>
      <c r="D171" s="195"/>
      <c r="E171" s="186"/>
      <c r="F171" s="2"/>
      <c r="G171" s="3">
        <f t="shared" si="17"/>
        <v>0</v>
      </c>
      <c r="H171" s="187"/>
      <c r="I171" s="7"/>
      <c r="J171" s="7">
        <v>1.6500000000000001E-2</v>
      </c>
      <c r="K171" s="7">
        <v>7.5999999999999998E-2</v>
      </c>
      <c r="L171" s="7">
        <v>0</v>
      </c>
      <c r="M171" s="11">
        <f t="shared" si="2"/>
        <v>0</v>
      </c>
      <c r="N171" s="11">
        <f t="shared" si="3"/>
        <v>0</v>
      </c>
      <c r="O171" s="11">
        <f t="shared" si="4"/>
        <v>0</v>
      </c>
      <c r="P171" s="11">
        <f t="shared" si="16"/>
        <v>0</v>
      </c>
    </row>
    <row r="172" spans="1:16" ht="15" hidden="1" customHeight="1">
      <c r="A172" s="44"/>
      <c r="B172" s="5">
        <f t="shared" si="18"/>
        <v>45870</v>
      </c>
      <c r="C172" s="218" t="s">
        <v>533</v>
      </c>
      <c r="D172" s="195"/>
      <c r="E172" s="186"/>
      <c r="F172" s="2"/>
      <c r="G172" s="3">
        <f t="shared" si="17"/>
        <v>0</v>
      </c>
      <c r="H172" s="187"/>
      <c r="I172" s="7"/>
      <c r="J172" s="7">
        <v>1.6500000000000001E-2</v>
      </c>
      <c r="K172" s="7">
        <v>7.5999999999999998E-2</v>
      </c>
      <c r="L172" s="7">
        <v>0</v>
      </c>
      <c r="M172" s="11">
        <f t="shared" si="2"/>
        <v>0</v>
      </c>
      <c r="N172" s="11">
        <f t="shared" si="3"/>
        <v>0</v>
      </c>
      <c r="O172" s="11">
        <f t="shared" si="4"/>
        <v>0</v>
      </c>
      <c r="P172" s="11">
        <f t="shared" si="16"/>
        <v>0</v>
      </c>
    </row>
    <row r="173" spans="1:16" ht="15" hidden="1" customHeight="1">
      <c r="A173" s="44"/>
      <c r="B173" s="5">
        <f t="shared" si="18"/>
        <v>45870</v>
      </c>
      <c r="C173" s="218" t="s">
        <v>533</v>
      </c>
      <c r="D173" s="195"/>
      <c r="E173" s="186"/>
      <c r="F173" s="2"/>
      <c r="G173" s="3">
        <f t="shared" si="17"/>
        <v>0</v>
      </c>
      <c r="H173" s="187"/>
      <c r="I173" s="7"/>
      <c r="J173" s="7">
        <v>1.6500000000000001E-2</v>
      </c>
      <c r="K173" s="7">
        <v>7.5999999999999998E-2</v>
      </c>
      <c r="L173" s="7">
        <v>0</v>
      </c>
      <c r="M173" s="11">
        <f t="shared" si="2"/>
        <v>0</v>
      </c>
      <c r="N173" s="11">
        <f t="shared" si="3"/>
        <v>0</v>
      </c>
      <c r="O173" s="11">
        <f t="shared" si="4"/>
        <v>0</v>
      </c>
      <c r="P173" s="11">
        <f t="shared" si="16"/>
        <v>0</v>
      </c>
    </row>
    <row r="174" spans="1:16" ht="15" hidden="1" customHeight="1">
      <c r="A174" s="44"/>
      <c r="B174" s="5">
        <f t="shared" si="18"/>
        <v>45870</v>
      </c>
      <c r="C174" s="218" t="s">
        <v>533</v>
      </c>
      <c r="D174" s="195"/>
      <c r="E174" s="186"/>
      <c r="F174" s="2"/>
      <c r="G174" s="3">
        <f t="shared" si="17"/>
        <v>0</v>
      </c>
      <c r="H174" s="187"/>
      <c r="I174" s="7"/>
      <c r="J174" s="7">
        <v>1.6500000000000001E-2</v>
      </c>
      <c r="K174" s="7">
        <v>7.5999999999999998E-2</v>
      </c>
      <c r="L174" s="7">
        <v>0</v>
      </c>
      <c r="M174" s="11">
        <f t="shared" si="2"/>
        <v>0</v>
      </c>
      <c r="N174" s="11">
        <f t="shared" si="3"/>
        <v>0</v>
      </c>
      <c r="O174" s="11">
        <f t="shared" si="4"/>
        <v>0</v>
      </c>
      <c r="P174" s="11">
        <f t="shared" si="16"/>
        <v>0</v>
      </c>
    </row>
    <row r="175" spans="1:16" ht="15" hidden="1" customHeight="1">
      <c r="A175" s="44"/>
      <c r="B175" s="5">
        <f t="shared" si="18"/>
        <v>45870</v>
      </c>
      <c r="C175" s="218" t="s">
        <v>533</v>
      </c>
      <c r="D175" s="195"/>
      <c r="E175" s="186"/>
      <c r="F175" s="2"/>
      <c r="G175" s="3">
        <f t="shared" si="17"/>
        <v>0</v>
      </c>
      <c r="H175" s="187"/>
      <c r="I175" s="7"/>
      <c r="J175" s="7">
        <v>1.6500000000000001E-2</v>
      </c>
      <c r="K175" s="7">
        <v>7.5999999999999998E-2</v>
      </c>
      <c r="L175" s="7">
        <v>0</v>
      </c>
      <c r="M175" s="11">
        <f t="shared" si="2"/>
        <v>0</v>
      </c>
      <c r="N175" s="11">
        <f t="shared" si="3"/>
        <v>0</v>
      </c>
      <c r="O175" s="11">
        <f t="shared" si="4"/>
        <v>0</v>
      </c>
      <c r="P175" s="11">
        <f t="shared" si="16"/>
        <v>0</v>
      </c>
    </row>
    <row r="176" spans="1:16" ht="15" hidden="1" customHeight="1">
      <c r="A176" s="44"/>
      <c r="B176" s="5">
        <f t="shared" si="18"/>
        <v>45870</v>
      </c>
      <c r="C176" s="218" t="s">
        <v>533</v>
      </c>
      <c r="D176" s="195"/>
      <c r="E176" s="186"/>
      <c r="F176" s="2"/>
      <c r="G176" s="3">
        <f t="shared" si="17"/>
        <v>0</v>
      </c>
      <c r="H176" s="187"/>
      <c r="I176" s="7"/>
      <c r="J176" s="7">
        <v>1.6500000000000001E-2</v>
      </c>
      <c r="K176" s="7">
        <v>7.5999999999999998E-2</v>
      </c>
      <c r="L176" s="7">
        <v>0</v>
      </c>
      <c r="M176" s="11">
        <f t="shared" si="2"/>
        <v>0</v>
      </c>
      <c r="N176" s="11">
        <f t="shared" si="3"/>
        <v>0</v>
      </c>
      <c r="O176" s="11">
        <f t="shared" si="4"/>
        <v>0</v>
      </c>
      <c r="P176" s="11">
        <f t="shared" si="16"/>
        <v>0</v>
      </c>
    </row>
    <row r="177" spans="1:16" ht="15" hidden="1" customHeight="1">
      <c r="A177" s="44"/>
      <c r="B177" s="5">
        <f t="shared" si="18"/>
        <v>45870</v>
      </c>
      <c r="C177" s="218" t="s">
        <v>533</v>
      </c>
      <c r="D177" s="195"/>
      <c r="E177" s="186"/>
      <c r="F177" s="2"/>
      <c r="G177" s="3">
        <f t="shared" si="17"/>
        <v>0</v>
      </c>
      <c r="H177" s="187"/>
      <c r="I177" s="7"/>
      <c r="J177" s="7">
        <v>1.6500000000000001E-2</v>
      </c>
      <c r="K177" s="7">
        <v>7.5999999999999998E-2</v>
      </c>
      <c r="L177" s="7">
        <v>0</v>
      </c>
      <c r="M177" s="11">
        <f t="shared" si="2"/>
        <v>0</v>
      </c>
      <c r="N177" s="11">
        <f t="shared" si="3"/>
        <v>0</v>
      </c>
      <c r="O177" s="11">
        <f t="shared" si="4"/>
        <v>0</v>
      </c>
      <c r="P177" s="11">
        <f t="shared" si="16"/>
        <v>0</v>
      </c>
    </row>
    <row r="178" spans="1:16" ht="15" hidden="1" customHeight="1">
      <c r="A178" s="44"/>
      <c r="B178" s="5">
        <f t="shared" si="18"/>
        <v>45870</v>
      </c>
      <c r="C178" s="218" t="s">
        <v>533</v>
      </c>
      <c r="D178" s="195"/>
      <c r="E178" s="186"/>
      <c r="F178" s="2"/>
      <c r="G178" s="3">
        <f t="shared" si="17"/>
        <v>0</v>
      </c>
      <c r="H178" s="187"/>
      <c r="I178" s="7"/>
      <c r="J178" s="7">
        <v>1.6500000000000001E-2</v>
      </c>
      <c r="K178" s="7">
        <v>7.5999999999999998E-2</v>
      </c>
      <c r="L178" s="7">
        <v>0</v>
      </c>
      <c r="M178" s="11">
        <f t="shared" si="2"/>
        <v>0</v>
      </c>
      <c r="N178" s="11">
        <f t="shared" si="3"/>
        <v>0</v>
      </c>
      <c r="O178" s="11">
        <f t="shared" si="4"/>
        <v>0</v>
      </c>
      <c r="P178" s="11">
        <f t="shared" si="16"/>
        <v>0</v>
      </c>
    </row>
    <row r="179" spans="1:16" ht="15" hidden="1" customHeight="1">
      <c r="A179" s="44"/>
      <c r="B179" s="5">
        <f t="shared" si="18"/>
        <v>45870</v>
      </c>
      <c r="C179" s="218" t="s">
        <v>533</v>
      </c>
      <c r="D179" s="195"/>
      <c r="E179" s="186"/>
      <c r="F179" s="2"/>
      <c r="G179" s="3">
        <f t="shared" si="17"/>
        <v>0</v>
      </c>
      <c r="H179" s="187"/>
      <c r="I179" s="7"/>
      <c r="J179" s="7">
        <v>1.6500000000000001E-2</v>
      </c>
      <c r="K179" s="7">
        <v>7.5999999999999998E-2</v>
      </c>
      <c r="L179" s="7">
        <v>0</v>
      </c>
      <c r="M179" s="11">
        <f t="shared" si="2"/>
        <v>0</v>
      </c>
      <c r="N179" s="11">
        <f t="shared" si="3"/>
        <v>0</v>
      </c>
      <c r="O179" s="11">
        <f t="shared" si="4"/>
        <v>0</v>
      </c>
      <c r="P179" s="11">
        <f t="shared" si="16"/>
        <v>0</v>
      </c>
    </row>
    <row r="180" spans="1:16" ht="15" hidden="1" customHeight="1">
      <c r="A180" s="44"/>
      <c r="B180" s="5">
        <f t="shared" si="18"/>
        <v>45870</v>
      </c>
      <c r="C180" s="218" t="s">
        <v>533</v>
      </c>
      <c r="D180" s="195"/>
      <c r="E180" s="186"/>
      <c r="F180" s="2"/>
      <c r="G180" s="3">
        <f t="shared" si="17"/>
        <v>0</v>
      </c>
      <c r="H180" s="187"/>
      <c r="I180" s="7"/>
      <c r="J180" s="7">
        <v>1.6500000000000001E-2</v>
      </c>
      <c r="K180" s="7">
        <v>7.5999999999999998E-2</v>
      </c>
      <c r="L180" s="7">
        <v>0</v>
      </c>
      <c r="M180" s="11">
        <f t="shared" si="2"/>
        <v>0</v>
      </c>
      <c r="N180" s="11">
        <f t="shared" si="3"/>
        <v>0</v>
      </c>
      <c r="O180" s="11">
        <f t="shared" si="4"/>
        <v>0</v>
      </c>
      <c r="P180" s="11">
        <f t="shared" si="16"/>
        <v>0</v>
      </c>
    </row>
    <row r="181" spans="1:16" ht="15" hidden="1" customHeight="1">
      <c r="A181" s="44"/>
      <c r="B181" s="5">
        <f t="shared" si="18"/>
        <v>45870</v>
      </c>
      <c r="C181" s="218" t="s">
        <v>533</v>
      </c>
      <c r="D181" s="195"/>
      <c r="E181" s="186"/>
      <c r="F181" s="2"/>
      <c r="G181" s="3">
        <f t="shared" si="17"/>
        <v>0</v>
      </c>
      <c r="H181" s="187"/>
      <c r="I181" s="7"/>
      <c r="J181" s="7">
        <v>1.6500000000000001E-2</v>
      </c>
      <c r="K181" s="7">
        <v>7.5999999999999998E-2</v>
      </c>
      <c r="L181" s="7">
        <v>0</v>
      </c>
      <c r="M181" s="11">
        <f t="shared" si="2"/>
        <v>0</v>
      </c>
      <c r="N181" s="11">
        <f t="shared" si="3"/>
        <v>0</v>
      </c>
      <c r="O181" s="11">
        <f t="shared" si="4"/>
        <v>0</v>
      </c>
      <c r="P181" s="11">
        <f t="shared" si="16"/>
        <v>0</v>
      </c>
    </row>
    <row r="182" spans="1:16" ht="15" hidden="1" customHeight="1">
      <c r="A182" s="44"/>
      <c r="B182" s="5">
        <f t="shared" si="18"/>
        <v>45870</v>
      </c>
      <c r="C182" s="218" t="s">
        <v>533</v>
      </c>
      <c r="D182" s="195"/>
      <c r="E182" s="186"/>
      <c r="F182" s="2"/>
      <c r="G182" s="3">
        <f t="shared" si="17"/>
        <v>0</v>
      </c>
      <c r="H182" s="187"/>
      <c r="I182" s="7"/>
      <c r="J182" s="7">
        <v>1.6500000000000001E-2</v>
      </c>
      <c r="K182" s="7">
        <v>7.5999999999999998E-2</v>
      </c>
      <c r="L182" s="7">
        <v>0</v>
      </c>
      <c r="M182" s="11">
        <f t="shared" si="2"/>
        <v>0</v>
      </c>
      <c r="N182" s="11">
        <f t="shared" si="3"/>
        <v>0</v>
      </c>
      <c r="O182" s="11">
        <f t="shared" si="4"/>
        <v>0</v>
      </c>
      <c r="P182" s="11">
        <f t="shared" si="16"/>
        <v>0</v>
      </c>
    </row>
    <row r="183" spans="1:16">
      <c r="B183" s="5"/>
      <c r="C183" s="1"/>
      <c r="E183" s="1"/>
      <c r="F183" s="2"/>
      <c r="G183" s="4"/>
      <c r="H183" s="4"/>
      <c r="I183" s="7"/>
      <c r="J183" s="7"/>
      <c r="K183" s="7"/>
      <c r="L183" s="7"/>
    </row>
    <row r="184" spans="1:16">
      <c r="E184" s="28">
        <f>SUM(E18:E182)</f>
        <v>46040001.68</v>
      </c>
      <c r="F184" s="133"/>
      <c r="G184" s="29">
        <f>SUM(G18:G182)</f>
        <v>98704325.285968959</v>
      </c>
    </row>
    <row r="185" spans="1:16">
      <c r="E185" s="137"/>
      <c r="F185" s="41"/>
    </row>
    <row r="186" spans="1:16" ht="15.75" thickBot="1"/>
    <row r="187" spans="1:16">
      <c r="B187" s="391" t="s">
        <v>795</v>
      </c>
      <c r="C187" s="383"/>
      <c r="D187" s="383"/>
      <c r="E187" s="383"/>
      <c r="F187" s="383"/>
      <c r="G187" s="383"/>
      <c r="H187" s="383"/>
      <c r="I187" s="383"/>
      <c r="J187" s="383"/>
      <c r="K187" s="383"/>
      <c r="L187" s="383"/>
      <c r="M187" s="383"/>
      <c r="N187" s="383"/>
      <c r="O187" s="384"/>
    </row>
    <row r="188" spans="1:16">
      <c r="B188" s="385"/>
      <c r="C188" s="386"/>
      <c r="D188" s="386"/>
      <c r="E188" s="386"/>
      <c r="F188" s="386"/>
      <c r="G188" s="386"/>
      <c r="H188" s="386"/>
      <c r="I188" s="386"/>
      <c r="J188" s="386"/>
      <c r="K188" s="386"/>
      <c r="L188" s="386"/>
      <c r="M188" s="386"/>
      <c r="N188" s="386"/>
      <c r="O188" s="387"/>
    </row>
    <row r="189" spans="1:16">
      <c r="B189" s="385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7"/>
    </row>
    <row r="190" spans="1:16">
      <c r="B190" s="385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7"/>
    </row>
    <row r="191" spans="1:16" ht="27" customHeight="1">
      <c r="B191" s="385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7"/>
    </row>
    <row r="192" spans="1:16" ht="44.25" customHeight="1" thickBot="1">
      <c r="B192" s="388"/>
      <c r="C192" s="389"/>
      <c r="D192" s="389"/>
      <c r="E192" s="389"/>
      <c r="F192" s="389"/>
      <c r="G192" s="389"/>
      <c r="H192" s="389"/>
      <c r="I192" s="389"/>
      <c r="J192" s="389"/>
      <c r="K192" s="389"/>
      <c r="L192" s="389"/>
      <c r="M192" s="389"/>
      <c r="N192" s="389"/>
      <c r="O192" s="390"/>
    </row>
    <row r="203" spans="5:5">
      <c r="E203" s="19"/>
    </row>
    <row r="204" spans="5:5">
      <c r="E204" s="19"/>
    </row>
  </sheetData>
  <mergeCells count="3">
    <mergeCell ref="C2:M2"/>
    <mergeCell ref="M16:P16"/>
    <mergeCell ref="B187:O192"/>
  </mergeCells>
  <conditionalFormatting sqref="D1:D1048576">
    <cfRule type="duplicateValues" dxfId="41" priority="1"/>
    <cfRule type="duplicateValues" dxfId="40" priority="2"/>
  </conditionalFormatting>
  <conditionalFormatting sqref="D7">
    <cfRule type="duplicateValues" dxfId="39" priority="5"/>
  </conditionalFormatting>
  <conditionalFormatting sqref="D18:D54">
    <cfRule type="duplicateValues" dxfId="38" priority="4"/>
  </conditionalFormatting>
  <conditionalFormatting sqref="D186:D1048576 D1:D184">
    <cfRule type="duplicateValues" dxfId="37" priority="3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56BA-C5D9-4350-B265-21FADD596D28}">
  <sheetPr>
    <pageSetUpPr fitToPage="1"/>
  </sheetPr>
  <dimension ref="A2:P204"/>
  <sheetViews>
    <sheetView showGridLines="0" topLeftCell="A15" zoomScale="90" zoomScaleNormal="90" workbookViewId="0">
      <selection activeCell="H21" sqref="H21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6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2:16" ht="23.25">
      <c r="C3" s="13">
        <v>45901</v>
      </c>
    </row>
    <row r="5" spans="2:16">
      <c r="C5" t="s">
        <v>17</v>
      </c>
      <c r="D5" s="14">
        <f t="shared" ref="D5:D9" ca="1" si="0">SUMIF($C$18:$G$182,$C$5:$C$10,$G$18:$G$182)/SUMIF($C$18:$G$182,$C$5:$C$10,$E$18:$E$182)</f>
        <v>2.1333947010413286</v>
      </c>
    </row>
    <row r="6" spans="2:16">
      <c r="C6" t="s">
        <v>440</v>
      </c>
      <c r="D6" s="14">
        <f t="shared" ca="1" si="0"/>
        <v>1.8851869575</v>
      </c>
    </row>
    <row r="7" spans="2:16">
      <c r="C7" t="s">
        <v>491</v>
      </c>
      <c r="D7" s="14">
        <f t="shared" ca="1" si="0"/>
        <v>2.0092999993989999</v>
      </c>
    </row>
    <row r="8" spans="2:16">
      <c r="C8" t="s">
        <v>756</v>
      </c>
      <c r="D8" s="14">
        <f t="shared" ca="1" si="0"/>
        <v>3.216135531238355</v>
      </c>
      <c r="I8" s="19"/>
    </row>
    <row r="9" spans="2:16">
      <c r="C9" t="s">
        <v>757</v>
      </c>
      <c r="D9" s="14">
        <f t="shared" ca="1" si="0"/>
        <v>3.6301107001154898</v>
      </c>
      <c r="E9" s="14"/>
      <c r="F9" s="32"/>
      <c r="H9" s="137"/>
      <c r="I9" s="19"/>
    </row>
    <row r="10" spans="2:16">
      <c r="C10" t="s">
        <v>533</v>
      </c>
      <c r="D10" s="14" t="e">
        <f ca="1">SUMIF($C$18:$G$182,$C$5:$C$10,$G$18:$G$182)/SUMIF($C$18:$G$182,$C$5:$C$10,$E$18:$E$182)</f>
        <v>#DIV/0!</v>
      </c>
    </row>
    <row r="11" spans="2:16">
      <c r="C11" s="30" t="s">
        <v>129</v>
      </c>
      <c r="D11" s="31">
        <f>+G184/E184</f>
        <v>2.1539158259524194</v>
      </c>
    </row>
    <row r="12" spans="2:16">
      <c r="D12" s="19"/>
    </row>
    <row r="13" spans="2:16">
      <c r="D13" s="22"/>
    </row>
    <row r="15" spans="2:16">
      <c r="E15" s="137"/>
    </row>
    <row r="16" spans="2:16" ht="15" customHeight="1">
      <c r="B16" s="23"/>
      <c r="C16" s="23"/>
      <c r="D16" s="23"/>
      <c r="E16" s="23"/>
      <c r="F16" s="23"/>
      <c r="G16" s="23"/>
      <c r="H16" s="365"/>
      <c r="I16" s="24"/>
      <c r="J16" s="24"/>
      <c r="K16" s="24"/>
      <c r="L16" s="24"/>
      <c r="M16" s="381" t="s">
        <v>100</v>
      </c>
      <c r="N16" s="381"/>
      <c r="O16" s="381"/>
      <c r="P16" s="381"/>
    </row>
    <row r="17" spans="1:16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6" t="s">
        <v>537</v>
      </c>
      <c r="M17" s="27" t="s">
        <v>3</v>
      </c>
      <c r="N17" s="27" t="s">
        <v>97</v>
      </c>
      <c r="O17" s="27" t="s">
        <v>98</v>
      </c>
      <c r="P17" s="27" t="s">
        <v>537</v>
      </c>
    </row>
    <row r="18" spans="1:16" ht="18.75" customHeight="1">
      <c r="A18" s="44"/>
      <c r="B18" s="5">
        <f>C3</f>
        <v>45901</v>
      </c>
      <c r="C18" s="217" t="s">
        <v>17</v>
      </c>
      <c r="D18" s="216" t="s">
        <v>1023</v>
      </c>
      <c r="E18" s="1">
        <v>2317794</v>
      </c>
      <c r="F18" s="2">
        <v>6295135.4699999997</v>
      </c>
      <c r="G18" s="3">
        <f>F18-SUM(M18:P18)</f>
        <v>5027295.186342</v>
      </c>
      <c r="H18" s="202">
        <f t="shared" ref="H18:H44" si="1">+IF(G18=0,0,G18/E18)</f>
        <v>2.169000000147554</v>
      </c>
      <c r="I18" s="200">
        <v>0.12</v>
      </c>
      <c r="J18" s="7">
        <v>1.6500000000000001E-2</v>
      </c>
      <c r="K18" s="7">
        <v>7.5999999999999998E-2</v>
      </c>
      <c r="L18" s="7">
        <v>0</v>
      </c>
      <c r="M18" s="11">
        <f t="shared" ref="M18:M182" si="2">+I18*F18</f>
        <v>755416.25639999995</v>
      </c>
      <c r="N18" s="11">
        <f t="shared" ref="N18:N182" si="3">J18*(F18-M18)</f>
        <v>91405.367024399995</v>
      </c>
      <c r="O18" s="11">
        <f t="shared" ref="O18:O182" si="4">K18*(F18-M18)</f>
        <v>421018.66023359995</v>
      </c>
      <c r="P18" s="11">
        <f t="shared" ref="P18:P81" si="5">L18*(F18)</f>
        <v>0</v>
      </c>
    </row>
    <row r="19" spans="1:16">
      <c r="A19" s="44"/>
      <c r="B19" s="5">
        <f>B18</f>
        <v>45901</v>
      </c>
      <c r="C19" s="217" t="s">
        <v>17</v>
      </c>
      <c r="D19" s="216" t="s">
        <v>1024</v>
      </c>
      <c r="E19" s="1">
        <v>29628</v>
      </c>
      <c r="F19" s="2">
        <v>75761.759999999995</v>
      </c>
      <c r="G19" s="3">
        <f t="shared" ref="G19:G52" si="6">F19-SUM(M19:P19)</f>
        <v>60503.341535999993</v>
      </c>
      <c r="H19" s="202">
        <f t="shared" si="1"/>
        <v>2.0421000923450787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si="2"/>
        <v>9091.4111999999986</v>
      </c>
      <c r="N19" s="11">
        <f t="shared" si="3"/>
        <v>1100.0607551999999</v>
      </c>
      <c r="O19" s="11">
        <f t="shared" si="4"/>
        <v>5066.9465087999997</v>
      </c>
      <c r="P19" s="11">
        <f t="shared" si="5"/>
        <v>0</v>
      </c>
    </row>
    <row r="20" spans="1:16">
      <c r="A20" s="44"/>
      <c r="B20" s="5">
        <f t="shared" ref="B20:B53" si="7">B19</f>
        <v>45901</v>
      </c>
      <c r="C20" s="217" t="s">
        <v>17</v>
      </c>
      <c r="D20" s="216" t="s">
        <v>1025</v>
      </c>
      <c r="E20" s="1">
        <v>399401</v>
      </c>
      <c r="F20" s="2">
        <v>950790.43</v>
      </c>
      <c r="G20" s="3">
        <f t="shared" si="6"/>
        <v>759301.23739800008</v>
      </c>
      <c r="H20" s="202">
        <f t="shared" si="1"/>
        <v>1.9010999907311201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114094.85160000001</v>
      </c>
      <c r="N20" s="11">
        <f t="shared" si="3"/>
        <v>13805.4770436</v>
      </c>
      <c r="O20" s="11">
        <f t="shared" si="4"/>
        <v>63588.863958399998</v>
      </c>
      <c r="P20" s="11">
        <f t="shared" si="5"/>
        <v>0</v>
      </c>
    </row>
    <row r="21" spans="1:16">
      <c r="A21" s="44"/>
      <c r="B21" s="5">
        <f t="shared" si="7"/>
        <v>45901</v>
      </c>
      <c r="C21" s="217" t="s">
        <v>17</v>
      </c>
      <c r="D21" s="214" t="s">
        <v>1026</v>
      </c>
      <c r="E21" s="1">
        <v>4688471</v>
      </c>
      <c r="F21" s="2">
        <v>12733901.33</v>
      </c>
      <c r="G21" s="3">
        <f t="shared" si="6"/>
        <v>10169293.602138</v>
      </c>
      <c r="H21" s="202">
        <f t="shared" si="1"/>
        <v>2.1690000006693011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1528068.1595999999</v>
      </c>
      <c r="N21" s="11">
        <f t="shared" si="3"/>
        <v>184896.24731160002</v>
      </c>
      <c r="O21" s="11">
        <f t="shared" si="4"/>
        <v>851643.32095040008</v>
      </c>
      <c r="P21" s="11">
        <f t="shared" si="5"/>
        <v>0</v>
      </c>
    </row>
    <row r="22" spans="1:16">
      <c r="A22" s="44"/>
      <c r="B22" s="5">
        <f t="shared" si="7"/>
        <v>45901</v>
      </c>
      <c r="C22" s="217" t="s">
        <v>17</v>
      </c>
      <c r="D22" s="214" t="s">
        <v>1027</v>
      </c>
      <c r="E22" s="1">
        <v>1239</v>
      </c>
      <c r="F22" s="2">
        <v>4666.8</v>
      </c>
      <c r="G22" s="3">
        <f t="shared" si="6"/>
        <v>3726.9064800000001</v>
      </c>
      <c r="H22" s="202">
        <f t="shared" si="1"/>
        <v>3.0079955447941891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560.01599999999996</v>
      </c>
      <c r="N22" s="11">
        <f t="shared" si="3"/>
        <v>67.761936000000006</v>
      </c>
      <c r="O22" s="11">
        <f t="shared" si="4"/>
        <v>312.11558400000001</v>
      </c>
      <c r="P22" s="11">
        <f t="shared" si="5"/>
        <v>0</v>
      </c>
    </row>
    <row r="23" spans="1:16">
      <c r="A23" s="44"/>
      <c r="B23" s="5">
        <f t="shared" si="7"/>
        <v>45901</v>
      </c>
      <c r="C23" s="217" t="s">
        <v>17</v>
      </c>
      <c r="D23" s="214" t="s">
        <v>1034</v>
      </c>
      <c r="E23" s="1">
        <v>4679</v>
      </c>
      <c r="F23" s="2">
        <v>17623.88</v>
      </c>
      <c r="G23" s="3">
        <f t="shared" si="6"/>
        <v>14074.430568</v>
      </c>
      <c r="H23" s="202">
        <f t="shared" si="1"/>
        <v>3.0079996939516991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2114.8656000000001</v>
      </c>
      <c r="N23" s="11">
        <f t="shared" si="3"/>
        <v>255.8987376</v>
      </c>
      <c r="O23" s="11">
        <f t="shared" si="4"/>
        <v>1178.6850944</v>
      </c>
      <c r="P23" s="11">
        <f t="shared" si="5"/>
        <v>0</v>
      </c>
    </row>
    <row r="24" spans="1:16">
      <c r="A24" s="44"/>
      <c r="B24" s="5">
        <f t="shared" si="7"/>
        <v>45901</v>
      </c>
      <c r="C24" s="217" t="s">
        <v>17</v>
      </c>
      <c r="D24" s="194" t="s">
        <v>1028</v>
      </c>
      <c r="E24" s="1">
        <v>66164</v>
      </c>
      <c r="F24" s="2">
        <v>169187.95</v>
      </c>
      <c r="G24" s="3">
        <f t="shared" si="6"/>
        <v>135113.49687</v>
      </c>
      <c r="H24" s="202">
        <f t="shared" si="1"/>
        <v>2.0420998861918869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20302.554</v>
      </c>
      <c r="N24" s="11">
        <f t="shared" si="3"/>
        <v>2456.6090340000001</v>
      </c>
      <c r="O24" s="11">
        <f t="shared" si="4"/>
        <v>11315.290096000001</v>
      </c>
      <c r="P24" s="11">
        <f t="shared" si="5"/>
        <v>0</v>
      </c>
    </row>
    <row r="25" spans="1:16">
      <c r="A25" s="44"/>
      <c r="B25" s="5">
        <f t="shared" si="7"/>
        <v>45901</v>
      </c>
      <c r="C25" s="217" t="s">
        <v>17</v>
      </c>
      <c r="D25" s="196" t="s">
        <v>1029</v>
      </c>
      <c r="E25" s="1">
        <v>306259</v>
      </c>
      <c r="F25" s="2">
        <v>783134.86</v>
      </c>
      <c r="G25" s="3">
        <f t="shared" si="6"/>
        <v>625411.49919599993</v>
      </c>
      <c r="H25" s="202">
        <f t="shared" si="1"/>
        <v>2.0420999846404513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93976.183199999999</v>
      </c>
      <c r="N25" s="11">
        <f t="shared" si="3"/>
        <v>11371.1181672</v>
      </c>
      <c r="O25" s="11">
        <f t="shared" si="4"/>
        <v>52376.059436800002</v>
      </c>
      <c r="P25" s="11">
        <f t="shared" si="5"/>
        <v>0</v>
      </c>
    </row>
    <row r="26" spans="1:16">
      <c r="A26" s="44"/>
      <c r="B26" s="5">
        <f t="shared" si="7"/>
        <v>45901</v>
      </c>
      <c r="C26" s="217" t="s">
        <v>17</v>
      </c>
      <c r="D26" s="194" t="s">
        <v>1030</v>
      </c>
      <c r="E26" s="1">
        <v>646144</v>
      </c>
      <c r="F26" s="2">
        <v>1538172.25</v>
      </c>
      <c r="G26" s="3">
        <f t="shared" si="6"/>
        <v>1228384.35885</v>
      </c>
      <c r="H26" s="202">
        <f t="shared" si="1"/>
        <v>1.9011000006964391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184580.66999999998</v>
      </c>
      <c r="N26" s="11">
        <f t="shared" si="3"/>
        <v>22334.26107</v>
      </c>
      <c r="O26" s="11">
        <f t="shared" si="4"/>
        <v>102872.96008</v>
      </c>
      <c r="P26" s="11">
        <f t="shared" si="5"/>
        <v>0</v>
      </c>
    </row>
    <row r="27" spans="1:16">
      <c r="A27" s="44"/>
      <c r="B27" s="5">
        <f t="shared" si="7"/>
        <v>45901</v>
      </c>
      <c r="C27" s="217" t="s">
        <v>17</v>
      </c>
      <c r="D27" s="194" t="s">
        <v>1031</v>
      </c>
      <c r="E27" s="1">
        <v>3051062</v>
      </c>
      <c r="F27" s="2">
        <v>7263178.0199999996</v>
      </c>
      <c r="G27" s="3">
        <f t="shared" si="6"/>
        <v>5800373.9667719994</v>
      </c>
      <c r="H27" s="202">
        <f t="shared" si="1"/>
        <v>1.901099999531966</v>
      </c>
      <c r="I27" s="200">
        <v>0.12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871581.36239999987</v>
      </c>
      <c r="N27" s="11">
        <f t="shared" si="3"/>
        <v>105461.3448504</v>
      </c>
      <c r="O27" s="11">
        <f t="shared" si="4"/>
        <v>485761.34597759997</v>
      </c>
      <c r="P27" s="11">
        <f t="shared" si="5"/>
        <v>0</v>
      </c>
    </row>
    <row r="28" spans="1:16">
      <c r="A28" s="44"/>
      <c r="B28" s="5">
        <f t="shared" si="7"/>
        <v>45901</v>
      </c>
      <c r="C28" s="217" t="s">
        <v>17</v>
      </c>
      <c r="D28" s="194" t="s">
        <v>1032</v>
      </c>
      <c r="E28" s="1">
        <v>7602586.7240000004</v>
      </c>
      <c r="F28" s="2">
        <v>20648648.379999999</v>
      </c>
      <c r="G28" s="3">
        <f t="shared" si="6"/>
        <v>16490010.596267998</v>
      </c>
      <c r="H28" s="202">
        <f t="shared" si="1"/>
        <v>2.168999998936151</v>
      </c>
      <c r="I28" s="200">
        <v>0.12</v>
      </c>
      <c r="J28" s="7">
        <v>1.6500000000000001E-2</v>
      </c>
      <c r="K28" s="7">
        <v>7.5999999999999998E-2</v>
      </c>
      <c r="L28" s="7">
        <v>0</v>
      </c>
      <c r="M28" s="11">
        <f t="shared" si="2"/>
        <v>2477837.8055999996</v>
      </c>
      <c r="N28" s="11">
        <f t="shared" si="3"/>
        <v>299818.37447760004</v>
      </c>
      <c r="O28" s="11">
        <f t="shared" si="4"/>
        <v>1380981.6036544</v>
      </c>
      <c r="P28" s="11">
        <f t="shared" si="5"/>
        <v>0</v>
      </c>
    </row>
    <row r="29" spans="1:16">
      <c r="A29" s="44"/>
      <c r="B29" s="5">
        <f t="shared" si="7"/>
        <v>45901</v>
      </c>
      <c r="C29" s="217" t="s">
        <v>17</v>
      </c>
      <c r="D29" s="194" t="s">
        <v>1033</v>
      </c>
      <c r="E29" s="1">
        <v>13003592.27</v>
      </c>
      <c r="F29" s="2">
        <v>35317795.700000003</v>
      </c>
      <c r="G29" s="3">
        <f t="shared" si="6"/>
        <v>28204791.646020003</v>
      </c>
      <c r="H29" s="202">
        <f t="shared" si="1"/>
        <v>2.1690000009528139</v>
      </c>
      <c r="I29" s="200">
        <v>0.12</v>
      </c>
      <c r="J29" s="7">
        <v>1.6500000000000001E-2</v>
      </c>
      <c r="K29" s="7">
        <v>7.5999999999999998E-2</v>
      </c>
      <c r="L29" s="7">
        <v>0</v>
      </c>
      <c r="M29" s="11">
        <f t="shared" si="2"/>
        <v>4238135.4840000002</v>
      </c>
      <c r="N29" s="11">
        <f t="shared" si="3"/>
        <v>512814.39356400003</v>
      </c>
      <c r="O29" s="11">
        <f t="shared" si="4"/>
        <v>2362054.1764159999</v>
      </c>
      <c r="P29" s="11">
        <f t="shared" si="5"/>
        <v>0</v>
      </c>
    </row>
    <row r="30" spans="1:16" hidden="1">
      <c r="A30" s="44"/>
      <c r="B30" s="5">
        <f t="shared" si="7"/>
        <v>45901</v>
      </c>
      <c r="C30" s="217" t="s">
        <v>17</v>
      </c>
      <c r="D30" s="194"/>
      <c r="E30" s="1"/>
      <c r="F30" s="2"/>
      <c r="G30" s="3">
        <f t="shared" ref="G30:G44" si="8">F30-SUM(M30:P30)</f>
        <v>0</v>
      </c>
      <c r="H30" s="202">
        <f t="shared" si="1"/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45901</v>
      </c>
      <c r="C31" s="217" t="s">
        <v>17</v>
      </c>
      <c r="D31" s="194"/>
      <c r="E31" s="1"/>
      <c r="F31" s="2"/>
      <c r="G31" s="3">
        <f t="shared" si="8"/>
        <v>0</v>
      </c>
      <c r="H31" s="202">
        <f t="shared" si="1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45901</v>
      </c>
      <c r="C32" s="217" t="s">
        <v>17</v>
      </c>
      <c r="D32" s="194"/>
      <c r="E32" s="1"/>
      <c r="F32" s="2"/>
      <c r="G32" s="3">
        <f t="shared" si="8"/>
        <v>0</v>
      </c>
      <c r="H32" s="202">
        <f t="shared" si="1"/>
        <v>0</v>
      </c>
      <c r="I32" s="200"/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 hidden="1">
      <c r="A33" s="44"/>
      <c r="B33" s="5">
        <f t="shared" si="7"/>
        <v>45901</v>
      </c>
      <c r="C33" s="217" t="s">
        <v>17</v>
      </c>
      <c r="D33" s="194"/>
      <c r="E33" s="1"/>
      <c r="F33" s="2"/>
      <c r="G33" s="3">
        <f t="shared" si="8"/>
        <v>0</v>
      </c>
      <c r="H33" s="202">
        <f t="shared" si="1"/>
        <v>0</v>
      </c>
      <c r="I33" s="200"/>
      <c r="J33" s="7">
        <v>1.6500000000000001E-2</v>
      </c>
      <c r="K33" s="7">
        <v>7.5999999999999998E-2</v>
      </c>
      <c r="L33" s="7">
        <v>0</v>
      </c>
      <c r="M33" s="11">
        <f t="shared" si="2"/>
        <v>0</v>
      </c>
      <c r="N33" s="11">
        <f t="shared" si="3"/>
        <v>0</v>
      </c>
      <c r="O33" s="11">
        <f t="shared" si="4"/>
        <v>0</v>
      </c>
      <c r="P33" s="11">
        <f t="shared" si="5"/>
        <v>0</v>
      </c>
    </row>
    <row r="34" spans="1:16" hidden="1">
      <c r="A34" s="44"/>
      <c r="B34" s="5">
        <f t="shared" si="7"/>
        <v>45901</v>
      </c>
      <c r="C34" s="217" t="s">
        <v>17</v>
      </c>
      <c r="D34" s="194"/>
      <c r="E34" s="1"/>
      <c r="F34" s="2"/>
      <c r="G34" s="3">
        <f t="shared" si="8"/>
        <v>0</v>
      </c>
      <c r="H34" s="202">
        <f t="shared" si="1"/>
        <v>0</v>
      </c>
      <c r="I34" s="200"/>
      <c r="J34" s="7">
        <v>1.6500000000000001E-2</v>
      </c>
      <c r="K34" s="7">
        <v>7.5999999999999998E-2</v>
      </c>
      <c r="L34" s="7">
        <v>0</v>
      </c>
      <c r="M34" s="11">
        <f t="shared" si="2"/>
        <v>0</v>
      </c>
      <c r="N34" s="11">
        <f t="shared" si="3"/>
        <v>0</v>
      </c>
      <c r="O34" s="11">
        <f t="shared" si="4"/>
        <v>0</v>
      </c>
      <c r="P34" s="11">
        <f t="shared" si="5"/>
        <v>0</v>
      </c>
    </row>
    <row r="35" spans="1:16" hidden="1">
      <c r="A35" s="44"/>
      <c r="B35" s="5">
        <f t="shared" si="7"/>
        <v>45901</v>
      </c>
      <c r="C35" s="217" t="s">
        <v>17</v>
      </c>
      <c r="D35" s="194"/>
      <c r="E35" s="1"/>
      <c r="F35" s="2"/>
      <c r="G35" s="3">
        <f t="shared" si="8"/>
        <v>0</v>
      </c>
      <c r="H35" s="202">
        <f t="shared" si="1"/>
        <v>0</v>
      </c>
      <c r="I35" s="200"/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 hidden="1">
      <c r="A36" s="44"/>
      <c r="B36" s="5">
        <f t="shared" si="7"/>
        <v>45901</v>
      </c>
      <c r="C36" s="217" t="s">
        <v>17</v>
      </c>
      <c r="D36" s="194"/>
      <c r="E36" s="1"/>
      <c r="F36" s="2"/>
      <c r="G36" s="3">
        <f t="shared" si="8"/>
        <v>0</v>
      </c>
      <c r="H36" s="202">
        <f t="shared" si="1"/>
        <v>0</v>
      </c>
      <c r="I36" s="200"/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 hidden="1">
      <c r="A37" s="44"/>
      <c r="B37" s="5">
        <f t="shared" si="7"/>
        <v>45901</v>
      </c>
      <c r="C37" s="217" t="s">
        <v>17</v>
      </c>
      <c r="D37" s="194"/>
      <c r="E37" s="1"/>
      <c r="F37" s="2"/>
      <c r="G37" s="3">
        <f t="shared" si="8"/>
        <v>0</v>
      </c>
      <c r="H37" s="202">
        <f t="shared" si="1"/>
        <v>0</v>
      </c>
      <c r="I37" s="200"/>
      <c r="J37" s="7">
        <v>1.6500000000000001E-2</v>
      </c>
      <c r="K37" s="7">
        <v>7.5999999999999998E-2</v>
      </c>
      <c r="L37" s="7">
        <v>0</v>
      </c>
      <c r="M37" s="11">
        <f t="shared" si="2"/>
        <v>0</v>
      </c>
      <c r="N37" s="11">
        <f t="shared" si="3"/>
        <v>0</v>
      </c>
      <c r="O37" s="11">
        <f t="shared" si="4"/>
        <v>0</v>
      </c>
      <c r="P37" s="11">
        <f t="shared" si="5"/>
        <v>0</v>
      </c>
    </row>
    <row r="38" spans="1:16" hidden="1">
      <c r="A38" s="44"/>
      <c r="B38" s="5">
        <f t="shared" si="7"/>
        <v>45901</v>
      </c>
      <c r="C38" s="217" t="s">
        <v>17</v>
      </c>
      <c r="D38" s="194"/>
      <c r="E38" s="1"/>
      <c r="F38" s="2"/>
      <c r="G38" s="3">
        <f t="shared" si="8"/>
        <v>0</v>
      </c>
      <c r="H38" s="202">
        <f t="shared" si="1"/>
        <v>0</v>
      </c>
      <c r="I38" s="200"/>
      <c r="J38" s="7">
        <v>1.6500000000000001E-2</v>
      </c>
      <c r="K38" s="7">
        <v>7.5999999999999998E-2</v>
      </c>
      <c r="L38" s="7">
        <v>0</v>
      </c>
      <c r="M38" s="11">
        <f t="shared" si="2"/>
        <v>0</v>
      </c>
      <c r="N38" s="11">
        <f t="shared" si="3"/>
        <v>0</v>
      </c>
      <c r="O38" s="11">
        <f t="shared" si="4"/>
        <v>0</v>
      </c>
      <c r="P38" s="11">
        <f t="shared" si="5"/>
        <v>0</v>
      </c>
    </row>
    <row r="39" spans="1:16" hidden="1">
      <c r="A39" s="44"/>
      <c r="B39" s="5">
        <f t="shared" si="7"/>
        <v>45901</v>
      </c>
      <c r="C39" s="217" t="s">
        <v>17</v>
      </c>
      <c r="D39" s="194"/>
      <c r="E39" s="1"/>
      <c r="F39" s="2"/>
      <c r="G39" s="3">
        <f t="shared" si="8"/>
        <v>0</v>
      </c>
      <c r="H39" s="202">
        <f t="shared" si="1"/>
        <v>0</v>
      </c>
      <c r="I39" s="200"/>
      <c r="J39" s="7">
        <v>1.6500000000000001E-2</v>
      </c>
      <c r="K39" s="7">
        <v>7.5999999999999998E-2</v>
      </c>
      <c r="L39" s="7">
        <v>0</v>
      </c>
      <c r="M39" s="11">
        <f t="shared" si="2"/>
        <v>0</v>
      </c>
      <c r="N39" s="11">
        <f t="shared" si="3"/>
        <v>0</v>
      </c>
      <c r="O39" s="11">
        <f t="shared" si="4"/>
        <v>0</v>
      </c>
      <c r="P39" s="11">
        <f t="shared" si="5"/>
        <v>0</v>
      </c>
    </row>
    <row r="40" spans="1:16" hidden="1">
      <c r="A40" s="44"/>
      <c r="B40" s="5">
        <f t="shared" si="7"/>
        <v>45901</v>
      </c>
      <c r="C40" s="217" t="s">
        <v>17</v>
      </c>
      <c r="D40" s="194"/>
      <c r="E40" s="1"/>
      <c r="F40" s="2"/>
      <c r="G40" s="3">
        <f t="shared" si="8"/>
        <v>0</v>
      </c>
      <c r="H40" s="202">
        <f t="shared" si="1"/>
        <v>0</v>
      </c>
      <c r="I40" s="200"/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 hidden="1">
      <c r="A41" s="44"/>
      <c r="B41" s="5">
        <f t="shared" si="7"/>
        <v>45901</v>
      </c>
      <c r="C41" s="217" t="s">
        <v>17</v>
      </c>
      <c r="D41" s="194"/>
      <c r="E41" s="1"/>
      <c r="F41" s="2"/>
      <c r="G41" s="3">
        <f t="shared" si="8"/>
        <v>0</v>
      </c>
      <c r="H41" s="202">
        <f t="shared" si="1"/>
        <v>0</v>
      </c>
      <c r="I41" s="200"/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idden="1">
      <c r="A42" s="44"/>
      <c r="B42" s="5">
        <f t="shared" si="7"/>
        <v>45901</v>
      </c>
      <c r="C42" s="217" t="s">
        <v>17</v>
      </c>
      <c r="D42" s="194"/>
      <c r="E42" s="1"/>
      <c r="F42" s="2"/>
      <c r="G42" s="3">
        <f t="shared" si="8"/>
        <v>0</v>
      </c>
      <c r="H42" s="202">
        <f t="shared" si="1"/>
        <v>0</v>
      </c>
      <c r="I42" s="200"/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 hidden="1">
      <c r="A43" s="44"/>
      <c r="B43" s="5">
        <f t="shared" si="7"/>
        <v>45901</v>
      </c>
      <c r="C43" s="217" t="s">
        <v>17</v>
      </c>
      <c r="D43" s="194"/>
      <c r="E43" s="1"/>
      <c r="F43" s="2"/>
      <c r="G43" s="3">
        <f t="shared" si="8"/>
        <v>0</v>
      </c>
      <c r="H43" s="202">
        <f t="shared" si="1"/>
        <v>0</v>
      </c>
      <c r="I43" s="200"/>
      <c r="J43" s="7">
        <v>1.6500000000000001E-2</v>
      </c>
      <c r="K43" s="7">
        <v>7.5999999999999998E-2</v>
      </c>
      <c r="L43" s="7">
        <v>0</v>
      </c>
      <c r="M43" s="11">
        <f t="shared" si="2"/>
        <v>0</v>
      </c>
      <c r="N43" s="11">
        <f t="shared" si="3"/>
        <v>0</v>
      </c>
      <c r="O43" s="11">
        <f t="shared" si="4"/>
        <v>0</v>
      </c>
      <c r="P43" s="11">
        <f t="shared" si="5"/>
        <v>0</v>
      </c>
    </row>
    <row r="44" spans="1:16">
      <c r="A44" s="44"/>
      <c r="B44" s="5">
        <f t="shared" si="7"/>
        <v>45901</v>
      </c>
      <c r="C44" s="218" t="s">
        <v>830</v>
      </c>
      <c r="D44" s="194" t="s">
        <v>1019</v>
      </c>
      <c r="E44" s="1">
        <v>1840000</v>
      </c>
      <c r="F44" s="2">
        <v>4178869.32</v>
      </c>
      <c r="G44" s="3">
        <f t="shared" si="8"/>
        <v>3337245.038952</v>
      </c>
      <c r="H44" s="202">
        <f t="shared" si="1"/>
        <v>1.8137201298652175</v>
      </c>
      <c r="I44" s="200">
        <v>0.12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501464.31839999999</v>
      </c>
      <c r="N44" s="11">
        <f t="shared" si="3"/>
        <v>60677.182526400007</v>
      </c>
      <c r="O44" s="11">
        <f t="shared" si="4"/>
        <v>279482.78012160002</v>
      </c>
      <c r="P44" s="11">
        <f t="shared" si="5"/>
        <v>0</v>
      </c>
    </row>
    <row r="45" spans="1:16">
      <c r="A45" s="44"/>
      <c r="B45" s="5">
        <f>B44</f>
        <v>45901</v>
      </c>
      <c r="C45" s="218" t="s">
        <v>830</v>
      </c>
      <c r="D45" s="194" t="s">
        <v>1020</v>
      </c>
      <c r="E45" s="1">
        <v>3110000</v>
      </c>
      <c r="F45" s="2">
        <v>6618914.3499999996</v>
      </c>
      <c r="G45" s="3">
        <f t="shared" si="6"/>
        <v>5285864.9999099998</v>
      </c>
      <c r="H45" s="202">
        <f>+IF(G45=0,0,G45/E45)</f>
        <v>1.6996350482025724</v>
      </c>
      <c r="I45" s="200">
        <v>0.12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794269.72199999995</v>
      </c>
      <c r="N45" s="11">
        <f t="shared" si="3"/>
        <v>96106.63636199999</v>
      </c>
      <c r="O45" s="11">
        <f t="shared" si="4"/>
        <v>442672.99172799994</v>
      </c>
      <c r="P45" s="11">
        <f t="shared" si="5"/>
        <v>0</v>
      </c>
    </row>
    <row r="46" spans="1:16" hidden="1">
      <c r="A46" s="44"/>
      <c r="B46" s="5">
        <f t="shared" si="7"/>
        <v>45901</v>
      </c>
      <c r="C46" s="218" t="s">
        <v>830</v>
      </c>
      <c r="D46" s="194"/>
      <c r="E46" s="1"/>
      <c r="F46" s="2"/>
      <c r="G46" s="3">
        <f t="shared" si="6"/>
        <v>0</v>
      </c>
      <c r="H46" s="202">
        <f t="shared" ref="H46:H55" si="9">+IF(G46=0,0,G46/E46)</f>
        <v>0</v>
      </c>
      <c r="I46" s="200"/>
      <c r="J46" s="7">
        <v>1.6500000000000001E-2</v>
      </c>
      <c r="K46" s="7">
        <v>7.5999999999999998E-2</v>
      </c>
      <c r="L46" s="7">
        <v>0</v>
      </c>
      <c r="M46" s="11">
        <f t="shared" si="2"/>
        <v>0</v>
      </c>
      <c r="N46" s="11">
        <f t="shared" si="3"/>
        <v>0</v>
      </c>
      <c r="O46" s="11">
        <f t="shared" si="4"/>
        <v>0</v>
      </c>
      <c r="P46" s="11">
        <f t="shared" si="5"/>
        <v>0</v>
      </c>
    </row>
    <row r="47" spans="1:16">
      <c r="A47" s="44"/>
      <c r="B47" s="5">
        <f t="shared" si="7"/>
        <v>45901</v>
      </c>
      <c r="C47" s="219" t="s">
        <v>440</v>
      </c>
      <c r="D47" s="194" t="s">
        <v>1036</v>
      </c>
      <c r="E47" s="1">
        <v>300000</v>
      </c>
      <c r="F47" s="2">
        <v>670110</v>
      </c>
      <c r="G47" s="3">
        <f t="shared" si="6"/>
        <v>565556.08724999998</v>
      </c>
      <c r="H47" s="202">
        <f t="shared" si="9"/>
        <v>1.8851869575</v>
      </c>
      <c r="I47" s="7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46907.700000000004</v>
      </c>
      <c r="N47" s="11">
        <f t="shared" si="3"/>
        <v>10282.837950000001</v>
      </c>
      <c r="O47" s="11">
        <f t="shared" si="4"/>
        <v>47363.374800000005</v>
      </c>
      <c r="P47" s="11">
        <f t="shared" si="5"/>
        <v>0</v>
      </c>
    </row>
    <row r="48" spans="1:16">
      <c r="A48" s="44"/>
      <c r="B48" s="5">
        <f t="shared" si="7"/>
        <v>45901</v>
      </c>
      <c r="C48" s="217" t="s">
        <v>491</v>
      </c>
      <c r="D48" s="194" t="s">
        <v>1035</v>
      </c>
      <c r="E48" s="1">
        <v>6000000</v>
      </c>
      <c r="F48" s="2">
        <v>15096168.289999999</v>
      </c>
      <c r="G48" s="3">
        <f>F48-SUM(M48:P48)</f>
        <v>12055799.996393999</v>
      </c>
      <c r="H48" s="202">
        <f>+IF(G48=0,0,G48/E48)</f>
        <v>2.0092999993989999</v>
      </c>
      <c r="I48" s="7">
        <v>0.12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1811540.1947999999</v>
      </c>
      <c r="N48" s="11">
        <f t="shared" si="3"/>
        <v>219196.36357079999</v>
      </c>
      <c r="O48" s="11">
        <f t="shared" si="4"/>
        <v>1009631.7352351999</v>
      </c>
      <c r="P48" s="11">
        <f t="shared" si="5"/>
        <v>0</v>
      </c>
    </row>
    <row r="49" spans="1:16" hidden="1">
      <c r="A49" s="44"/>
      <c r="B49" s="5">
        <f t="shared" si="7"/>
        <v>45901</v>
      </c>
      <c r="C49" s="217" t="s">
        <v>491</v>
      </c>
      <c r="D49" s="194"/>
      <c r="E49" s="185"/>
      <c r="F49" s="2"/>
      <c r="G49" s="3">
        <f t="shared" ref="G49" si="10">F49-SUM(M49:P49)</f>
        <v>0</v>
      </c>
      <c r="H49" s="202">
        <f>+IF(G49=0,0,G49/E49)</f>
        <v>0</v>
      </c>
      <c r="I49" s="7"/>
      <c r="J49" s="7">
        <v>1.6500000000000001E-2</v>
      </c>
      <c r="K49" s="7">
        <v>7.5999999999999998E-2</v>
      </c>
      <c r="L49" s="7">
        <v>0</v>
      </c>
      <c r="M49" s="11">
        <f t="shared" si="2"/>
        <v>0</v>
      </c>
      <c r="N49" s="11">
        <f t="shared" si="3"/>
        <v>0</v>
      </c>
      <c r="O49" s="11">
        <f t="shared" si="4"/>
        <v>0</v>
      </c>
      <c r="P49" s="11">
        <f t="shared" si="5"/>
        <v>0</v>
      </c>
    </row>
    <row r="50" spans="1:16" hidden="1">
      <c r="A50" s="44"/>
      <c r="B50" s="5">
        <f>B46</f>
        <v>45901</v>
      </c>
      <c r="C50" s="217" t="s">
        <v>491</v>
      </c>
      <c r="D50" s="194"/>
      <c r="E50" s="1"/>
      <c r="F50" s="2"/>
      <c r="G50" s="3">
        <f t="shared" ref="G50:G51" si="11">F50-SUM(M50:P50)</f>
        <v>0</v>
      </c>
      <c r="H50" s="202">
        <f t="shared" si="9"/>
        <v>0</v>
      </c>
      <c r="I50" s="7"/>
      <c r="J50" s="7">
        <v>1.6500000000000001E-2</v>
      </c>
      <c r="K50" s="7">
        <v>7.5999999999999998E-2</v>
      </c>
      <c r="L50" s="7">
        <v>0</v>
      </c>
      <c r="M50" s="11">
        <f t="shared" si="2"/>
        <v>0</v>
      </c>
      <c r="N50" s="11">
        <f t="shared" si="3"/>
        <v>0</v>
      </c>
      <c r="O50" s="11">
        <f t="shared" si="4"/>
        <v>0</v>
      </c>
      <c r="P50" s="11">
        <f t="shared" si="5"/>
        <v>0</v>
      </c>
    </row>
    <row r="51" spans="1:16" hidden="1">
      <c r="A51" s="44"/>
      <c r="B51" s="5">
        <f>B47</f>
        <v>45901</v>
      </c>
      <c r="C51" s="217" t="s">
        <v>491</v>
      </c>
      <c r="D51" s="195"/>
      <c r="E51" s="118"/>
      <c r="F51" s="2"/>
      <c r="G51" s="3">
        <f t="shared" si="11"/>
        <v>0</v>
      </c>
      <c r="H51" s="202">
        <f t="shared" si="9"/>
        <v>0</v>
      </c>
      <c r="I51" s="7"/>
      <c r="J51" s="7">
        <v>1.6500000000000001E-2</v>
      </c>
      <c r="K51" s="7">
        <v>7.5999999999999998E-2</v>
      </c>
      <c r="L51" s="7">
        <v>0</v>
      </c>
      <c r="M51" s="11">
        <f t="shared" si="2"/>
        <v>0</v>
      </c>
      <c r="N51" s="11">
        <f t="shared" si="3"/>
        <v>0</v>
      </c>
      <c r="O51" s="11">
        <f t="shared" si="4"/>
        <v>0</v>
      </c>
      <c r="P51" s="11">
        <f t="shared" si="5"/>
        <v>0</v>
      </c>
    </row>
    <row r="52" spans="1:16">
      <c r="A52" s="44"/>
      <c r="B52" s="5">
        <f>B48</f>
        <v>45901</v>
      </c>
      <c r="C52" s="220" t="s">
        <v>756</v>
      </c>
      <c r="D52" s="195" t="s">
        <v>1022</v>
      </c>
      <c r="E52" s="118">
        <v>927528.99</v>
      </c>
      <c r="F52" s="2">
        <v>4134738.73</v>
      </c>
      <c r="G52" s="3">
        <f t="shared" si="6"/>
        <v>2983058.940992625</v>
      </c>
      <c r="H52" s="202">
        <f t="shared" si="9"/>
        <v>3.216135531238355</v>
      </c>
      <c r="I52" s="7">
        <v>0.20499999999999999</v>
      </c>
      <c r="J52" s="200">
        <v>1.6500000000000001E-2</v>
      </c>
      <c r="K52" s="200">
        <v>7.5999999999999998E-2</v>
      </c>
      <c r="L52" s="200">
        <v>0</v>
      </c>
      <c r="M52" s="11">
        <f t="shared" si="2"/>
        <v>847621.43964999996</v>
      </c>
      <c r="N52" s="11">
        <f t="shared" si="3"/>
        <v>54237.435290775</v>
      </c>
      <c r="O52" s="11">
        <f t="shared" si="4"/>
        <v>249820.91406659997</v>
      </c>
      <c r="P52" s="11">
        <f t="shared" si="5"/>
        <v>0</v>
      </c>
    </row>
    <row r="53" spans="1:16" hidden="1">
      <c r="A53" s="44"/>
      <c r="B53" s="5">
        <f t="shared" si="7"/>
        <v>45901</v>
      </c>
      <c r="C53" s="220" t="s">
        <v>756</v>
      </c>
      <c r="D53" s="212"/>
      <c r="E53" s="118"/>
      <c r="F53" s="2"/>
      <c r="G53" s="3">
        <f t="shared" ref="G53" si="12">F53-SUM(M53:P53)</f>
        <v>0</v>
      </c>
      <c r="H53" s="202">
        <f t="shared" si="9"/>
        <v>0</v>
      </c>
      <c r="I53" s="7"/>
      <c r="J53" s="200">
        <v>1.6500000000000001E-2</v>
      </c>
      <c r="K53" s="200">
        <v>7.5999999999999998E-2</v>
      </c>
      <c r="L53" s="200">
        <v>0</v>
      </c>
      <c r="M53" s="11">
        <f t="shared" si="2"/>
        <v>0</v>
      </c>
      <c r="N53" s="11">
        <f t="shared" si="3"/>
        <v>0</v>
      </c>
      <c r="O53" s="11">
        <f t="shared" si="4"/>
        <v>0</v>
      </c>
      <c r="P53" s="11">
        <f t="shared" si="5"/>
        <v>0</v>
      </c>
    </row>
    <row r="54" spans="1:16">
      <c r="A54" s="44"/>
      <c r="B54" s="5">
        <f>B53</f>
        <v>45901</v>
      </c>
      <c r="C54" s="220" t="s">
        <v>757</v>
      </c>
      <c r="D54" s="212" t="s">
        <v>1021</v>
      </c>
      <c r="E54" s="118">
        <v>131258.63</v>
      </c>
      <c r="F54" s="2">
        <v>660440.92000000004</v>
      </c>
      <c r="G54" s="3">
        <f t="shared" ref="G54:G117" si="13">F54-SUM(M54:P54)</f>
        <v>476483.35724550002</v>
      </c>
      <c r="H54" s="202">
        <f t="shared" si="9"/>
        <v>3.6301107001154898</v>
      </c>
      <c r="I54" s="7">
        <v>0.20499999999999999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135390.38860000001</v>
      </c>
      <c r="N54" s="11">
        <f t="shared" si="3"/>
        <v>8663.3337680999994</v>
      </c>
      <c r="O54" s="11">
        <f t="shared" si="4"/>
        <v>39903.840386399999</v>
      </c>
      <c r="P54" s="11">
        <f t="shared" si="5"/>
        <v>0</v>
      </c>
    </row>
    <row r="55" spans="1:16" ht="15" hidden="1" customHeight="1">
      <c r="A55" s="44"/>
      <c r="B55" s="5">
        <f>B54</f>
        <v>45901</v>
      </c>
      <c r="C55" s="220" t="s">
        <v>757</v>
      </c>
      <c r="D55" s="195"/>
      <c r="E55" s="118"/>
      <c r="F55" s="2"/>
      <c r="G55" s="3">
        <f t="shared" si="13"/>
        <v>0</v>
      </c>
      <c r="H55" s="202">
        <f t="shared" si="9"/>
        <v>0</v>
      </c>
      <c r="I55" s="7"/>
      <c r="J55" s="7">
        <v>1.6500000000000001E-2</v>
      </c>
      <c r="K55" s="7">
        <v>7.5999999999999998E-2</v>
      </c>
      <c r="L55" s="7">
        <v>0</v>
      </c>
      <c r="M55" s="11">
        <f t="shared" si="2"/>
        <v>0</v>
      </c>
      <c r="N55" s="11">
        <f t="shared" si="3"/>
        <v>0</v>
      </c>
      <c r="O55" s="11">
        <f t="shared" si="4"/>
        <v>0</v>
      </c>
      <c r="P55" s="11">
        <f t="shared" si="5"/>
        <v>0</v>
      </c>
    </row>
    <row r="56" spans="1:16" ht="15" customHeight="1">
      <c r="A56" s="44"/>
      <c r="B56" s="5">
        <f>B55</f>
        <v>45901</v>
      </c>
      <c r="C56" s="221" t="s">
        <v>792</v>
      </c>
      <c r="D56" s="195" t="s">
        <v>1011</v>
      </c>
      <c r="E56" s="186"/>
      <c r="F56" s="2">
        <v>304946.99</v>
      </c>
      <c r="G56" s="3">
        <f t="shared" si="13"/>
        <v>276739.39342500002</v>
      </c>
      <c r="H56" s="187"/>
      <c r="I56" s="193"/>
      <c r="J56" s="7">
        <v>1.6500000000000001E-2</v>
      </c>
      <c r="K56" s="7">
        <v>7.5999999999999998E-2</v>
      </c>
      <c r="L56" s="7">
        <v>0</v>
      </c>
      <c r="M56" s="11">
        <f t="shared" si="2"/>
        <v>0</v>
      </c>
      <c r="N56" s="11">
        <f t="shared" si="3"/>
        <v>5031.6253349999997</v>
      </c>
      <c r="O56" s="11">
        <f t="shared" si="4"/>
        <v>23175.971239999999</v>
      </c>
      <c r="P56" s="11">
        <f t="shared" si="5"/>
        <v>0</v>
      </c>
    </row>
    <row r="57" spans="1:16">
      <c r="A57" s="44"/>
      <c r="B57" s="5">
        <f>B56</f>
        <v>45901</v>
      </c>
      <c r="C57" s="221" t="s">
        <v>1010</v>
      </c>
      <c r="D57" s="361">
        <v>10418</v>
      </c>
      <c r="E57" s="186"/>
      <c r="F57" s="2">
        <v>35000</v>
      </c>
      <c r="G57" s="3">
        <f t="shared" si="13"/>
        <v>31762.5</v>
      </c>
      <c r="H57" s="187"/>
      <c r="I57" s="193"/>
      <c r="J57" s="7">
        <v>1.6500000000000001E-2</v>
      </c>
      <c r="K57" s="7">
        <v>7.5999999999999998E-2</v>
      </c>
      <c r="L57" s="7">
        <v>0</v>
      </c>
      <c r="M57" s="11">
        <f t="shared" si="2"/>
        <v>0</v>
      </c>
      <c r="N57" s="11">
        <f t="shared" si="3"/>
        <v>577.5</v>
      </c>
      <c r="O57" s="11">
        <f t="shared" si="4"/>
        <v>2660</v>
      </c>
      <c r="P57" s="11">
        <f t="shared" si="5"/>
        <v>0</v>
      </c>
    </row>
    <row r="58" spans="1:16" hidden="1">
      <c r="A58" s="44"/>
      <c r="B58" s="5">
        <f>B57</f>
        <v>45901</v>
      </c>
      <c r="C58" s="1" t="s">
        <v>33</v>
      </c>
      <c r="D58" s="195"/>
      <c r="E58" s="118"/>
      <c r="F58" s="2"/>
      <c r="G58" s="3">
        <f t="shared" si="13"/>
        <v>0</v>
      </c>
      <c r="H58" s="202">
        <f t="shared" ref="H58:H59" si="14">+IF(G58=0,0,G58/E58)</f>
        <v>0</v>
      </c>
      <c r="I58" s="7"/>
      <c r="J58" s="7">
        <v>1.6500000000000001E-2</v>
      </c>
      <c r="K58" s="7">
        <v>7.5999999999999998E-2</v>
      </c>
      <c r="L58" s="7">
        <v>0</v>
      </c>
      <c r="M58" s="11">
        <f t="shared" si="2"/>
        <v>0</v>
      </c>
      <c r="N58" s="11">
        <f t="shared" si="3"/>
        <v>0</v>
      </c>
      <c r="O58" s="11">
        <f t="shared" si="4"/>
        <v>0</v>
      </c>
      <c r="P58" s="11">
        <f t="shared" si="5"/>
        <v>0</v>
      </c>
    </row>
    <row r="59" spans="1:16" hidden="1">
      <c r="A59" s="44"/>
      <c r="B59" s="5">
        <f t="shared" ref="B59:B122" si="15">B58</f>
        <v>45901</v>
      </c>
      <c r="C59" s="1" t="s">
        <v>33</v>
      </c>
      <c r="D59" s="195"/>
      <c r="E59" s="118"/>
      <c r="F59" s="2"/>
      <c r="G59" s="3">
        <f t="shared" si="13"/>
        <v>0</v>
      </c>
      <c r="H59" s="202">
        <f t="shared" si="14"/>
        <v>0</v>
      </c>
      <c r="I59" s="7"/>
      <c r="J59" s="7">
        <v>1.6500000000000001E-2</v>
      </c>
      <c r="K59" s="7">
        <v>7.5999999999999998E-2</v>
      </c>
      <c r="L59" s="7">
        <v>0</v>
      </c>
      <c r="M59" s="11">
        <f t="shared" si="2"/>
        <v>0</v>
      </c>
      <c r="N59" s="11">
        <f t="shared" si="3"/>
        <v>0</v>
      </c>
      <c r="O59" s="11">
        <f t="shared" si="4"/>
        <v>0</v>
      </c>
      <c r="P59" s="11">
        <f t="shared" si="5"/>
        <v>0</v>
      </c>
    </row>
    <row r="60" spans="1:16" ht="15" customHeight="1">
      <c r="A60" s="44"/>
      <c r="B60" s="5">
        <f t="shared" si="15"/>
        <v>45901</v>
      </c>
      <c r="C60" s="218" t="s">
        <v>533</v>
      </c>
      <c r="D60" s="195">
        <v>6693</v>
      </c>
      <c r="E60" s="186"/>
      <c r="F60" s="2">
        <v>209374.44</v>
      </c>
      <c r="G60" s="3">
        <f>F60-SUM(M60:P60)</f>
        <v>167206.427784</v>
      </c>
      <c r="H60" s="187"/>
      <c r="I60" s="7">
        <v>0.12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25124.932799999999</v>
      </c>
      <c r="N60" s="11">
        <f t="shared" si="3"/>
        <v>3040.1168688000002</v>
      </c>
      <c r="O60" s="11">
        <f t="shared" si="4"/>
        <v>14002.962547199999</v>
      </c>
      <c r="P60" s="11">
        <f t="shared" si="5"/>
        <v>0</v>
      </c>
    </row>
    <row r="61" spans="1:16" ht="15" customHeight="1">
      <c r="A61" s="44"/>
      <c r="B61" s="5">
        <f t="shared" si="15"/>
        <v>45901</v>
      </c>
      <c r="C61" s="218" t="s">
        <v>533</v>
      </c>
      <c r="D61" s="195">
        <v>6694</v>
      </c>
      <c r="E61" s="186"/>
      <c r="F61" s="2">
        <v>20337.740000000002</v>
      </c>
      <c r="G61" s="3">
        <f>F61-SUM(M61:P61)</f>
        <v>16241.719164000002</v>
      </c>
      <c r="H61" s="187"/>
      <c r="I61" s="7">
        <v>0.12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2440.5288</v>
      </c>
      <c r="N61" s="11">
        <f t="shared" si="3"/>
        <v>295.30398480000002</v>
      </c>
      <c r="O61" s="11">
        <f t="shared" si="4"/>
        <v>1360.1880512</v>
      </c>
      <c r="P61" s="11">
        <f t="shared" si="5"/>
        <v>0</v>
      </c>
    </row>
    <row r="62" spans="1:16" ht="15" customHeight="1">
      <c r="A62" s="44"/>
      <c r="B62" s="5">
        <f t="shared" si="15"/>
        <v>45901</v>
      </c>
      <c r="C62" s="218" t="s">
        <v>533</v>
      </c>
      <c r="D62" s="195">
        <v>26261</v>
      </c>
      <c r="E62" s="186"/>
      <c r="F62" s="2">
        <v>14891.12</v>
      </c>
      <c r="G62" s="3">
        <f t="shared" si="13"/>
        <v>12567.733002000001</v>
      </c>
      <c r="H62" s="187"/>
      <c r="I62" s="7">
        <v>7.0000000000000007E-2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1042.3784000000001</v>
      </c>
      <c r="N62" s="11">
        <f t="shared" si="3"/>
        <v>228.50423640000002</v>
      </c>
      <c r="O62" s="11">
        <f t="shared" si="4"/>
        <v>1052.5043616</v>
      </c>
      <c r="P62" s="11">
        <f t="shared" si="5"/>
        <v>0</v>
      </c>
    </row>
    <row r="63" spans="1:16" ht="15" customHeight="1">
      <c r="A63" s="44"/>
      <c r="B63" s="5">
        <f t="shared" si="15"/>
        <v>45901</v>
      </c>
      <c r="C63" s="218" t="s">
        <v>533</v>
      </c>
      <c r="D63" s="195">
        <v>26262</v>
      </c>
      <c r="E63" s="186"/>
      <c r="F63" s="2">
        <v>1271.3900000000001</v>
      </c>
      <c r="G63" s="3">
        <f t="shared" si="13"/>
        <v>1073.0213752500001</v>
      </c>
      <c r="H63" s="187"/>
      <c r="I63" s="7">
        <v>7.0000000000000007E-2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88.99730000000001</v>
      </c>
      <c r="N63" s="11">
        <f t="shared" si="3"/>
        <v>19.509479550000002</v>
      </c>
      <c r="O63" s="11">
        <f t="shared" si="4"/>
        <v>89.861845200000005</v>
      </c>
      <c r="P63" s="11">
        <f t="shared" si="5"/>
        <v>0</v>
      </c>
    </row>
    <row r="64" spans="1:16" ht="15" customHeight="1">
      <c r="A64" s="44"/>
      <c r="B64" s="5">
        <f t="shared" si="15"/>
        <v>45901</v>
      </c>
      <c r="C64" s="218" t="s">
        <v>533</v>
      </c>
      <c r="D64" s="195">
        <v>22401</v>
      </c>
      <c r="E64" s="186"/>
      <c r="F64" s="2">
        <v>201376.17</v>
      </c>
      <c r="G64" s="3">
        <f t="shared" si="13"/>
        <v>160819.00936200001</v>
      </c>
      <c r="H64" s="187"/>
      <c r="I64" s="7">
        <v>0.12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24165.1404</v>
      </c>
      <c r="N64" s="11">
        <f t="shared" si="3"/>
        <v>2923.9819884000003</v>
      </c>
      <c r="O64" s="11">
        <f t="shared" si="4"/>
        <v>13468.0382496</v>
      </c>
      <c r="P64" s="11">
        <f t="shared" si="5"/>
        <v>0</v>
      </c>
    </row>
    <row r="65" spans="1:16" ht="15" customHeight="1">
      <c r="A65" s="44"/>
      <c r="B65" s="5">
        <f t="shared" si="15"/>
        <v>45901</v>
      </c>
      <c r="C65" s="218" t="s">
        <v>533</v>
      </c>
      <c r="D65" s="195">
        <v>22400</v>
      </c>
      <c r="E65" s="186"/>
      <c r="F65" s="2">
        <v>17797.78</v>
      </c>
      <c r="G65" s="3">
        <f t="shared" si="13"/>
        <v>14213.307107999999</v>
      </c>
      <c r="H65" s="187"/>
      <c r="I65" s="7">
        <v>0.12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2135.7335999999996</v>
      </c>
      <c r="N65" s="11">
        <f t="shared" si="3"/>
        <v>258.42376560000002</v>
      </c>
      <c r="O65" s="11">
        <f t="shared" si="4"/>
        <v>1190.3155264</v>
      </c>
      <c r="P65" s="11">
        <f t="shared" si="5"/>
        <v>0</v>
      </c>
    </row>
    <row r="66" spans="1:16" ht="15" customHeight="1">
      <c r="A66" s="44"/>
      <c r="B66" s="5">
        <f t="shared" si="15"/>
        <v>45901</v>
      </c>
      <c r="C66" s="218" t="s">
        <v>533</v>
      </c>
      <c r="D66" s="195">
        <v>6698</v>
      </c>
      <c r="E66" s="186"/>
      <c r="F66" s="2">
        <v>58209.69</v>
      </c>
      <c r="G66" s="3">
        <f t="shared" si="13"/>
        <v>46486.258434000003</v>
      </c>
      <c r="H66" s="187"/>
      <c r="I66" s="7">
        <v>0.12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6985.1628000000001</v>
      </c>
      <c r="N66" s="11">
        <f t="shared" si="3"/>
        <v>845.20469880000007</v>
      </c>
      <c r="O66" s="11">
        <f t="shared" si="4"/>
        <v>3893.0640672000004</v>
      </c>
      <c r="P66" s="11">
        <f t="shared" si="5"/>
        <v>0</v>
      </c>
    </row>
    <row r="67" spans="1:16" ht="15" customHeight="1">
      <c r="A67" s="44"/>
      <c r="B67" s="5">
        <f t="shared" si="15"/>
        <v>45901</v>
      </c>
      <c r="C67" s="218" t="s">
        <v>533</v>
      </c>
      <c r="D67" s="195">
        <v>6699</v>
      </c>
      <c r="E67" s="186"/>
      <c r="F67" s="2">
        <v>5324.02</v>
      </c>
      <c r="G67" s="3">
        <f t="shared" si="13"/>
        <v>4251.7623720000001</v>
      </c>
      <c r="H67" s="187"/>
      <c r="I67" s="7">
        <v>0.12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638.88240000000008</v>
      </c>
      <c r="N67" s="11">
        <f t="shared" si="3"/>
        <v>77.30477040000001</v>
      </c>
      <c r="O67" s="11">
        <f t="shared" si="4"/>
        <v>356.0704576</v>
      </c>
      <c r="P67" s="11">
        <f t="shared" si="5"/>
        <v>0</v>
      </c>
    </row>
    <row r="68" spans="1:16" ht="15" customHeight="1">
      <c r="A68" s="44"/>
      <c r="B68" s="5">
        <f t="shared" si="15"/>
        <v>45901</v>
      </c>
      <c r="C68" s="218" t="s">
        <v>533</v>
      </c>
      <c r="D68" s="195">
        <v>26260</v>
      </c>
      <c r="E68" s="186"/>
      <c r="F68" s="2">
        <v>4186.62</v>
      </c>
      <c r="G68" s="3">
        <f t="shared" si="13"/>
        <v>3533.4026144999998</v>
      </c>
      <c r="H68" s="187"/>
      <c r="I68" s="7">
        <v>7.0000000000000007E-2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293.0634</v>
      </c>
      <c r="N68" s="11">
        <f t="shared" si="3"/>
        <v>64.243683900000008</v>
      </c>
      <c r="O68" s="11">
        <f t="shared" si="4"/>
        <v>295.91030159999997</v>
      </c>
      <c r="P68" s="11">
        <f t="shared" si="5"/>
        <v>0</v>
      </c>
    </row>
    <row r="69" spans="1:16" ht="15" customHeight="1">
      <c r="A69" s="44"/>
      <c r="B69" s="5">
        <f t="shared" si="15"/>
        <v>45901</v>
      </c>
      <c r="C69" s="218" t="s">
        <v>533</v>
      </c>
      <c r="D69" s="195">
        <v>26259</v>
      </c>
      <c r="E69" s="186"/>
      <c r="F69" s="2">
        <v>336.07</v>
      </c>
      <c r="G69" s="3">
        <f t="shared" si="13"/>
        <v>283.63467824999998</v>
      </c>
      <c r="H69" s="187"/>
      <c r="I69" s="7">
        <v>7.0000000000000007E-2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23.524900000000002</v>
      </c>
      <c r="N69" s="11">
        <f t="shared" si="3"/>
        <v>5.1569941500000001</v>
      </c>
      <c r="O69" s="11">
        <f t="shared" si="4"/>
        <v>23.753427599999998</v>
      </c>
      <c r="P69" s="11">
        <f t="shared" si="5"/>
        <v>0</v>
      </c>
    </row>
    <row r="70" spans="1:16" ht="15" customHeight="1">
      <c r="A70" s="44"/>
      <c r="B70" s="5">
        <f t="shared" si="15"/>
        <v>45901</v>
      </c>
      <c r="C70" s="218" t="s">
        <v>533</v>
      </c>
      <c r="D70" s="195">
        <v>22403</v>
      </c>
      <c r="E70" s="186"/>
      <c r="F70" s="2">
        <v>56547.34</v>
      </c>
      <c r="G70" s="3">
        <f t="shared" si="13"/>
        <v>45158.705723999999</v>
      </c>
      <c r="H70" s="187"/>
      <c r="I70" s="7">
        <v>0.12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6785.6807999999992</v>
      </c>
      <c r="N70" s="11">
        <f t="shared" si="3"/>
        <v>821.06737679999992</v>
      </c>
      <c r="O70" s="11">
        <f t="shared" si="4"/>
        <v>3781.8860991999995</v>
      </c>
      <c r="P70" s="11">
        <f t="shared" si="5"/>
        <v>0</v>
      </c>
    </row>
    <row r="71" spans="1:16" ht="15" customHeight="1">
      <c r="A71" s="44"/>
      <c r="B71" s="5">
        <f t="shared" si="15"/>
        <v>45901</v>
      </c>
      <c r="C71" s="218" t="s">
        <v>533</v>
      </c>
      <c r="D71" s="195">
        <v>22404</v>
      </c>
      <c r="E71" s="186"/>
      <c r="F71" s="2">
        <v>4710.34</v>
      </c>
      <c r="G71" s="3">
        <f t="shared" si="13"/>
        <v>3761.6775239999997</v>
      </c>
      <c r="H71" s="187"/>
      <c r="I71" s="7">
        <v>0.12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565.24080000000004</v>
      </c>
      <c r="N71" s="11">
        <f t="shared" si="3"/>
        <v>68.394136800000012</v>
      </c>
      <c r="O71" s="11">
        <f t="shared" si="4"/>
        <v>315.02753920000004</v>
      </c>
      <c r="P71" s="11">
        <f t="shared" si="5"/>
        <v>0</v>
      </c>
    </row>
    <row r="72" spans="1:16" ht="15" customHeight="1">
      <c r="A72" s="44"/>
      <c r="B72" s="5">
        <f t="shared" si="15"/>
        <v>45901</v>
      </c>
      <c r="C72" s="218" t="s">
        <v>533</v>
      </c>
      <c r="D72" s="195">
        <v>6703</v>
      </c>
      <c r="E72" s="186"/>
      <c r="F72" s="2">
        <v>36891.17</v>
      </c>
      <c r="G72" s="3">
        <f t="shared" si="13"/>
        <v>29461.288361999999</v>
      </c>
      <c r="H72" s="187"/>
      <c r="I72" s="7">
        <v>0.12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4426.9403999999995</v>
      </c>
      <c r="N72" s="11">
        <f t="shared" si="3"/>
        <v>535.65978840000002</v>
      </c>
      <c r="O72" s="11">
        <f t="shared" si="4"/>
        <v>2467.2814495999996</v>
      </c>
      <c r="P72" s="11">
        <f t="shared" si="5"/>
        <v>0</v>
      </c>
    </row>
    <row r="73" spans="1:16" ht="15" customHeight="1">
      <c r="A73" s="44"/>
      <c r="B73" s="5">
        <f t="shared" si="15"/>
        <v>45901</v>
      </c>
      <c r="C73" s="218" t="s">
        <v>533</v>
      </c>
      <c r="D73" s="195">
        <v>6704</v>
      </c>
      <c r="E73" s="186"/>
      <c r="F73" s="2">
        <v>3427.05</v>
      </c>
      <c r="G73" s="3">
        <f t="shared" si="13"/>
        <v>2736.84213</v>
      </c>
      <c r="H73" s="187"/>
      <c r="I73" s="7">
        <v>0.12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411.24599999999998</v>
      </c>
      <c r="N73" s="11">
        <f t="shared" si="3"/>
        <v>49.760766000000004</v>
      </c>
      <c r="O73" s="11">
        <f t="shared" si="4"/>
        <v>229.20110400000002</v>
      </c>
      <c r="P73" s="11">
        <f t="shared" si="5"/>
        <v>0</v>
      </c>
    </row>
    <row r="74" spans="1:16" ht="15" customHeight="1">
      <c r="A74" s="44"/>
      <c r="B74" s="5">
        <f t="shared" si="15"/>
        <v>45901</v>
      </c>
      <c r="C74" s="218" t="s">
        <v>533</v>
      </c>
      <c r="D74" s="195">
        <v>26264</v>
      </c>
      <c r="E74" s="186"/>
      <c r="F74" s="2">
        <v>2645.6</v>
      </c>
      <c r="G74" s="3">
        <f t="shared" si="13"/>
        <v>2232.82026</v>
      </c>
      <c r="H74" s="187"/>
      <c r="I74" s="7">
        <v>7.0000000000000007E-2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185.19200000000001</v>
      </c>
      <c r="N74" s="11">
        <f t="shared" si="3"/>
        <v>40.596732000000003</v>
      </c>
      <c r="O74" s="11">
        <f t="shared" si="4"/>
        <v>186.99100799999999</v>
      </c>
      <c r="P74" s="11">
        <f t="shared" si="5"/>
        <v>0</v>
      </c>
    </row>
    <row r="75" spans="1:16" ht="15" customHeight="1">
      <c r="A75" s="44"/>
      <c r="B75" s="5">
        <f t="shared" si="15"/>
        <v>45901</v>
      </c>
      <c r="C75" s="218" t="s">
        <v>533</v>
      </c>
      <c r="D75" s="195">
        <v>26265</v>
      </c>
      <c r="E75" s="186"/>
      <c r="F75" s="2">
        <v>215.7</v>
      </c>
      <c r="G75" s="3">
        <f t="shared" si="13"/>
        <v>182.04540749999998</v>
      </c>
      <c r="H75" s="187"/>
      <c r="I75" s="7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15.099</v>
      </c>
      <c r="N75" s="11">
        <f t="shared" si="3"/>
        <v>3.3099164999999999</v>
      </c>
      <c r="O75" s="11">
        <f t="shared" si="4"/>
        <v>15.245676</v>
      </c>
      <c r="P75" s="11">
        <f t="shared" si="5"/>
        <v>0</v>
      </c>
    </row>
    <row r="76" spans="1:16" ht="15" customHeight="1">
      <c r="A76" s="44"/>
      <c r="B76" s="5">
        <f t="shared" si="15"/>
        <v>45901</v>
      </c>
      <c r="C76" s="218" t="s">
        <v>533</v>
      </c>
      <c r="D76" s="195">
        <v>22405</v>
      </c>
      <c r="E76" s="186"/>
      <c r="F76" s="2">
        <v>35736.17</v>
      </c>
      <c r="G76" s="3">
        <f t="shared" si="13"/>
        <v>28538.905361999998</v>
      </c>
      <c r="H76" s="187"/>
      <c r="I76" s="7">
        <v>0.12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4288.3404</v>
      </c>
      <c r="N76" s="11">
        <f t="shared" si="3"/>
        <v>518.88918839999997</v>
      </c>
      <c r="O76" s="11">
        <f t="shared" si="4"/>
        <v>2390.0350495999996</v>
      </c>
      <c r="P76" s="11">
        <f t="shared" si="5"/>
        <v>0</v>
      </c>
    </row>
    <row r="77" spans="1:16" ht="15" customHeight="1">
      <c r="A77" s="44"/>
      <c r="B77" s="5">
        <f t="shared" si="15"/>
        <v>45901</v>
      </c>
      <c r="C77" s="218" t="s">
        <v>533</v>
      </c>
      <c r="D77" s="195">
        <v>22406</v>
      </c>
      <c r="E77" s="186"/>
      <c r="F77" s="2">
        <v>3021.34</v>
      </c>
      <c r="G77" s="3">
        <f t="shared" si="13"/>
        <v>2412.8421240000002</v>
      </c>
      <c r="H77" s="187"/>
      <c r="I77" s="7">
        <v>0.12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362.56080000000003</v>
      </c>
      <c r="N77" s="11">
        <f t="shared" si="3"/>
        <v>43.869856800000001</v>
      </c>
      <c r="O77" s="11">
        <f t="shared" si="4"/>
        <v>202.06721919999998</v>
      </c>
      <c r="P77" s="11">
        <f t="shared" si="5"/>
        <v>0</v>
      </c>
    </row>
    <row r="78" spans="1:16" ht="15" customHeight="1">
      <c r="A78" s="44"/>
      <c r="B78" s="5">
        <f t="shared" si="15"/>
        <v>45901</v>
      </c>
      <c r="C78" s="218" t="s">
        <v>533</v>
      </c>
      <c r="D78" s="195">
        <v>6705</v>
      </c>
      <c r="E78" s="186"/>
      <c r="F78" s="2">
        <v>173045.66</v>
      </c>
      <c r="G78" s="3">
        <f t="shared" si="13"/>
        <v>138194.26407600002</v>
      </c>
      <c r="H78" s="187"/>
      <c r="I78" s="7">
        <v>0.12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20765.479199999998</v>
      </c>
      <c r="N78" s="11">
        <f t="shared" si="3"/>
        <v>2512.6229832000004</v>
      </c>
      <c r="O78" s="11">
        <f t="shared" si="4"/>
        <v>11573.2937408</v>
      </c>
      <c r="P78" s="11">
        <f t="shared" si="5"/>
        <v>0</v>
      </c>
    </row>
    <row r="79" spans="1:16" ht="15" customHeight="1">
      <c r="A79" s="44"/>
      <c r="B79" s="5">
        <f t="shared" si="15"/>
        <v>45901</v>
      </c>
      <c r="C79" s="218" t="s">
        <v>533</v>
      </c>
      <c r="D79" s="195">
        <v>6706</v>
      </c>
      <c r="E79" s="186"/>
      <c r="F79" s="2">
        <v>15802.93</v>
      </c>
      <c r="G79" s="3">
        <f t="shared" si="13"/>
        <v>12620.219897999999</v>
      </c>
      <c r="H79" s="187"/>
      <c r="I79" s="7">
        <v>0.12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1896.3516</v>
      </c>
      <c r="N79" s="11">
        <f t="shared" si="3"/>
        <v>229.45854360000001</v>
      </c>
      <c r="O79" s="11">
        <f t="shared" si="4"/>
        <v>1056.8999584000001</v>
      </c>
      <c r="P79" s="11">
        <f t="shared" si="5"/>
        <v>0</v>
      </c>
    </row>
    <row r="80" spans="1:16" ht="15" customHeight="1">
      <c r="A80" s="44"/>
      <c r="B80" s="5">
        <f t="shared" si="15"/>
        <v>45901</v>
      </c>
      <c r="C80" s="218" t="s">
        <v>533</v>
      </c>
      <c r="D80" s="195">
        <v>26266</v>
      </c>
      <c r="E80" s="186"/>
      <c r="F80" s="2">
        <v>12446.83</v>
      </c>
      <c r="G80" s="3">
        <f t="shared" si="13"/>
        <v>10504.81334925</v>
      </c>
      <c r="H80" s="187"/>
      <c r="I80" s="7">
        <v>7.0000000000000007E-2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871.27810000000011</v>
      </c>
      <c r="N80" s="11">
        <f t="shared" si="3"/>
        <v>190.99660635000001</v>
      </c>
      <c r="O80" s="11">
        <f t="shared" si="4"/>
        <v>879.74194439999997</v>
      </c>
      <c r="P80" s="11">
        <f t="shared" si="5"/>
        <v>0</v>
      </c>
    </row>
    <row r="81" spans="1:16" ht="15" customHeight="1">
      <c r="A81" s="44"/>
      <c r="B81" s="5">
        <f t="shared" si="15"/>
        <v>45901</v>
      </c>
      <c r="C81" s="218" t="s">
        <v>533</v>
      </c>
      <c r="D81" s="195">
        <v>26267</v>
      </c>
      <c r="E81" s="186"/>
      <c r="F81" s="2">
        <v>996.73</v>
      </c>
      <c r="G81" s="3">
        <f t="shared" si="13"/>
        <v>841.21520175000001</v>
      </c>
      <c r="H81" s="187"/>
      <c r="I81" s="7">
        <v>7.0000000000000007E-2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69.771100000000004</v>
      </c>
      <c r="N81" s="11">
        <f t="shared" si="3"/>
        <v>15.29482185</v>
      </c>
      <c r="O81" s="11">
        <f t="shared" si="4"/>
        <v>70.448876400000003</v>
      </c>
      <c r="P81" s="11">
        <f t="shared" si="5"/>
        <v>0</v>
      </c>
    </row>
    <row r="82" spans="1:16" ht="15" customHeight="1">
      <c r="A82" s="44"/>
      <c r="B82" s="5">
        <f t="shared" si="15"/>
        <v>45901</v>
      </c>
      <c r="C82" s="218" t="s">
        <v>533</v>
      </c>
      <c r="D82" s="195">
        <v>22411</v>
      </c>
      <c r="E82" s="186"/>
      <c r="F82" s="2">
        <v>168027.73</v>
      </c>
      <c r="G82" s="3">
        <f t="shared" si="13"/>
        <v>134186.94517800002</v>
      </c>
      <c r="H82" s="187"/>
      <c r="I82" s="7">
        <v>0.12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20163.327600000001</v>
      </c>
      <c r="N82" s="11">
        <f t="shared" si="3"/>
        <v>2439.7626396000005</v>
      </c>
      <c r="O82" s="11">
        <f t="shared" si="4"/>
        <v>11237.694582400001</v>
      </c>
      <c r="P82" s="11">
        <f t="shared" ref="P82:P182" si="16">L82*(F82)</f>
        <v>0</v>
      </c>
    </row>
    <row r="83" spans="1:16" ht="15" customHeight="1">
      <c r="A83" s="44"/>
      <c r="B83" s="5">
        <f t="shared" si="15"/>
        <v>45901</v>
      </c>
      <c r="C83" s="218" t="s">
        <v>533</v>
      </c>
      <c r="D83" s="195">
        <v>22412</v>
      </c>
      <c r="E83" s="186"/>
      <c r="F83" s="2">
        <v>13963.51</v>
      </c>
      <c r="G83" s="3">
        <f t="shared" si="13"/>
        <v>11151.259086</v>
      </c>
      <c r="H83" s="187"/>
      <c r="I83" s="7">
        <v>0.12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1675.6212</v>
      </c>
      <c r="N83" s="11">
        <f t="shared" si="3"/>
        <v>202.75016520000003</v>
      </c>
      <c r="O83" s="11">
        <f t="shared" si="4"/>
        <v>933.87954880000007</v>
      </c>
      <c r="P83" s="11">
        <f t="shared" si="16"/>
        <v>0</v>
      </c>
    </row>
    <row r="84" spans="1:16" ht="15" customHeight="1">
      <c r="A84" s="44"/>
      <c r="B84" s="5">
        <f t="shared" si="15"/>
        <v>45901</v>
      </c>
      <c r="C84" s="218" t="s">
        <v>533</v>
      </c>
      <c r="D84" s="195">
        <v>6709</v>
      </c>
      <c r="E84" s="186"/>
      <c r="F84" s="2">
        <v>73049.509999999995</v>
      </c>
      <c r="G84" s="3">
        <f t="shared" si="13"/>
        <v>58337.338685999996</v>
      </c>
      <c r="H84" s="187"/>
      <c r="I84" s="7">
        <v>0.12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8765.9411999999993</v>
      </c>
      <c r="N84" s="11">
        <f t="shared" si="3"/>
        <v>1060.6788852</v>
      </c>
      <c r="O84" s="11">
        <f t="shared" si="4"/>
        <v>4885.5512287999991</v>
      </c>
      <c r="P84" s="11">
        <f t="shared" si="16"/>
        <v>0</v>
      </c>
    </row>
    <row r="85" spans="1:16" ht="15" customHeight="1">
      <c r="A85" s="44"/>
      <c r="B85" s="5">
        <f t="shared" si="15"/>
        <v>45901</v>
      </c>
      <c r="C85" s="218" t="s">
        <v>533</v>
      </c>
      <c r="D85" s="195">
        <v>6710</v>
      </c>
      <c r="E85" s="186"/>
      <c r="F85" s="2">
        <v>6663.51</v>
      </c>
      <c r="G85" s="3">
        <f t="shared" si="13"/>
        <v>5321.4790860000003</v>
      </c>
      <c r="H85" s="187"/>
      <c r="I85" s="7">
        <v>0.12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799.62120000000004</v>
      </c>
      <c r="N85" s="11">
        <f t="shared" si="3"/>
        <v>96.754165200000017</v>
      </c>
      <c r="O85" s="11">
        <f t="shared" si="4"/>
        <v>445.65554880000002</v>
      </c>
      <c r="P85" s="11">
        <f t="shared" si="16"/>
        <v>0</v>
      </c>
    </row>
    <row r="86" spans="1:16" ht="15" customHeight="1">
      <c r="A86" s="44"/>
      <c r="B86" s="5">
        <f t="shared" si="15"/>
        <v>45901</v>
      </c>
      <c r="C86" s="218" t="s">
        <v>533</v>
      </c>
      <c r="D86" s="195">
        <v>26269</v>
      </c>
      <c r="E86" s="186"/>
      <c r="F86" s="2">
        <v>5253.3</v>
      </c>
      <c r="G86" s="3">
        <f t="shared" si="13"/>
        <v>4433.6538675000002</v>
      </c>
      <c r="H86" s="187"/>
      <c r="I86" s="7">
        <v>7.0000000000000007E-2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367.73100000000005</v>
      </c>
      <c r="N86" s="11">
        <f t="shared" si="3"/>
        <v>80.611888500000006</v>
      </c>
      <c r="O86" s="11">
        <f t="shared" si="4"/>
        <v>371.30324400000001</v>
      </c>
      <c r="P86" s="11">
        <f t="shared" si="16"/>
        <v>0</v>
      </c>
    </row>
    <row r="87" spans="1:16" ht="15" customHeight="1">
      <c r="A87" s="44"/>
      <c r="B87" s="5">
        <f t="shared" si="15"/>
        <v>45901</v>
      </c>
      <c r="C87" s="218" t="s">
        <v>533</v>
      </c>
      <c r="D87" s="195">
        <v>26270</v>
      </c>
      <c r="E87" s="186"/>
      <c r="F87" s="2">
        <v>420.88</v>
      </c>
      <c r="G87" s="3">
        <f t="shared" si="13"/>
        <v>355.212198</v>
      </c>
      <c r="H87" s="187"/>
      <c r="I87" s="7">
        <v>7.0000000000000007E-2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29.461600000000004</v>
      </c>
      <c r="N87" s="11">
        <f t="shared" si="3"/>
        <v>6.4584036000000005</v>
      </c>
      <c r="O87" s="11">
        <f t="shared" si="4"/>
        <v>29.747798400000001</v>
      </c>
      <c r="P87" s="11">
        <f t="shared" si="16"/>
        <v>0</v>
      </c>
    </row>
    <row r="88" spans="1:16" ht="15" customHeight="1">
      <c r="A88" s="44"/>
      <c r="B88" s="5">
        <f t="shared" si="15"/>
        <v>45901</v>
      </c>
      <c r="C88" s="218" t="s">
        <v>533</v>
      </c>
      <c r="D88" s="195">
        <v>22413</v>
      </c>
      <c r="E88" s="186"/>
      <c r="F88" s="2">
        <v>70938.94</v>
      </c>
      <c r="G88" s="3">
        <f t="shared" si="13"/>
        <v>56651.837484000003</v>
      </c>
      <c r="H88" s="187"/>
      <c r="I88" s="7">
        <v>0.12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8512.6728000000003</v>
      </c>
      <c r="N88" s="11">
        <f t="shared" si="3"/>
        <v>1030.0334088000002</v>
      </c>
      <c r="O88" s="11">
        <f t="shared" si="4"/>
        <v>4744.3963071999997</v>
      </c>
      <c r="P88" s="11">
        <f t="shared" si="16"/>
        <v>0</v>
      </c>
    </row>
    <row r="89" spans="1:16" ht="15" customHeight="1">
      <c r="A89" s="44"/>
      <c r="B89" s="5">
        <f t="shared" si="15"/>
        <v>45901</v>
      </c>
      <c r="C89" s="218" t="s">
        <v>533</v>
      </c>
      <c r="D89" s="195">
        <v>22414</v>
      </c>
      <c r="E89" s="186"/>
      <c r="F89" s="2">
        <v>5894.58</v>
      </c>
      <c r="G89" s="3">
        <f t="shared" si="13"/>
        <v>4707.4115879999999</v>
      </c>
      <c r="H89" s="187"/>
      <c r="I89" s="7">
        <v>0.12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707.34960000000001</v>
      </c>
      <c r="N89" s="11">
        <f t="shared" si="3"/>
        <v>85.589301600000013</v>
      </c>
      <c r="O89" s="11">
        <f t="shared" si="4"/>
        <v>394.22951040000004</v>
      </c>
      <c r="P89" s="11">
        <f t="shared" si="16"/>
        <v>0</v>
      </c>
    </row>
    <row r="90" spans="1:16" ht="15" customHeight="1">
      <c r="A90" s="44"/>
      <c r="B90" s="5">
        <f t="shared" si="15"/>
        <v>45901</v>
      </c>
      <c r="C90" s="218" t="s">
        <v>533</v>
      </c>
      <c r="D90" s="195">
        <v>6714</v>
      </c>
      <c r="E90" s="186"/>
      <c r="F90" s="2">
        <v>187252.84</v>
      </c>
      <c r="G90" s="3">
        <f t="shared" si="13"/>
        <v>149540.118024</v>
      </c>
      <c r="H90" s="187"/>
      <c r="I90" s="7">
        <v>0.12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22470.340799999998</v>
      </c>
      <c r="N90" s="11">
        <f t="shared" si="3"/>
        <v>2718.9112368000001</v>
      </c>
      <c r="O90" s="11">
        <f t="shared" si="4"/>
        <v>12523.469939199998</v>
      </c>
      <c r="P90" s="11">
        <f t="shared" si="16"/>
        <v>0</v>
      </c>
    </row>
    <row r="91" spans="1:16" ht="15" customHeight="1">
      <c r="A91" s="44"/>
      <c r="B91" s="5">
        <f t="shared" si="15"/>
        <v>45901</v>
      </c>
      <c r="C91" s="218" t="s">
        <v>533</v>
      </c>
      <c r="D91" s="195">
        <v>6715</v>
      </c>
      <c r="E91" s="186"/>
      <c r="F91" s="2">
        <v>16985.810000000001</v>
      </c>
      <c r="G91" s="3">
        <f t="shared" si="13"/>
        <v>13564.867866000001</v>
      </c>
      <c r="H91" s="187"/>
      <c r="I91" s="7">
        <v>0.12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2038.2972</v>
      </c>
      <c r="N91" s="11">
        <f t="shared" si="3"/>
        <v>246.63396120000002</v>
      </c>
      <c r="O91" s="11">
        <f t="shared" si="4"/>
        <v>1136.0109728</v>
      </c>
      <c r="P91" s="11">
        <f t="shared" si="16"/>
        <v>0</v>
      </c>
    </row>
    <row r="92" spans="1:16" ht="15" customHeight="1">
      <c r="A92" s="44"/>
      <c r="B92" s="5">
        <f t="shared" si="15"/>
        <v>45901</v>
      </c>
      <c r="C92" s="218" t="s">
        <v>533</v>
      </c>
      <c r="D92" s="195">
        <v>26271</v>
      </c>
      <c r="E92" s="186"/>
      <c r="F92" s="2">
        <v>13488.45</v>
      </c>
      <c r="G92" s="3">
        <f t="shared" si="13"/>
        <v>11383.914588750002</v>
      </c>
      <c r="H92" s="187"/>
      <c r="I92" s="7">
        <v>7.0000000000000007E-2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944.19150000000013</v>
      </c>
      <c r="N92" s="11">
        <f t="shared" si="3"/>
        <v>206.98026525</v>
      </c>
      <c r="O92" s="11">
        <f t="shared" si="4"/>
        <v>953.36364600000002</v>
      </c>
      <c r="P92" s="11">
        <f t="shared" si="16"/>
        <v>0</v>
      </c>
    </row>
    <row r="93" spans="1:16" ht="15" customHeight="1">
      <c r="A93" s="44"/>
      <c r="B93" s="5">
        <f t="shared" si="15"/>
        <v>45901</v>
      </c>
      <c r="C93" s="218" t="s">
        <v>533</v>
      </c>
      <c r="D93" s="195">
        <v>26272</v>
      </c>
      <c r="E93" s="186"/>
      <c r="F93" s="2">
        <v>1073.17</v>
      </c>
      <c r="G93" s="3">
        <f t="shared" si="13"/>
        <v>905.72865075000004</v>
      </c>
      <c r="H93" s="187"/>
      <c r="I93" s="7">
        <v>7.0000000000000007E-2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75.121900000000011</v>
      </c>
      <c r="N93" s="11">
        <f t="shared" si="3"/>
        <v>16.467793650000001</v>
      </c>
      <c r="O93" s="11">
        <f t="shared" si="4"/>
        <v>75.851655600000001</v>
      </c>
      <c r="P93" s="11">
        <f t="shared" si="16"/>
        <v>0</v>
      </c>
    </row>
    <row r="94" spans="1:16" ht="15" customHeight="1">
      <c r="A94" s="44"/>
      <c r="B94" s="5">
        <f t="shared" si="15"/>
        <v>45901</v>
      </c>
      <c r="C94" s="218" t="s">
        <v>533</v>
      </c>
      <c r="D94" s="195">
        <v>22421</v>
      </c>
      <c r="E94" s="186"/>
      <c r="F94" s="2">
        <v>182097.03</v>
      </c>
      <c r="G94" s="3">
        <f t="shared" si="13"/>
        <v>145422.688158</v>
      </c>
      <c r="H94" s="187"/>
      <c r="I94" s="7">
        <v>0.12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21851.643599999999</v>
      </c>
      <c r="N94" s="11">
        <f t="shared" si="3"/>
        <v>2644.0488756</v>
      </c>
      <c r="O94" s="11">
        <f t="shared" si="4"/>
        <v>12178.649366399999</v>
      </c>
      <c r="P94" s="11">
        <f t="shared" si="16"/>
        <v>0</v>
      </c>
    </row>
    <row r="95" spans="1:16" ht="15" customHeight="1">
      <c r="A95" s="44"/>
      <c r="B95" s="5">
        <f t="shared" si="15"/>
        <v>45901</v>
      </c>
      <c r="C95" s="218" t="s">
        <v>533</v>
      </c>
      <c r="D95" s="195">
        <v>22418</v>
      </c>
      <c r="E95" s="186"/>
      <c r="F95" s="2">
        <v>15039.33</v>
      </c>
      <c r="G95" s="3">
        <f t="shared" si="13"/>
        <v>12010.408938</v>
      </c>
      <c r="H95" s="187"/>
      <c r="I95" s="7">
        <v>0.12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1804.7195999999999</v>
      </c>
      <c r="N95" s="11">
        <f t="shared" si="3"/>
        <v>218.37107159999999</v>
      </c>
      <c r="O95" s="11">
        <f t="shared" si="4"/>
        <v>1005.8303903999999</v>
      </c>
      <c r="P95" s="11">
        <f t="shared" si="16"/>
        <v>0</v>
      </c>
    </row>
    <row r="96" spans="1:16" ht="15" customHeight="1">
      <c r="A96" s="44"/>
      <c r="B96" s="5">
        <f t="shared" si="15"/>
        <v>45901</v>
      </c>
      <c r="C96" s="218" t="s">
        <v>533</v>
      </c>
      <c r="D96" s="195">
        <v>6723</v>
      </c>
      <c r="E96" s="186"/>
      <c r="F96" s="2">
        <v>221493.77</v>
      </c>
      <c r="G96" s="3">
        <f t="shared" si="13"/>
        <v>176884.924722</v>
      </c>
      <c r="H96" s="187"/>
      <c r="I96" s="7">
        <v>0.12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26579.252399999998</v>
      </c>
      <c r="N96" s="11">
        <f t="shared" si="3"/>
        <v>3216.0895403999998</v>
      </c>
      <c r="O96" s="11">
        <f t="shared" si="4"/>
        <v>14813.503337599999</v>
      </c>
      <c r="P96" s="11">
        <f t="shared" si="16"/>
        <v>0</v>
      </c>
    </row>
    <row r="97" spans="1:16" ht="15" customHeight="1">
      <c r="A97" s="44"/>
      <c r="B97" s="5">
        <f t="shared" si="15"/>
        <v>45901</v>
      </c>
      <c r="C97" s="218" t="s">
        <v>533</v>
      </c>
      <c r="D97" s="195">
        <v>6724</v>
      </c>
      <c r="E97" s="186"/>
      <c r="F97" s="2">
        <v>19737.72</v>
      </c>
      <c r="G97" s="3">
        <f t="shared" si="13"/>
        <v>15762.543192000001</v>
      </c>
      <c r="H97" s="187"/>
      <c r="I97" s="7">
        <v>0.12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2368.5264000000002</v>
      </c>
      <c r="N97" s="11">
        <f t="shared" si="3"/>
        <v>286.59169440000005</v>
      </c>
      <c r="O97" s="11">
        <f t="shared" si="4"/>
        <v>1320.0587136000001</v>
      </c>
      <c r="P97" s="11">
        <f t="shared" si="16"/>
        <v>0</v>
      </c>
    </row>
    <row r="98" spans="1:16" ht="15" customHeight="1">
      <c r="A98" s="44"/>
      <c r="B98" s="5">
        <f t="shared" si="15"/>
        <v>45901</v>
      </c>
      <c r="C98" s="218" t="s">
        <v>533</v>
      </c>
      <c r="D98" s="195">
        <v>26274</v>
      </c>
      <c r="E98" s="186"/>
      <c r="F98" s="2">
        <v>2634.73</v>
      </c>
      <c r="G98" s="3">
        <f t="shared" si="13"/>
        <v>2223.6462517499999</v>
      </c>
      <c r="H98" s="187"/>
      <c r="I98" s="7">
        <v>7.0000000000000007E-2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184.43110000000001</v>
      </c>
      <c r="N98" s="11">
        <f t="shared" si="3"/>
        <v>40.429931849999996</v>
      </c>
      <c r="O98" s="11">
        <f t="shared" si="4"/>
        <v>186.22271639999997</v>
      </c>
      <c r="P98" s="11">
        <f t="shared" si="16"/>
        <v>0</v>
      </c>
    </row>
    <row r="99" spans="1:16" ht="15" customHeight="1">
      <c r="A99" s="44"/>
      <c r="B99" s="5">
        <f t="shared" si="15"/>
        <v>45901</v>
      </c>
      <c r="C99" s="218" t="s">
        <v>533</v>
      </c>
      <c r="D99" s="195">
        <v>26275</v>
      </c>
      <c r="E99" s="186"/>
      <c r="F99" s="2">
        <v>205.23</v>
      </c>
      <c r="G99" s="3">
        <f t="shared" si="13"/>
        <v>173.20898925</v>
      </c>
      <c r="H99" s="187"/>
      <c r="I99" s="7">
        <v>7.0000000000000007E-2</v>
      </c>
      <c r="J99" s="7">
        <v>1.6500000000000001E-2</v>
      </c>
      <c r="K99" s="7">
        <v>7.5999999999999998E-2</v>
      </c>
      <c r="L99" s="7">
        <v>0</v>
      </c>
      <c r="M99" s="11">
        <f t="shared" si="2"/>
        <v>14.366100000000001</v>
      </c>
      <c r="N99" s="11">
        <f t="shared" si="3"/>
        <v>3.1492543500000001</v>
      </c>
      <c r="O99" s="11">
        <f t="shared" si="4"/>
        <v>14.505656399999999</v>
      </c>
      <c r="P99" s="11">
        <f t="shared" si="16"/>
        <v>0</v>
      </c>
    </row>
    <row r="100" spans="1:16" ht="15" customHeight="1">
      <c r="A100" s="44"/>
      <c r="B100" s="5">
        <f t="shared" si="15"/>
        <v>45901</v>
      </c>
      <c r="C100" s="218" t="s">
        <v>533</v>
      </c>
      <c r="D100" s="195">
        <v>22425</v>
      </c>
      <c r="E100" s="186"/>
      <c r="F100" s="2">
        <v>213667.36</v>
      </c>
      <c r="G100" s="3">
        <f t="shared" si="13"/>
        <v>170634.753696</v>
      </c>
      <c r="H100" s="187"/>
      <c r="I100" s="7">
        <v>0.12</v>
      </c>
      <c r="J100" s="7">
        <v>1.6500000000000001E-2</v>
      </c>
      <c r="K100" s="7">
        <v>7.5999999999999998E-2</v>
      </c>
      <c r="L100" s="7">
        <v>0</v>
      </c>
      <c r="M100" s="11">
        <f t="shared" si="2"/>
        <v>25640.083199999997</v>
      </c>
      <c r="N100" s="11">
        <f t="shared" si="3"/>
        <v>3102.4500671999999</v>
      </c>
      <c r="O100" s="11">
        <f t="shared" si="4"/>
        <v>14290.073036799999</v>
      </c>
      <c r="P100" s="11">
        <f t="shared" si="16"/>
        <v>0</v>
      </c>
    </row>
    <row r="101" spans="1:16" ht="15" customHeight="1">
      <c r="A101" s="44"/>
      <c r="B101" s="5">
        <f t="shared" si="15"/>
        <v>45901</v>
      </c>
      <c r="C101" s="218" t="s">
        <v>533</v>
      </c>
      <c r="D101" s="195">
        <v>22426</v>
      </c>
      <c r="E101" s="186"/>
      <c r="F101" s="2">
        <v>17228.57</v>
      </c>
      <c r="G101" s="3">
        <f t="shared" si="13"/>
        <v>13758.736002</v>
      </c>
      <c r="H101" s="187"/>
      <c r="I101" s="7">
        <v>0.12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2067.4283999999998</v>
      </c>
      <c r="N101" s="11">
        <f t="shared" si="3"/>
        <v>250.15883639999998</v>
      </c>
      <c r="O101" s="11">
        <f t="shared" si="4"/>
        <v>1152.2467615999999</v>
      </c>
      <c r="P101" s="11">
        <f t="shared" si="16"/>
        <v>0</v>
      </c>
    </row>
    <row r="102" spans="1:16" ht="15" customHeight="1">
      <c r="A102" s="44"/>
      <c r="B102" s="5">
        <f t="shared" si="15"/>
        <v>45901</v>
      </c>
      <c r="C102" s="218" t="s">
        <v>533</v>
      </c>
      <c r="D102" s="195">
        <v>6725</v>
      </c>
      <c r="E102" s="186"/>
      <c r="F102" s="2">
        <v>273153.37</v>
      </c>
      <c r="G102" s="3">
        <f t="shared" si="13"/>
        <v>218140.28128200001</v>
      </c>
      <c r="H102" s="187"/>
      <c r="I102" s="7">
        <v>0.12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32778.404399999999</v>
      </c>
      <c r="N102" s="11">
        <f t="shared" si="3"/>
        <v>3966.1869323999999</v>
      </c>
      <c r="O102" s="11">
        <f t="shared" si="4"/>
        <v>18268.4973856</v>
      </c>
      <c r="P102" s="11">
        <f t="shared" si="16"/>
        <v>0</v>
      </c>
    </row>
    <row r="103" spans="1:16" ht="15" customHeight="1">
      <c r="A103" s="44"/>
      <c r="B103" s="5">
        <f t="shared" si="15"/>
        <v>45901</v>
      </c>
      <c r="C103" s="218" t="s">
        <v>533</v>
      </c>
      <c r="D103" s="195">
        <v>6729</v>
      </c>
      <c r="E103" s="186"/>
      <c r="F103" s="2">
        <v>23191.39</v>
      </c>
      <c r="G103" s="3">
        <f t="shared" si="13"/>
        <v>18520.644054</v>
      </c>
      <c r="H103" s="187"/>
      <c r="I103" s="7">
        <v>0.12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2782.9667999999997</v>
      </c>
      <c r="N103" s="11">
        <f t="shared" si="3"/>
        <v>336.73898280000003</v>
      </c>
      <c r="O103" s="11">
        <f t="shared" si="4"/>
        <v>1551.0401632000001</v>
      </c>
      <c r="P103" s="11">
        <f t="shared" si="16"/>
        <v>0</v>
      </c>
    </row>
    <row r="104" spans="1:16" ht="15" customHeight="1">
      <c r="A104" s="44"/>
      <c r="B104" s="5">
        <f t="shared" si="15"/>
        <v>45901</v>
      </c>
      <c r="C104" s="218" t="s">
        <v>533</v>
      </c>
      <c r="D104" s="195">
        <v>26276</v>
      </c>
      <c r="E104" s="186"/>
      <c r="F104" s="2">
        <v>3275.44</v>
      </c>
      <c r="G104" s="3">
        <f t="shared" si="13"/>
        <v>2764.3894740000001</v>
      </c>
      <c r="H104" s="187"/>
      <c r="I104" s="7">
        <v>7.0000000000000007E-2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229.28080000000003</v>
      </c>
      <c r="N104" s="11">
        <f t="shared" si="3"/>
        <v>50.261626800000002</v>
      </c>
      <c r="O104" s="11">
        <f t="shared" si="4"/>
        <v>231.5080992</v>
      </c>
      <c r="P104" s="11">
        <f t="shared" si="16"/>
        <v>0</v>
      </c>
    </row>
    <row r="105" spans="1:16" ht="15" customHeight="1">
      <c r="A105" s="44"/>
      <c r="B105" s="5">
        <f t="shared" si="15"/>
        <v>45901</v>
      </c>
      <c r="C105" s="218" t="s">
        <v>533</v>
      </c>
      <c r="D105" s="195">
        <v>26277</v>
      </c>
      <c r="E105" s="186"/>
      <c r="F105" s="2">
        <v>243.02</v>
      </c>
      <c r="G105" s="3">
        <f t="shared" si="13"/>
        <v>205.10280449999999</v>
      </c>
      <c r="H105" s="187"/>
      <c r="I105" s="7">
        <v>7.0000000000000007E-2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17.011400000000002</v>
      </c>
      <c r="N105" s="11">
        <f t="shared" si="3"/>
        <v>3.7291419000000001</v>
      </c>
      <c r="O105" s="11">
        <f t="shared" si="4"/>
        <v>17.176653599999998</v>
      </c>
      <c r="P105" s="11">
        <f t="shared" si="16"/>
        <v>0</v>
      </c>
    </row>
    <row r="106" spans="1:16" ht="15" customHeight="1">
      <c r="A106" s="44"/>
      <c r="B106" s="5">
        <f t="shared" si="15"/>
        <v>45901</v>
      </c>
      <c r="C106" s="218" t="s">
        <v>533</v>
      </c>
      <c r="D106" s="195">
        <v>22431</v>
      </c>
      <c r="E106" s="186"/>
      <c r="F106" s="2">
        <v>265432.34000000003</v>
      </c>
      <c r="G106" s="3">
        <f t="shared" si="13"/>
        <v>211974.26672400002</v>
      </c>
      <c r="H106" s="187"/>
      <c r="I106" s="7">
        <v>0.12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31851.880800000003</v>
      </c>
      <c r="N106" s="11">
        <f t="shared" si="3"/>
        <v>3854.0775768000003</v>
      </c>
      <c r="O106" s="11">
        <f t="shared" si="4"/>
        <v>17752.114899200002</v>
      </c>
      <c r="P106" s="11">
        <f t="shared" si="16"/>
        <v>0</v>
      </c>
    </row>
    <row r="107" spans="1:16" ht="15" customHeight="1">
      <c r="A107" s="44"/>
      <c r="B107" s="5">
        <f t="shared" si="15"/>
        <v>45901</v>
      </c>
      <c r="C107" s="218" t="s">
        <v>533</v>
      </c>
      <c r="D107" s="195">
        <v>22432</v>
      </c>
      <c r="E107" s="186"/>
      <c r="F107" s="2">
        <v>20438.57</v>
      </c>
      <c r="G107" s="3">
        <f t="shared" si="13"/>
        <v>16322.242001999999</v>
      </c>
      <c r="H107" s="187"/>
      <c r="I107" s="7">
        <v>0.12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2452.6284000000001</v>
      </c>
      <c r="N107" s="11">
        <f t="shared" si="3"/>
        <v>296.76803639999997</v>
      </c>
      <c r="O107" s="11">
        <f t="shared" si="4"/>
        <v>1366.9315615999999</v>
      </c>
      <c r="P107" s="11">
        <f t="shared" si="16"/>
        <v>0</v>
      </c>
    </row>
    <row r="108" spans="1:16" ht="15" hidden="1" customHeight="1">
      <c r="A108" s="44"/>
      <c r="B108" s="5">
        <f t="shared" si="15"/>
        <v>45901</v>
      </c>
      <c r="C108" s="218" t="s">
        <v>533</v>
      </c>
      <c r="D108" s="195"/>
      <c r="E108" s="186"/>
      <c r="F108" s="2"/>
      <c r="G108" s="3">
        <f t="shared" si="13"/>
        <v>0</v>
      </c>
      <c r="H108" s="187"/>
      <c r="I108" s="7"/>
      <c r="J108" s="7">
        <v>1.6500000000000001E-2</v>
      </c>
      <c r="K108" s="7">
        <v>7.5999999999999998E-2</v>
      </c>
      <c r="L108" s="7">
        <v>0</v>
      </c>
      <c r="M108" s="11">
        <f t="shared" si="2"/>
        <v>0</v>
      </c>
      <c r="N108" s="11">
        <f t="shared" si="3"/>
        <v>0</v>
      </c>
      <c r="O108" s="11">
        <f t="shared" si="4"/>
        <v>0</v>
      </c>
      <c r="P108" s="11">
        <f t="shared" si="16"/>
        <v>0</v>
      </c>
    </row>
    <row r="109" spans="1:16" ht="15" hidden="1" customHeight="1">
      <c r="A109" s="44"/>
      <c r="B109" s="5">
        <f t="shared" si="15"/>
        <v>45901</v>
      </c>
      <c r="C109" s="218" t="s">
        <v>533</v>
      </c>
      <c r="D109" s="195"/>
      <c r="E109" s="186"/>
      <c r="F109" s="2"/>
      <c r="G109" s="3">
        <f t="shared" si="13"/>
        <v>0</v>
      </c>
      <c r="H109" s="187"/>
      <c r="I109" s="7"/>
      <c r="J109" s="7">
        <v>1.6500000000000001E-2</v>
      </c>
      <c r="K109" s="7">
        <v>7.5999999999999998E-2</v>
      </c>
      <c r="L109" s="7">
        <v>0</v>
      </c>
      <c r="M109" s="11">
        <f t="shared" si="2"/>
        <v>0</v>
      </c>
      <c r="N109" s="11">
        <f t="shared" si="3"/>
        <v>0</v>
      </c>
      <c r="O109" s="11">
        <f t="shared" si="4"/>
        <v>0</v>
      </c>
      <c r="P109" s="11">
        <f t="shared" si="16"/>
        <v>0</v>
      </c>
    </row>
    <row r="110" spans="1:16" ht="15" hidden="1" customHeight="1">
      <c r="A110" s="44"/>
      <c r="B110" s="5">
        <f t="shared" si="15"/>
        <v>45901</v>
      </c>
      <c r="C110" s="218" t="s">
        <v>533</v>
      </c>
      <c r="D110" s="195"/>
      <c r="E110" s="186"/>
      <c r="F110" s="2"/>
      <c r="G110" s="3">
        <f t="shared" si="13"/>
        <v>0</v>
      </c>
      <c r="H110" s="187"/>
      <c r="I110" s="7"/>
      <c r="J110" s="7">
        <v>1.6500000000000001E-2</v>
      </c>
      <c r="K110" s="7">
        <v>7.5999999999999998E-2</v>
      </c>
      <c r="L110" s="7">
        <v>0</v>
      </c>
      <c r="M110" s="11">
        <f t="shared" si="2"/>
        <v>0</v>
      </c>
      <c r="N110" s="11">
        <f t="shared" si="3"/>
        <v>0</v>
      </c>
      <c r="O110" s="11">
        <f t="shared" si="4"/>
        <v>0</v>
      </c>
      <c r="P110" s="11">
        <f t="shared" si="16"/>
        <v>0</v>
      </c>
    </row>
    <row r="111" spans="1:16" ht="15" hidden="1" customHeight="1">
      <c r="A111" s="44"/>
      <c r="B111" s="5">
        <f t="shared" si="15"/>
        <v>45901</v>
      </c>
      <c r="C111" s="218" t="s">
        <v>533</v>
      </c>
      <c r="D111" s="195"/>
      <c r="E111" s="186"/>
      <c r="F111" s="2"/>
      <c r="G111" s="3">
        <f t="shared" si="13"/>
        <v>0</v>
      </c>
      <c r="H111" s="187"/>
      <c r="I111" s="7"/>
      <c r="J111" s="7">
        <v>1.6500000000000001E-2</v>
      </c>
      <c r="K111" s="7">
        <v>7.5999999999999998E-2</v>
      </c>
      <c r="L111" s="7">
        <v>0</v>
      </c>
      <c r="M111" s="11">
        <f t="shared" si="2"/>
        <v>0</v>
      </c>
      <c r="N111" s="11">
        <f t="shared" si="3"/>
        <v>0</v>
      </c>
      <c r="O111" s="11">
        <f t="shared" si="4"/>
        <v>0</v>
      </c>
      <c r="P111" s="11">
        <f t="shared" si="16"/>
        <v>0</v>
      </c>
    </row>
    <row r="112" spans="1:16" ht="15" hidden="1" customHeight="1">
      <c r="A112" s="44"/>
      <c r="B112" s="5">
        <f t="shared" si="15"/>
        <v>45901</v>
      </c>
      <c r="C112" s="218" t="s">
        <v>533</v>
      </c>
      <c r="D112" s="195"/>
      <c r="E112" s="186"/>
      <c r="F112" s="2"/>
      <c r="G112" s="3">
        <f t="shared" si="13"/>
        <v>0</v>
      </c>
      <c r="H112" s="187"/>
      <c r="I112" s="7"/>
      <c r="J112" s="7">
        <v>1.6500000000000001E-2</v>
      </c>
      <c r="K112" s="7">
        <v>7.5999999999999998E-2</v>
      </c>
      <c r="L112" s="7">
        <v>0</v>
      </c>
      <c r="M112" s="11">
        <f t="shared" si="2"/>
        <v>0</v>
      </c>
      <c r="N112" s="11">
        <f t="shared" si="3"/>
        <v>0</v>
      </c>
      <c r="O112" s="11">
        <f t="shared" si="4"/>
        <v>0</v>
      </c>
      <c r="P112" s="11">
        <f t="shared" si="16"/>
        <v>0</v>
      </c>
    </row>
    <row r="113" spans="1:16" ht="15" hidden="1" customHeight="1">
      <c r="A113" s="44"/>
      <c r="B113" s="5">
        <f t="shared" si="15"/>
        <v>45901</v>
      </c>
      <c r="C113" s="218" t="s">
        <v>533</v>
      </c>
      <c r="D113" s="195"/>
      <c r="E113" s="186"/>
      <c r="F113" s="2"/>
      <c r="G113" s="3">
        <f t="shared" si="13"/>
        <v>0</v>
      </c>
      <c r="H113" s="187"/>
      <c r="I113" s="7"/>
      <c r="J113" s="7">
        <v>1.6500000000000001E-2</v>
      </c>
      <c r="K113" s="7">
        <v>7.5999999999999998E-2</v>
      </c>
      <c r="L113" s="7">
        <v>0</v>
      </c>
      <c r="M113" s="11">
        <f t="shared" si="2"/>
        <v>0</v>
      </c>
      <c r="N113" s="11">
        <f t="shared" si="3"/>
        <v>0</v>
      </c>
      <c r="O113" s="11">
        <f t="shared" si="4"/>
        <v>0</v>
      </c>
      <c r="P113" s="11">
        <f t="shared" si="16"/>
        <v>0</v>
      </c>
    </row>
    <row r="114" spans="1:16" ht="15" hidden="1" customHeight="1">
      <c r="A114" s="44"/>
      <c r="B114" s="5">
        <f t="shared" si="15"/>
        <v>45901</v>
      </c>
      <c r="C114" s="218" t="s">
        <v>533</v>
      </c>
      <c r="D114" s="195"/>
      <c r="E114" s="186"/>
      <c r="F114" s="2"/>
      <c r="G114" s="3">
        <f t="shared" si="13"/>
        <v>0</v>
      </c>
      <c r="H114" s="187"/>
      <c r="I114" s="7"/>
      <c r="J114" s="7">
        <v>1.6500000000000001E-2</v>
      </c>
      <c r="K114" s="7">
        <v>7.5999999999999998E-2</v>
      </c>
      <c r="L114" s="7">
        <v>0</v>
      </c>
      <c r="M114" s="11">
        <f t="shared" si="2"/>
        <v>0</v>
      </c>
      <c r="N114" s="11">
        <f t="shared" si="3"/>
        <v>0</v>
      </c>
      <c r="O114" s="11">
        <f t="shared" si="4"/>
        <v>0</v>
      </c>
      <c r="P114" s="11">
        <f t="shared" si="16"/>
        <v>0</v>
      </c>
    </row>
    <row r="115" spans="1:16" ht="15" hidden="1" customHeight="1">
      <c r="A115" s="44"/>
      <c r="B115" s="5">
        <f t="shared" si="15"/>
        <v>45901</v>
      </c>
      <c r="C115" s="218" t="s">
        <v>533</v>
      </c>
      <c r="D115" s="195"/>
      <c r="E115" s="186"/>
      <c r="F115" s="2"/>
      <c r="G115" s="3">
        <f t="shared" si="13"/>
        <v>0</v>
      </c>
      <c r="H115" s="187"/>
      <c r="I115" s="7"/>
      <c r="J115" s="7">
        <v>1.6500000000000001E-2</v>
      </c>
      <c r="K115" s="7">
        <v>7.5999999999999998E-2</v>
      </c>
      <c r="L115" s="7">
        <v>0</v>
      </c>
      <c r="M115" s="11">
        <f t="shared" si="2"/>
        <v>0</v>
      </c>
      <c r="N115" s="11">
        <f t="shared" si="3"/>
        <v>0</v>
      </c>
      <c r="O115" s="11">
        <f t="shared" si="4"/>
        <v>0</v>
      </c>
      <c r="P115" s="11">
        <f t="shared" si="16"/>
        <v>0</v>
      </c>
    </row>
    <row r="116" spans="1:16" ht="15" hidden="1" customHeight="1">
      <c r="A116" s="44"/>
      <c r="B116" s="5">
        <f t="shared" si="15"/>
        <v>45901</v>
      </c>
      <c r="C116" s="218" t="s">
        <v>533</v>
      </c>
      <c r="D116" s="195"/>
      <c r="E116" s="186"/>
      <c r="F116" s="2"/>
      <c r="G116" s="3">
        <f t="shared" si="13"/>
        <v>0</v>
      </c>
      <c r="H116" s="187"/>
      <c r="I116" s="7"/>
      <c r="J116" s="7">
        <v>1.6500000000000001E-2</v>
      </c>
      <c r="K116" s="7">
        <v>7.5999999999999998E-2</v>
      </c>
      <c r="L116" s="7">
        <v>0</v>
      </c>
      <c r="M116" s="11">
        <f t="shared" si="2"/>
        <v>0</v>
      </c>
      <c r="N116" s="11">
        <f t="shared" si="3"/>
        <v>0</v>
      </c>
      <c r="O116" s="11">
        <f t="shared" si="4"/>
        <v>0</v>
      </c>
      <c r="P116" s="11">
        <f t="shared" si="16"/>
        <v>0</v>
      </c>
    </row>
    <row r="117" spans="1:16" ht="15" hidden="1" customHeight="1">
      <c r="A117" s="44"/>
      <c r="B117" s="5">
        <f t="shared" si="15"/>
        <v>45901</v>
      </c>
      <c r="C117" s="218" t="s">
        <v>533</v>
      </c>
      <c r="D117" s="195"/>
      <c r="E117" s="186"/>
      <c r="F117" s="2"/>
      <c r="G117" s="3">
        <f t="shared" si="13"/>
        <v>0</v>
      </c>
      <c r="H117" s="187"/>
      <c r="I117" s="7"/>
      <c r="J117" s="7">
        <v>1.6500000000000001E-2</v>
      </c>
      <c r="K117" s="7">
        <v>7.5999999999999998E-2</v>
      </c>
      <c r="L117" s="7">
        <v>0</v>
      </c>
      <c r="M117" s="11">
        <f t="shared" si="2"/>
        <v>0</v>
      </c>
      <c r="N117" s="11">
        <f t="shared" si="3"/>
        <v>0</v>
      </c>
      <c r="O117" s="11">
        <f t="shared" si="4"/>
        <v>0</v>
      </c>
      <c r="P117" s="11">
        <f t="shared" si="16"/>
        <v>0</v>
      </c>
    </row>
    <row r="118" spans="1:16" ht="15" hidden="1" customHeight="1">
      <c r="A118" s="44"/>
      <c r="B118" s="5">
        <f t="shared" si="15"/>
        <v>45901</v>
      </c>
      <c r="C118" s="218" t="s">
        <v>533</v>
      </c>
      <c r="D118" s="195"/>
      <c r="E118" s="186"/>
      <c r="F118" s="2"/>
      <c r="G118" s="3">
        <f t="shared" ref="G118:G182" si="17">F118-SUM(M118:P118)</f>
        <v>0</v>
      </c>
      <c r="H118" s="187"/>
      <c r="I118" s="7"/>
      <c r="J118" s="7">
        <v>1.6500000000000001E-2</v>
      </c>
      <c r="K118" s="7">
        <v>7.5999999999999998E-2</v>
      </c>
      <c r="L118" s="7">
        <v>0</v>
      </c>
      <c r="M118" s="11">
        <f t="shared" si="2"/>
        <v>0</v>
      </c>
      <c r="N118" s="11">
        <f t="shared" si="3"/>
        <v>0</v>
      </c>
      <c r="O118" s="11">
        <f t="shared" si="4"/>
        <v>0</v>
      </c>
      <c r="P118" s="11">
        <f t="shared" si="16"/>
        <v>0</v>
      </c>
    </row>
    <row r="119" spans="1:16" ht="15" hidden="1" customHeight="1">
      <c r="A119" s="44"/>
      <c r="B119" s="5">
        <f t="shared" si="15"/>
        <v>45901</v>
      </c>
      <c r="C119" s="218" t="s">
        <v>533</v>
      </c>
      <c r="D119" s="195"/>
      <c r="E119" s="186"/>
      <c r="F119" s="2"/>
      <c r="G119" s="3">
        <f t="shared" si="17"/>
        <v>0</v>
      </c>
      <c r="H119" s="187"/>
      <c r="I119" s="7"/>
      <c r="J119" s="7">
        <v>1.6500000000000001E-2</v>
      </c>
      <c r="K119" s="7">
        <v>7.5999999999999998E-2</v>
      </c>
      <c r="L119" s="7">
        <v>0</v>
      </c>
      <c r="M119" s="11">
        <f t="shared" si="2"/>
        <v>0</v>
      </c>
      <c r="N119" s="11">
        <f t="shared" si="3"/>
        <v>0</v>
      </c>
      <c r="O119" s="11">
        <f t="shared" si="4"/>
        <v>0</v>
      </c>
      <c r="P119" s="11">
        <f t="shared" si="16"/>
        <v>0</v>
      </c>
    </row>
    <row r="120" spans="1:16" ht="15" hidden="1" customHeight="1">
      <c r="A120" s="44"/>
      <c r="B120" s="5">
        <f t="shared" si="15"/>
        <v>45901</v>
      </c>
      <c r="C120" s="218" t="s">
        <v>533</v>
      </c>
      <c r="D120" s="195"/>
      <c r="E120" s="186"/>
      <c r="F120" s="2"/>
      <c r="G120" s="3">
        <f t="shared" si="17"/>
        <v>0</v>
      </c>
      <c r="H120" s="187"/>
      <c r="I120" s="7"/>
      <c r="J120" s="7">
        <v>1.6500000000000001E-2</v>
      </c>
      <c r="K120" s="7">
        <v>7.5999999999999998E-2</v>
      </c>
      <c r="L120" s="7">
        <v>0</v>
      </c>
      <c r="M120" s="11">
        <f t="shared" si="2"/>
        <v>0</v>
      </c>
      <c r="N120" s="11">
        <f t="shared" si="3"/>
        <v>0</v>
      </c>
      <c r="O120" s="11">
        <f t="shared" si="4"/>
        <v>0</v>
      </c>
      <c r="P120" s="11">
        <f t="shared" si="16"/>
        <v>0</v>
      </c>
    </row>
    <row r="121" spans="1:16" ht="15" hidden="1" customHeight="1">
      <c r="A121" s="44"/>
      <c r="B121" s="5">
        <f t="shared" si="15"/>
        <v>45901</v>
      </c>
      <c r="C121" s="218" t="s">
        <v>533</v>
      </c>
      <c r="D121" s="195"/>
      <c r="E121" s="186"/>
      <c r="F121" s="2"/>
      <c r="G121" s="3">
        <f t="shared" si="17"/>
        <v>0</v>
      </c>
      <c r="H121" s="187"/>
      <c r="I121" s="7"/>
      <c r="J121" s="7">
        <v>1.6500000000000001E-2</v>
      </c>
      <c r="K121" s="7">
        <v>7.5999999999999998E-2</v>
      </c>
      <c r="L121" s="7">
        <v>0</v>
      </c>
      <c r="M121" s="11">
        <f t="shared" si="2"/>
        <v>0</v>
      </c>
      <c r="N121" s="11">
        <f t="shared" si="3"/>
        <v>0</v>
      </c>
      <c r="O121" s="11">
        <f t="shared" si="4"/>
        <v>0</v>
      </c>
      <c r="P121" s="11">
        <f t="shared" si="16"/>
        <v>0</v>
      </c>
    </row>
    <row r="122" spans="1:16" ht="15" hidden="1" customHeight="1">
      <c r="A122" s="44"/>
      <c r="B122" s="5">
        <f t="shared" si="15"/>
        <v>45901</v>
      </c>
      <c r="C122" s="218" t="s">
        <v>533</v>
      </c>
      <c r="D122" s="195"/>
      <c r="E122" s="186"/>
      <c r="F122" s="2"/>
      <c r="G122" s="3">
        <f t="shared" si="17"/>
        <v>0</v>
      </c>
      <c r="H122" s="187"/>
      <c r="I122" s="7"/>
      <c r="J122" s="7">
        <v>1.6500000000000001E-2</v>
      </c>
      <c r="K122" s="7">
        <v>7.5999999999999998E-2</v>
      </c>
      <c r="L122" s="7">
        <v>0</v>
      </c>
      <c r="M122" s="11">
        <f t="shared" si="2"/>
        <v>0</v>
      </c>
      <c r="N122" s="11">
        <f t="shared" si="3"/>
        <v>0</v>
      </c>
      <c r="O122" s="11">
        <f t="shared" si="4"/>
        <v>0</v>
      </c>
      <c r="P122" s="11">
        <f t="shared" si="16"/>
        <v>0</v>
      </c>
    </row>
    <row r="123" spans="1:16" ht="15" hidden="1" customHeight="1">
      <c r="A123" s="44"/>
      <c r="B123" s="5">
        <f t="shared" ref="B123:B182" si="18">B122</f>
        <v>45901</v>
      </c>
      <c r="C123" s="218" t="s">
        <v>533</v>
      </c>
      <c r="D123" s="195"/>
      <c r="E123" s="186"/>
      <c r="F123" s="2"/>
      <c r="G123" s="3">
        <f t="shared" si="17"/>
        <v>0</v>
      </c>
      <c r="H123" s="187"/>
      <c r="I123" s="7"/>
      <c r="J123" s="7">
        <v>1.6500000000000001E-2</v>
      </c>
      <c r="K123" s="7">
        <v>7.5999999999999998E-2</v>
      </c>
      <c r="L123" s="7">
        <v>0</v>
      </c>
      <c r="M123" s="11">
        <f t="shared" si="2"/>
        <v>0</v>
      </c>
      <c r="N123" s="11">
        <f t="shared" si="3"/>
        <v>0</v>
      </c>
      <c r="O123" s="11">
        <f t="shared" si="4"/>
        <v>0</v>
      </c>
      <c r="P123" s="11">
        <f t="shared" si="16"/>
        <v>0</v>
      </c>
    </row>
    <row r="124" spans="1:16" ht="15" hidden="1" customHeight="1">
      <c r="A124" s="44"/>
      <c r="B124" s="5">
        <f t="shared" si="18"/>
        <v>45901</v>
      </c>
      <c r="C124" s="218" t="s">
        <v>533</v>
      </c>
      <c r="D124" s="195"/>
      <c r="E124" s="186"/>
      <c r="F124" s="2"/>
      <c r="G124" s="3">
        <f t="shared" si="17"/>
        <v>0</v>
      </c>
      <c r="H124" s="187"/>
      <c r="I124" s="7"/>
      <c r="J124" s="7">
        <v>1.6500000000000001E-2</v>
      </c>
      <c r="K124" s="7">
        <v>7.5999999999999998E-2</v>
      </c>
      <c r="L124" s="7">
        <v>0</v>
      </c>
      <c r="M124" s="11">
        <f t="shared" si="2"/>
        <v>0</v>
      </c>
      <c r="N124" s="11">
        <f t="shared" si="3"/>
        <v>0</v>
      </c>
      <c r="O124" s="11">
        <f t="shared" si="4"/>
        <v>0</v>
      </c>
      <c r="P124" s="11">
        <f t="shared" si="16"/>
        <v>0</v>
      </c>
    </row>
    <row r="125" spans="1:16" ht="15" hidden="1" customHeight="1">
      <c r="A125" s="44"/>
      <c r="B125" s="5">
        <f t="shared" si="18"/>
        <v>45901</v>
      </c>
      <c r="C125" s="218" t="s">
        <v>533</v>
      </c>
      <c r="D125" s="195"/>
      <c r="E125" s="186"/>
      <c r="F125" s="2"/>
      <c r="G125" s="3">
        <f t="shared" si="17"/>
        <v>0</v>
      </c>
      <c r="H125" s="187"/>
      <c r="I125" s="7"/>
      <c r="J125" s="7">
        <v>1.6500000000000001E-2</v>
      </c>
      <c r="K125" s="7">
        <v>7.5999999999999998E-2</v>
      </c>
      <c r="L125" s="7">
        <v>0</v>
      </c>
      <c r="M125" s="11">
        <f t="shared" si="2"/>
        <v>0</v>
      </c>
      <c r="N125" s="11">
        <f t="shared" si="3"/>
        <v>0</v>
      </c>
      <c r="O125" s="11">
        <f t="shared" si="4"/>
        <v>0</v>
      </c>
      <c r="P125" s="11">
        <f t="shared" si="16"/>
        <v>0</v>
      </c>
    </row>
    <row r="126" spans="1:16" ht="15" hidden="1" customHeight="1">
      <c r="A126" s="44"/>
      <c r="B126" s="5">
        <f t="shared" si="18"/>
        <v>45901</v>
      </c>
      <c r="C126" s="218" t="s">
        <v>533</v>
      </c>
      <c r="D126" s="195"/>
      <c r="E126" s="186"/>
      <c r="F126" s="2"/>
      <c r="G126" s="3">
        <f t="shared" si="17"/>
        <v>0</v>
      </c>
      <c r="H126" s="187"/>
      <c r="I126" s="7"/>
      <c r="J126" s="7">
        <v>1.6500000000000001E-2</v>
      </c>
      <c r="K126" s="7">
        <v>7.5999999999999998E-2</v>
      </c>
      <c r="L126" s="7">
        <v>0</v>
      </c>
      <c r="M126" s="11">
        <f t="shared" si="2"/>
        <v>0</v>
      </c>
      <c r="N126" s="11">
        <f t="shared" si="3"/>
        <v>0</v>
      </c>
      <c r="O126" s="11">
        <f t="shared" si="4"/>
        <v>0</v>
      </c>
      <c r="P126" s="11">
        <f t="shared" si="16"/>
        <v>0</v>
      </c>
    </row>
    <row r="127" spans="1:16" ht="15" hidden="1" customHeight="1">
      <c r="A127" s="44"/>
      <c r="B127" s="5">
        <f t="shared" si="18"/>
        <v>45901</v>
      </c>
      <c r="C127" s="218" t="s">
        <v>533</v>
      </c>
      <c r="D127" s="195"/>
      <c r="E127" s="186"/>
      <c r="F127" s="2"/>
      <c r="G127" s="3">
        <f t="shared" si="17"/>
        <v>0</v>
      </c>
      <c r="H127" s="187"/>
      <c r="I127" s="7"/>
      <c r="J127" s="7">
        <v>1.6500000000000001E-2</v>
      </c>
      <c r="K127" s="7">
        <v>7.5999999999999998E-2</v>
      </c>
      <c r="L127" s="7">
        <v>0</v>
      </c>
      <c r="M127" s="11">
        <f t="shared" si="2"/>
        <v>0</v>
      </c>
      <c r="N127" s="11">
        <f t="shared" si="3"/>
        <v>0</v>
      </c>
      <c r="O127" s="11">
        <f t="shared" si="4"/>
        <v>0</v>
      </c>
      <c r="P127" s="11">
        <f t="shared" si="16"/>
        <v>0</v>
      </c>
    </row>
    <row r="128" spans="1:16" ht="15" hidden="1" customHeight="1">
      <c r="A128" s="44"/>
      <c r="B128" s="5">
        <f t="shared" si="18"/>
        <v>45901</v>
      </c>
      <c r="C128" s="218" t="s">
        <v>533</v>
      </c>
      <c r="D128" s="195"/>
      <c r="E128" s="186"/>
      <c r="F128" s="2"/>
      <c r="G128" s="3">
        <f t="shared" si="17"/>
        <v>0</v>
      </c>
      <c r="H128" s="187"/>
      <c r="I128" s="7"/>
      <c r="J128" s="7">
        <v>1.6500000000000001E-2</v>
      </c>
      <c r="K128" s="7">
        <v>7.5999999999999998E-2</v>
      </c>
      <c r="L128" s="7">
        <v>0</v>
      </c>
      <c r="M128" s="11">
        <f t="shared" si="2"/>
        <v>0</v>
      </c>
      <c r="N128" s="11">
        <f t="shared" si="3"/>
        <v>0</v>
      </c>
      <c r="O128" s="11">
        <f t="shared" si="4"/>
        <v>0</v>
      </c>
      <c r="P128" s="11">
        <f t="shared" si="16"/>
        <v>0</v>
      </c>
    </row>
    <row r="129" spans="1:16" ht="15" hidden="1" customHeight="1">
      <c r="A129" s="44"/>
      <c r="B129" s="5">
        <f t="shared" si="18"/>
        <v>45901</v>
      </c>
      <c r="C129" s="218" t="s">
        <v>533</v>
      </c>
      <c r="D129" s="195"/>
      <c r="E129" s="186"/>
      <c r="F129" s="2"/>
      <c r="G129" s="3">
        <f t="shared" si="17"/>
        <v>0</v>
      </c>
      <c r="H129" s="187"/>
      <c r="I129" s="7"/>
      <c r="J129" s="7">
        <v>1.6500000000000001E-2</v>
      </c>
      <c r="K129" s="7">
        <v>7.5999999999999998E-2</v>
      </c>
      <c r="L129" s="7">
        <v>0</v>
      </c>
      <c r="M129" s="11">
        <f t="shared" si="2"/>
        <v>0</v>
      </c>
      <c r="N129" s="11">
        <f t="shared" si="3"/>
        <v>0</v>
      </c>
      <c r="O129" s="11">
        <f t="shared" si="4"/>
        <v>0</v>
      </c>
      <c r="P129" s="11">
        <f t="shared" si="16"/>
        <v>0</v>
      </c>
    </row>
    <row r="130" spans="1:16" ht="15" hidden="1" customHeight="1">
      <c r="A130" s="44"/>
      <c r="B130" s="5">
        <f t="shared" si="18"/>
        <v>45901</v>
      </c>
      <c r="C130" s="218" t="s">
        <v>533</v>
      </c>
      <c r="D130" s="195"/>
      <c r="E130" s="186"/>
      <c r="F130" s="2"/>
      <c r="G130" s="3">
        <f t="shared" si="17"/>
        <v>0</v>
      </c>
      <c r="H130" s="187"/>
      <c r="I130" s="7"/>
      <c r="J130" s="7">
        <v>1.6500000000000001E-2</v>
      </c>
      <c r="K130" s="7">
        <v>7.5999999999999998E-2</v>
      </c>
      <c r="L130" s="7">
        <v>0</v>
      </c>
      <c r="M130" s="11">
        <f t="shared" si="2"/>
        <v>0</v>
      </c>
      <c r="N130" s="11">
        <f t="shared" si="3"/>
        <v>0</v>
      </c>
      <c r="O130" s="11">
        <f t="shared" si="4"/>
        <v>0</v>
      </c>
      <c r="P130" s="11">
        <f t="shared" si="16"/>
        <v>0</v>
      </c>
    </row>
    <row r="131" spans="1:16" ht="15" hidden="1" customHeight="1">
      <c r="A131" s="44"/>
      <c r="B131" s="5">
        <f t="shared" si="18"/>
        <v>45901</v>
      </c>
      <c r="C131" s="218" t="s">
        <v>533</v>
      </c>
      <c r="D131" s="195"/>
      <c r="E131" s="186"/>
      <c r="F131" s="2"/>
      <c r="G131" s="3">
        <f t="shared" si="17"/>
        <v>0</v>
      </c>
      <c r="H131" s="187"/>
      <c r="I131" s="7"/>
      <c r="J131" s="7">
        <v>1.6500000000000001E-2</v>
      </c>
      <c r="K131" s="7">
        <v>7.5999999999999998E-2</v>
      </c>
      <c r="L131" s="7">
        <v>0</v>
      </c>
      <c r="M131" s="11">
        <f t="shared" si="2"/>
        <v>0</v>
      </c>
      <c r="N131" s="11">
        <f t="shared" si="3"/>
        <v>0</v>
      </c>
      <c r="O131" s="11">
        <f t="shared" si="4"/>
        <v>0</v>
      </c>
      <c r="P131" s="11">
        <f t="shared" si="16"/>
        <v>0</v>
      </c>
    </row>
    <row r="132" spans="1:16" ht="15" hidden="1" customHeight="1">
      <c r="A132" s="44"/>
      <c r="B132" s="5">
        <f t="shared" si="18"/>
        <v>45901</v>
      </c>
      <c r="C132" s="218" t="s">
        <v>533</v>
      </c>
      <c r="D132" s="195"/>
      <c r="E132" s="186"/>
      <c r="F132" s="2"/>
      <c r="G132" s="3">
        <f t="shared" si="17"/>
        <v>0</v>
      </c>
      <c r="H132" s="187"/>
      <c r="I132" s="7"/>
      <c r="J132" s="7">
        <v>1.6500000000000001E-2</v>
      </c>
      <c r="K132" s="7">
        <v>7.5999999999999998E-2</v>
      </c>
      <c r="L132" s="7">
        <v>0</v>
      </c>
      <c r="M132" s="11">
        <f t="shared" si="2"/>
        <v>0</v>
      </c>
      <c r="N132" s="11">
        <f t="shared" si="3"/>
        <v>0</v>
      </c>
      <c r="O132" s="11">
        <f t="shared" si="4"/>
        <v>0</v>
      </c>
      <c r="P132" s="11">
        <f t="shared" si="16"/>
        <v>0</v>
      </c>
    </row>
    <row r="133" spans="1:16" ht="15" hidden="1" customHeight="1">
      <c r="A133" s="44"/>
      <c r="B133" s="5">
        <f t="shared" si="18"/>
        <v>45901</v>
      </c>
      <c r="C133" s="218" t="s">
        <v>533</v>
      </c>
      <c r="D133" s="195"/>
      <c r="E133" s="186"/>
      <c r="F133" s="2"/>
      <c r="G133" s="3">
        <f t="shared" si="17"/>
        <v>0</v>
      </c>
      <c r="H133" s="187"/>
      <c r="I133" s="7"/>
      <c r="J133" s="7">
        <v>1.6500000000000001E-2</v>
      </c>
      <c r="K133" s="7">
        <v>7.5999999999999998E-2</v>
      </c>
      <c r="L133" s="7">
        <v>0</v>
      </c>
      <c r="M133" s="11">
        <f t="shared" si="2"/>
        <v>0</v>
      </c>
      <c r="N133" s="11">
        <f t="shared" si="3"/>
        <v>0</v>
      </c>
      <c r="O133" s="11">
        <f t="shared" si="4"/>
        <v>0</v>
      </c>
      <c r="P133" s="11">
        <f t="shared" si="16"/>
        <v>0</v>
      </c>
    </row>
    <row r="134" spans="1:16" ht="15" hidden="1" customHeight="1">
      <c r="A134" s="44"/>
      <c r="B134" s="5">
        <f t="shared" si="18"/>
        <v>45901</v>
      </c>
      <c r="C134" s="218" t="s">
        <v>533</v>
      </c>
      <c r="D134" s="195"/>
      <c r="E134" s="186"/>
      <c r="F134" s="2"/>
      <c r="G134" s="3">
        <f t="shared" si="17"/>
        <v>0</v>
      </c>
      <c r="H134" s="187"/>
      <c r="I134" s="7"/>
      <c r="J134" s="7">
        <v>1.6500000000000001E-2</v>
      </c>
      <c r="K134" s="7">
        <v>7.5999999999999998E-2</v>
      </c>
      <c r="L134" s="7">
        <v>0</v>
      </c>
      <c r="M134" s="11">
        <f t="shared" si="2"/>
        <v>0</v>
      </c>
      <c r="N134" s="11">
        <f t="shared" si="3"/>
        <v>0</v>
      </c>
      <c r="O134" s="11">
        <f t="shared" si="4"/>
        <v>0</v>
      </c>
      <c r="P134" s="11">
        <f t="shared" si="16"/>
        <v>0</v>
      </c>
    </row>
    <row r="135" spans="1:16" ht="15" hidden="1" customHeight="1">
      <c r="A135" s="44"/>
      <c r="B135" s="5">
        <f t="shared" si="18"/>
        <v>45901</v>
      </c>
      <c r="C135" s="218" t="s">
        <v>533</v>
      </c>
      <c r="D135" s="195"/>
      <c r="E135" s="186"/>
      <c r="F135" s="2"/>
      <c r="G135" s="3">
        <f t="shared" si="17"/>
        <v>0</v>
      </c>
      <c r="H135" s="187"/>
      <c r="I135" s="7"/>
      <c r="J135" s="7">
        <v>1.6500000000000001E-2</v>
      </c>
      <c r="K135" s="7">
        <v>7.5999999999999998E-2</v>
      </c>
      <c r="L135" s="7">
        <v>0</v>
      </c>
      <c r="M135" s="11">
        <f t="shared" si="2"/>
        <v>0</v>
      </c>
      <c r="N135" s="11">
        <f t="shared" si="3"/>
        <v>0</v>
      </c>
      <c r="O135" s="11">
        <f t="shared" si="4"/>
        <v>0</v>
      </c>
      <c r="P135" s="11">
        <f t="shared" si="16"/>
        <v>0</v>
      </c>
    </row>
    <row r="136" spans="1:16" ht="15" hidden="1" customHeight="1">
      <c r="A136" s="44"/>
      <c r="B136" s="5">
        <f t="shared" si="18"/>
        <v>45901</v>
      </c>
      <c r="C136" s="218" t="s">
        <v>533</v>
      </c>
      <c r="D136" s="195"/>
      <c r="E136" s="186"/>
      <c r="F136" s="2"/>
      <c r="G136" s="3">
        <f t="shared" si="17"/>
        <v>0</v>
      </c>
      <c r="H136" s="187"/>
      <c r="I136" s="7"/>
      <c r="J136" s="7">
        <v>1.6500000000000001E-2</v>
      </c>
      <c r="K136" s="7">
        <v>7.5999999999999998E-2</v>
      </c>
      <c r="L136" s="7">
        <v>0</v>
      </c>
      <c r="M136" s="11">
        <f t="shared" si="2"/>
        <v>0</v>
      </c>
      <c r="N136" s="11">
        <f t="shared" si="3"/>
        <v>0</v>
      </c>
      <c r="O136" s="11">
        <f t="shared" si="4"/>
        <v>0</v>
      </c>
      <c r="P136" s="11">
        <f t="shared" si="16"/>
        <v>0</v>
      </c>
    </row>
    <row r="137" spans="1:16" ht="15" hidden="1" customHeight="1">
      <c r="A137" s="44"/>
      <c r="B137" s="5">
        <f t="shared" si="18"/>
        <v>45901</v>
      </c>
      <c r="C137" s="218" t="s">
        <v>533</v>
      </c>
      <c r="D137" s="195"/>
      <c r="E137" s="186"/>
      <c r="F137" s="2"/>
      <c r="G137" s="3">
        <f t="shared" si="17"/>
        <v>0</v>
      </c>
      <c r="H137" s="187"/>
      <c r="I137" s="7"/>
      <c r="J137" s="7">
        <v>1.6500000000000001E-2</v>
      </c>
      <c r="K137" s="7">
        <v>7.5999999999999998E-2</v>
      </c>
      <c r="L137" s="7">
        <v>0</v>
      </c>
      <c r="M137" s="11">
        <f t="shared" si="2"/>
        <v>0</v>
      </c>
      <c r="N137" s="11">
        <f t="shared" si="3"/>
        <v>0</v>
      </c>
      <c r="O137" s="11">
        <f t="shared" si="4"/>
        <v>0</v>
      </c>
      <c r="P137" s="11">
        <f t="shared" si="16"/>
        <v>0</v>
      </c>
    </row>
    <row r="138" spans="1:16" ht="15" hidden="1" customHeight="1">
      <c r="A138" s="44"/>
      <c r="B138" s="5">
        <f t="shared" si="18"/>
        <v>45901</v>
      </c>
      <c r="C138" s="218" t="s">
        <v>533</v>
      </c>
      <c r="D138" s="195"/>
      <c r="E138" s="186"/>
      <c r="F138" s="2"/>
      <c r="G138" s="3">
        <f t="shared" si="17"/>
        <v>0</v>
      </c>
      <c r="H138" s="187"/>
      <c r="I138" s="7"/>
      <c r="J138" s="7">
        <v>1.6500000000000001E-2</v>
      </c>
      <c r="K138" s="7">
        <v>7.5999999999999998E-2</v>
      </c>
      <c r="L138" s="7">
        <v>0</v>
      </c>
      <c r="M138" s="11">
        <f t="shared" si="2"/>
        <v>0</v>
      </c>
      <c r="N138" s="11">
        <f t="shared" si="3"/>
        <v>0</v>
      </c>
      <c r="O138" s="11">
        <f t="shared" si="4"/>
        <v>0</v>
      </c>
      <c r="P138" s="11">
        <f t="shared" si="16"/>
        <v>0</v>
      </c>
    </row>
    <row r="139" spans="1:16" ht="15" hidden="1" customHeight="1">
      <c r="A139" s="44"/>
      <c r="B139" s="5">
        <f t="shared" si="18"/>
        <v>45901</v>
      </c>
      <c r="C139" s="218" t="s">
        <v>533</v>
      </c>
      <c r="D139" s="195"/>
      <c r="E139" s="186"/>
      <c r="F139" s="2"/>
      <c r="G139" s="3">
        <f t="shared" si="17"/>
        <v>0</v>
      </c>
      <c r="H139" s="187"/>
      <c r="I139" s="7"/>
      <c r="J139" s="7">
        <v>1.6500000000000001E-2</v>
      </c>
      <c r="K139" s="7">
        <v>7.5999999999999998E-2</v>
      </c>
      <c r="L139" s="7">
        <v>0</v>
      </c>
      <c r="M139" s="11">
        <f t="shared" si="2"/>
        <v>0</v>
      </c>
      <c r="N139" s="11">
        <f t="shared" si="3"/>
        <v>0</v>
      </c>
      <c r="O139" s="11">
        <f t="shared" si="4"/>
        <v>0</v>
      </c>
      <c r="P139" s="11">
        <f t="shared" si="16"/>
        <v>0</v>
      </c>
    </row>
    <row r="140" spans="1:16" ht="15" hidden="1" customHeight="1">
      <c r="A140" s="44"/>
      <c r="B140" s="5">
        <f t="shared" si="18"/>
        <v>45901</v>
      </c>
      <c r="C140" s="218" t="s">
        <v>533</v>
      </c>
      <c r="D140" s="195"/>
      <c r="E140" s="186"/>
      <c r="F140" s="2"/>
      <c r="G140" s="3">
        <f t="shared" si="17"/>
        <v>0</v>
      </c>
      <c r="H140" s="187"/>
      <c r="I140" s="7"/>
      <c r="J140" s="7">
        <v>1.6500000000000001E-2</v>
      </c>
      <c r="K140" s="7">
        <v>7.5999999999999998E-2</v>
      </c>
      <c r="L140" s="7">
        <v>0</v>
      </c>
      <c r="M140" s="11">
        <f t="shared" si="2"/>
        <v>0</v>
      </c>
      <c r="N140" s="11">
        <f t="shared" si="3"/>
        <v>0</v>
      </c>
      <c r="O140" s="11">
        <f t="shared" si="4"/>
        <v>0</v>
      </c>
      <c r="P140" s="11">
        <f t="shared" si="16"/>
        <v>0</v>
      </c>
    </row>
    <row r="141" spans="1:16" ht="15" hidden="1" customHeight="1">
      <c r="A141" s="44"/>
      <c r="B141" s="5">
        <f t="shared" si="18"/>
        <v>45901</v>
      </c>
      <c r="C141" s="218" t="s">
        <v>533</v>
      </c>
      <c r="D141" s="195"/>
      <c r="E141" s="186"/>
      <c r="F141" s="2"/>
      <c r="G141" s="3">
        <f t="shared" si="17"/>
        <v>0</v>
      </c>
      <c r="H141" s="187"/>
      <c r="I141" s="7"/>
      <c r="J141" s="7">
        <v>1.6500000000000001E-2</v>
      </c>
      <c r="K141" s="7">
        <v>7.5999999999999998E-2</v>
      </c>
      <c r="L141" s="7">
        <v>0</v>
      </c>
      <c r="M141" s="11">
        <f t="shared" si="2"/>
        <v>0</v>
      </c>
      <c r="N141" s="11">
        <f t="shared" si="3"/>
        <v>0</v>
      </c>
      <c r="O141" s="11">
        <f t="shared" si="4"/>
        <v>0</v>
      </c>
      <c r="P141" s="11">
        <f t="shared" si="16"/>
        <v>0</v>
      </c>
    </row>
    <row r="142" spans="1:16" ht="15" hidden="1" customHeight="1">
      <c r="A142" s="44"/>
      <c r="B142" s="5">
        <f t="shared" si="18"/>
        <v>45901</v>
      </c>
      <c r="C142" s="218" t="s">
        <v>533</v>
      </c>
      <c r="D142" s="195"/>
      <c r="E142" s="186"/>
      <c r="F142" s="2"/>
      <c r="G142" s="3">
        <f t="shared" si="17"/>
        <v>0</v>
      </c>
      <c r="H142" s="187"/>
      <c r="I142" s="7"/>
      <c r="J142" s="7">
        <v>1.6500000000000001E-2</v>
      </c>
      <c r="K142" s="7">
        <v>7.5999999999999998E-2</v>
      </c>
      <c r="L142" s="7">
        <v>0</v>
      </c>
      <c r="M142" s="11">
        <f t="shared" si="2"/>
        <v>0</v>
      </c>
      <c r="N142" s="11">
        <f t="shared" si="3"/>
        <v>0</v>
      </c>
      <c r="O142" s="11">
        <f t="shared" si="4"/>
        <v>0</v>
      </c>
      <c r="P142" s="11">
        <f t="shared" si="16"/>
        <v>0</v>
      </c>
    </row>
    <row r="143" spans="1:16" ht="15" hidden="1" customHeight="1">
      <c r="A143" s="44"/>
      <c r="B143" s="5">
        <f t="shared" si="18"/>
        <v>45901</v>
      </c>
      <c r="C143" s="218" t="s">
        <v>533</v>
      </c>
      <c r="D143" s="195"/>
      <c r="E143" s="186"/>
      <c r="F143" s="2"/>
      <c r="G143" s="3">
        <f t="shared" si="17"/>
        <v>0</v>
      </c>
      <c r="H143" s="187"/>
      <c r="I143" s="7"/>
      <c r="J143" s="7">
        <v>1.6500000000000001E-2</v>
      </c>
      <c r="K143" s="7">
        <v>7.5999999999999998E-2</v>
      </c>
      <c r="L143" s="7">
        <v>0</v>
      </c>
      <c r="M143" s="11">
        <f t="shared" si="2"/>
        <v>0</v>
      </c>
      <c r="N143" s="11">
        <f t="shared" si="3"/>
        <v>0</v>
      </c>
      <c r="O143" s="11">
        <f t="shared" si="4"/>
        <v>0</v>
      </c>
      <c r="P143" s="11">
        <f t="shared" si="16"/>
        <v>0</v>
      </c>
    </row>
    <row r="144" spans="1:16" ht="15" hidden="1" customHeight="1">
      <c r="A144" s="44"/>
      <c r="B144" s="5">
        <f t="shared" si="18"/>
        <v>45901</v>
      </c>
      <c r="C144" s="218" t="s">
        <v>533</v>
      </c>
      <c r="D144" s="195"/>
      <c r="E144" s="186"/>
      <c r="F144" s="2"/>
      <c r="G144" s="3">
        <f t="shared" si="17"/>
        <v>0</v>
      </c>
      <c r="H144" s="187"/>
      <c r="I144" s="7"/>
      <c r="J144" s="7">
        <v>1.6500000000000001E-2</v>
      </c>
      <c r="K144" s="7">
        <v>7.5999999999999998E-2</v>
      </c>
      <c r="L144" s="7">
        <v>0</v>
      </c>
      <c r="M144" s="11">
        <f t="shared" si="2"/>
        <v>0</v>
      </c>
      <c r="N144" s="11">
        <f t="shared" si="3"/>
        <v>0</v>
      </c>
      <c r="O144" s="11">
        <f t="shared" si="4"/>
        <v>0</v>
      </c>
      <c r="P144" s="11">
        <f t="shared" si="16"/>
        <v>0</v>
      </c>
    </row>
    <row r="145" spans="1:16" ht="15" hidden="1" customHeight="1">
      <c r="A145" s="44"/>
      <c r="B145" s="5">
        <f t="shared" si="18"/>
        <v>45901</v>
      </c>
      <c r="C145" s="218" t="s">
        <v>533</v>
      </c>
      <c r="D145" s="195"/>
      <c r="E145" s="186"/>
      <c r="F145" s="2"/>
      <c r="G145" s="3">
        <f t="shared" si="17"/>
        <v>0</v>
      </c>
      <c r="H145" s="187"/>
      <c r="I145" s="7"/>
      <c r="J145" s="7">
        <v>1.6500000000000001E-2</v>
      </c>
      <c r="K145" s="7">
        <v>7.5999999999999998E-2</v>
      </c>
      <c r="L145" s="7">
        <v>0</v>
      </c>
      <c r="M145" s="11">
        <f t="shared" si="2"/>
        <v>0</v>
      </c>
      <c r="N145" s="11">
        <f t="shared" si="3"/>
        <v>0</v>
      </c>
      <c r="O145" s="11">
        <f t="shared" si="4"/>
        <v>0</v>
      </c>
      <c r="P145" s="11">
        <f t="shared" si="16"/>
        <v>0</v>
      </c>
    </row>
    <row r="146" spans="1:16" ht="15" hidden="1" customHeight="1">
      <c r="A146" s="44"/>
      <c r="B146" s="5">
        <f t="shared" si="18"/>
        <v>45901</v>
      </c>
      <c r="C146" s="218" t="s">
        <v>533</v>
      </c>
      <c r="D146" s="195"/>
      <c r="E146" s="186"/>
      <c r="F146" s="2"/>
      <c r="G146" s="3">
        <f t="shared" si="17"/>
        <v>0</v>
      </c>
      <c r="H146" s="187"/>
      <c r="I146" s="7"/>
      <c r="J146" s="7">
        <v>1.6500000000000001E-2</v>
      </c>
      <c r="K146" s="7">
        <v>7.5999999999999998E-2</v>
      </c>
      <c r="L146" s="7">
        <v>0</v>
      </c>
      <c r="M146" s="11">
        <f t="shared" si="2"/>
        <v>0</v>
      </c>
      <c r="N146" s="11">
        <f t="shared" si="3"/>
        <v>0</v>
      </c>
      <c r="O146" s="11">
        <f t="shared" si="4"/>
        <v>0</v>
      </c>
      <c r="P146" s="11">
        <f t="shared" si="16"/>
        <v>0</v>
      </c>
    </row>
    <row r="147" spans="1:16" ht="15" hidden="1" customHeight="1">
      <c r="A147" s="44"/>
      <c r="B147" s="5">
        <f t="shared" si="18"/>
        <v>45901</v>
      </c>
      <c r="C147" s="218" t="s">
        <v>533</v>
      </c>
      <c r="D147" s="195"/>
      <c r="E147" s="186"/>
      <c r="F147" s="2"/>
      <c r="G147" s="3">
        <f t="shared" si="17"/>
        <v>0</v>
      </c>
      <c r="H147" s="187"/>
      <c r="I147" s="7"/>
      <c r="J147" s="7">
        <v>1.6500000000000001E-2</v>
      </c>
      <c r="K147" s="7">
        <v>7.5999999999999998E-2</v>
      </c>
      <c r="L147" s="7">
        <v>0</v>
      </c>
      <c r="M147" s="11">
        <f t="shared" si="2"/>
        <v>0</v>
      </c>
      <c r="N147" s="11">
        <f t="shared" si="3"/>
        <v>0</v>
      </c>
      <c r="O147" s="11">
        <f t="shared" si="4"/>
        <v>0</v>
      </c>
      <c r="P147" s="11">
        <f t="shared" si="16"/>
        <v>0</v>
      </c>
    </row>
    <row r="148" spans="1:16" ht="15" hidden="1" customHeight="1">
      <c r="A148" s="44"/>
      <c r="B148" s="5">
        <f t="shared" si="18"/>
        <v>45901</v>
      </c>
      <c r="C148" s="218" t="s">
        <v>533</v>
      </c>
      <c r="D148" s="195"/>
      <c r="E148" s="186"/>
      <c r="F148" s="2"/>
      <c r="G148" s="3">
        <f t="shared" si="17"/>
        <v>0</v>
      </c>
      <c r="H148" s="187"/>
      <c r="I148" s="7"/>
      <c r="J148" s="7">
        <v>1.6500000000000001E-2</v>
      </c>
      <c r="K148" s="7">
        <v>7.5999999999999998E-2</v>
      </c>
      <c r="L148" s="7">
        <v>0</v>
      </c>
      <c r="M148" s="11">
        <f t="shared" si="2"/>
        <v>0</v>
      </c>
      <c r="N148" s="11">
        <f t="shared" si="3"/>
        <v>0</v>
      </c>
      <c r="O148" s="11">
        <f t="shared" si="4"/>
        <v>0</v>
      </c>
      <c r="P148" s="11">
        <f t="shared" si="16"/>
        <v>0</v>
      </c>
    </row>
    <row r="149" spans="1:16" ht="15" hidden="1" customHeight="1">
      <c r="A149" s="44"/>
      <c r="B149" s="5">
        <f t="shared" si="18"/>
        <v>45901</v>
      </c>
      <c r="C149" s="218" t="s">
        <v>533</v>
      </c>
      <c r="D149" s="195"/>
      <c r="E149" s="186"/>
      <c r="F149" s="2"/>
      <c r="G149" s="3">
        <f t="shared" si="17"/>
        <v>0</v>
      </c>
      <c r="H149" s="187"/>
      <c r="I149" s="7"/>
      <c r="J149" s="7">
        <v>1.6500000000000001E-2</v>
      </c>
      <c r="K149" s="7">
        <v>7.5999999999999998E-2</v>
      </c>
      <c r="L149" s="7">
        <v>0</v>
      </c>
      <c r="M149" s="11">
        <f t="shared" si="2"/>
        <v>0</v>
      </c>
      <c r="N149" s="11">
        <f t="shared" si="3"/>
        <v>0</v>
      </c>
      <c r="O149" s="11">
        <f t="shared" si="4"/>
        <v>0</v>
      </c>
      <c r="P149" s="11">
        <f t="shared" si="16"/>
        <v>0</v>
      </c>
    </row>
    <row r="150" spans="1:16" ht="15" hidden="1" customHeight="1">
      <c r="A150" s="44"/>
      <c r="B150" s="5">
        <f t="shared" si="18"/>
        <v>45901</v>
      </c>
      <c r="C150" s="218" t="s">
        <v>533</v>
      </c>
      <c r="D150" s="195"/>
      <c r="E150" s="186"/>
      <c r="F150" s="2"/>
      <c r="G150" s="3">
        <f t="shared" si="17"/>
        <v>0</v>
      </c>
      <c r="H150" s="187"/>
      <c r="I150" s="7"/>
      <c r="J150" s="7">
        <v>1.6500000000000001E-2</v>
      </c>
      <c r="K150" s="7">
        <v>7.5999999999999998E-2</v>
      </c>
      <c r="L150" s="7">
        <v>0</v>
      </c>
      <c r="M150" s="11">
        <f t="shared" si="2"/>
        <v>0</v>
      </c>
      <c r="N150" s="11">
        <f t="shared" si="3"/>
        <v>0</v>
      </c>
      <c r="O150" s="11">
        <f t="shared" si="4"/>
        <v>0</v>
      </c>
      <c r="P150" s="11">
        <f t="shared" si="16"/>
        <v>0</v>
      </c>
    </row>
    <row r="151" spans="1:16" ht="15" hidden="1" customHeight="1">
      <c r="A151" s="44"/>
      <c r="B151" s="5">
        <f t="shared" si="18"/>
        <v>45901</v>
      </c>
      <c r="C151" s="218" t="s">
        <v>533</v>
      </c>
      <c r="D151" s="195"/>
      <c r="E151" s="186"/>
      <c r="F151" s="2"/>
      <c r="G151" s="3">
        <f t="shared" si="17"/>
        <v>0</v>
      </c>
      <c r="H151" s="187"/>
      <c r="I151" s="7"/>
      <c r="J151" s="7">
        <v>1.6500000000000001E-2</v>
      </c>
      <c r="K151" s="7">
        <v>7.5999999999999998E-2</v>
      </c>
      <c r="L151" s="7">
        <v>0</v>
      </c>
      <c r="M151" s="11">
        <f t="shared" si="2"/>
        <v>0</v>
      </c>
      <c r="N151" s="11">
        <f t="shared" si="3"/>
        <v>0</v>
      </c>
      <c r="O151" s="11">
        <f t="shared" si="4"/>
        <v>0</v>
      </c>
      <c r="P151" s="11">
        <f t="shared" si="16"/>
        <v>0</v>
      </c>
    </row>
    <row r="152" spans="1:16" ht="15" hidden="1" customHeight="1">
      <c r="A152" s="44"/>
      <c r="B152" s="5">
        <f t="shared" si="18"/>
        <v>45901</v>
      </c>
      <c r="C152" s="218" t="s">
        <v>533</v>
      </c>
      <c r="D152" s="195"/>
      <c r="E152" s="186"/>
      <c r="F152" s="2"/>
      <c r="G152" s="3">
        <f t="shared" si="17"/>
        <v>0</v>
      </c>
      <c r="H152" s="187"/>
      <c r="I152" s="7"/>
      <c r="J152" s="7">
        <v>1.6500000000000001E-2</v>
      </c>
      <c r="K152" s="7">
        <v>7.5999999999999998E-2</v>
      </c>
      <c r="L152" s="7">
        <v>0</v>
      </c>
      <c r="M152" s="11">
        <f t="shared" si="2"/>
        <v>0</v>
      </c>
      <c r="N152" s="11">
        <f t="shared" si="3"/>
        <v>0</v>
      </c>
      <c r="O152" s="11">
        <f t="shared" si="4"/>
        <v>0</v>
      </c>
      <c r="P152" s="11">
        <f t="shared" si="16"/>
        <v>0</v>
      </c>
    </row>
    <row r="153" spans="1:16" ht="15" hidden="1" customHeight="1">
      <c r="A153" s="44"/>
      <c r="B153" s="5">
        <f t="shared" si="18"/>
        <v>45901</v>
      </c>
      <c r="C153" s="218" t="s">
        <v>533</v>
      </c>
      <c r="D153" s="195"/>
      <c r="E153" s="186"/>
      <c r="F153" s="2"/>
      <c r="G153" s="3">
        <f t="shared" si="17"/>
        <v>0</v>
      </c>
      <c r="H153" s="187"/>
      <c r="I153" s="7"/>
      <c r="J153" s="7">
        <v>1.6500000000000001E-2</v>
      </c>
      <c r="K153" s="7">
        <v>7.5999999999999998E-2</v>
      </c>
      <c r="L153" s="7">
        <v>0</v>
      </c>
      <c r="M153" s="11">
        <f t="shared" si="2"/>
        <v>0</v>
      </c>
      <c r="N153" s="11">
        <f t="shared" si="3"/>
        <v>0</v>
      </c>
      <c r="O153" s="11">
        <f t="shared" si="4"/>
        <v>0</v>
      </c>
      <c r="P153" s="11">
        <f t="shared" si="16"/>
        <v>0</v>
      </c>
    </row>
    <row r="154" spans="1:16" ht="15" hidden="1" customHeight="1">
      <c r="A154" s="44"/>
      <c r="B154" s="5">
        <f t="shared" si="18"/>
        <v>45901</v>
      </c>
      <c r="C154" s="218" t="s">
        <v>533</v>
      </c>
      <c r="D154" s="195"/>
      <c r="E154" s="186"/>
      <c r="F154" s="2"/>
      <c r="G154" s="3">
        <f t="shared" si="17"/>
        <v>0</v>
      </c>
      <c r="H154" s="187"/>
      <c r="I154" s="7"/>
      <c r="J154" s="7">
        <v>1.6500000000000001E-2</v>
      </c>
      <c r="K154" s="7">
        <v>7.5999999999999998E-2</v>
      </c>
      <c r="L154" s="7">
        <v>0</v>
      </c>
      <c r="M154" s="11">
        <f t="shared" si="2"/>
        <v>0</v>
      </c>
      <c r="N154" s="11">
        <f t="shared" si="3"/>
        <v>0</v>
      </c>
      <c r="O154" s="11">
        <f t="shared" si="4"/>
        <v>0</v>
      </c>
      <c r="P154" s="11">
        <f t="shared" si="16"/>
        <v>0</v>
      </c>
    </row>
    <row r="155" spans="1:16" ht="15" hidden="1" customHeight="1">
      <c r="A155" s="44"/>
      <c r="B155" s="5">
        <f t="shared" si="18"/>
        <v>45901</v>
      </c>
      <c r="C155" s="218" t="s">
        <v>533</v>
      </c>
      <c r="D155" s="195"/>
      <c r="E155" s="186"/>
      <c r="F155" s="2"/>
      <c r="G155" s="3">
        <f t="shared" si="17"/>
        <v>0</v>
      </c>
      <c r="H155" s="187"/>
      <c r="I155" s="7"/>
      <c r="J155" s="7">
        <v>1.6500000000000001E-2</v>
      </c>
      <c r="K155" s="7">
        <v>7.5999999999999998E-2</v>
      </c>
      <c r="L155" s="7">
        <v>0</v>
      </c>
      <c r="M155" s="11">
        <f t="shared" si="2"/>
        <v>0</v>
      </c>
      <c r="N155" s="11">
        <f t="shared" si="3"/>
        <v>0</v>
      </c>
      <c r="O155" s="11">
        <f t="shared" si="4"/>
        <v>0</v>
      </c>
      <c r="P155" s="11">
        <f t="shared" si="16"/>
        <v>0</v>
      </c>
    </row>
    <row r="156" spans="1:16" ht="15" hidden="1" customHeight="1">
      <c r="A156" s="44"/>
      <c r="B156" s="5">
        <f t="shared" si="18"/>
        <v>45901</v>
      </c>
      <c r="C156" s="218" t="s">
        <v>533</v>
      </c>
      <c r="D156" s="195"/>
      <c r="E156" s="186"/>
      <c r="F156" s="2"/>
      <c r="G156" s="3">
        <f t="shared" si="17"/>
        <v>0</v>
      </c>
      <c r="H156" s="187"/>
      <c r="I156" s="7"/>
      <c r="J156" s="7">
        <v>1.6500000000000001E-2</v>
      </c>
      <c r="K156" s="7">
        <v>7.5999999999999998E-2</v>
      </c>
      <c r="L156" s="7">
        <v>0</v>
      </c>
      <c r="M156" s="11">
        <f t="shared" si="2"/>
        <v>0</v>
      </c>
      <c r="N156" s="11">
        <f t="shared" si="3"/>
        <v>0</v>
      </c>
      <c r="O156" s="11">
        <f t="shared" si="4"/>
        <v>0</v>
      </c>
      <c r="P156" s="11">
        <f t="shared" si="16"/>
        <v>0</v>
      </c>
    </row>
    <row r="157" spans="1:16" ht="15" hidden="1" customHeight="1">
      <c r="A157" s="44"/>
      <c r="B157" s="5">
        <f t="shared" si="18"/>
        <v>45901</v>
      </c>
      <c r="C157" s="218" t="s">
        <v>533</v>
      </c>
      <c r="D157" s="195"/>
      <c r="E157" s="186"/>
      <c r="F157" s="2"/>
      <c r="G157" s="3">
        <f t="shared" si="17"/>
        <v>0</v>
      </c>
      <c r="H157" s="187"/>
      <c r="I157" s="7"/>
      <c r="J157" s="7">
        <v>1.6500000000000001E-2</v>
      </c>
      <c r="K157" s="7">
        <v>7.5999999999999998E-2</v>
      </c>
      <c r="L157" s="7">
        <v>0</v>
      </c>
      <c r="M157" s="11">
        <f t="shared" si="2"/>
        <v>0</v>
      </c>
      <c r="N157" s="11">
        <f t="shared" si="3"/>
        <v>0</v>
      </c>
      <c r="O157" s="11">
        <f t="shared" si="4"/>
        <v>0</v>
      </c>
      <c r="P157" s="11">
        <f t="shared" si="16"/>
        <v>0</v>
      </c>
    </row>
    <row r="158" spans="1:16" ht="15" hidden="1" customHeight="1">
      <c r="A158" s="44"/>
      <c r="B158" s="5">
        <f t="shared" si="18"/>
        <v>45901</v>
      </c>
      <c r="C158" s="218" t="s">
        <v>533</v>
      </c>
      <c r="D158" s="195"/>
      <c r="E158" s="186"/>
      <c r="F158" s="2"/>
      <c r="G158" s="3">
        <f t="shared" si="17"/>
        <v>0</v>
      </c>
      <c r="H158" s="187"/>
      <c r="I158" s="7"/>
      <c r="J158" s="7">
        <v>1.6500000000000001E-2</v>
      </c>
      <c r="K158" s="7">
        <v>7.5999999999999998E-2</v>
      </c>
      <c r="L158" s="7">
        <v>0</v>
      </c>
      <c r="M158" s="11">
        <f t="shared" si="2"/>
        <v>0</v>
      </c>
      <c r="N158" s="11">
        <f t="shared" si="3"/>
        <v>0</v>
      </c>
      <c r="O158" s="11">
        <f t="shared" si="4"/>
        <v>0</v>
      </c>
      <c r="P158" s="11">
        <f t="shared" si="16"/>
        <v>0</v>
      </c>
    </row>
    <row r="159" spans="1:16" ht="15" hidden="1" customHeight="1">
      <c r="A159" s="44"/>
      <c r="B159" s="5">
        <f t="shared" si="18"/>
        <v>45901</v>
      </c>
      <c r="C159" s="218" t="s">
        <v>533</v>
      </c>
      <c r="D159" s="195"/>
      <c r="E159" s="186"/>
      <c r="F159" s="2"/>
      <c r="G159" s="3">
        <f t="shared" si="17"/>
        <v>0</v>
      </c>
      <c r="H159" s="187"/>
      <c r="I159" s="7"/>
      <c r="J159" s="7">
        <v>1.6500000000000001E-2</v>
      </c>
      <c r="K159" s="7">
        <v>7.5999999999999998E-2</v>
      </c>
      <c r="L159" s="7">
        <v>0</v>
      </c>
      <c r="M159" s="11">
        <f t="shared" si="2"/>
        <v>0</v>
      </c>
      <c r="N159" s="11">
        <f t="shared" si="3"/>
        <v>0</v>
      </c>
      <c r="O159" s="11">
        <f t="shared" si="4"/>
        <v>0</v>
      </c>
      <c r="P159" s="11">
        <f t="shared" si="16"/>
        <v>0</v>
      </c>
    </row>
    <row r="160" spans="1:16" ht="15" hidden="1" customHeight="1">
      <c r="A160" s="44"/>
      <c r="B160" s="5">
        <f t="shared" si="18"/>
        <v>45901</v>
      </c>
      <c r="C160" s="218" t="s">
        <v>533</v>
      </c>
      <c r="D160" s="195"/>
      <c r="E160" s="186"/>
      <c r="F160" s="2"/>
      <c r="G160" s="3">
        <f t="shared" si="17"/>
        <v>0</v>
      </c>
      <c r="H160" s="187"/>
      <c r="I160" s="7"/>
      <c r="J160" s="7">
        <v>1.6500000000000001E-2</v>
      </c>
      <c r="K160" s="7">
        <v>7.5999999999999998E-2</v>
      </c>
      <c r="L160" s="7">
        <v>0</v>
      </c>
      <c r="M160" s="11">
        <f t="shared" si="2"/>
        <v>0</v>
      </c>
      <c r="N160" s="11">
        <f t="shared" si="3"/>
        <v>0</v>
      </c>
      <c r="O160" s="11">
        <f t="shared" si="4"/>
        <v>0</v>
      </c>
      <c r="P160" s="11">
        <f t="shared" si="16"/>
        <v>0</v>
      </c>
    </row>
    <row r="161" spans="1:16" ht="15" hidden="1" customHeight="1">
      <c r="A161" s="44"/>
      <c r="B161" s="5">
        <f t="shared" si="18"/>
        <v>45901</v>
      </c>
      <c r="C161" s="218" t="s">
        <v>533</v>
      </c>
      <c r="D161" s="195"/>
      <c r="E161" s="186"/>
      <c r="F161" s="2"/>
      <c r="G161" s="3">
        <f t="shared" si="17"/>
        <v>0</v>
      </c>
      <c r="H161" s="187"/>
      <c r="I161" s="7"/>
      <c r="J161" s="7">
        <v>1.6500000000000001E-2</v>
      </c>
      <c r="K161" s="7">
        <v>7.5999999999999998E-2</v>
      </c>
      <c r="L161" s="7">
        <v>0</v>
      </c>
      <c r="M161" s="11">
        <f t="shared" si="2"/>
        <v>0</v>
      </c>
      <c r="N161" s="11">
        <f t="shared" si="3"/>
        <v>0</v>
      </c>
      <c r="O161" s="11">
        <f t="shared" si="4"/>
        <v>0</v>
      </c>
      <c r="P161" s="11">
        <f t="shared" si="16"/>
        <v>0</v>
      </c>
    </row>
    <row r="162" spans="1:16" ht="15" hidden="1" customHeight="1">
      <c r="A162" s="44"/>
      <c r="B162" s="5">
        <f t="shared" si="18"/>
        <v>45901</v>
      </c>
      <c r="C162" s="218" t="s">
        <v>533</v>
      </c>
      <c r="D162" s="195"/>
      <c r="E162" s="186"/>
      <c r="F162" s="2"/>
      <c r="G162" s="3">
        <f t="shared" si="17"/>
        <v>0</v>
      </c>
      <c r="H162" s="187"/>
      <c r="I162" s="7"/>
      <c r="J162" s="7">
        <v>1.6500000000000001E-2</v>
      </c>
      <c r="K162" s="7">
        <v>7.5999999999999998E-2</v>
      </c>
      <c r="L162" s="7">
        <v>0</v>
      </c>
      <c r="M162" s="11">
        <f t="shared" si="2"/>
        <v>0</v>
      </c>
      <c r="N162" s="11">
        <f t="shared" si="3"/>
        <v>0</v>
      </c>
      <c r="O162" s="11">
        <f t="shared" si="4"/>
        <v>0</v>
      </c>
      <c r="P162" s="11">
        <f t="shared" si="16"/>
        <v>0</v>
      </c>
    </row>
    <row r="163" spans="1:16" ht="15" hidden="1" customHeight="1">
      <c r="A163" s="44"/>
      <c r="B163" s="5">
        <f t="shared" si="18"/>
        <v>45901</v>
      </c>
      <c r="C163" s="218" t="s">
        <v>533</v>
      </c>
      <c r="D163" s="195"/>
      <c r="E163" s="186"/>
      <c r="F163" s="2"/>
      <c r="G163" s="3">
        <f t="shared" si="17"/>
        <v>0</v>
      </c>
      <c r="H163" s="187"/>
      <c r="I163" s="7"/>
      <c r="J163" s="7">
        <v>1.6500000000000001E-2</v>
      </c>
      <c r="K163" s="7">
        <v>7.5999999999999998E-2</v>
      </c>
      <c r="L163" s="7">
        <v>0</v>
      </c>
      <c r="M163" s="11">
        <f t="shared" si="2"/>
        <v>0</v>
      </c>
      <c r="N163" s="11">
        <f t="shared" si="3"/>
        <v>0</v>
      </c>
      <c r="O163" s="11">
        <f t="shared" si="4"/>
        <v>0</v>
      </c>
      <c r="P163" s="11">
        <f t="shared" si="16"/>
        <v>0</v>
      </c>
    </row>
    <row r="164" spans="1:16" ht="15" hidden="1" customHeight="1">
      <c r="A164" s="44"/>
      <c r="B164" s="5">
        <f t="shared" si="18"/>
        <v>45901</v>
      </c>
      <c r="C164" s="218" t="s">
        <v>533</v>
      </c>
      <c r="D164" s="195"/>
      <c r="E164" s="186"/>
      <c r="F164" s="2"/>
      <c r="G164" s="3">
        <f t="shared" si="17"/>
        <v>0</v>
      </c>
      <c r="H164" s="187"/>
      <c r="I164" s="7"/>
      <c r="J164" s="7">
        <v>1.6500000000000001E-2</v>
      </c>
      <c r="K164" s="7">
        <v>7.5999999999999998E-2</v>
      </c>
      <c r="L164" s="7">
        <v>0</v>
      </c>
      <c r="M164" s="11">
        <f t="shared" si="2"/>
        <v>0</v>
      </c>
      <c r="N164" s="11">
        <f t="shared" si="3"/>
        <v>0</v>
      </c>
      <c r="O164" s="11">
        <f t="shared" si="4"/>
        <v>0</v>
      </c>
      <c r="P164" s="11">
        <f t="shared" si="16"/>
        <v>0</v>
      </c>
    </row>
    <row r="165" spans="1:16" ht="15" hidden="1" customHeight="1">
      <c r="A165" s="44"/>
      <c r="B165" s="5">
        <f t="shared" si="18"/>
        <v>45901</v>
      </c>
      <c r="C165" s="218" t="s">
        <v>533</v>
      </c>
      <c r="D165" s="195"/>
      <c r="E165" s="186"/>
      <c r="F165" s="2"/>
      <c r="G165" s="3">
        <f t="shared" si="17"/>
        <v>0</v>
      </c>
      <c r="H165" s="187"/>
      <c r="I165" s="7"/>
      <c r="J165" s="7">
        <v>1.6500000000000001E-2</v>
      </c>
      <c r="K165" s="7">
        <v>7.5999999999999998E-2</v>
      </c>
      <c r="L165" s="7">
        <v>0</v>
      </c>
      <c r="M165" s="11">
        <f t="shared" si="2"/>
        <v>0</v>
      </c>
      <c r="N165" s="11">
        <f t="shared" si="3"/>
        <v>0</v>
      </c>
      <c r="O165" s="11">
        <f t="shared" si="4"/>
        <v>0</v>
      </c>
      <c r="P165" s="11">
        <f t="shared" si="16"/>
        <v>0</v>
      </c>
    </row>
    <row r="166" spans="1:16" ht="15" hidden="1" customHeight="1">
      <c r="A166" s="44"/>
      <c r="B166" s="5">
        <f t="shared" si="18"/>
        <v>45901</v>
      </c>
      <c r="C166" s="218" t="s">
        <v>533</v>
      </c>
      <c r="D166" s="195"/>
      <c r="E166" s="186"/>
      <c r="F166" s="2"/>
      <c r="G166" s="3">
        <f t="shared" si="17"/>
        <v>0</v>
      </c>
      <c r="H166" s="187"/>
      <c r="I166" s="7"/>
      <c r="J166" s="7">
        <v>1.6500000000000001E-2</v>
      </c>
      <c r="K166" s="7">
        <v>7.5999999999999998E-2</v>
      </c>
      <c r="L166" s="7">
        <v>0</v>
      </c>
      <c r="M166" s="11">
        <f t="shared" si="2"/>
        <v>0</v>
      </c>
      <c r="N166" s="11">
        <f t="shared" si="3"/>
        <v>0</v>
      </c>
      <c r="O166" s="11">
        <f t="shared" si="4"/>
        <v>0</v>
      </c>
      <c r="P166" s="11">
        <f t="shared" si="16"/>
        <v>0</v>
      </c>
    </row>
    <row r="167" spans="1:16" ht="15" hidden="1" customHeight="1">
      <c r="A167" s="44"/>
      <c r="B167" s="5">
        <f t="shared" si="18"/>
        <v>45901</v>
      </c>
      <c r="C167" s="218" t="s">
        <v>533</v>
      </c>
      <c r="D167" s="195"/>
      <c r="E167" s="186"/>
      <c r="F167" s="2"/>
      <c r="G167" s="3">
        <f t="shared" si="17"/>
        <v>0</v>
      </c>
      <c r="H167" s="187"/>
      <c r="I167" s="7"/>
      <c r="J167" s="7">
        <v>1.6500000000000001E-2</v>
      </c>
      <c r="K167" s="7">
        <v>7.5999999999999998E-2</v>
      </c>
      <c r="L167" s="7">
        <v>0</v>
      </c>
      <c r="M167" s="11">
        <f t="shared" si="2"/>
        <v>0</v>
      </c>
      <c r="N167" s="11">
        <f t="shared" si="3"/>
        <v>0</v>
      </c>
      <c r="O167" s="11">
        <f t="shared" si="4"/>
        <v>0</v>
      </c>
      <c r="P167" s="11">
        <f t="shared" si="16"/>
        <v>0</v>
      </c>
    </row>
    <row r="168" spans="1:16" ht="15" hidden="1" customHeight="1">
      <c r="A168" s="44"/>
      <c r="B168" s="5">
        <f t="shared" si="18"/>
        <v>45901</v>
      </c>
      <c r="C168" s="218" t="s">
        <v>533</v>
      </c>
      <c r="D168" s="195"/>
      <c r="E168" s="186"/>
      <c r="F168" s="2"/>
      <c r="G168" s="3">
        <f t="shared" si="17"/>
        <v>0</v>
      </c>
      <c r="H168" s="187"/>
      <c r="I168" s="7"/>
      <c r="J168" s="7">
        <v>1.6500000000000001E-2</v>
      </c>
      <c r="K168" s="7">
        <v>7.5999999999999998E-2</v>
      </c>
      <c r="L168" s="7">
        <v>0</v>
      </c>
      <c r="M168" s="11">
        <f t="shared" si="2"/>
        <v>0</v>
      </c>
      <c r="N168" s="11">
        <f t="shared" si="3"/>
        <v>0</v>
      </c>
      <c r="O168" s="11">
        <f t="shared" si="4"/>
        <v>0</v>
      </c>
      <c r="P168" s="11">
        <f t="shared" si="16"/>
        <v>0</v>
      </c>
    </row>
    <row r="169" spans="1:16" ht="15" hidden="1" customHeight="1">
      <c r="A169" s="44"/>
      <c r="B169" s="5">
        <f t="shared" si="18"/>
        <v>45901</v>
      </c>
      <c r="C169" s="218" t="s">
        <v>533</v>
      </c>
      <c r="D169" s="195"/>
      <c r="E169" s="186"/>
      <c r="F169" s="2"/>
      <c r="G169" s="3">
        <f t="shared" si="17"/>
        <v>0</v>
      </c>
      <c r="H169" s="187"/>
      <c r="I169" s="7"/>
      <c r="J169" s="7">
        <v>1.6500000000000001E-2</v>
      </c>
      <c r="K169" s="7">
        <v>7.5999999999999998E-2</v>
      </c>
      <c r="L169" s="7">
        <v>0</v>
      </c>
      <c r="M169" s="11">
        <f t="shared" si="2"/>
        <v>0</v>
      </c>
      <c r="N169" s="11">
        <f t="shared" si="3"/>
        <v>0</v>
      </c>
      <c r="O169" s="11">
        <f t="shared" si="4"/>
        <v>0</v>
      </c>
      <c r="P169" s="11">
        <f t="shared" si="16"/>
        <v>0</v>
      </c>
    </row>
    <row r="170" spans="1:16" ht="15" hidden="1" customHeight="1">
      <c r="A170" s="44"/>
      <c r="B170" s="5">
        <f t="shared" si="18"/>
        <v>45901</v>
      </c>
      <c r="C170" s="218" t="s">
        <v>533</v>
      </c>
      <c r="D170" s="195"/>
      <c r="E170" s="186"/>
      <c r="F170" s="2"/>
      <c r="G170" s="3">
        <f t="shared" si="17"/>
        <v>0</v>
      </c>
      <c r="H170" s="187"/>
      <c r="I170" s="7"/>
      <c r="J170" s="7">
        <v>1.6500000000000001E-2</v>
      </c>
      <c r="K170" s="7">
        <v>7.5999999999999998E-2</v>
      </c>
      <c r="L170" s="7">
        <v>0</v>
      </c>
      <c r="M170" s="11">
        <f t="shared" si="2"/>
        <v>0</v>
      </c>
      <c r="N170" s="11">
        <f t="shared" si="3"/>
        <v>0</v>
      </c>
      <c r="O170" s="11">
        <f t="shared" si="4"/>
        <v>0</v>
      </c>
      <c r="P170" s="11">
        <f t="shared" si="16"/>
        <v>0</v>
      </c>
    </row>
    <row r="171" spans="1:16" ht="15" hidden="1" customHeight="1">
      <c r="A171" s="44"/>
      <c r="B171" s="5">
        <f t="shared" si="18"/>
        <v>45901</v>
      </c>
      <c r="C171" s="218" t="s">
        <v>533</v>
      </c>
      <c r="D171" s="195"/>
      <c r="E171" s="186"/>
      <c r="F171" s="2"/>
      <c r="G171" s="3">
        <f t="shared" si="17"/>
        <v>0</v>
      </c>
      <c r="H171" s="187"/>
      <c r="I171" s="7"/>
      <c r="J171" s="7">
        <v>1.6500000000000001E-2</v>
      </c>
      <c r="K171" s="7">
        <v>7.5999999999999998E-2</v>
      </c>
      <c r="L171" s="7">
        <v>0</v>
      </c>
      <c r="M171" s="11">
        <f t="shared" si="2"/>
        <v>0</v>
      </c>
      <c r="N171" s="11">
        <f t="shared" si="3"/>
        <v>0</v>
      </c>
      <c r="O171" s="11">
        <f t="shared" si="4"/>
        <v>0</v>
      </c>
      <c r="P171" s="11">
        <f t="shared" si="16"/>
        <v>0</v>
      </c>
    </row>
    <row r="172" spans="1:16" ht="15" hidden="1" customHeight="1">
      <c r="A172" s="44"/>
      <c r="B172" s="5">
        <f t="shared" si="18"/>
        <v>45901</v>
      </c>
      <c r="C172" s="218" t="s">
        <v>533</v>
      </c>
      <c r="D172" s="195"/>
      <c r="E172" s="186"/>
      <c r="F172" s="2"/>
      <c r="G172" s="3">
        <f t="shared" si="17"/>
        <v>0</v>
      </c>
      <c r="H172" s="187"/>
      <c r="I172" s="7"/>
      <c r="J172" s="7">
        <v>1.6500000000000001E-2</v>
      </c>
      <c r="K172" s="7">
        <v>7.5999999999999998E-2</v>
      </c>
      <c r="L172" s="7">
        <v>0</v>
      </c>
      <c r="M172" s="11">
        <f t="shared" si="2"/>
        <v>0</v>
      </c>
      <c r="N172" s="11">
        <f t="shared" si="3"/>
        <v>0</v>
      </c>
      <c r="O172" s="11">
        <f t="shared" si="4"/>
        <v>0</v>
      </c>
      <c r="P172" s="11">
        <f t="shared" si="16"/>
        <v>0</v>
      </c>
    </row>
    <row r="173" spans="1:16" ht="15" hidden="1" customHeight="1">
      <c r="A173" s="44"/>
      <c r="B173" s="5">
        <f t="shared" si="18"/>
        <v>45901</v>
      </c>
      <c r="C173" s="218" t="s">
        <v>533</v>
      </c>
      <c r="D173" s="195"/>
      <c r="E173" s="186"/>
      <c r="F173" s="2"/>
      <c r="G173" s="3">
        <f t="shared" si="17"/>
        <v>0</v>
      </c>
      <c r="H173" s="187"/>
      <c r="I173" s="7"/>
      <c r="J173" s="7">
        <v>1.6500000000000001E-2</v>
      </c>
      <c r="K173" s="7">
        <v>7.5999999999999998E-2</v>
      </c>
      <c r="L173" s="7">
        <v>0</v>
      </c>
      <c r="M173" s="11">
        <f t="shared" si="2"/>
        <v>0</v>
      </c>
      <c r="N173" s="11">
        <f t="shared" si="3"/>
        <v>0</v>
      </c>
      <c r="O173" s="11">
        <f t="shared" si="4"/>
        <v>0</v>
      </c>
      <c r="P173" s="11">
        <f t="shared" si="16"/>
        <v>0</v>
      </c>
    </row>
    <row r="174" spans="1:16" ht="15" hidden="1" customHeight="1">
      <c r="A174" s="44"/>
      <c r="B174" s="5">
        <f t="shared" si="18"/>
        <v>45901</v>
      </c>
      <c r="C174" s="218" t="s">
        <v>533</v>
      </c>
      <c r="D174" s="195"/>
      <c r="E174" s="186"/>
      <c r="F174" s="2"/>
      <c r="G174" s="3">
        <f t="shared" si="17"/>
        <v>0</v>
      </c>
      <c r="H174" s="187"/>
      <c r="I174" s="7"/>
      <c r="J174" s="7">
        <v>1.6500000000000001E-2</v>
      </c>
      <c r="K174" s="7">
        <v>7.5999999999999998E-2</v>
      </c>
      <c r="L174" s="7">
        <v>0</v>
      </c>
      <c r="M174" s="11">
        <f t="shared" si="2"/>
        <v>0</v>
      </c>
      <c r="N174" s="11">
        <f t="shared" si="3"/>
        <v>0</v>
      </c>
      <c r="O174" s="11">
        <f t="shared" si="4"/>
        <v>0</v>
      </c>
      <c r="P174" s="11">
        <f t="shared" si="16"/>
        <v>0</v>
      </c>
    </row>
    <row r="175" spans="1:16" ht="15" hidden="1" customHeight="1">
      <c r="A175" s="44"/>
      <c r="B175" s="5">
        <f t="shared" si="18"/>
        <v>45901</v>
      </c>
      <c r="C175" s="218" t="s">
        <v>533</v>
      </c>
      <c r="D175" s="195"/>
      <c r="E175" s="186"/>
      <c r="F175" s="2"/>
      <c r="G175" s="3">
        <f t="shared" si="17"/>
        <v>0</v>
      </c>
      <c r="H175" s="187"/>
      <c r="I175" s="7"/>
      <c r="J175" s="7">
        <v>1.6500000000000001E-2</v>
      </c>
      <c r="K175" s="7">
        <v>7.5999999999999998E-2</v>
      </c>
      <c r="L175" s="7">
        <v>0</v>
      </c>
      <c r="M175" s="11">
        <f t="shared" si="2"/>
        <v>0</v>
      </c>
      <c r="N175" s="11">
        <f t="shared" si="3"/>
        <v>0</v>
      </c>
      <c r="O175" s="11">
        <f t="shared" si="4"/>
        <v>0</v>
      </c>
      <c r="P175" s="11">
        <f t="shared" si="16"/>
        <v>0</v>
      </c>
    </row>
    <row r="176" spans="1:16" ht="15" hidden="1" customHeight="1">
      <c r="A176" s="44"/>
      <c r="B176" s="5">
        <f t="shared" si="18"/>
        <v>45901</v>
      </c>
      <c r="C176" s="218" t="s">
        <v>533</v>
      </c>
      <c r="D176" s="195"/>
      <c r="E176" s="186"/>
      <c r="F176" s="2"/>
      <c r="G176" s="3">
        <f t="shared" si="17"/>
        <v>0</v>
      </c>
      <c r="H176" s="187"/>
      <c r="I176" s="7"/>
      <c r="J176" s="7">
        <v>1.6500000000000001E-2</v>
      </c>
      <c r="K176" s="7">
        <v>7.5999999999999998E-2</v>
      </c>
      <c r="L176" s="7">
        <v>0</v>
      </c>
      <c r="M176" s="11">
        <f t="shared" si="2"/>
        <v>0</v>
      </c>
      <c r="N176" s="11">
        <f t="shared" si="3"/>
        <v>0</v>
      </c>
      <c r="O176" s="11">
        <f t="shared" si="4"/>
        <v>0</v>
      </c>
      <c r="P176" s="11">
        <f t="shared" si="16"/>
        <v>0</v>
      </c>
    </row>
    <row r="177" spans="1:16" ht="15" hidden="1" customHeight="1">
      <c r="A177" s="44"/>
      <c r="B177" s="5">
        <f t="shared" si="18"/>
        <v>45901</v>
      </c>
      <c r="C177" s="218" t="s">
        <v>533</v>
      </c>
      <c r="D177" s="195"/>
      <c r="E177" s="186"/>
      <c r="F177" s="2"/>
      <c r="G177" s="3">
        <f t="shared" si="17"/>
        <v>0</v>
      </c>
      <c r="H177" s="187"/>
      <c r="I177" s="7"/>
      <c r="J177" s="7">
        <v>1.6500000000000001E-2</v>
      </c>
      <c r="K177" s="7">
        <v>7.5999999999999998E-2</v>
      </c>
      <c r="L177" s="7">
        <v>0</v>
      </c>
      <c r="M177" s="11">
        <f t="shared" si="2"/>
        <v>0</v>
      </c>
      <c r="N177" s="11">
        <f t="shared" si="3"/>
        <v>0</v>
      </c>
      <c r="O177" s="11">
        <f t="shared" si="4"/>
        <v>0</v>
      </c>
      <c r="P177" s="11">
        <f t="shared" si="16"/>
        <v>0</v>
      </c>
    </row>
    <row r="178" spans="1:16" ht="15" hidden="1" customHeight="1">
      <c r="A178" s="44"/>
      <c r="B178" s="5">
        <f t="shared" si="18"/>
        <v>45901</v>
      </c>
      <c r="C178" s="218" t="s">
        <v>533</v>
      </c>
      <c r="D178" s="195"/>
      <c r="E178" s="186"/>
      <c r="F178" s="2"/>
      <c r="G178" s="3">
        <f t="shared" si="17"/>
        <v>0</v>
      </c>
      <c r="H178" s="187"/>
      <c r="I178" s="7"/>
      <c r="J178" s="7">
        <v>1.6500000000000001E-2</v>
      </c>
      <c r="K178" s="7">
        <v>7.5999999999999998E-2</v>
      </c>
      <c r="L178" s="7">
        <v>0</v>
      </c>
      <c r="M178" s="11">
        <f t="shared" si="2"/>
        <v>0</v>
      </c>
      <c r="N178" s="11">
        <f t="shared" si="3"/>
        <v>0</v>
      </c>
      <c r="O178" s="11">
        <f t="shared" si="4"/>
        <v>0</v>
      </c>
      <c r="P178" s="11">
        <f t="shared" si="16"/>
        <v>0</v>
      </c>
    </row>
    <row r="179" spans="1:16" ht="15" hidden="1" customHeight="1">
      <c r="A179" s="44"/>
      <c r="B179" s="5">
        <f t="shared" si="18"/>
        <v>45901</v>
      </c>
      <c r="C179" s="218" t="s">
        <v>533</v>
      </c>
      <c r="D179" s="195"/>
      <c r="E179" s="186"/>
      <c r="F179" s="2"/>
      <c r="G179" s="3">
        <f t="shared" si="17"/>
        <v>0</v>
      </c>
      <c r="H179" s="187"/>
      <c r="I179" s="7"/>
      <c r="J179" s="7">
        <v>1.6500000000000001E-2</v>
      </c>
      <c r="K179" s="7">
        <v>7.5999999999999998E-2</v>
      </c>
      <c r="L179" s="7">
        <v>0</v>
      </c>
      <c r="M179" s="11">
        <f t="shared" si="2"/>
        <v>0</v>
      </c>
      <c r="N179" s="11">
        <f t="shared" si="3"/>
        <v>0</v>
      </c>
      <c r="O179" s="11">
        <f t="shared" si="4"/>
        <v>0</v>
      </c>
      <c r="P179" s="11">
        <f t="shared" si="16"/>
        <v>0</v>
      </c>
    </row>
    <row r="180" spans="1:16" ht="15" hidden="1" customHeight="1">
      <c r="A180" s="44"/>
      <c r="B180" s="5">
        <f t="shared" si="18"/>
        <v>45901</v>
      </c>
      <c r="C180" s="218" t="s">
        <v>533</v>
      </c>
      <c r="D180" s="195"/>
      <c r="E180" s="186"/>
      <c r="F180" s="2"/>
      <c r="G180" s="3">
        <f t="shared" si="17"/>
        <v>0</v>
      </c>
      <c r="H180" s="187"/>
      <c r="I180" s="7"/>
      <c r="J180" s="7">
        <v>1.6500000000000001E-2</v>
      </c>
      <c r="K180" s="7">
        <v>7.5999999999999998E-2</v>
      </c>
      <c r="L180" s="7">
        <v>0</v>
      </c>
      <c r="M180" s="11">
        <f t="shared" si="2"/>
        <v>0</v>
      </c>
      <c r="N180" s="11">
        <f t="shared" si="3"/>
        <v>0</v>
      </c>
      <c r="O180" s="11">
        <f t="shared" si="4"/>
        <v>0</v>
      </c>
      <c r="P180" s="11">
        <f t="shared" si="16"/>
        <v>0</v>
      </c>
    </row>
    <row r="181" spans="1:16" ht="15" hidden="1" customHeight="1">
      <c r="A181" s="44"/>
      <c r="B181" s="5">
        <f t="shared" si="18"/>
        <v>45901</v>
      </c>
      <c r="C181" s="218" t="s">
        <v>533</v>
      </c>
      <c r="D181" s="195"/>
      <c r="E181" s="186"/>
      <c r="F181" s="2"/>
      <c r="G181" s="3">
        <f t="shared" si="17"/>
        <v>0</v>
      </c>
      <c r="H181" s="187"/>
      <c r="I181" s="7"/>
      <c r="J181" s="7">
        <v>1.6500000000000001E-2</v>
      </c>
      <c r="K181" s="7">
        <v>7.5999999999999998E-2</v>
      </c>
      <c r="L181" s="7">
        <v>0</v>
      </c>
      <c r="M181" s="11">
        <f t="shared" si="2"/>
        <v>0</v>
      </c>
      <c r="N181" s="11">
        <f t="shared" si="3"/>
        <v>0</v>
      </c>
      <c r="O181" s="11">
        <f t="shared" si="4"/>
        <v>0</v>
      </c>
      <c r="P181" s="11">
        <f t="shared" si="16"/>
        <v>0</v>
      </c>
    </row>
    <row r="182" spans="1:16" ht="15" hidden="1" customHeight="1">
      <c r="A182" s="44"/>
      <c r="B182" s="5">
        <f t="shared" si="18"/>
        <v>45901</v>
      </c>
      <c r="C182" s="218" t="s">
        <v>533</v>
      </c>
      <c r="D182" s="195"/>
      <c r="E182" s="186"/>
      <c r="F182" s="2"/>
      <c r="G182" s="3">
        <f t="shared" si="17"/>
        <v>0</v>
      </c>
      <c r="H182" s="187"/>
      <c r="I182" s="7"/>
      <c r="J182" s="7">
        <v>1.6500000000000001E-2</v>
      </c>
      <c r="K182" s="7">
        <v>7.5999999999999998E-2</v>
      </c>
      <c r="L182" s="7">
        <v>0</v>
      </c>
      <c r="M182" s="11">
        <f t="shared" si="2"/>
        <v>0</v>
      </c>
      <c r="N182" s="11">
        <f t="shared" si="3"/>
        <v>0</v>
      </c>
      <c r="O182" s="11">
        <f t="shared" si="4"/>
        <v>0</v>
      </c>
      <c r="P182" s="11">
        <f t="shared" si="16"/>
        <v>0</v>
      </c>
    </row>
    <row r="183" spans="1:16">
      <c r="B183" s="5"/>
      <c r="C183" s="1"/>
      <c r="E183" s="1"/>
      <c r="F183" s="2"/>
      <c r="G183" s="4"/>
      <c r="H183" s="4"/>
      <c r="I183" s="7"/>
      <c r="J183" s="7"/>
      <c r="K183" s="7"/>
      <c r="L183" s="7"/>
    </row>
    <row r="184" spans="1:16">
      <c r="E184" s="28">
        <f>SUM(E18:E182)</f>
        <v>44425807.614000008</v>
      </c>
      <c r="F184" s="133"/>
      <c r="G184" s="29">
        <f>SUM(G18:G182)</f>
        <v>95689450.100512102</v>
      </c>
    </row>
    <row r="185" spans="1:16">
      <c r="E185" s="137"/>
      <c r="F185" s="41"/>
    </row>
    <row r="186" spans="1:16" ht="15.75" thickBot="1"/>
    <row r="187" spans="1:16">
      <c r="B187" s="391" t="s">
        <v>1018</v>
      </c>
      <c r="C187" s="383"/>
      <c r="D187" s="383"/>
      <c r="E187" s="383"/>
      <c r="F187" s="383"/>
      <c r="G187" s="383"/>
      <c r="H187" s="383"/>
      <c r="I187" s="383"/>
      <c r="J187" s="383"/>
      <c r="K187" s="383"/>
      <c r="L187" s="383"/>
      <c r="M187" s="383"/>
      <c r="N187" s="383"/>
      <c r="O187" s="384"/>
    </row>
    <row r="188" spans="1:16">
      <c r="B188" s="385"/>
      <c r="C188" s="386"/>
      <c r="D188" s="386"/>
      <c r="E188" s="386"/>
      <c r="F188" s="386"/>
      <c r="G188" s="386"/>
      <c r="H188" s="386"/>
      <c r="I188" s="386"/>
      <c r="J188" s="386"/>
      <c r="K188" s="386"/>
      <c r="L188" s="386"/>
      <c r="M188" s="386"/>
      <c r="N188" s="386"/>
      <c r="O188" s="387"/>
    </row>
    <row r="189" spans="1:16">
      <c r="B189" s="385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7"/>
    </row>
    <row r="190" spans="1:16">
      <c r="B190" s="385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7"/>
    </row>
    <row r="191" spans="1:16" ht="27" customHeight="1">
      <c r="B191" s="385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7"/>
    </row>
    <row r="192" spans="1:16" ht="44.25" customHeight="1" thickBot="1">
      <c r="B192" s="388"/>
      <c r="C192" s="389"/>
      <c r="D192" s="389"/>
      <c r="E192" s="389"/>
      <c r="F192" s="389"/>
      <c r="G192" s="389"/>
      <c r="H192" s="389"/>
      <c r="I192" s="389"/>
      <c r="J192" s="389"/>
      <c r="K192" s="389"/>
      <c r="L192" s="389"/>
      <c r="M192" s="389"/>
      <c r="N192" s="389"/>
      <c r="O192" s="390"/>
    </row>
    <row r="203" spans="5:5">
      <c r="E203" s="19"/>
    </row>
    <row r="204" spans="5:5">
      <c r="E204" s="19"/>
    </row>
  </sheetData>
  <mergeCells count="3">
    <mergeCell ref="C2:M2"/>
    <mergeCell ref="M16:P16"/>
    <mergeCell ref="B187:O192"/>
  </mergeCells>
  <conditionalFormatting sqref="D1:D1048576">
    <cfRule type="duplicateValues" dxfId="36" priority="1"/>
    <cfRule type="duplicateValues" dxfId="35" priority="2"/>
  </conditionalFormatting>
  <conditionalFormatting sqref="D7">
    <cfRule type="duplicateValues" dxfId="34" priority="5"/>
  </conditionalFormatting>
  <conditionalFormatting sqref="D18:D54">
    <cfRule type="duplicateValues" dxfId="33" priority="4"/>
  </conditionalFormatting>
  <conditionalFormatting sqref="D186:D1048576 D1:D184">
    <cfRule type="duplicateValues" dxfId="32" priority="3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DE0D-6777-4169-95A4-47F8AEDCD431}">
  <sheetPr>
    <pageSetUpPr fitToPage="1"/>
  </sheetPr>
  <dimension ref="A2:P204"/>
  <sheetViews>
    <sheetView showGridLines="0" tabSelected="1" topLeftCell="A6" zoomScale="90" zoomScaleNormal="90" workbookViewId="0">
      <selection activeCell="D19" sqref="D19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6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2:16" ht="23.25">
      <c r="C3" s="13">
        <v>45931</v>
      </c>
    </row>
    <row r="5" spans="2:16">
      <c r="C5" t="s">
        <v>17</v>
      </c>
      <c r="D5" s="14">
        <f t="shared" ref="D5:D9" ca="1" si="0">SUMIF($C$18:$G$182,$C$5:$C$10,$G$18:$G$182)/SUMIF($C$18:$G$182,$C$5:$C$10,$E$18:$E$182)</f>
        <v>2.0888662610572917</v>
      </c>
    </row>
    <row r="6" spans="2:16">
      <c r="C6" t="s">
        <v>440</v>
      </c>
      <c r="D6" s="14">
        <f t="shared" ca="1" si="0"/>
        <v>1.8889004475</v>
      </c>
    </row>
    <row r="7" spans="2:16">
      <c r="C7" t="s">
        <v>491</v>
      </c>
      <c r="D7" s="14">
        <f t="shared" ca="1" si="0"/>
        <v>2.0129999995422581</v>
      </c>
    </row>
    <row r="8" spans="2:16">
      <c r="C8" t="s">
        <v>756</v>
      </c>
      <c r="D8" s="14">
        <f t="shared" ca="1" si="0"/>
        <v>3.2161355297661158</v>
      </c>
      <c r="I8" s="19"/>
    </row>
    <row r="9" spans="2:16">
      <c r="C9" t="s">
        <v>757</v>
      </c>
      <c r="D9" s="14">
        <f t="shared" ca="1" si="0"/>
        <v>3.6301106900699063</v>
      </c>
      <c r="E9" s="14"/>
      <c r="F9" s="32"/>
      <c r="H9" s="137"/>
      <c r="I9" s="19"/>
    </row>
    <row r="10" spans="2:16">
      <c r="C10" t="s">
        <v>533</v>
      </c>
      <c r="D10" s="14" t="e">
        <f ca="1">SUMIF($C$18:$G$182,$C$5:$C$10,$G$18:$G$182)/SUMIF($C$18:$G$182,$C$5:$C$10,$E$18:$E$182)</f>
        <v>#DIV/0!</v>
      </c>
    </row>
    <row r="11" spans="2:16">
      <c r="C11" s="30" t="s">
        <v>129</v>
      </c>
      <c r="D11" s="31">
        <f>+G184/E184</f>
        <v>2.110254312114118</v>
      </c>
    </row>
    <row r="12" spans="2:16">
      <c r="D12" s="19"/>
      <c r="H12" s="373">
        <f>(E18+E28)*(H21-H18)</f>
        <v>1409222.6986758979</v>
      </c>
    </row>
    <row r="13" spans="2:16">
      <c r="D13" s="22"/>
      <c r="H13" s="372"/>
    </row>
    <row r="15" spans="2:16">
      <c r="E15" s="137"/>
    </row>
    <row r="16" spans="2:16" ht="15" customHeight="1">
      <c r="B16" s="23"/>
      <c r="C16" s="23"/>
      <c r="D16" s="23"/>
      <c r="E16" s="23"/>
      <c r="F16" s="23"/>
      <c r="G16" s="23"/>
      <c r="H16" s="365"/>
      <c r="I16" s="24"/>
      <c r="J16" s="24"/>
      <c r="K16" s="24"/>
      <c r="L16" s="24"/>
      <c r="M16" s="381" t="s">
        <v>100</v>
      </c>
      <c r="N16" s="381"/>
      <c r="O16" s="381"/>
      <c r="P16" s="381"/>
    </row>
    <row r="17" spans="1:16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6" t="s">
        <v>537</v>
      </c>
      <c r="M17" s="27" t="s">
        <v>3</v>
      </c>
      <c r="N17" s="27" t="s">
        <v>97</v>
      </c>
      <c r="O17" s="27" t="s">
        <v>98</v>
      </c>
      <c r="P17" s="27" t="s">
        <v>537</v>
      </c>
    </row>
    <row r="18" spans="1:16">
      <c r="A18" s="44"/>
      <c r="B18" s="5">
        <f>C3</f>
        <v>45931</v>
      </c>
      <c r="C18" s="217" t="s">
        <v>17</v>
      </c>
      <c r="D18" s="216" t="s">
        <v>1041</v>
      </c>
      <c r="E18" s="1">
        <v>6941145</v>
      </c>
      <c r="F18" s="2">
        <v>17300712.66</v>
      </c>
      <c r="G18" s="3">
        <f>F18-SUM(M18:P18)</f>
        <v>13816349.130276</v>
      </c>
      <c r="H18" s="201">
        <f t="shared" ref="H18:H44" si="1">+IF(G18=0,0,G18/E18)</f>
        <v>1.9905000011202763</v>
      </c>
      <c r="I18" s="200">
        <v>0.12</v>
      </c>
      <c r="J18" s="7">
        <v>1.6500000000000001E-2</v>
      </c>
      <c r="K18" s="7">
        <v>7.5999999999999998E-2</v>
      </c>
      <c r="L18" s="7">
        <v>0</v>
      </c>
      <c r="M18" s="11">
        <f t="shared" ref="M18:M182" si="2">+I18*F18</f>
        <v>2076085.5192</v>
      </c>
      <c r="N18" s="11">
        <f t="shared" ref="N18:N182" si="3">J18*(F18-M18)</f>
        <v>251206.34782319999</v>
      </c>
      <c r="O18" s="11">
        <f t="shared" ref="O18:O182" si="4">K18*(F18-M18)</f>
        <v>1157071.6627008</v>
      </c>
      <c r="P18" s="11">
        <f t="shared" ref="P18:P81" si="5">L18*(F18)</f>
        <v>0</v>
      </c>
    </row>
    <row r="19" spans="1:16">
      <c r="A19" s="44"/>
      <c r="B19" s="5">
        <f>B18</f>
        <v>45931</v>
      </c>
      <c r="C19" s="217" t="s">
        <v>17</v>
      </c>
      <c r="D19" s="216" t="s">
        <v>1042</v>
      </c>
      <c r="E19" s="1">
        <v>125364</v>
      </c>
      <c r="F19" s="2">
        <v>320081.64</v>
      </c>
      <c r="G19" s="3">
        <f t="shared" ref="G19:G52" si="6">F19-SUM(M19:P19)</f>
        <v>255617.19770400002</v>
      </c>
      <c r="H19" s="202">
        <f t="shared" si="1"/>
        <v>2.0390000135924189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si="2"/>
        <v>38409.796800000004</v>
      </c>
      <c r="N19" s="11">
        <f t="shared" si="3"/>
        <v>4647.5854128000001</v>
      </c>
      <c r="O19" s="11">
        <f t="shared" si="4"/>
        <v>21407.060083199998</v>
      </c>
      <c r="P19" s="11">
        <f t="shared" si="5"/>
        <v>0</v>
      </c>
    </row>
    <row r="20" spans="1:16">
      <c r="A20" s="44"/>
      <c r="B20" s="5">
        <f t="shared" ref="B20:B53" si="7">B19</f>
        <v>45931</v>
      </c>
      <c r="C20" s="217" t="s">
        <v>17</v>
      </c>
      <c r="D20" s="216" t="s">
        <v>1043</v>
      </c>
      <c r="E20" s="1">
        <v>1195184</v>
      </c>
      <c r="F20" s="2">
        <v>2840544.99</v>
      </c>
      <c r="G20" s="3">
        <f t="shared" si="6"/>
        <v>2268459.2290139999</v>
      </c>
      <c r="H20" s="202">
        <f t="shared" si="1"/>
        <v>1.8979999975016399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340865.39880000002</v>
      </c>
      <c r="N20" s="11">
        <f t="shared" si="3"/>
        <v>41244.713254800001</v>
      </c>
      <c r="O20" s="11">
        <f t="shared" si="4"/>
        <v>189975.6489312</v>
      </c>
      <c r="P20" s="11">
        <f t="shared" si="5"/>
        <v>0</v>
      </c>
    </row>
    <row r="21" spans="1:16">
      <c r="A21" s="44"/>
      <c r="B21" s="5">
        <f t="shared" si="7"/>
        <v>45931</v>
      </c>
      <c r="C21" s="217" t="s">
        <v>17</v>
      </c>
      <c r="D21" s="214" t="s">
        <v>1044</v>
      </c>
      <c r="E21" s="1">
        <v>2746944</v>
      </c>
      <c r="F21" s="2">
        <v>7450045.0899999999</v>
      </c>
      <c r="G21" s="3">
        <f t="shared" si="6"/>
        <v>5949606.0088740001</v>
      </c>
      <c r="H21" s="202">
        <f t="shared" si="1"/>
        <v>2.1658999997357062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894005.41079999995</v>
      </c>
      <c r="N21" s="11">
        <f t="shared" si="3"/>
        <v>108174.65470680001</v>
      </c>
      <c r="O21" s="11">
        <f t="shared" si="4"/>
        <v>498259.01561920001</v>
      </c>
      <c r="P21" s="11">
        <f t="shared" si="5"/>
        <v>0</v>
      </c>
    </row>
    <row r="22" spans="1:16">
      <c r="A22" s="44"/>
      <c r="B22" s="5">
        <f t="shared" si="7"/>
        <v>45931</v>
      </c>
      <c r="C22" s="217" t="s">
        <v>17</v>
      </c>
      <c r="D22" s="214" t="s">
        <v>1045</v>
      </c>
      <c r="E22" s="1">
        <v>35308</v>
      </c>
      <c r="F22" s="2">
        <v>90149.02</v>
      </c>
      <c r="G22" s="3">
        <f t="shared" si="6"/>
        <v>71993.007372000007</v>
      </c>
      <c r="H22" s="202">
        <f t="shared" si="1"/>
        <v>2.0389998689248898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10817.8824</v>
      </c>
      <c r="N22" s="11">
        <f t="shared" si="3"/>
        <v>1308.9637704000002</v>
      </c>
      <c r="O22" s="11">
        <f t="shared" si="4"/>
        <v>6029.1664576000003</v>
      </c>
      <c r="P22" s="11">
        <f t="shared" si="5"/>
        <v>0</v>
      </c>
    </row>
    <row r="23" spans="1:16">
      <c r="A23" s="44"/>
      <c r="B23" s="5">
        <f t="shared" si="7"/>
        <v>45931</v>
      </c>
      <c r="C23" s="217" t="s">
        <v>17</v>
      </c>
      <c r="D23" s="214" t="s">
        <v>1046</v>
      </c>
      <c r="E23" s="1">
        <v>308586</v>
      </c>
      <c r="F23" s="2">
        <v>787887.37</v>
      </c>
      <c r="G23" s="3">
        <f t="shared" si="6"/>
        <v>629206.85368199996</v>
      </c>
      <c r="H23" s="202">
        <f t="shared" si="1"/>
        <v>2.0389999989694929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94546.484400000001</v>
      </c>
      <c r="N23" s="11">
        <f t="shared" si="3"/>
        <v>11440.124612400001</v>
      </c>
      <c r="O23" s="11">
        <f t="shared" si="4"/>
        <v>52693.907305600005</v>
      </c>
      <c r="P23" s="11">
        <f t="shared" si="5"/>
        <v>0</v>
      </c>
    </row>
    <row r="24" spans="1:16">
      <c r="A24" s="44"/>
      <c r="B24" s="5">
        <f t="shared" si="7"/>
        <v>45931</v>
      </c>
      <c r="C24" s="217" t="s">
        <v>17</v>
      </c>
      <c r="D24" s="194" t="s">
        <v>1047</v>
      </c>
      <c r="E24" s="1">
        <v>277936</v>
      </c>
      <c r="F24" s="2">
        <v>660559.13</v>
      </c>
      <c r="G24" s="3">
        <f t="shared" si="6"/>
        <v>527522.52121799998</v>
      </c>
      <c r="H24" s="202">
        <f t="shared" si="1"/>
        <v>1.8979999755986989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79267.095600000001</v>
      </c>
      <c r="N24" s="11">
        <f t="shared" si="3"/>
        <v>9591.3185676000012</v>
      </c>
      <c r="O24" s="11">
        <f t="shared" si="4"/>
        <v>44178.194614399996</v>
      </c>
      <c r="P24" s="11">
        <f t="shared" si="5"/>
        <v>0</v>
      </c>
    </row>
    <row r="25" spans="1:16">
      <c r="A25" s="44"/>
      <c r="B25" s="5">
        <f t="shared" si="7"/>
        <v>45931</v>
      </c>
      <c r="C25" s="217" t="s">
        <v>17</v>
      </c>
      <c r="D25" s="196" t="s">
        <v>1048</v>
      </c>
      <c r="E25" s="1">
        <v>2377900</v>
      </c>
      <c r="F25" s="2">
        <v>5651457.7999999998</v>
      </c>
      <c r="G25" s="3">
        <f t="shared" si="6"/>
        <v>4513254.1990799997</v>
      </c>
      <c r="H25" s="202">
        <f t="shared" si="1"/>
        <v>1.8979999996131038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678174.93599999999</v>
      </c>
      <c r="N25" s="11">
        <f t="shared" si="3"/>
        <v>82059.167256000001</v>
      </c>
      <c r="O25" s="11">
        <f t="shared" si="4"/>
        <v>377969.49766400002</v>
      </c>
      <c r="P25" s="11">
        <f t="shared" si="5"/>
        <v>0</v>
      </c>
    </row>
    <row r="26" spans="1:16">
      <c r="A26" s="44"/>
      <c r="B26" s="5">
        <f t="shared" si="7"/>
        <v>45931</v>
      </c>
      <c r="C26" s="217" t="s">
        <v>17</v>
      </c>
      <c r="D26" s="194" t="s">
        <v>1049</v>
      </c>
      <c r="E26" s="1">
        <v>12028775</v>
      </c>
      <c r="F26" s="2">
        <v>32623495.859999999</v>
      </c>
      <c r="G26" s="3">
        <f t="shared" si="6"/>
        <v>26053123.793795999</v>
      </c>
      <c r="H26" s="202">
        <f t="shared" si="1"/>
        <v>2.1659000017704213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3914819.5031999997</v>
      </c>
      <c r="N26" s="11">
        <f t="shared" si="3"/>
        <v>473693.15988720005</v>
      </c>
      <c r="O26" s="11">
        <f t="shared" si="4"/>
        <v>2181859.4031167999</v>
      </c>
      <c r="P26" s="11">
        <f t="shared" si="5"/>
        <v>0</v>
      </c>
    </row>
    <row r="27" spans="1:16">
      <c r="A27" s="44"/>
      <c r="B27" s="5">
        <f t="shared" si="7"/>
        <v>45931</v>
      </c>
      <c r="C27" s="217" t="s">
        <v>17</v>
      </c>
      <c r="D27" s="194" t="s">
        <v>1050</v>
      </c>
      <c r="E27" s="1">
        <v>5493985.9979999997</v>
      </c>
      <c r="F27" s="2">
        <v>14900355.960000001</v>
      </c>
      <c r="G27" s="3">
        <f t="shared" si="6"/>
        <v>11899424.269656001</v>
      </c>
      <c r="H27" s="202">
        <f t="shared" si="1"/>
        <v>2.165899999378921</v>
      </c>
      <c r="I27" s="200">
        <v>0.12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1788042.7152</v>
      </c>
      <c r="N27" s="11">
        <f t="shared" si="3"/>
        <v>216353.16853920004</v>
      </c>
      <c r="O27" s="11">
        <f t="shared" si="4"/>
        <v>996535.80660480005</v>
      </c>
      <c r="P27" s="11">
        <f t="shared" si="5"/>
        <v>0</v>
      </c>
    </row>
    <row r="28" spans="1:16">
      <c r="A28" s="44"/>
      <c r="B28" s="5">
        <f t="shared" si="7"/>
        <v>45931</v>
      </c>
      <c r="C28" s="217" t="s">
        <v>17</v>
      </c>
      <c r="D28" s="194" t="s">
        <v>1051</v>
      </c>
      <c r="E28" s="1">
        <v>1093192</v>
      </c>
      <c r="F28" s="2">
        <v>2578273.86</v>
      </c>
      <c r="G28" s="3">
        <f t="shared" si="6"/>
        <v>2175998.6809934997</v>
      </c>
      <c r="H28" s="201">
        <f t="shared" si="1"/>
        <v>1.9905000045678158</v>
      </c>
      <c r="I28" s="200">
        <v>7.0000000000000007E-2</v>
      </c>
      <c r="J28" s="7">
        <v>1.6500000000000001E-2</v>
      </c>
      <c r="K28" s="7">
        <v>7.5999999999999998E-2</v>
      </c>
      <c r="L28" s="7">
        <v>0</v>
      </c>
      <c r="M28" s="11">
        <f t="shared" si="2"/>
        <v>180479.17020000002</v>
      </c>
      <c r="N28" s="11">
        <f t="shared" si="3"/>
        <v>39563.612381699997</v>
      </c>
      <c r="O28" s="11">
        <f t="shared" si="4"/>
        <v>182232.39642479998</v>
      </c>
      <c r="P28" s="11">
        <f t="shared" si="5"/>
        <v>0</v>
      </c>
    </row>
    <row r="29" spans="1:16">
      <c r="A29" s="44"/>
      <c r="B29" s="5">
        <f t="shared" si="7"/>
        <v>45931</v>
      </c>
      <c r="C29" s="217" t="s">
        <v>17</v>
      </c>
      <c r="D29" s="194" t="s">
        <v>1052</v>
      </c>
      <c r="E29" s="1">
        <v>8642</v>
      </c>
      <c r="F29" s="2">
        <v>20878.63</v>
      </c>
      <c r="G29" s="3">
        <f t="shared" si="6"/>
        <v>17621.04175425</v>
      </c>
      <c r="H29" s="202">
        <f t="shared" si="1"/>
        <v>2.0390004344191159</v>
      </c>
      <c r="I29" s="200">
        <v>7.0000000000000007E-2</v>
      </c>
      <c r="J29" s="7">
        <v>1.6500000000000001E-2</v>
      </c>
      <c r="K29" s="7">
        <v>7.5999999999999998E-2</v>
      </c>
      <c r="L29" s="7">
        <v>0</v>
      </c>
      <c r="M29" s="11">
        <f t="shared" si="2"/>
        <v>1461.5041000000001</v>
      </c>
      <c r="N29" s="11">
        <f t="shared" si="3"/>
        <v>320.38257735000002</v>
      </c>
      <c r="O29" s="11">
        <f t="shared" si="4"/>
        <v>1475.7015683999998</v>
      </c>
      <c r="P29" s="11">
        <f t="shared" si="5"/>
        <v>0</v>
      </c>
    </row>
    <row r="30" spans="1:16">
      <c r="A30" s="44"/>
      <c r="B30" s="5">
        <f t="shared" si="7"/>
        <v>45931</v>
      </c>
      <c r="C30" s="217" t="s">
        <v>17</v>
      </c>
      <c r="D30" s="194" t="s">
        <v>1053</v>
      </c>
      <c r="E30" s="1">
        <v>64352</v>
      </c>
      <c r="F30" s="2">
        <v>144720.04999999999</v>
      </c>
      <c r="G30" s="3">
        <f t="shared" ref="G30:G44" si="8">F30-SUM(M30:P30)</f>
        <v>122140.10419874999</v>
      </c>
      <c r="H30" s="202">
        <f t="shared" si="1"/>
        <v>1.8980001274047424</v>
      </c>
      <c r="I30" s="200">
        <v>7.0000000000000007E-2</v>
      </c>
      <c r="J30" s="7">
        <v>1.6500000000000001E-2</v>
      </c>
      <c r="K30" s="7">
        <v>7.5999999999999998E-2</v>
      </c>
      <c r="L30" s="7">
        <v>0</v>
      </c>
      <c r="M30" s="11">
        <f t="shared" si="2"/>
        <v>10130.4035</v>
      </c>
      <c r="N30" s="11">
        <f t="shared" si="3"/>
        <v>2220.7291672499996</v>
      </c>
      <c r="O30" s="11">
        <f t="shared" si="4"/>
        <v>10228.813133999998</v>
      </c>
      <c r="P30" s="11">
        <f t="shared" si="5"/>
        <v>0</v>
      </c>
    </row>
    <row r="31" spans="1:16" hidden="1">
      <c r="A31" s="44"/>
      <c r="B31" s="5">
        <f t="shared" si="7"/>
        <v>45931</v>
      </c>
      <c r="C31" s="217" t="s">
        <v>17</v>
      </c>
      <c r="D31" s="194"/>
      <c r="E31" s="1"/>
      <c r="F31" s="2"/>
      <c r="G31" s="3">
        <f t="shared" si="8"/>
        <v>0</v>
      </c>
      <c r="H31" s="202">
        <f t="shared" si="1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45931</v>
      </c>
      <c r="C32" s="217" t="s">
        <v>17</v>
      </c>
      <c r="D32" s="194"/>
      <c r="E32" s="1"/>
      <c r="F32" s="2"/>
      <c r="G32" s="3">
        <f t="shared" si="8"/>
        <v>0</v>
      </c>
      <c r="H32" s="202">
        <f t="shared" si="1"/>
        <v>0</v>
      </c>
      <c r="I32" s="200"/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 hidden="1">
      <c r="A33" s="44"/>
      <c r="B33" s="5">
        <f t="shared" si="7"/>
        <v>45931</v>
      </c>
      <c r="C33" s="217" t="s">
        <v>17</v>
      </c>
      <c r="D33" s="194"/>
      <c r="E33" s="1"/>
      <c r="F33" s="2"/>
      <c r="G33" s="3">
        <f t="shared" si="8"/>
        <v>0</v>
      </c>
      <c r="H33" s="202">
        <f t="shared" si="1"/>
        <v>0</v>
      </c>
      <c r="I33" s="200"/>
      <c r="J33" s="7">
        <v>1.6500000000000001E-2</v>
      </c>
      <c r="K33" s="7">
        <v>7.5999999999999998E-2</v>
      </c>
      <c r="L33" s="7">
        <v>0</v>
      </c>
      <c r="M33" s="11">
        <f t="shared" si="2"/>
        <v>0</v>
      </c>
      <c r="N33" s="11">
        <f t="shared" si="3"/>
        <v>0</v>
      </c>
      <c r="O33" s="11">
        <f t="shared" si="4"/>
        <v>0</v>
      </c>
      <c r="P33" s="11">
        <f t="shared" si="5"/>
        <v>0</v>
      </c>
    </row>
    <row r="34" spans="1:16" hidden="1">
      <c r="A34" s="44"/>
      <c r="B34" s="5">
        <f t="shared" si="7"/>
        <v>45931</v>
      </c>
      <c r="C34" s="217" t="s">
        <v>17</v>
      </c>
      <c r="D34" s="194"/>
      <c r="E34" s="1"/>
      <c r="F34" s="2"/>
      <c r="G34" s="3">
        <f t="shared" si="8"/>
        <v>0</v>
      </c>
      <c r="H34" s="202">
        <f t="shared" si="1"/>
        <v>0</v>
      </c>
      <c r="I34" s="200"/>
      <c r="J34" s="7">
        <v>1.6500000000000001E-2</v>
      </c>
      <c r="K34" s="7">
        <v>7.5999999999999998E-2</v>
      </c>
      <c r="L34" s="7">
        <v>0</v>
      </c>
      <c r="M34" s="11">
        <f t="shared" si="2"/>
        <v>0</v>
      </c>
      <c r="N34" s="11">
        <f t="shared" si="3"/>
        <v>0</v>
      </c>
      <c r="O34" s="11">
        <f t="shared" si="4"/>
        <v>0</v>
      </c>
      <c r="P34" s="11">
        <f t="shared" si="5"/>
        <v>0</v>
      </c>
    </row>
    <row r="35" spans="1:16" hidden="1">
      <c r="A35" s="44"/>
      <c r="B35" s="5">
        <f t="shared" si="7"/>
        <v>45931</v>
      </c>
      <c r="C35" s="217" t="s">
        <v>17</v>
      </c>
      <c r="D35" s="194"/>
      <c r="E35" s="1"/>
      <c r="F35" s="2"/>
      <c r="G35" s="3">
        <f t="shared" si="8"/>
        <v>0</v>
      </c>
      <c r="H35" s="202">
        <f t="shared" si="1"/>
        <v>0</v>
      </c>
      <c r="I35" s="200"/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 hidden="1">
      <c r="A36" s="44"/>
      <c r="B36" s="5">
        <f t="shared" si="7"/>
        <v>45931</v>
      </c>
      <c r="C36" s="217" t="s">
        <v>17</v>
      </c>
      <c r="D36" s="194"/>
      <c r="E36" s="1"/>
      <c r="F36" s="2"/>
      <c r="G36" s="3">
        <f t="shared" si="8"/>
        <v>0</v>
      </c>
      <c r="H36" s="202">
        <f t="shared" si="1"/>
        <v>0</v>
      </c>
      <c r="I36" s="200"/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 hidden="1">
      <c r="A37" s="44"/>
      <c r="B37" s="5">
        <f t="shared" si="7"/>
        <v>45931</v>
      </c>
      <c r="C37" s="217" t="s">
        <v>17</v>
      </c>
      <c r="D37" s="194"/>
      <c r="E37" s="1"/>
      <c r="F37" s="2"/>
      <c r="G37" s="3">
        <f t="shared" si="8"/>
        <v>0</v>
      </c>
      <c r="H37" s="202">
        <f t="shared" si="1"/>
        <v>0</v>
      </c>
      <c r="I37" s="200"/>
      <c r="J37" s="7">
        <v>1.6500000000000001E-2</v>
      </c>
      <c r="K37" s="7">
        <v>7.5999999999999998E-2</v>
      </c>
      <c r="L37" s="7">
        <v>0</v>
      </c>
      <c r="M37" s="11">
        <f t="shared" si="2"/>
        <v>0</v>
      </c>
      <c r="N37" s="11">
        <f t="shared" si="3"/>
        <v>0</v>
      </c>
      <c r="O37" s="11">
        <f t="shared" si="4"/>
        <v>0</v>
      </c>
      <c r="P37" s="11">
        <f t="shared" si="5"/>
        <v>0</v>
      </c>
    </row>
    <row r="38" spans="1:16" hidden="1">
      <c r="A38" s="44"/>
      <c r="B38" s="5">
        <f t="shared" si="7"/>
        <v>45931</v>
      </c>
      <c r="C38" s="217" t="s">
        <v>17</v>
      </c>
      <c r="D38" s="194"/>
      <c r="E38" s="1"/>
      <c r="F38" s="2"/>
      <c r="G38" s="3">
        <f t="shared" si="8"/>
        <v>0</v>
      </c>
      <c r="H38" s="202">
        <f t="shared" si="1"/>
        <v>0</v>
      </c>
      <c r="I38" s="200"/>
      <c r="J38" s="7">
        <v>1.6500000000000001E-2</v>
      </c>
      <c r="K38" s="7">
        <v>7.5999999999999998E-2</v>
      </c>
      <c r="L38" s="7">
        <v>0</v>
      </c>
      <c r="M38" s="11">
        <f t="shared" si="2"/>
        <v>0</v>
      </c>
      <c r="N38" s="11">
        <f t="shared" si="3"/>
        <v>0</v>
      </c>
      <c r="O38" s="11">
        <f t="shared" si="4"/>
        <v>0</v>
      </c>
      <c r="P38" s="11">
        <f t="shared" si="5"/>
        <v>0</v>
      </c>
    </row>
    <row r="39" spans="1:16" hidden="1">
      <c r="A39" s="44"/>
      <c r="B39" s="5">
        <f t="shared" si="7"/>
        <v>45931</v>
      </c>
      <c r="C39" s="217" t="s">
        <v>17</v>
      </c>
      <c r="D39" s="194"/>
      <c r="E39" s="1"/>
      <c r="F39" s="2"/>
      <c r="G39" s="3">
        <f t="shared" si="8"/>
        <v>0</v>
      </c>
      <c r="H39" s="202">
        <f t="shared" si="1"/>
        <v>0</v>
      </c>
      <c r="I39" s="200"/>
      <c r="J39" s="7">
        <v>1.6500000000000001E-2</v>
      </c>
      <c r="K39" s="7">
        <v>7.5999999999999998E-2</v>
      </c>
      <c r="L39" s="7">
        <v>0</v>
      </c>
      <c r="M39" s="11">
        <f t="shared" si="2"/>
        <v>0</v>
      </c>
      <c r="N39" s="11">
        <f t="shared" si="3"/>
        <v>0</v>
      </c>
      <c r="O39" s="11">
        <f t="shared" si="4"/>
        <v>0</v>
      </c>
      <c r="P39" s="11">
        <f t="shared" si="5"/>
        <v>0</v>
      </c>
    </row>
    <row r="40" spans="1:16" hidden="1">
      <c r="A40" s="44"/>
      <c r="B40" s="5">
        <f t="shared" si="7"/>
        <v>45931</v>
      </c>
      <c r="C40" s="217" t="s">
        <v>17</v>
      </c>
      <c r="D40" s="194"/>
      <c r="E40" s="1"/>
      <c r="F40" s="2"/>
      <c r="G40" s="3">
        <f t="shared" si="8"/>
        <v>0</v>
      </c>
      <c r="H40" s="202">
        <f t="shared" si="1"/>
        <v>0</v>
      </c>
      <c r="I40" s="200"/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 hidden="1">
      <c r="A41" s="44"/>
      <c r="B41" s="5">
        <f t="shared" si="7"/>
        <v>45931</v>
      </c>
      <c r="C41" s="217" t="s">
        <v>17</v>
      </c>
      <c r="D41" s="194"/>
      <c r="E41" s="1"/>
      <c r="F41" s="2"/>
      <c r="G41" s="3">
        <f t="shared" si="8"/>
        <v>0</v>
      </c>
      <c r="H41" s="202">
        <f t="shared" si="1"/>
        <v>0</v>
      </c>
      <c r="I41" s="200"/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idden="1">
      <c r="A42" s="44"/>
      <c r="B42" s="5">
        <f t="shared" si="7"/>
        <v>45931</v>
      </c>
      <c r="C42" s="217" t="s">
        <v>17</v>
      </c>
      <c r="D42" s="194"/>
      <c r="E42" s="1"/>
      <c r="F42" s="2"/>
      <c r="G42" s="3">
        <f t="shared" si="8"/>
        <v>0</v>
      </c>
      <c r="H42" s="202">
        <f t="shared" si="1"/>
        <v>0</v>
      </c>
      <c r="I42" s="200"/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 hidden="1">
      <c r="A43" s="44"/>
      <c r="B43" s="5">
        <f t="shared" si="7"/>
        <v>45931</v>
      </c>
      <c r="C43" s="217" t="s">
        <v>17</v>
      </c>
      <c r="D43" s="194"/>
      <c r="E43" s="1"/>
      <c r="F43" s="2"/>
      <c r="G43" s="3">
        <f t="shared" si="8"/>
        <v>0</v>
      </c>
      <c r="H43" s="202">
        <f t="shared" si="1"/>
        <v>0</v>
      </c>
      <c r="I43" s="200"/>
      <c r="J43" s="7">
        <v>1.6500000000000001E-2</v>
      </c>
      <c r="K43" s="7">
        <v>7.5999999999999998E-2</v>
      </c>
      <c r="L43" s="7">
        <v>0</v>
      </c>
      <c r="M43" s="11">
        <f t="shared" si="2"/>
        <v>0</v>
      </c>
      <c r="N43" s="11">
        <f t="shared" si="3"/>
        <v>0</v>
      </c>
      <c r="O43" s="11">
        <f t="shared" si="4"/>
        <v>0</v>
      </c>
      <c r="P43" s="11">
        <f t="shared" si="5"/>
        <v>0</v>
      </c>
    </row>
    <row r="44" spans="1:16">
      <c r="A44" s="44"/>
      <c r="B44" s="5">
        <f t="shared" si="7"/>
        <v>45931</v>
      </c>
      <c r="C44" s="218" t="s">
        <v>830</v>
      </c>
      <c r="D44" s="194" t="s">
        <v>1054</v>
      </c>
      <c r="E44" s="1">
        <v>2161000</v>
      </c>
      <c r="F44" s="2">
        <v>4609180.71</v>
      </c>
      <c r="G44" s="3">
        <f t="shared" si="8"/>
        <v>3680891.7150059999</v>
      </c>
      <c r="H44" s="202">
        <f t="shared" si="1"/>
        <v>1.7033279569671449</v>
      </c>
      <c r="I44" s="200">
        <v>0.12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553101.68519999995</v>
      </c>
      <c r="N44" s="11">
        <f t="shared" si="3"/>
        <v>66925.303909199996</v>
      </c>
      <c r="O44" s="11">
        <f t="shared" si="4"/>
        <v>308262.00588479999</v>
      </c>
      <c r="P44" s="11">
        <f t="shared" si="5"/>
        <v>0</v>
      </c>
    </row>
    <row r="45" spans="1:16">
      <c r="A45" s="44"/>
      <c r="B45" s="5">
        <f>B44</f>
        <v>45931</v>
      </c>
      <c r="C45" s="218" t="s">
        <v>830</v>
      </c>
      <c r="D45" s="194" t="s">
        <v>1057</v>
      </c>
      <c r="E45" s="1">
        <v>3379000</v>
      </c>
      <c r="F45" s="2">
        <v>7383835.3700000001</v>
      </c>
      <c r="G45" s="3">
        <f t="shared" si="6"/>
        <v>5896730.9264820004</v>
      </c>
      <c r="H45" s="202">
        <f>+IF(G45=0,0,G45/E45)</f>
        <v>1.7451112537679787</v>
      </c>
      <c r="I45" s="200">
        <v>0.12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886060.24439999997</v>
      </c>
      <c r="N45" s="11">
        <f t="shared" si="3"/>
        <v>107213.2895724</v>
      </c>
      <c r="O45" s="11">
        <f t="shared" si="4"/>
        <v>493830.90954560001</v>
      </c>
      <c r="P45" s="11">
        <f t="shared" si="5"/>
        <v>0</v>
      </c>
    </row>
    <row r="46" spans="1:16" hidden="1">
      <c r="A46" s="44"/>
      <c r="B46" s="5">
        <f t="shared" si="7"/>
        <v>45931</v>
      </c>
      <c r="C46" s="218" t="s">
        <v>830</v>
      </c>
      <c r="D46" s="194"/>
      <c r="E46" s="1"/>
      <c r="F46" s="2"/>
      <c r="G46" s="3">
        <f t="shared" si="6"/>
        <v>0</v>
      </c>
      <c r="H46" s="202">
        <f t="shared" ref="H46:H55" si="9">+IF(G46=0,0,G46/E46)</f>
        <v>0</v>
      </c>
      <c r="I46" s="200"/>
      <c r="J46" s="7">
        <v>1.6500000000000001E-2</v>
      </c>
      <c r="K46" s="7">
        <v>7.5999999999999998E-2</v>
      </c>
      <c r="L46" s="7">
        <v>0</v>
      </c>
      <c r="M46" s="11">
        <f t="shared" si="2"/>
        <v>0</v>
      </c>
      <c r="N46" s="11">
        <f t="shared" si="3"/>
        <v>0</v>
      </c>
      <c r="O46" s="11">
        <f t="shared" si="4"/>
        <v>0</v>
      </c>
      <c r="P46" s="11">
        <f t="shared" si="5"/>
        <v>0</v>
      </c>
    </row>
    <row r="47" spans="1:16">
      <c r="A47" s="44"/>
      <c r="B47" s="5">
        <f t="shared" si="7"/>
        <v>45931</v>
      </c>
      <c r="C47" s="219" t="s">
        <v>440</v>
      </c>
      <c r="D47" s="194" t="s">
        <v>1055</v>
      </c>
      <c r="E47" s="1">
        <v>310000</v>
      </c>
      <c r="F47" s="2">
        <v>693811</v>
      </c>
      <c r="G47" s="3">
        <f t="shared" si="6"/>
        <v>585559.13872499997</v>
      </c>
      <c r="H47" s="202">
        <f t="shared" si="9"/>
        <v>1.8889004475</v>
      </c>
      <c r="I47" s="7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48566.770000000004</v>
      </c>
      <c r="N47" s="11">
        <f t="shared" si="3"/>
        <v>10646.529795</v>
      </c>
      <c r="O47" s="11">
        <f t="shared" si="4"/>
        <v>49038.561479999997</v>
      </c>
      <c r="P47" s="11">
        <f t="shared" si="5"/>
        <v>0</v>
      </c>
    </row>
    <row r="48" spans="1:16">
      <c r="A48" s="44"/>
      <c r="B48" s="5">
        <f t="shared" si="7"/>
        <v>45931</v>
      </c>
      <c r="C48" s="217" t="s">
        <v>491</v>
      </c>
      <c r="D48" s="194" t="s">
        <v>1056</v>
      </c>
      <c r="E48" s="1">
        <v>6200000</v>
      </c>
      <c r="F48" s="2">
        <v>15628099.17</v>
      </c>
      <c r="G48" s="3">
        <f>F48-SUM(M48:P48)</f>
        <v>12480599.997161999</v>
      </c>
      <c r="H48" s="202">
        <f>+IF(G48=0,0,G48/E48)</f>
        <v>2.0129999995422581</v>
      </c>
      <c r="I48" s="7">
        <v>0.12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1875371.9003999999</v>
      </c>
      <c r="N48" s="11">
        <f t="shared" si="3"/>
        <v>226919.99994840001</v>
      </c>
      <c r="O48" s="11">
        <f t="shared" si="4"/>
        <v>1045207.2724896</v>
      </c>
      <c r="P48" s="11">
        <f t="shared" si="5"/>
        <v>0</v>
      </c>
    </row>
    <row r="49" spans="1:16" hidden="1">
      <c r="A49" s="44"/>
      <c r="B49" s="5">
        <f t="shared" si="7"/>
        <v>45931</v>
      </c>
      <c r="C49" s="217" t="s">
        <v>491</v>
      </c>
      <c r="D49" s="194"/>
      <c r="E49" s="185"/>
      <c r="F49" s="2"/>
      <c r="G49" s="3">
        <f t="shared" ref="G49" si="10">F49-SUM(M49:P49)</f>
        <v>0</v>
      </c>
      <c r="H49" s="202">
        <f>+IF(G49=0,0,G49/E49)</f>
        <v>0</v>
      </c>
      <c r="I49" s="7"/>
      <c r="J49" s="7">
        <v>1.6500000000000001E-2</v>
      </c>
      <c r="K49" s="7">
        <v>7.5999999999999998E-2</v>
      </c>
      <c r="L49" s="7">
        <v>0</v>
      </c>
      <c r="M49" s="11">
        <f t="shared" si="2"/>
        <v>0</v>
      </c>
      <c r="N49" s="11">
        <f t="shared" si="3"/>
        <v>0</v>
      </c>
      <c r="O49" s="11">
        <f t="shared" si="4"/>
        <v>0</v>
      </c>
      <c r="P49" s="11">
        <f t="shared" si="5"/>
        <v>0</v>
      </c>
    </row>
    <row r="50" spans="1:16" hidden="1">
      <c r="A50" s="44"/>
      <c r="B50" s="5">
        <f>B46</f>
        <v>45931</v>
      </c>
      <c r="C50" s="217" t="s">
        <v>491</v>
      </c>
      <c r="D50" s="194"/>
      <c r="E50" s="1"/>
      <c r="F50" s="2"/>
      <c r="G50" s="3">
        <f t="shared" ref="G50:G51" si="11">F50-SUM(M50:P50)</f>
        <v>0</v>
      </c>
      <c r="H50" s="202">
        <f t="shared" si="9"/>
        <v>0</v>
      </c>
      <c r="I50" s="7"/>
      <c r="J50" s="7">
        <v>1.6500000000000001E-2</v>
      </c>
      <c r="K50" s="7">
        <v>7.5999999999999998E-2</v>
      </c>
      <c r="L50" s="7">
        <v>0</v>
      </c>
      <c r="M50" s="11">
        <f t="shared" si="2"/>
        <v>0</v>
      </c>
      <c r="N50" s="11">
        <f t="shared" si="3"/>
        <v>0</v>
      </c>
      <c r="O50" s="11">
        <f t="shared" si="4"/>
        <v>0</v>
      </c>
      <c r="P50" s="11">
        <f t="shared" si="5"/>
        <v>0</v>
      </c>
    </row>
    <row r="51" spans="1:16" hidden="1">
      <c r="A51" s="44"/>
      <c r="B51" s="5">
        <f>B47</f>
        <v>45931</v>
      </c>
      <c r="C51" s="217" t="s">
        <v>491</v>
      </c>
      <c r="D51" s="195"/>
      <c r="E51" s="118"/>
      <c r="F51" s="2"/>
      <c r="G51" s="3">
        <f t="shared" si="11"/>
        <v>0</v>
      </c>
      <c r="H51" s="202">
        <f t="shared" si="9"/>
        <v>0</v>
      </c>
      <c r="I51" s="7"/>
      <c r="J51" s="7">
        <v>1.6500000000000001E-2</v>
      </c>
      <c r="K51" s="7">
        <v>7.5999999999999998E-2</v>
      </c>
      <c r="L51" s="7">
        <v>0</v>
      </c>
      <c r="M51" s="11">
        <f t="shared" si="2"/>
        <v>0</v>
      </c>
      <c r="N51" s="11">
        <f t="shared" si="3"/>
        <v>0</v>
      </c>
      <c r="O51" s="11">
        <f t="shared" si="4"/>
        <v>0</v>
      </c>
      <c r="P51" s="11">
        <f t="shared" si="5"/>
        <v>0</v>
      </c>
    </row>
    <row r="52" spans="1:16" hidden="1">
      <c r="A52" s="44"/>
      <c r="B52" s="5">
        <f>B48</f>
        <v>45931</v>
      </c>
      <c r="C52" s="220" t="s">
        <v>756</v>
      </c>
      <c r="D52" s="195"/>
      <c r="E52" s="118"/>
      <c r="F52" s="2"/>
      <c r="G52" s="3">
        <f t="shared" si="6"/>
        <v>0</v>
      </c>
      <c r="H52" s="202">
        <f t="shared" si="9"/>
        <v>0</v>
      </c>
      <c r="I52" s="7"/>
      <c r="J52" s="200">
        <v>1.6500000000000001E-2</v>
      </c>
      <c r="K52" s="200">
        <v>7.5999999999999998E-2</v>
      </c>
      <c r="L52" s="200">
        <v>0</v>
      </c>
      <c r="M52" s="11">
        <f t="shared" si="2"/>
        <v>0</v>
      </c>
      <c r="N52" s="11">
        <f t="shared" si="3"/>
        <v>0</v>
      </c>
      <c r="O52" s="11">
        <f t="shared" si="4"/>
        <v>0</v>
      </c>
      <c r="P52" s="11">
        <f t="shared" si="5"/>
        <v>0</v>
      </c>
    </row>
    <row r="53" spans="1:16">
      <c r="A53" s="44"/>
      <c r="B53" s="5">
        <f t="shared" si="7"/>
        <v>45931</v>
      </c>
      <c r="C53" s="220" t="s">
        <v>756</v>
      </c>
      <c r="D53" s="212" t="s">
        <v>1040</v>
      </c>
      <c r="E53" s="118">
        <v>1041335.57</v>
      </c>
      <c r="F53" s="2">
        <v>4642065.7</v>
      </c>
      <c r="G53" s="3">
        <f t="shared" ref="G53" si="12">F53-SUM(M53:P53)</f>
        <v>3349076.32508625</v>
      </c>
      <c r="H53" s="202">
        <f t="shared" si="9"/>
        <v>3.2161355297661158</v>
      </c>
      <c r="I53" s="7">
        <v>0.20499999999999999</v>
      </c>
      <c r="J53" s="200">
        <v>1.6500000000000001E-2</v>
      </c>
      <c r="K53" s="200">
        <v>7.5999999999999998E-2</v>
      </c>
      <c r="L53" s="200">
        <v>0</v>
      </c>
      <c r="M53" s="11">
        <f t="shared" si="2"/>
        <v>951623.46849999996</v>
      </c>
      <c r="N53" s="11">
        <f t="shared" si="3"/>
        <v>60892.296819750009</v>
      </c>
      <c r="O53" s="11">
        <f t="shared" si="4"/>
        <v>280473.60959400004</v>
      </c>
      <c r="P53" s="11">
        <f t="shared" si="5"/>
        <v>0</v>
      </c>
    </row>
    <row r="54" spans="1:16">
      <c r="A54" s="44"/>
      <c r="B54" s="5">
        <f>B53</f>
        <v>45931</v>
      </c>
      <c r="C54" s="220" t="s">
        <v>757</v>
      </c>
      <c r="D54" s="212" t="s">
        <v>283</v>
      </c>
      <c r="E54" s="118">
        <v>132542.54999999999</v>
      </c>
      <c r="F54" s="2">
        <v>666901.09</v>
      </c>
      <c r="G54" s="3">
        <f t="shared" ref="G54:G117" si="13">F54-SUM(M54:P54)</f>
        <v>481144.12764412502</v>
      </c>
      <c r="H54" s="202">
        <f t="shared" si="9"/>
        <v>3.6301106900699063</v>
      </c>
      <c r="I54" s="7">
        <v>0.20499999999999999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136714.72344999999</v>
      </c>
      <c r="N54" s="11">
        <f t="shared" si="3"/>
        <v>8748.0750480749994</v>
      </c>
      <c r="O54" s="11">
        <f t="shared" si="4"/>
        <v>40294.163857799991</v>
      </c>
      <c r="P54" s="11">
        <f t="shared" si="5"/>
        <v>0</v>
      </c>
    </row>
    <row r="55" spans="1:16" ht="15" hidden="1" customHeight="1">
      <c r="A55" s="44"/>
      <c r="B55" s="5">
        <f>B54</f>
        <v>45931</v>
      </c>
      <c r="C55" s="220" t="s">
        <v>757</v>
      </c>
      <c r="D55" s="195"/>
      <c r="E55" s="118"/>
      <c r="F55" s="2"/>
      <c r="G55" s="3">
        <f t="shared" si="13"/>
        <v>0</v>
      </c>
      <c r="H55" s="202">
        <f t="shared" si="9"/>
        <v>0</v>
      </c>
      <c r="I55" s="7"/>
      <c r="J55" s="7">
        <v>1.6500000000000001E-2</v>
      </c>
      <c r="K55" s="7">
        <v>7.5999999999999998E-2</v>
      </c>
      <c r="L55" s="7">
        <v>0</v>
      </c>
      <c r="M55" s="11">
        <f t="shared" si="2"/>
        <v>0</v>
      </c>
      <c r="N55" s="11">
        <f t="shared" si="3"/>
        <v>0</v>
      </c>
      <c r="O55" s="11">
        <f t="shared" si="4"/>
        <v>0</v>
      </c>
      <c r="P55" s="11">
        <f t="shared" si="5"/>
        <v>0</v>
      </c>
    </row>
    <row r="56" spans="1:16" ht="15" customHeight="1">
      <c r="A56" s="44"/>
      <c r="B56" s="5">
        <f>B55</f>
        <v>45931</v>
      </c>
      <c r="C56" s="221" t="s">
        <v>792</v>
      </c>
      <c r="D56" s="195" t="s">
        <v>1039</v>
      </c>
      <c r="E56" s="186"/>
      <c r="F56" s="2">
        <v>205122.9</v>
      </c>
      <c r="G56" s="3">
        <f t="shared" si="13"/>
        <v>186149.03174999999</v>
      </c>
      <c r="H56" s="187"/>
      <c r="I56" s="193"/>
      <c r="J56" s="7">
        <v>1.6500000000000001E-2</v>
      </c>
      <c r="K56" s="7">
        <v>7.5999999999999998E-2</v>
      </c>
      <c r="L56" s="7">
        <v>0</v>
      </c>
      <c r="M56" s="11">
        <f t="shared" si="2"/>
        <v>0</v>
      </c>
      <c r="N56" s="11">
        <f t="shared" si="3"/>
        <v>3384.5278499999999</v>
      </c>
      <c r="O56" s="11">
        <f t="shared" si="4"/>
        <v>15589.340399999999</v>
      </c>
      <c r="P56" s="11">
        <f t="shared" si="5"/>
        <v>0</v>
      </c>
    </row>
    <row r="57" spans="1:16">
      <c r="A57" s="44"/>
      <c r="B57" s="5">
        <f>B56</f>
        <v>45931</v>
      </c>
      <c r="C57" s="221" t="s">
        <v>1010</v>
      </c>
      <c r="D57" s="361">
        <v>10660</v>
      </c>
      <c r="E57" s="186"/>
      <c r="F57" s="2">
        <v>35000</v>
      </c>
      <c r="G57" s="3">
        <f t="shared" si="13"/>
        <v>31762.5</v>
      </c>
      <c r="H57" s="187"/>
      <c r="I57" s="193"/>
      <c r="J57" s="7">
        <v>1.6500000000000001E-2</v>
      </c>
      <c r="K57" s="7">
        <v>7.5999999999999998E-2</v>
      </c>
      <c r="L57" s="7">
        <v>0</v>
      </c>
      <c r="M57" s="11">
        <f t="shared" si="2"/>
        <v>0</v>
      </c>
      <c r="N57" s="11">
        <f t="shared" si="3"/>
        <v>577.5</v>
      </c>
      <c r="O57" s="11">
        <f t="shared" si="4"/>
        <v>2660</v>
      </c>
      <c r="P57" s="11">
        <f t="shared" si="5"/>
        <v>0</v>
      </c>
    </row>
    <row r="58" spans="1:16" hidden="1">
      <c r="A58" s="44"/>
      <c r="B58" s="5">
        <f>B57</f>
        <v>45931</v>
      </c>
      <c r="C58" s="1" t="s">
        <v>33</v>
      </c>
      <c r="D58" s="195"/>
      <c r="E58" s="118"/>
      <c r="F58" s="2"/>
      <c r="G58" s="3">
        <f t="shared" si="13"/>
        <v>0</v>
      </c>
      <c r="H58" s="202">
        <f t="shared" ref="H58:H59" si="14">+IF(G58=0,0,G58/E58)</f>
        <v>0</v>
      </c>
      <c r="I58" s="7"/>
      <c r="J58" s="7">
        <v>1.6500000000000001E-2</v>
      </c>
      <c r="K58" s="7">
        <v>7.5999999999999998E-2</v>
      </c>
      <c r="L58" s="7">
        <v>0</v>
      </c>
      <c r="M58" s="11">
        <f t="shared" si="2"/>
        <v>0</v>
      </c>
      <c r="N58" s="11">
        <f t="shared" si="3"/>
        <v>0</v>
      </c>
      <c r="O58" s="11">
        <f t="shared" si="4"/>
        <v>0</v>
      </c>
      <c r="P58" s="11">
        <f t="shared" si="5"/>
        <v>0</v>
      </c>
    </row>
    <row r="59" spans="1:16" hidden="1">
      <c r="A59" s="44"/>
      <c r="B59" s="5">
        <f t="shared" ref="B59:B122" si="15">B58</f>
        <v>45931</v>
      </c>
      <c r="C59" s="1" t="s">
        <v>33</v>
      </c>
      <c r="D59" s="195"/>
      <c r="E59" s="118"/>
      <c r="F59" s="2"/>
      <c r="G59" s="3">
        <f t="shared" si="13"/>
        <v>0</v>
      </c>
      <c r="H59" s="202">
        <f t="shared" si="14"/>
        <v>0</v>
      </c>
      <c r="I59" s="7"/>
      <c r="J59" s="7">
        <v>1.6500000000000001E-2</v>
      </c>
      <c r="K59" s="7">
        <v>7.5999999999999998E-2</v>
      </c>
      <c r="L59" s="7">
        <v>0</v>
      </c>
      <c r="M59" s="11">
        <f t="shared" si="2"/>
        <v>0</v>
      </c>
      <c r="N59" s="11">
        <f t="shared" si="3"/>
        <v>0</v>
      </c>
      <c r="O59" s="11">
        <f t="shared" si="4"/>
        <v>0</v>
      </c>
      <c r="P59" s="11">
        <f t="shared" si="5"/>
        <v>0</v>
      </c>
    </row>
    <row r="60" spans="1:16" ht="15" customHeight="1">
      <c r="A60" s="44"/>
      <c r="B60" s="5">
        <f t="shared" si="15"/>
        <v>45931</v>
      </c>
      <c r="C60" s="218" t="s">
        <v>533</v>
      </c>
      <c r="D60" s="195">
        <v>12225</v>
      </c>
      <c r="E60" s="186"/>
      <c r="F60" s="2">
        <v>78740.36</v>
      </c>
      <c r="G60" s="3">
        <f>F60-SUM(M60:P60)</f>
        <v>62882.051496</v>
      </c>
      <c r="H60" s="187"/>
      <c r="I60" s="7">
        <v>0.12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9448.8431999999993</v>
      </c>
      <c r="N60" s="11">
        <f t="shared" si="3"/>
        <v>1143.3100271999999</v>
      </c>
      <c r="O60" s="11">
        <f t="shared" si="4"/>
        <v>5266.1552768000001</v>
      </c>
      <c r="P60" s="11">
        <f t="shared" si="5"/>
        <v>0</v>
      </c>
    </row>
    <row r="61" spans="1:16" ht="15" customHeight="1">
      <c r="A61" s="44"/>
      <c r="B61" s="5">
        <f t="shared" si="15"/>
        <v>45931</v>
      </c>
      <c r="C61" s="218" t="s">
        <v>533</v>
      </c>
      <c r="D61" s="195">
        <v>12226</v>
      </c>
      <c r="E61" s="186"/>
      <c r="F61" s="2">
        <v>4028.33</v>
      </c>
      <c r="G61" s="3">
        <f>F61-SUM(M61:P61)</f>
        <v>3217.0243380000002</v>
      </c>
      <c r="H61" s="187"/>
      <c r="I61" s="7">
        <v>0.12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483.39959999999996</v>
      </c>
      <c r="N61" s="11">
        <f t="shared" si="3"/>
        <v>58.491351600000009</v>
      </c>
      <c r="O61" s="11">
        <f t="shared" si="4"/>
        <v>269.41471039999999</v>
      </c>
      <c r="P61" s="11">
        <f t="shared" si="5"/>
        <v>0</v>
      </c>
    </row>
    <row r="62" spans="1:16" ht="15" customHeight="1">
      <c r="A62" s="44"/>
      <c r="B62" s="5">
        <f t="shared" si="15"/>
        <v>45931</v>
      </c>
      <c r="C62" s="218" t="s">
        <v>533</v>
      </c>
      <c r="D62" s="195">
        <v>7043</v>
      </c>
      <c r="E62" s="186"/>
      <c r="F62" s="2">
        <v>250260.29</v>
      </c>
      <c r="G62" s="3">
        <f t="shared" si="13"/>
        <v>199857.86759400001</v>
      </c>
      <c r="H62" s="187"/>
      <c r="I62" s="7">
        <v>0.12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30031.234799999998</v>
      </c>
      <c r="N62" s="11">
        <f t="shared" si="3"/>
        <v>3633.7794108000003</v>
      </c>
      <c r="O62" s="11">
        <f t="shared" si="4"/>
        <v>16737.408195200002</v>
      </c>
      <c r="P62" s="11">
        <f t="shared" si="5"/>
        <v>0</v>
      </c>
    </row>
    <row r="63" spans="1:16" ht="15" customHeight="1">
      <c r="A63" s="44"/>
      <c r="B63" s="5">
        <f t="shared" si="15"/>
        <v>45931</v>
      </c>
      <c r="C63" s="218" t="s">
        <v>533</v>
      </c>
      <c r="D63" s="195">
        <v>7044</v>
      </c>
      <c r="E63" s="186"/>
      <c r="F63" s="2">
        <v>16480.759999999998</v>
      </c>
      <c r="G63" s="3">
        <f t="shared" si="13"/>
        <v>13161.534936</v>
      </c>
      <c r="H63" s="187"/>
      <c r="I63" s="7">
        <v>0.12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1977.6911999999998</v>
      </c>
      <c r="N63" s="11">
        <f t="shared" si="3"/>
        <v>239.30063519999999</v>
      </c>
      <c r="O63" s="11">
        <f t="shared" si="4"/>
        <v>1102.2332288</v>
      </c>
      <c r="P63" s="11">
        <f t="shared" si="5"/>
        <v>0</v>
      </c>
    </row>
    <row r="64" spans="1:16" ht="15" customHeight="1">
      <c r="A64" s="44"/>
      <c r="B64" s="5">
        <f t="shared" si="15"/>
        <v>45931</v>
      </c>
      <c r="C64" s="218" t="s">
        <v>533</v>
      </c>
      <c r="D64" s="195">
        <v>28035</v>
      </c>
      <c r="E64" s="186"/>
      <c r="F64" s="2">
        <v>3026.82</v>
      </c>
      <c r="G64" s="3">
        <f t="shared" si="13"/>
        <v>2554.5604094999999</v>
      </c>
      <c r="H64" s="187"/>
      <c r="I64" s="7">
        <v>7.0000000000000007E-2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211.87740000000002</v>
      </c>
      <c r="N64" s="11">
        <f t="shared" si="3"/>
        <v>46.446552900000007</v>
      </c>
      <c r="O64" s="11">
        <f t="shared" si="4"/>
        <v>213.93563760000001</v>
      </c>
      <c r="P64" s="11">
        <f t="shared" si="5"/>
        <v>0</v>
      </c>
    </row>
    <row r="65" spans="1:16" ht="15" customHeight="1">
      <c r="A65" s="44"/>
      <c r="B65" s="5">
        <f t="shared" si="15"/>
        <v>45931</v>
      </c>
      <c r="C65" s="218" t="s">
        <v>533</v>
      </c>
      <c r="D65" s="195">
        <v>28036</v>
      </c>
      <c r="E65" s="186"/>
      <c r="F65" s="2">
        <v>158.82</v>
      </c>
      <c r="G65" s="3">
        <f t="shared" si="13"/>
        <v>134.0401095</v>
      </c>
      <c r="H65" s="187"/>
      <c r="I65" s="7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11.1174</v>
      </c>
      <c r="N65" s="11">
        <f t="shared" si="3"/>
        <v>2.4370929000000001</v>
      </c>
      <c r="O65" s="11">
        <f t="shared" si="4"/>
        <v>11.225397599999999</v>
      </c>
      <c r="P65" s="11">
        <f t="shared" si="5"/>
        <v>0</v>
      </c>
    </row>
    <row r="66" spans="1:16" ht="15" customHeight="1">
      <c r="A66" s="44"/>
      <c r="B66" s="5">
        <f t="shared" si="15"/>
        <v>45931</v>
      </c>
      <c r="C66" s="218" t="s">
        <v>533</v>
      </c>
      <c r="D66" s="195">
        <v>22900</v>
      </c>
      <c r="E66" s="186"/>
      <c r="F66" s="2">
        <v>130937.1</v>
      </c>
      <c r="G66" s="3">
        <f t="shared" si="13"/>
        <v>104566.36806000001</v>
      </c>
      <c r="H66" s="187"/>
      <c r="I66" s="7">
        <v>0.12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15712.451999999999</v>
      </c>
      <c r="N66" s="11">
        <f t="shared" si="3"/>
        <v>1901.2066920000002</v>
      </c>
      <c r="O66" s="11">
        <f t="shared" si="4"/>
        <v>8757.0732480000006</v>
      </c>
      <c r="P66" s="11">
        <f t="shared" si="5"/>
        <v>0</v>
      </c>
    </row>
    <row r="67" spans="1:16" ht="15" customHeight="1">
      <c r="A67" s="44"/>
      <c r="B67" s="5">
        <f t="shared" si="15"/>
        <v>45931</v>
      </c>
      <c r="C67" s="218" t="s">
        <v>533</v>
      </c>
      <c r="D67" s="195">
        <v>22901</v>
      </c>
      <c r="E67" s="186"/>
      <c r="F67" s="2">
        <v>8728.0400000000009</v>
      </c>
      <c r="G67" s="3">
        <f t="shared" si="13"/>
        <v>6970.2127440000004</v>
      </c>
      <c r="H67" s="187"/>
      <c r="I67" s="7">
        <v>0.12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1047.3648000000001</v>
      </c>
      <c r="N67" s="11">
        <f t="shared" si="3"/>
        <v>126.73114080000002</v>
      </c>
      <c r="O67" s="11">
        <f t="shared" si="4"/>
        <v>583.73131520000004</v>
      </c>
      <c r="P67" s="11">
        <f t="shared" si="5"/>
        <v>0</v>
      </c>
    </row>
    <row r="68" spans="1:16" ht="15" customHeight="1">
      <c r="A68" s="44"/>
      <c r="B68" s="5">
        <f t="shared" si="15"/>
        <v>45931</v>
      </c>
      <c r="C68" s="218" t="s">
        <v>533</v>
      </c>
      <c r="D68" s="195">
        <v>12259</v>
      </c>
      <c r="E68" s="186"/>
      <c r="F68" s="2">
        <v>60459.53</v>
      </c>
      <c r="G68" s="3">
        <f t="shared" si="13"/>
        <v>48282.980658</v>
      </c>
      <c r="H68" s="187"/>
      <c r="I68" s="7">
        <v>0.12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7255.1435999999994</v>
      </c>
      <c r="N68" s="11">
        <f t="shared" si="3"/>
        <v>877.87237560000005</v>
      </c>
      <c r="O68" s="11">
        <f t="shared" si="4"/>
        <v>4043.5333664</v>
      </c>
      <c r="P68" s="11">
        <f t="shared" si="5"/>
        <v>0</v>
      </c>
    </row>
    <row r="69" spans="1:16" ht="15" customHeight="1">
      <c r="A69" s="44"/>
      <c r="B69" s="5">
        <f t="shared" si="15"/>
        <v>45931</v>
      </c>
      <c r="C69" s="218" t="s">
        <v>533</v>
      </c>
      <c r="D69" s="195">
        <v>12260</v>
      </c>
      <c r="E69" s="186"/>
      <c r="F69" s="2">
        <v>3546.03</v>
      </c>
      <c r="G69" s="3">
        <f t="shared" si="13"/>
        <v>2831.8595580000001</v>
      </c>
      <c r="H69" s="187"/>
      <c r="I69" s="7">
        <v>0.12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425.52359999999999</v>
      </c>
      <c r="N69" s="11">
        <f t="shared" si="3"/>
        <v>51.488355600000006</v>
      </c>
      <c r="O69" s="11">
        <f t="shared" si="4"/>
        <v>237.15848640000002</v>
      </c>
      <c r="P69" s="11">
        <f t="shared" si="5"/>
        <v>0</v>
      </c>
    </row>
    <row r="70" spans="1:16" ht="15" customHeight="1">
      <c r="A70" s="44"/>
      <c r="B70" s="5">
        <f t="shared" si="15"/>
        <v>45931</v>
      </c>
      <c r="C70" s="218" t="s">
        <v>533</v>
      </c>
      <c r="D70" s="195">
        <v>12261</v>
      </c>
      <c r="E70" s="186"/>
      <c r="F70" s="2">
        <v>2.87</v>
      </c>
      <c r="G70" s="3">
        <f t="shared" si="13"/>
        <v>2.291982</v>
      </c>
      <c r="H70" s="187"/>
      <c r="I70" s="7">
        <v>0.12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0.34439999999999998</v>
      </c>
      <c r="N70" s="11">
        <f t="shared" si="3"/>
        <v>4.1672400000000005E-2</v>
      </c>
      <c r="O70" s="11">
        <f t="shared" si="4"/>
        <v>0.19194560000000002</v>
      </c>
      <c r="P70" s="11">
        <f t="shared" si="5"/>
        <v>0</v>
      </c>
    </row>
    <row r="71" spans="1:16" ht="15" customHeight="1">
      <c r="A71" s="44"/>
      <c r="B71" s="5">
        <f t="shared" si="15"/>
        <v>45931</v>
      </c>
      <c r="C71" s="218" t="s">
        <v>533</v>
      </c>
      <c r="D71" s="195">
        <v>7063</v>
      </c>
      <c r="E71" s="186"/>
      <c r="F71" s="2">
        <v>194858.96</v>
      </c>
      <c r="G71" s="3">
        <f t="shared" si="13"/>
        <v>155614.365456</v>
      </c>
      <c r="H71" s="187"/>
      <c r="I71" s="7">
        <v>0.12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23383.075199999999</v>
      </c>
      <c r="N71" s="11">
        <f t="shared" si="3"/>
        <v>2829.3520992000003</v>
      </c>
      <c r="O71" s="11">
        <f t="shared" si="4"/>
        <v>13032.167244799999</v>
      </c>
      <c r="P71" s="11">
        <f t="shared" si="5"/>
        <v>0</v>
      </c>
    </row>
    <row r="72" spans="1:16" ht="15" customHeight="1">
      <c r="A72" s="44"/>
      <c r="B72" s="5">
        <f t="shared" si="15"/>
        <v>45931</v>
      </c>
      <c r="C72" s="218" t="s">
        <v>533</v>
      </c>
      <c r="D72" s="195">
        <v>7064</v>
      </c>
      <c r="E72" s="186"/>
      <c r="F72" s="2">
        <v>14507.49</v>
      </c>
      <c r="G72" s="3">
        <f t="shared" si="13"/>
        <v>11585.681514</v>
      </c>
      <c r="H72" s="187"/>
      <c r="I72" s="7">
        <v>0.12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1740.8987999999999</v>
      </c>
      <c r="N72" s="11">
        <f t="shared" si="3"/>
        <v>210.64875480000001</v>
      </c>
      <c r="O72" s="11">
        <f t="shared" si="4"/>
        <v>970.26093119999985</v>
      </c>
      <c r="P72" s="11">
        <f t="shared" si="5"/>
        <v>0</v>
      </c>
    </row>
    <row r="73" spans="1:16" ht="15" customHeight="1">
      <c r="A73" s="44"/>
      <c r="B73" s="5">
        <f t="shared" si="15"/>
        <v>45931</v>
      </c>
      <c r="C73" s="218" t="s">
        <v>533</v>
      </c>
      <c r="D73" s="195">
        <v>7065</v>
      </c>
      <c r="E73" s="186"/>
      <c r="F73" s="2">
        <v>9.07</v>
      </c>
      <c r="G73" s="3">
        <f t="shared" si="13"/>
        <v>7.2433019999999999</v>
      </c>
      <c r="H73" s="187"/>
      <c r="I73" s="7">
        <v>0.12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1.0884</v>
      </c>
      <c r="N73" s="11">
        <f t="shared" si="3"/>
        <v>0.13169640000000002</v>
      </c>
      <c r="O73" s="11">
        <f t="shared" si="4"/>
        <v>0.60660159999999996</v>
      </c>
      <c r="P73" s="11">
        <f t="shared" si="5"/>
        <v>0</v>
      </c>
    </row>
    <row r="74" spans="1:16" ht="15" customHeight="1">
      <c r="A74" s="44"/>
      <c r="B74" s="5">
        <f t="shared" si="15"/>
        <v>45931</v>
      </c>
      <c r="C74" s="218" t="s">
        <v>533</v>
      </c>
      <c r="D74" s="195">
        <v>28238</v>
      </c>
      <c r="E74" s="186"/>
      <c r="F74" s="2">
        <v>13952.9</v>
      </c>
      <c r="G74" s="3">
        <f t="shared" si="13"/>
        <v>11775.898777499999</v>
      </c>
      <c r="H74" s="187"/>
      <c r="I74" s="7">
        <v>7.0000000000000007E-2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976.70300000000009</v>
      </c>
      <c r="N74" s="11">
        <f t="shared" si="3"/>
        <v>214.10725050000002</v>
      </c>
      <c r="O74" s="11">
        <f t="shared" si="4"/>
        <v>986.19097199999999</v>
      </c>
      <c r="P74" s="11">
        <f t="shared" si="5"/>
        <v>0</v>
      </c>
    </row>
    <row r="75" spans="1:16" ht="15" customHeight="1">
      <c r="A75" s="44"/>
      <c r="B75" s="5">
        <f t="shared" si="15"/>
        <v>45931</v>
      </c>
      <c r="C75" s="218" t="s">
        <v>533</v>
      </c>
      <c r="D75" s="195">
        <v>28239</v>
      </c>
      <c r="E75" s="186"/>
      <c r="F75" s="2">
        <v>838.91</v>
      </c>
      <c r="G75" s="3">
        <f t="shared" si="13"/>
        <v>708.01906725000003</v>
      </c>
      <c r="H75" s="187"/>
      <c r="I75" s="7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58.723700000000001</v>
      </c>
      <c r="N75" s="11">
        <f t="shared" si="3"/>
        <v>12.87307395</v>
      </c>
      <c r="O75" s="11">
        <f t="shared" si="4"/>
        <v>59.294158799999998</v>
      </c>
      <c r="P75" s="11">
        <f t="shared" si="5"/>
        <v>0</v>
      </c>
    </row>
    <row r="76" spans="1:16" ht="15" customHeight="1">
      <c r="A76" s="44"/>
      <c r="B76" s="5">
        <f t="shared" si="15"/>
        <v>45931</v>
      </c>
      <c r="C76" s="218" t="s">
        <v>533</v>
      </c>
      <c r="D76" s="195">
        <v>22944</v>
      </c>
      <c r="E76" s="186"/>
      <c r="F76" s="2">
        <v>100709.75</v>
      </c>
      <c r="G76" s="3">
        <f t="shared" si="13"/>
        <v>80426.806349999999</v>
      </c>
      <c r="H76" s="187"/>
      <c r="I76" s="7">
        <v>0.12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12085.17</v>
      </c>
      <c r="N76" s="11">
        <f t="shared" si="3"/>
        <v>1462.30557</v>
      </c>
      <c r="O76" s="11">
        <f t="shared" si="4"/>
        <v>6735.4680799999996</v>
      </c>
      <c r="P76" s="11">
        <f t="shared" si="5"/>
        <v>0</v>
      </c>
    </row>
    <row r="77" spans="1:16" ht="15" customHeight="1">
      <c r="A77" s="44"/>
      <c r="B77" s="5">
        <f t="shared" si="15"/>
        <v>45931</v>
      </c>
      <c r="C77" s="218" t="s">
        <v>533</v>
      </c>
      <c r="D77" s="195">
        <v>22945</v>
      </c>
      <c r="E77" s="186"/>
      <c r="F77" s="2">
        <v>7675.2</v>
      </c>
      <c r="G77" s="3">
        <f t="shared" si="13"/>
        <v>6129.4147199999998</v>
      </c>
      <c r="H77" s="187"/>
      <c r="I77" s="7">
        <v>0.12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921.02399999999989</v>
      </c>
      <c r="N77" s="11">
        <f t="shared" si="3"/>
        <v>111.443904</v>
      </c>
      <c r="O77" s="11">
        <f t="shared" si="4"/>
        <v>513.31737599999997</v>
      </c>
      <c r="P77" s="11">
        <f t="shared" si="5"/>
        <v>0</v>
      </c>
    </row>
    <row r="78" spans="1:16" ht="15" customHeight="1">
      <c r="A78" s="44"/>
      <c r="B78" s="5">
        <f t="shared" si="15"/>
        <v>45931</v>
      </c>
      <c r="C78" s="218" t="s">
        <v>533</v>
      </c>
      <c r="D78" s="195">
        <v>22946</v>
      </c>
      <c r="E78" s="186"/>
      <c r="F78" s="2">
        <v>5.73</v>
      </c>
      <c r="G78" s="3">
        <f t="shared" si="13"/>
        <v>4.5759780000000001</v>
      </c>
      <c r="H78" s="187"/>
      <c r="I78" s="7">
        <v>0.12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0.68759999999999999</v>
      </c>
      <c r="N78" s="11">
        <f t="shared" si="3"/>
        <v>8.3199600000000012E-2</v>
      </c>
      <c r="O78" s="11">
        <f t="shared" si="4"/>
        <v>0.38322240000000002</v>
      </c>
      <c r="P78" s="11">
        <f t="shared" si="5"/>
        <v>0</v>
      </c>
    </row>
    <row r="79" spans="1:16" ht="15" customHeight="1">
      <c r="A79" s="44"/>
      <c r="B79" s="5">
        <f t="shared" si="15"/>
        <v>45931</v>
      </c>
      <c r="C79" s="218" t="s">
        <v>533</v>
      </c>
      <c r="D79" s="195">
        <v>12262</v>
      </c>
      <c r="E79" s="186"/>
      <c r="F79" s="2">
        <v>18053.16</v>
      </c>
      <c r="G79" s="3">
        <f t="shared" si="13"/>
        <v>14417.253575999999</v>
      </c>
      <c r="H79" s="187"/>
      <c r="I79" s="7">
        <v>0.12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2166.3791999999999</v>
      </c>
      <c r="N79" s="11">
        <f t="shared" si="3"/>
        <v>262.1318832</v>
      </c>
      <c r="O79" s="11">
        <f t="shared" si="4"/>
        <v>1207.3953408</v>
      </c>
      <c r="P79" s="11">
        <f t="shared" si="5"/>
        <v>0</v>
      </c>
    </row>
    <row r="80" spans="1:16" ht="15" customHeight="1">
      <c r="A80" s="44"/>
      <c r="B80" s="5">
        <f t="shared" si="15"/>
        <v>45931</v>
      </c>
      <c r="C80" s="218" t="s">
        <v>533</v>
      </c>
      <c r="D80" s="195">
        <v>12263</v>
      </c>
      <c r="E80" s="186"/>
      <c r="F80" s="2">
        <v>1029.54</v>
      </c>
      <c r="G80" s="3">
        <f t="shared" si="13"/>
        <v>822.19064400000002</v>
      </c>
      <c r="H80" s="187"/>
      <c r="I80" s="7">
        <v>0.12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123.5448</v>
      </c>
      <c r="N80" s="11">
        <f t="shared" si="3"/>
        <v>14.9489208</v>
      </c>
      <c r="O80" s="11">
        <f t="shared" si="4"/>
        <v>68.855635199999995</v>
      </c>
      <c r="P80" s="11">
        <f t="shared" si="5"/>
        <v>0</v>
      </c>
    </row>
    <row r="81" spans="1:16" ht="15" customHeight="1">
      <c r="A81" s="44"/>
      <c r="B81" s="5">
        <f t="shared" si="15"/>
        <v>45931</v>
      </c>
      <c r="C81" s="218" t="s">
        <v>533</v>
      </c>
      <c r="D81" s="195">
        <v>7066</v>
      </c>
      <c r="E81" s="186"/>
      <c r="F81" s="2">
        <v>58135.11</v>
      </c>
      <c r="G81" s="3">
        <f t="shared" si="13"/>
        <v>46426.698845999999</v>
      </c>
      <c r="H81" s="187"/>
      <c r="I81" s="7">
        <v>0.12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6976.2132000000001</v>
      </c>
      <c r="N81" s="11">
        <f t="shared" si="3"/>
        <v>844.12179720000006</v>
      </c>
      <c r="O81" s="11">
        <f t="shared" si="4"/>
        <v>3888.0761568000003</v>
      </c>
      <c r="P81" s="11">
        <f t="shared" si="5"/>
        <v>0</v>
      </c>
    </row>
    <row r="82" spans="1:16" ht="15" customHeight="1">
      <c r="A82" s="44"/>
      <c r="B82" s="5">
        <f t="shared" si="15"/>
        <v>45931</v>
      </c>
      <c r="C82" s="218" t="s">
        <v>533</v>
      </c>
      <c r="D82" s="195">
        <v>7067</v>
      </c>
      <c r="E82" s="186"/>
      <c r="F82" s="2">
        <v>4210.79</v>
      </c>
      <c r="G82" s="3">
        <f t="shared" si="13"/>
        <v>3362.7368940000001</v>
      </c>
      <c r="H82" s="187"/>
      <c r="I82" s="7">
        <v>0.12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505.29479999999995</v>
      </c>
      <c r="N82" s="11">
        <f t="shared" si="3"/>
        <v>61.140670800000002</v>
      </c>
      <c r="O82" s="11">
        <f t="shared" si="4"/>
        <v>281.6176352</v>
      </c>
      <c r="P82" s="11">
        <f t="shared" ref="P82:P182" si="16">L82*(F82)</f>
        <v>0</v>
      </c>
    </row>
    <row r="83" spans="1:16" ht="15" customHeight="1">
      <c r="A83" s="44"/>
      <c r="B83" s="5">
        <f t="shared" si="15"/>
        <v>45931</v>
      </c>
      <c r="C83" s="218" t="s">
        <v>533</v>
      </c>
      <c r="D83" s="195">
        <v>7048</v>
      </c>
      <c r="E83" s="186"/>
      <c r="F83" s="2">
        <v>2.82</v>
      </c>
      <c r="G83" s="3">
        <f t="shared" si="13"/>
        <v>2.2520519999999999</v>
      </c>
      <c r="H83" s="187"/>
      <c r="I83" s="7">
        <v>0.12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0.33839999999999998</v>
      </c>
      <c r="N83" s="11">
        <f t="shared" si="3"/>
        <v>4.0946400000000001E-2</v>
      </c>
      <c r="O83" s="11">
        <f t="shared" si="4"/>
        <v>0.18860159999999998</v>
      </c>
      <c r="P83" s="11">
        <f t="shared" si="16"/>
        <v>0</v>
      </c>
    </row>
    <row r="84" spans="1:16" ht="15" customHeight="1">
      <c r="A84" s="44"/>
      <c r="B84" s="5">
        <f t="shared" si="15"/>
        <v>45931</v>
      </c>
      <c r="C84" s="218" t="s">
        <v>533</v>
      </c>
      <c r="D84" s="195">
        <v>28226</v>
      </c>
      <c r="E84" s="186"/>
      <c r="F84" s="2">
        <v>4173.92</v>
      </c>
      <c r="G84" s="3">
        <f t="shared" si="13"/>
        <v>3522.6841320000003</v>
      </c>
      <c r="H84" s="187"/>
      <c r="I84" s="7">
        <v>7.0000000000000007E-2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292.17440000000005</v>
      </c>
      <c r="N84" s="11">
        <f t="shared" si="3"/>
        <v>64.0488024</v>
      </c>
      <c r="O84" s="11">
        <f t="shared" si="4"/>
        <v>295.01266559999999</v>
      </c>
      <c r="P84" s="11">
        <f t="shared" si="16"/>
        <v>0</v>
      </c>
    </row>
    <row r="85" spans="1:16" ht="15" customHeight="1">
      <c r="A85" s="44"/>
      <c r="B85" s="5">
        <f t="shared" si="15"/>
        <v>45931</v>
      </c>
      <c r="C85" s="218" t="s">
        <v>533</v>
      </c>
      <c r="D85" s="195">
        <v>28227</v>
      </c>
      <c r="E85" s="186"/>
      <c r="F85" s="2">
        <v>243.55</v>
      </c>
      <c r="G85" s="3">
        <f t="shared" si="13"/>
        <v>205.55011125000001</v>
      </c>
      <c r="H85" s="187"/>
      <c r="I85" s="7">
        <v>7.0000000000000007E-2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17.048500000000001</v>
      </c>
      <c r="N85" s="11">
        <f t="shared" si="3"/>
        <v>3.7372747500000005</v>
      </c>
      <c r="O85" s="11">
        <f t="shared" si="4"/>
        <v>17.214114000000002</v>
      </c>
      <c r="P85" s="11">
        <f t="shared" si="16"/>
        <v>0</v>
      </c>
    </row>
    <row r="86" spans="1:16" ht="15" customHeight="1">
      <c r="A86" s="44"/>
      <c r="B86" s="5">
        <f t="shared" si="15"/>
        <v>45931</v>
      </c>
      <c r="C86" s="218" t="s">
        <v>533</v>
      </c>
      <c r="D86" s="195">
        <v>22927</v>
      </c>
      <c r="E86" s="186"/>
      <c r="F86" s="2">
        <v>29921.46</v>
      </c>
      <c r="G86" s="3">
        <f t="shared" si="13"/>
        <v>23895.277955999998</v>
      </c>
      <c r="H86" s="187"/>
      <c r="I86" s="7">
        <v>0.12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3590.5751999999998</v>
      </c>
      <c r="N86" s="11">
        <f t="shared" si="3"/>
        <v>434.45959920000001</v>
      </c>
      <c r="O86" s="11">
        <f t="shared" si="4"/>
        <v>2001.1472448</v>
      </c>
      <c r="P86" s="11">
        <f t="shared" si="16"/>
        <v>0</v>
      </c>
    </row>
    <row r="87" spans="1:16" ht="15" customHeight="1">
      <c r="A87" s="44"/>
      <c r="B87" s="5">
        <f t="shared" si="15"/>
        <v>45931</v>
      </c>
      <c r="C87" s="218" t="s">
        <v>533</v>
      </c>
      <c r="D87" s="195">
        <v>22928</v>
      </c>
      <c r="E87" s="186"/>
      <c r="F87" s="2">
        <v>2228.71</v>
      </c>
      <c r="G87" s="3">
        <f t="shared" si="13"/>
        <v>1779.847806</v>
      </c>
      <c r="H87" s="187"/>
      <c r="I87" s="7">
        <v>0.12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267.4452</v>
      </c>
      <c r="N87" s="11">
        <f t="shared" si="3"/>
        <v>32.360869200000003</v>
      </c>
      <c r="O87" s="11">
        <f t="shared" si="4"/>
        <v>149.05612479999999</v>
      </c>
      <c r="P87" s="11">
        <f t="shared" si="16"/>
        <v>0</v>
      </c>
    </row>
    <row r="88" spans="1:16" ht="15" customHeight="1">
      <c r="A88" s="44"/>
      <c r="B88" s="5">
        <f t="shared" si="15"/>
        <v>45931</v>
      </c>
      <c r="C88" s="218" t="s">
        <v>533</v>
      </c>
      <c r="D88" s="195">
        <v>22929</v>
      </c>
      <c r="E88" s="186"/>
      <c r="F88" s="2">
        <v>1.78</v>
      </c>
      <c r="G88" s="3">
        <f t="shared" si="13"/>
        <v>1.421508</v>
      </c>
      <c r="H88" s="187"/>
      <c r="I88" s="7">
        <v>0.12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0.21359999999999998</v>
      </c>
      <c r="N88" s="11">
        <f t="shared" si="3"/>
        <v>2.58456E-2</v>
      </c>
      <c r="O88" s="11">
        <f t="shared" si="4"/>
        <v>0.1190464</v>
      </c>
      <c r="P88" s="11">
        <f t="shared" si="16"/>
        <v>0</v>
      </c>
    </row>
    <row r="89" spans="1:16" ht="15" customHeight="1">
      <c r="A89" s="44"/>
      <c r="B89" s="5">
        <f t="shared" si="15"/>
        <v>45931</v>
      </c>
      <c r="C89" s="218" t="s">
        <v>533</v>
      </c>
      <c r="D89" s="195">
        <v>12246</v>
      </c>
      <c r="E89" s="186"/>
      <c r="F89" s="2">
        <v>11121.7</v>
      </c>
      <c r="G89" s="3">
        <f t="shared" si="13"/>
        <v>8881.7896199999996</v>
      </c>
      <c r="H89" s="187"/>
      <c r="I89" s="7">
        <v>0.12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1334.604</v>
      </c>
      <c r="N89" s="11">
        <f t="shared" si="3"/>
        <v>161.48708400000004</v>
      </c>
      <c r="O89" s="11">
        <f t="shared" si="4"/>
        <v>743.81929600000012</v>
      </c>
      <c r="P89" s="11">
        <f t="shared" si="16"/>
        <v>0</v>
      </c>
    </row>
    <row r="90" spans="1:16" ht="15" customHeight="1">
      <c r="A90" s="44"/>
      <c r="B90" s="5">
        <f t="shared" si="15"/>
        <v>45931</v>
      </c>
      <c r="C90" s="218" t="s">
        <v>533</v>
      </c>
      <c r="D90" s="195">
        <v>12247</v>
      </c>
      <c r="E90" s="186"/>
      <c r="F90" s="2">
        <v>632.5</v>
      </c>
      <c r="G90" s="3">
        <f t="shared" si="13"/>
        <v>505.11450000000002</v>
      </c>
      <c r="H90" s="187"/>
      <c r="I90" s="7">
        <v>0.12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75.899999999999991</v>
      </c>
      <c r="N90" s="11">
        <f t="shared" si="3"/>
        <v>9.1839000000000013</v>
      </c>
      <c r="O90" s="11">
        <f t="shared" si="4"/>
        <v>42.301600000000001</v>
      </c>
      <c r="P90" s="11">
        <f t="shared" si="16"/>
        <v>0</v>
      </c>
    </row>
    <row r="91" spans="1:16" ht="15" customHeight="1">
      <c r="A91" s="44"/>
      <c r="B91" s="5">
        <f t="shared" si="15"/>
        <v>45931</v>
      </c>
      <c r="C91" s="218" t="s">
        <v>533</v>
      </c>
      <c r="D91" s="195">
        <v>7051</v>
      </c>
      <c r="E91" s="186"/>
      <c r="F91" s="2">
        <v>35741.910000000003</v>
      </c>
      <c r="G91" s="3">
        <f t="shared" si="13"/>
        <v>28543.489326000003</v>
      </c>
      <c r="H91" s="187"/>
      <c r="I91" s="7">
        <v>0.12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4289.0291999999999</v>
      </c>
      <c r="N91" s="11">
        <f t="shared" si="3"/>
        <v>518.97253320000004</v>
      </c>
      <c r="O91" s="11">
        <f t="shared" si="4"/>
        <v>2390.4189408000002</v>
      </c>
      <c r="P91" s="11">
        <f t="shared" si="16"/>
        <v>0</v>
      </c>
    </row>
    <row r="92" spans="1:16" ht="15" customHeight="1">
      <c r="A92" s="44"/>
      <c r="B92" s="5">
        <f t="shared" si="15"/>
        <v>45931</v>
      </c>
      <c r="C92" s="218" t="s">
        <v>533</v>
      </c>
      <c r="D92" s="195">
        <v>7049</v>
      </c>
      <c r="E92" s="186"/>
      <c r="F92" s="2">
        <v>2587.04</v>
      </c>
      <c r="G92" s="3">
        <f t="shared" si="13"/>
        <v>2066.0101439999999</v>
      </c>
      <c r="H92" s="187"/>
      <c r="I92" s="7">
        <v>0.12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310.44479999999999</v>
      </c>
      <c r="N92" s="11">
        <f t="shared" si="3"/>
        <v>37.563820799999995</v>
      </c>
      <c r="O92" s="11">
        <f t="shared" si="4"/>
        <v>173.02123519999998</v>
      </c>
      <c r="P92" s="11">
        <f t="shared" si="16"/>
        <v>0</v>
      </c>
    </row>
    <row r="93" spans="1:16" ht="15" customHeight="1">
      <c r="A93" s="44"/>
      <c r="B93" s="5">
        <f t="shared" si="15"/>
        <v>45931</v>
      </c>
      <c r="C93" s="218" t="s">
        <v>533</v>
      </c>
      <c r="D93" s="195">
        <v>7050</v>
      </c>
      <c r="E93" s="186"/>
      <c r="F93" s="2">
        <v>1.77</v>
      </c>
      <c r="G93" s="3">
        <f t="shared" si="13"/>
        <v>1.4135219999999999</v>
      </c>
      <c r="H93" s="187"/>
      <c r="I93" s="7">
        <v>0.12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0.21240000000000001</v>
      </c>
      <c r="N93" s="11">
        <f t="shared" si="3"/>
        <v>2.5700400000000002E-2</v>
      </c>
      <c r="O93" s="11">
        <f t="shared" si="4"/>
        <v>0.1183776</v>
      </c>
      <c r="P93" s="11">
        <f t="shared" si="16"/>
        <v>0</v>
      </c>
    </row>
    <row r="94" spans="1:16" ht="15" customHeight="1">
      <c r="A94" s="44"/>
      <c r="B94" s="5">
        <f t="shared" si="15"/>
        <v>45931</v>
      </c>
      <c r="C94" s="218" t="s">
        <v>533</v>
      </c>
      <c r="D94" s="195">
        <v>28228</v>
      </c>
      <c r="E94" s="186"/>
      <c r="F94" s="2">
        <v>2570.4899999999998</v>
      </c>
      <c r="G94" s="3">
        <f t="shared" si="13"/>
        <v>2169.4292977499999</v>
      </c>
      <c r="H94" s="187"/>
      <c r="I94" s="7">
        <v>7.0000000000000007E-2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179.93430000000001</v>
      </c>
      <c r="N94" s="11">
        <f t="shared" si="3"/>
        <v>39.444169049999999</v>
      </c>
      <c r="O94" s="11">
        <f t="shared" si="4"/>
        <v>181.68223319999998</v>
      </c>
      <c r="P94" s="11">
        <f t="shared" si="16"/>
        <v>0</v>
      </c>
    </row>
    <row r="95" spans="1:16" ht="15" customHeight="1">
      <c r="A95" s="44"/>
      <c r="B95" s="5">
        <f t="shared" si="15"/>
        <v>45931</v>
      </c>
      <c r="C95" s="218" t="s">
        <v>533</v>
      </c>
      <c r="D95" s="195">
        <v>28229</v>
      </c>
      <c r="E95" s="186"/>
      <c r="F95" s="2">
        <v>149.62</v>
      </c>
      <c r="G95" s="3">
        <f t="shared" si="13"/>
        <v>126.27553950000001</v>
      </c>
      <c r="H95" s="187"/>
      <c r="I95" s="7">
        <v>7.0000000000000007E-2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10.473400000000002</v>
      </c>
      <c r="N95" s="11">
        <f t="shared" si="3"/>
        <v>2.2959189000000002</v>
      </c>
      <c r="O95" s="11">
        <f t="shared" si="4"/>
        <v>10.5751416</v>
      </c>
      <c r="P95" s="11">
        <f t="shared" si="16"/>
        <v>0</v>
      </c>
    </row>
    <row r="96" spans="1:16" ht="15" customHeight="1">
      <c r="A96" s="44"/>
      <c r="B96" s="5">
        <f t="shared" si="15"/>
        <v>45931</v>
      </c>
      <c r="C96" s="218" t="s">
        <v>533</v>
      </c>
      <c r="D96" s="195">
        <v>22930</v>
      </c>
      <c r="E96" s="186"/>
      <c r="F96" s="2">
        <v>18497.98</v>
      </c>
      <c r="G96" s="3">
        <f t="shared" si="13"/>
        <v>14772.486827999999</v>
      </c>
      <c r="H96" s="187"/>
      <c r="I96" s="7">
        <v>0.12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2219.7575999999999</v>
      </c>
      <c r="N96" s="11">
        <f t="shared" si="3"/>
        <v>268.59066960000001</v>
      </c>
      <c r="O96" s="11">
        <f t="shared" si="4"/>
        <v>1237.1449023999999</v>
      </c>
      <c r="P96" s="11">
        <f t="shared" si="16"/>
        <v>0</v>
      </c>
    </row>
    <row r="97" spans="1:16" ht="15" customHeight="1">
      <c r="A97" s="44"/>
      <c r="B97" s="5">
        <f t="shared" si="15"/>
        <v>45931</v>
      </c>
      <c r="C97" s="218" t="s">
        <v>533</v>
      </c>
      <c r="D97" s="195">
        <v>22931</v>
      </c>
      <c r="E97" s="186"/>
      <c r="F97" s="2">
        <v>1369.09</v>
      </c>
      <c r="G97" s="3">
        <f t="shared" si="13"/>
        <v>1093.355274</v>
      </c>
      <c r="H97" s="187"/>
      <c r="I97" s="7">
        <v>0.12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164.29079999999999</v>
      </c>
      <c r="N97" s="11">
        <f t="shared" si="3"/>
        <v>19.879186799999999</v>
      </c>
      <c r="O97" s="11">
        <f t="shared" si="4"/>
        <v>91.564739199999991</v>
      </c>
      <c r="P97" s="11">
        <f t="shared" si="16"/>
        <v>0</v>
      </c>
    </row>
    <row r="98" spans="1:16" ht="15" customHeight="1">
      <c r="A98" s="44"/>
      <c r="B98" s="5">
        <f t="shared" si="15"/>
        <v>45931</v>
      </c>
      <c r="C98" s="218" t="s">
        <v>533</v>
      </c>
      <c r="D98" s="195">
        <v>22932</v>
      </c>
      <c r="E98" s="186"/>
      <c r="F98" s="2">
        <v>1.1100000000000001</v>
      </c>
      <c r="G98" s="3">
        <f t="shared" si="13"/>
        <v>0.88644600000000007</v>
      </c>
      <c r="H98" s="187"/>
      <c r="I98" s="7">
        <v>0.12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0.13320000000000001</v>
      </c>
      <c r="N98" s="11">
        <f t="shared" si="3"/>
        <v>1.6117200000000002E-2</v>
      </c>
      <c r="O98" s="11">
        <f t="shared" si="4"/>
        <v>7.4236800000000006E-2</v>
      </c>
      <c r="P98" s="11">
        <f t="shared" si="16"/>
        <v>0</v>
      </c>
    </row>
    <row r="99" spans="1:16" ht="15" customHeight="1">
      <c r="A99" s="44"/>
      <c r="B99" s="5">
        <f t="shared" si="15"/>
        <v>45931</v>
      </c>
      <c r="C99" s="218" t="s">
        <v>533</v>
      </c>
      <c r="D99" s="195">
        <v>12248</v>
      </c>
      <c r="E99" s="186"/>
      <c r="F99" s="2">
        <v>52968.53</v>
      </c>
      <c r="G99" s="3">
        <f t="shared" si="13"/>
        <v>42300.668057999996</v>
      </c>
      <c r="H99" s="187"/>
      <c r="I99" s="7">
        <v>0.12</v>
      </c>
      <c r="J99" s="7">
        <v>1.6500000000000001E-2</v>
      </c>
      <c r="K99" s="7">
        <v>7.5999999999999998E-2</v>
      </c>
      <c r="L99" s="7">
        <v>0</v>
      </c>
      <c r="M99" s="11">
        <f t="shared" si="2"/>
        <v>6356.2235999999994</v>
      </c>
      <c r="N99" s="11">
        <f t="shared" si="3"/>
        <v>769.10305560000006</v>
      </c>
      <c r="O99" s="11">
        <f t="shared" si="4"/>
        <v>3542.5352864000001</v>
      </c>
      <c r="P99" s="11">
        <f t="shared" si="16"/>
        <v>0</v>
      </c>
    </row>
    <row r="100" spans="1:16" ht="15" customHeight="1">
      <c r="A100" s="44"/>
      <c r="B100" s="5">
        <f t="shared" si="15"/>
        <v>45931</v>
      </c>
      <c r="C100" s="218" t="s">
        <v>533</v>
      </c>
      <c r="D100" s="195">
        <v>12249</v>
      </c>
      <c r="E100" s="186"/>
      <c r="F100" s="2">
        <v>2991.69</v>
      </c>
      <c r="G100" s="3">
        <f t="shared" si="13"/>
        <v>2389.163634</v>
      </c>
      <c r="H100" s="187"/>
      <c r="I100" s="7">
        <v>0.12</v>
      </c>
      <c r="J100" s="7">
        <v>1.6500000000000001E-2</v>
      </c>
      <c r="K100" s="7">
        <v>7.5999999999999998E-2</v>
      </c>
      <c r="L100" s="7">
        <v>0</v>
      </c>
      <c r="M100" s="11">
        <f t="shared" si="2"/>
        <v>359.00279999999998</v>
      </c>
      <c r="N100" s="11">
        <f t="shared" si="3"/>
        <v>43.439338800000009</v>
      </c>
      <c r="O100" s="11">
        <f t="shared" si="4"/>
        <v>200.08422720000002</v>
      </c>
      <c r="P100" s="11">
        <f t="shared" si="16"/>
        <v>0</v>
      </c>
    </row>
    <row r="101" spans="1:16" ht="15" customHeight="1">
      <c r="A101" s="44"/>
      <c r="B101" s="5">
        <f t="shared" si="15"/>
        <v>45931</v>
      </c>
      <c r="C101" s="218" t="s">
        <v>533</v>
      </c>
      <c r="D101" s="195">
        <v>12250</v>
      </c>
      <c r="E101" s="186"/>
      <c r="F101" s="2">
        <v>2.68</v>
      </c>
      <c r="G101" s="3">
        <f t="shared" si="13"/>
        <v>2.1402480000000002</v>
      </c>
      <c r="H101" s="187"/>
      <c r="I101" s="7">
        <v>0.12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0.3216</v>
      </c>
      <c r="N101" s="11">
        <f t="shared" si="3"/>
        <v>3.89136E-2</v>
      </c>
      <c r="O101" s="11">
        <f t="shared" si="4"/>
        <v>0.17923839999999999</v>
      </c>
      <c r="P101" s="11">
        <f t="shared" si="16"/>
        <v>0</v>
      </c>
    </row>
    <row r="102" spans="1:16" ht="15" customHeight="1">
      <c r="A102" s="44"/>
      <c r="B102" s="5">
        <f t="shared" si="15"/>
        <v>45931</v>
      </c>
      <c r="C102" s="218" t="s">
        <v>533</v>
      </c>
      <c r="D102" s="195">
        <v>7052</v>
      </c>
      <c r="E102" s="186"/>
      <c r="F102" s="2">
        <v>170018.96</v>
      </c>
      <c r="G102" s="3">
        <f t="shared" si="13"/>
        <v>135777.14145599998</v>
      </c>
      <c r="H102" s="187"/>
      <c r="I102" s="7">
        <v>0.12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20402.2752</v>
      </c>
      <c r="N102" s="11">
        <f t="shared" si="3"/>
        <v>2468.6752991999997</v>
      </c>
      <c r="O102" s="11">
        <f t="shared" si="4"/>
        <v>11370.8680448</v>
      </c>
      <c r="P102" s="11">
        <f t="shared" si="16"/>
        <v>0</v>
      </c>
    </row>
    <row r="103" spans="1:16" ht="15" customHeight="1">
      <c r="A103" s="44"/>
      <c r="B103" s="5">
        <f t="shared" si="15"/>
        <v>45931</v>
      </c>
      <c r="C103" s="218" t="s">
        <v>533</v>
      </c>
      <c r="D103" s="195">
        <v>7053</v>
      </c>
      <c r="E103" s="186"/>
      <c r="F103" s="2">
        <v>12236.44</v>
      </c>
      <c r="G103" s="3">
        <f t="shared" si="13"/>
        <v>9772.0209840000007</v>
      </c>
      <c r="H103" s="187"/>
      <c r="I103" s="7">
        <v>0.12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1468.3728000000001</v>
      </c>
      <c r="N103" s="11">
        <f t="shared" si="3"/>
        <v>177.67310880000002</v>
      </c>
      <c r="O103" s="11">
        <f t="shared" si="4"/>
        <v>818.37310720000005</v>
      </c>
      <c r="P103" s="11">
        <f t="shared" si="16"/>
        <v>0</v>
      </c>
    </row>
    <row r="104" spans="1:16" ht="15" customHeight="1">
      <c r="A104" s="44"/>
      <c r="B104" s="5">
        <f t="shared" si="15"/>
        <v>45931</v>
      </c>
      <c r="C104" s="218" t="s">
        <v>533</v>
      </c>
      <c r="D104" s="195">
        <v>7054</v>
      </c>
      <c r="E104" s="186"/>
      <c r="F104" s="2">
        <v>8.4700000000000006</v>
      </c>
      <c r="G104" s="3">
        <f t="shared" si="13"/>
        <v>6.7641420000000005</v>
      </c>
      <c r="H104" s="187"/>
      <c r="I104" s="7">
        <v>0.12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1.0164</v>
      </c>
      <c r="N104" s="11">
        <f t="shared" si="3"/>
        <v>0.12298440000000002</v>
      </c>
      <c r="O104" s="11">
        <f t="shared" si="4"/>
        <v>0.56647360000000002</v>
      </c>
      <c r="P104" s="11">
        <f t="shared" si="16"/>
        <v>0</v>
      </c>
    </row>
    <row r="105" spans="1:16" ht="15" customHeight="1">
      <c r="A105" s="44"/>
      <c r="B105" s="5">
        <f t="shared" si="15"/>
        <v>45931</v>
      </c>
      <c r="C105" s="218" t="s">
        <v>533</v>
      </c>
      <c r="D105" s="195">
        <v>28230</v>
      </c>
      <c r="E105" s="186"/>
      <c r="F105" s="2">
        <v>12238.75</v>
      </c>
      <c r="G105" s="3">
        <f t="shared" si="13"/>
        <v>10329.19903125</v>
      </c>
      <c r="H105" s="187"/>
      <c r="I105" s="7">
        <v>7.0000000000000007E-2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856.71250000000009</v>
      </c>
      <c r="N105" s="11">
        <f t="shared" si="3"/>
        <v>187.80361875000003</v>
      </c>
      <c r="O105" s="11">
        <f t="shared" si="4"/>
        <v>865.03485000000001</v>
      </c>
      <c r="P105" s="11">
        <f t="shared" si="16"/>
        <v>0</v>
      </c>
    </row>
    <row r="106" spans="1:16" ht="15" customHeight="1">
      <c r="A106" s="44"/>
      <c r="B106" s="5">
        <f t="shared" si="15"/>
        <v>45931</v>
      </c>
      <c r="C106" s="218" t="s">
        <v>533</v>
      </c>
      <c r="D106" s="195">
        <v>28231</v>
      </c>
      <c r="E106" s="186"/>
      <c r="F106" s="2">
        <v>707.59</v>
      </c>
      <c r="G106" s="3">
        <f t="shared" si="13"/>
        <v>597.18827024999996</v>
      </c>
      <c r="H106" s="187"/>
      <c r="I106" s="7">
        <v>7.0000000000000007E-2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49.531300000000009</v>
      </c>
      <c r="N106" s="11">
        <f t="shared" si="3"/>
        <v>10.857968550000001</v>
      </c>
      <c r="O106" s="11">
        <f t="shared" si="4"/>
        <v>50.012461200000004</v>
      </c>
      <c r="P106" s="11">
        <f t="shared" si="16"/>
        <v>0</v>
      </c>
    </row>
    <row r="107" spans="1:16" ht="15" customHeight="1">
      <c r="A107" s="44"/>
      <c r="B107" s="5">
        <f t="shared" si="15"/>
        <v>45931</v>
      </c>
      <c r="C107" s="218" t="s">
        <v>533</v>
      </c>
      <c r="D107" s="195">
        <v>22933</v>
      </c>
      <c r="E107" s="186"/>
      <c r="F107" s="2">
        <v>88082.69</v>
      </c>
      <c r="G107" s="3">
        <f t="shared" si="13"/>
        <v>70342.836234000002</v>
      </c>
      <c r="H107" s="187"/>
      <c r="I107" s="7">
        <v>0.12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10569.9228</v>
      </c>
      <c r="N107" s="11">
        <f t="shared" si="3"/>
        <v>1278.9606588000001</v>
      </c>
      <c r="O107" s="11">
        <f t="shared" si="4"/>
        <v>5890.9703072000002</v>
      </c>
      <c r="P107" s="11">
        <f t="shared" si="16"/>
        <v>0</v>
      </c>
    </row>
    <row r="108" spans="1:16" ht="15" customHeight="1">
      <c r="A108" s="44"/>
      <c r="B108" s="5">
        <f t="shared" si="15"/>
        <v>45931</v>
      </c>
      <c r="C108" s="218" t="s">
        <v>533</v>
      </c>
      <c r="D108" s="195">
        <v>22934</v>
      </c>
      <c r="E108" s="186"/>
      <c r="F108" s="2">
        <v>6475.59</v>
      </c>
      <c r="G108" s="3">
        <f t="shared" si="13"/>
        <v>5171.4061739999997</v>
      </c>
      <c r="H108" s="187"/>
      <c r="I108" s="7">
        <v>0.12</v>
      </c>
      <c r="J108" s="7">
        <v>1.6500000000000001E-2</v>
      </c>
      <c r="K108" s="7">
        <v>7.5999999999999998E-2</v>
      </c>
      <c r="L108" s="7">
        <v>0</v>
      </c>
      <c r="M108" s="11">
        <f t="shared" si="2"/>
        <v>777.07079999999996</v>
      </c>
      <c r="N108" s="11">
        <f t="shared" si="3"/>
        <v>94.025566800000021</v>
      </c>
      <c r="O108" s="11">
        <f t="shared" si="4"/>
        <v>433.08745920000001</v>
      </c>
      <c r="P108" s="11">
        <f t="shared" si="16"/>
        <v>0</v>
      </c>
    </row>
    <row r="109" spans="1:16" ht="15" customHeight="1">
      <c r="A109" s="44"/>
      <c r="B109" s="5">
        <f t="shared" si="15"/>
        <v>45931</v>
      </c>
      <c r="C109" s="218" t="s">
        <v>533</v>
      </c>
      <c r="D109" s="195">
        <v>22935</v>
      </c>
      <c r="E109" s="186"/>
      <c r="F109" s="2">
        <v>5.35</v>
      </c>
      <c r="G109" s="3">
        <f t="shared" si="13"/>
        <v>4.2725099999999996</v>
      </c>
      <c r="H109" s="187"/>
      <c r="I109" s="7">
        <v>0.12</v>
      </c>
      <c r="J109" s="7">
        <v>1.6500000000000001E-2</v>
      </c>
      <c r="K109" s="7">
        <v>7.5999999999999998E-2</v>
      </c>
      <c r="L109" s="7">
        <v>0</v>
      </c>
      <c r="M109" s="11">
        <f t="shared" si="2"/>
        <v>0.6419999999999999</v>
      </c>
      <c r="N109" s="11">
        <f t="shared" si="3"/>
        <v>7.7682000000000001E-2</v>
      </c>
      <c r="O109" s="11">
        <f t="shared" si="4"/>
        <v>0.35780800000000001</v>
      </c>
      <c r="P109" s="11">
        <f t="shared" si="16"/>
        <v>0</v>
      </c>
    </row>
    <row r="110" spans="1:16" ht="15" customHeight="1">
      <c r="A110" s="44"/>
      <c r="B110" s="5">
        <f t="shared" si="15"/>
        <v>45931</v>
      </c>
      <c r="C110" s="218" t="s">
        <v>533</v>
      </c>
      <c r="D110" s="195">
        <v>12251</v>
      </c>
      <c r="E110" s="186"/>
      <c r="F110" s="2">
        <v>22353.58</v>
      </c>
      <c r="G110" s="3">
        <f t="shared" si="13"/>
        <v>17851.568988000003</v>
      </c>
      <c r="H110" s="187"/>
      <c r="I110" s="7">
        <v>0.12</v>
      </c>
      <c r="J110" s="7">
        <v>1.6500000000000001E-2</v>
      </c>
      <c r="K110" s="7">
        <v>7.5999999999999998E-2</v>
      </c>
      <c r="L110" s="7">
        <v>0</v>
      </c>
      <c r="M110" s="11">
        <f t="shared" si="2"/>
        <v>2682.4295999999999</v>
      </c>
      <c r="N110" s="11">
        <f t="shared" si="3"/>
        <v>324.57398160000002</v>
      </c>
      <c r="O110" s="11">
        <f t="shared" si="4"/>
        <v>1495.0074304000002</v>
      </c>
      <c r="P110" s="11">
        <f t="shared" si="16"/>
        <v>0</v>
      </c>
    </row>
    <row r="111" spans="1:16" ht="15" customHeight="1">
      <c r="A111" s="44"/>
      <c r="B111" s="5">
        <f t="shared" si="15"/>
        <v>45931</v>
      </c>
      <c r="C111" s="218" t="s">
        <v>533</v>
      </c>
      <c r="D111" s="195">
        <v>12252</v>
      </c>
      <c r="E111" s="186"/>
      <c r="F111" s="2">
        <v>1254.47</v>
      </c>
      <c r="G111" s="3">
        <f t="shared" si="13"/>
        <v>1001.819742</v>
      </c>
      <c r="H111" s="187"/>
      <c r="I111" s="7">
        <v>0.12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150.53639999999999</v>
      </c>
      <c r="N111" s="11">
        <f t="shared" si="3"/>
        <v>18.214904400000002</v>
      </c>
      <c r="O111" s="11">
        <f t="shared" si="4"/>
        <v>83.898953599999999</v>
      </c>
      <c r="P111" s="11">
        <f t="shared" si="16"/>
        <v>0</v>
      </c>
    </row>
    <row r="112" spans="1:16" ht="15" customHeight="1">
      <c r="A112" s="44"/>
      <c r="B112" s="5">
        <f t="shared" si="15"/>
        <v>45931</v>
      </c>
      <c r="C112" s="218" t="s">
        <v>533</v>
      </c>
      <c r="D112" s="195">
        <v>12253</v>
      </c>
      <c r="E112" s="186"/>
      <c r="F112" s="2">
        <v>1.1499999999999999</v>
      </c>
      <c r="G112" s="3">
        <f t="shared" si="13"/>
        <v>0.91838999999999993</v>
      </c>
      <c r="H112" s="187"/>
      <c r="I112" s="7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0.13799999999999998</v>
      </c>
      <c r="N112" s="11">
        <f t="shared" si="3"/>
        <v>1.6698000000000001E-2</v>
      </c>
      <c r="O112" s="11">
        <f t="shared" si="4"/>
        <v>7.6911999999999994E-2</v>
      </c>
      <c r="P112" s="11">
        <f t="shared" si="16"/>
        <v>0</v>
      </c>
    </row>
    <row r="113" spans="1:16" ht="15" customHeight="1">
      <c r="A113" s="44"/>
      <c r="B113" s="5">
        <f t="shared" si="15"/>
        <v>45931</v>
      </c>
      <c r="C113" s="218" t="s">
        <v>533</v>
      </c>
      <c r="D113" s="195">
        <v>7055</v>
      </c>
      <c r="E113" s="186"/>
      <c r="F113" s="2">
        <v>71739.37</v>
      </c>
      <c r="G113" s="3">
        <f t="shared" si="13"/>
        <v>57291.060881999998</v>
      </c>
      <c r="H113" s="187"/>
      <c r="I113" s="7">
        <v>0.12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8608.7243999999992</v>
      </c>
      <c r="N113" s="11">
        <f t="shared" si="3"/>
        <v>1041.6556524</v>
      </c>
      <c r="O113" s="11">
        <f t="shared" si="4"/>
        <v>4797.9290655999994</v>
      </c>
      <c r="P113" s="11">
        <f t="shared" si="16"/>
        <v>0</v>
      </c>
    </row>
    <row r="114" spans="1:16" ht="15" customHeight="1">
      <c r="A114" s="44"/>
      <c r="B114" s="5">
        <f t="shared" si="15"/>
        <v>45931</v>
      </c>
      <c r="C114" s="218" t="s">
        <v>533</v>
      </c>
      <c r="D114" s="195">
        <v>7056</v>
      </c>
      <c r="E114" s="186"/>
      <c r="F114" s="2">
        <v>5131.8500000000004</v>
      </c>
      <c r="G114" s="3">
        <f t="shared" si="13"/>
        <v>4098.2954100000006</v>
      </c>
      <c r="H114" s="187"/>
      <c r="I114" s="7">
        <v>0.12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615.822</v>
      </c>
      <c r="N114" s="11">
        <f t="shared" si="3"/>
        <v>74.514462000000009</v>
      </c>
      <c r="O114" s="11">
        <f t="shared" si="4"/>
        <v>343.21812800000004</v>
      </c>
      <c r="P114" s="11">
        <f t="shared" si="16"/>
        <v>0</v>
      </c>
    </row>
    <row r="115" spans="1:16" ht="15" customHeight="1">
      <c r="A115" s="44"/>
      <c r="B115" s="5">
        <f t="shared" si="15"/>
        <v>45931</v>
      </c>
      <c r="C115" s="218" t="s">
        <v>533</v>
      </c>
      <c r="D115" s="195">
        <v>7057</v>
      </c>
      <c r="E115" s="186"/>
      <c r="F115" s="2">
        <v>3.64</v>
      </c>
      <c r="G115" s="3">
        <f t="shared" si="13"/>
        <v>2.9069039999999999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0.43680000000000002</v>
      </c>
      <c r="N115" s="11">
        <f t="shared" si="3"/>
        <v>5.2852800000000005E-2</v>
      </c>
      <c r="O115" s="11">
        <f t="shared" si="4"/>
        <v>0.24344320000000003</v>
      </c>
      <c r="P115" s="11">
        <f t="shared" si="16"/>
        <v>0</v>
      </c>
    </row>
    <row r="116" spans="1:16" ht="15" customHeight="1">
      <c r="A116" s="44"/>
      <c r="B116" s="5">
        <f t="shared" si="15"/>
        <v>45931</v>
      </c>
      <c r="C116" s="218" t="s">
        <v>533</v>
      </c>
      <c r="D116" s="195">
        <v>28232</v>
      </c>
      <c r="E116" s="186"/>
      <c r="F116" s="2">
        <v>5167.05</v>
      </c>
      <c r="G116" s="3">
        <f t="shared" si="13"/>
        <v>4360.8610237499997</v>
      </c>
      <c r="H116" s="187"/>
      <c r="I116" s="7">
        <v>7.0000000000000007E-2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361.69350000000003</v>
      </c>
      <c r="N116" s="11">
        <f t="shared" si="3"/>
        <v>79.288382249999998</v>
      </c>
      <c r="O116" s="11">
        <f t="shared" si="4"/>
        <v>365.20709399999998</v>
      </c>
      <c r="P116" s="11">
        <f t="shared" si="16"/>
        <v>0</v>
      </c>
    </row>
    <row r="117" spans="1:16" ht="15" customHeight="1">
      <c r="A117" s="44"/>
      <c r="B117" s="5">
        <f t="shared" si="15"/>
        <v>45931</v>
      </c>
      <c r="C117" s="218" t="s">
        <v>533</v>
      </c>
      <c r="D117" s="195">
        <v>28233</v>
      </c>
      <c r="E117" s="186"/>
      <c r="F117" s="2">
        <v>296.76</v>
      </c>
      <c r="G117" s="3">
        <f t="shared" si="13"/>
        <v>250.45802099999997</v>
      </c>
      <c r="H117" s="187"/>
      <c r="I117" s="7">
        <v>7.0000000000000007E-2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20.773200000000003</v>
      </c>
      <c r="N117" s="11">
        <f t="shared" si="3"/>
        <v>4.5537822000000006</v>
      </c>
      <c r="O117" s="11">
        <f t="shared" si="4"/>
        <v>20.9749968</v>
      </c>
      <c r="P117" s="11">
        <f t="shared" si="16"/>
        <v>0</v>
      </c>
    </row>
    <row r="118" spans="1:16" ht="15" customHeight="1">
      <c r="A118" s="44"/>
      <c r="B118" s="5">
        <f t="shared" si="15"/>
        <v>45931</v>
      </c>
      <c r="C118" s="218" t="s">
        <v>533</v>
      </c>
      <c r="D118" s="195">
        <v>22936</v>
      </c>
      <c r="E118" s="186"/>
      <c r="F118" s="2">
        <v>37154.199999999997</v>
      </c>
      <c r="G118" s="3">
        <f t="shared" ref="G118:G182" si="17">F118-SUM(M118:P118)</f>
        <v>29671.344119999998</v>
      </c>
      <c r="H118" s="187"/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4458.5039999999999</v>
      </c>
      <c r="N118" s="11">
        <f t="shared" si="3"/>
        <v>539.47898399999997</v>
      </c>
      <c r="O118" s="11">
        <f t="shared" si="4"/>
        <v>2484.8728959999999</v>
      </c>
      <c r="P118" s="11">
        <f t="shared" si="16"/>
        <v>0</v>
      </c>
    </row>
    <row r="119" spans="1:16" ht="15" customHeight="1">
      <c r="A119" s="44"/>
      <c r="B119" s="5">
        <f t="shared" si="15"/>
        <v>45931</v>
      </c>
      <c r="C119" s="218" t="s">
        <v>533</v>
      </c>
      <c r="D119" s="195">
        <v>22937</v>
      </c>
      <c r="E119" s="186"/>
      <c r="F119" s="2">
        <v>2715.33</v>
      </c>
      <c r="G119" s="3">
        <f t="shared" si="17"/>
        <v>2168.4625379999998</v>
      </c>
      <c r="H119" s="187"/>
      <c r="I119" s="7">
        <v>0.12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325.83959999999996</v>
      </c>
      <c r="N119" s="11">
        <f t="shared" si="3"/>
        <v>39.426591600000002</v>
      </c>
      <c r="O119" s="11">
        <f t="shared" si="4"/>
        <v>181.6012704</v>
      </c>
      <c r="P119" s="11">
        <f t="shared" si="16"/>
        <v>0</v>
      </c>
    </row>
    <row r="120" spans="1:16" ht="15" customHeight="1">
      <c r="A120" s="44"/>
      <c r="B120" s="5">
        <f t="shared" si="15"/>
        <v>45931</v>
      </c>
      <c r="C120" s="218" t="s">
        <v>533</v>
      </c>
      <c r="D120" s="195">
        <v>22938</v>
      </c>
      <c r="E120" s="186"/>
      <c r="F120" s="2">
        <v>2.2999999999999998</v>
      </c>
      <c r="G120" s="3">
        <f t="shared" si="17"/>
        <v>1.8367799999999999</v>
      </c>
      <c r="H120" s="187"/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0.27599999999999997</v>
      </c>
      <c r="N120" s="11">
        <f t="shared" si="3"/>
        <v>3.3396000000000002E-2</v>
      </c>
      <c r="O120" s="11">
        <f t="shared" si="4"/>
        <v>0.15382399999999999</v>
      </c>
      <c r="P120" s="11">
        <f t="shared" si="16"/>
        <v>0</v>
      </c>
    </row>
    <row r="121" spans="1:16" ht="15" customHeight="1">
      <c r="A121" s="44"/>
      <c r="B121" s="5">
        <f t="shared" si="15"/>
        <v>45931</v>
      </c>
      <c r="C121" s="218" t="s">
        <v>533</v>
      </c>
      <c r="D121" s="195">
        <v>12254</v>
      </c>
      <c r="E121" s="186"/>
      <c r="F121" s="2">
        <v>57477.48</v>
      </c>
      <c r="G121" s="3">
        <f t="shared" si="17"/>
        <v>45901.515528000004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6897.2975999999999</v>
      </c>
      <c r="N121" s="11">
        <f t="shared" si="3"/>
        <v>834.57300960000009</v>
      </c>
      <c r="O121" s="11">
        <f t="shared" si="4"/>
        <v>3844.0938624000005</v>
      </c>
      <c r="P121" s="11">
        <f t="shared" si="16"/>
        <v>0</v>
      </c>
    </row>
    <row r="122" spans="1:16" ht="15" customHeight="1">
      <c r="A122" s="44"/>
      <c r="B122" s="5">
        <f t="shared" si="15"/>
        <v>45931</v>
      </c>
      <c r="C122" s="218" t="s">
        <v>533</v>
      </c>
      <c r="D122" s="195">
        <v>12255</v>
      </c>
      <c r="E122" s="186"/>
      <c r="F122" s="2">
        <v>3195.86</v>
      </c>
      <c r="G122" s="3">
        <f t="shared" si="17"/>
        <v>2552.213796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383.50319999999999</v>
      </c>
      <c r="N122" s="11">
        <f t="shared" si="3"/>
        <v>46.4038872</v>
      </c>
      <c r="O122" s="11">
        <f t="shared" si="4"/>
        <v>213.73911680000001</v>
      </c>
      <c r="P122" s="11">
        <f t="shared" si="16"/>
        <v>0</v>
      </c>
    </row>
    <row r="123" spans="1:16" ht="15" customHeight="1">
      <c r="A123" s="44"/>
      <c r="B123" s="5">
        <f t="shared" ref="B123:B182" si="18">B122</f>
        <v>45931</v>
      </c>
      <c r="C123" s="218" t="s">
        <v>533</v>
      </c>
      <c r="D123" s="195">
        <v>12256</v>
      </c>
      <c r="E123" s="186"/>
      <c r="F123" s="2">
        <v>3.01</v>
      </c>
      <c r="G123" s="3">
        <f t="shared" si="17"/>
        <v>2.4037859999999998</v>
      </c>
      <c r="H123" s="187"/>
      <c r="I123" s="7">
        <v>0.12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0.36119999999999997</v>
      </c>
      <c r="N123" s="11">
        <f t="shared" si="3"/>
        <v>4.3705199999999993E-2</v>
      </c>
      <c r="O123" s="11">
        <f t="shared" si="4"/>
        <v>0.20130879999999995</v>
      </c>
      <c r="P123" s="11">
        <f t="shared" si="16"/>
        <v>0</v>
      </c>
    </row>
    <row r="124" spans="1:16" ht="15" customHeight="1">
      <c r="A124" s="44"/>
      <c r="B124" s="5">
        <f t="shared" si="18"/>
        <v>45931</v>
      </c>
      <c r="C124" s="218" t="s">
        <v>533</v>
      </c>
      <c r="D124" s="195">
        <v>7058</v>
      </c>
      <c r="E124" s="186"/>
      <c r="F124" s="2">
        <v>184343.9</v>
      </c>
      <c r="G124" s="3">
        <f t="shared" si="17"/>
        <v>147217.03853999998</v>
      </c>
      <c r="H124" s="187"/>
      <c r="I124" s="7">
        <v>0.12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22121.268</v>
      </c>
      <c r="N124" s="11">
        <f t="shared" si="3"/>
        <v>2676.6734280000001</v>
      </c>
      <c r="O124" s="11">
        <f t="shared" si="4"/>
        <v>12328.920031999998</v>
      </c>
      <c r="P124" s="11">
        <f t="shared" si="16"/>
        <v>0</v>
      </c>
    </row>
    <row r="125" spans="1:16" ht="15" customHeight="1">
      <c r="A125" s="44"/>
      <c r="B125" s="5">
        <f t="shared" si="18"/>
        <v>45931</v>
      </c>
      <c r="C125" s="218" t="s">
        <v>533</v>
      </c>
      <c r="D125" s="195">
        <v>7059</v>
      </c>
      <c r="E125" s="186"/>
      <c r="F125" s="2">
        <v>13067.23</v>
      </c>
      <c r="G125" s="3">
        <f t="shared" si="17"/>
        <v>10435.489878</v>
      </c>
      <c r="H125" s="187"/>
      <c r="I125" s="7">
        <v>0.12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1568.0675999999999</v>
      </c>
      <c r="N125" s="11">
        <f t="shared" si="3"/>
        <v>189.73617959999999</v>
      </c>
      <c r="O125" s="11">
        <f t="shared" si="4"/>
        <v>873.93634239999994</v>
      </c>
      <c r="P125" s="11">
        <f t="shared" si="16"/>
        <v>0</v>
      </c>
    </row>
    <row r="126" spans="1:16" ht="15" customHeight="1">
      <c r="A126" s="44"/>
      <c r="B126" s="5">
        <f t="shared" si="18"/>
        <v>45931</v>
      </c>
      <c r="C126" s="218" t="s">
        <v>533</v>
      </c>
      <c r="D126" s="195">
        <v>7060</v>
      </c>
      <c r="E126" s="186"/>
      <c r="F126" s="2">
        <v>9.5299999999999994</v>
      </c>
      <c r="G126" s="3">
        <f t="shared" si="17"/>
        <v>7.610657999999999</v>
      </c>
      <c r="H126" s="187"/>
      <c r="I126" s="7">
        <v>0.12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1.1435999999999999</v>
      </c>
      <c r="N126" s="11">
        <f t="shared" si="3"/>
        <v>0.13837560000000002</v>
      </c>
      <c r="O126" s="11">
        <f t="shared" si="4"/>
        <v>0.6373664</v>
      </c>
      <c r="P126" s="11">
        <f t="shared" si="16"/>
        <v>0</v>
      </c>
    </row>
    <row r="127" spans="1:16" ht="15" customHeight="1">
      <c r="A127" s="44"/>
      <c r="B127" s="5">
        <f t="shared" si="18"/>
        <v>45931</v>
      </c>
      <c r="C127" s="218" t="s">
        <v>533</v>
      </c>
      <c r="D127" s="195">
        <v>28234</v>
      </c>
      <c r="E127" s="186"/>
      <c r="F127" s="2">
        <v>13306.71</v>
      </c>
      <c r="G127" s="3">
        <f t="shared" si="17"/>
        <v>11230.53057225</v>
      </c>
      <c r="H127" s="187"/>
      <c r="I127" s="7">
        <v>7.0000000000000007E-2</v>
      </c>
      <c r="J127" s="7">
        <v>1.6500000000000001E-2</v>
      </c>
      <c r="K127" s="7">
        <v>7.5999999999999998E-2</v>
      </c>
      <c r="L127" s="7">
        <v>0</v>
      </c>
      <c r="M127" s="11">
        <f t="shared" si="2"/>
        <v>931.46969999999999</v>
      </c>
      <c r="N127" s="11">
        <f t="shared" si="3"/>
        <v>204.19146495000001</v>
      </c>
      <c r="O127" s="11">
        <f t="shared" si="4"/>
        <v>940.51826279999989</v>
      </c>
      <c r="P127" s="11">
        <f t="shared" si="16"/>
        <v>0</v>
      </c>
    </row>
    <row r="128" spans="1:16" ht="15" customHeight="1">
      <c r="A128" s="44"/>
      <c r="B128" s="5">
        <f t="shared" si="18"/>
        <v>45931</v>
      </c>
      <c r="C128" s="218" t="s">
        <v>533</v>
      </c>
      <c r="D128" s="195">
        <v>28235</v>
      </c>
      <c r="E128" s="186"/>
      <c r="F128" s="2">
        <v>756.07</v>
      </c>
      <c r="G128" s="3">
        <f t="shared" si="17"/>
        <v>638.10417825000002</v>
      </c>
      <c r="H128" s="187"/>
      <c r="I128" s="7">
        <v>7.0000000000000007E-2</v>
      </c>
      <c r="J128" s="7">
        <v>1.6500000000000001E-2</v>
      </c>
      <c r="K128" s="7">
        <v>7.5999999999999998E-2</v>
      </c>
      <c r="L128" s="7">
        <v>0</v>
      </c>
      <c r="M128" s="11">
        <f t="shared" si="2"/>
        <v>52.924900000000008</v>
      </c>
      <c r="N128" s="11">
        <f t="shared" si="3"/>
        <v>11.601894150000001</v>
      </c>
      <c r="O128" s="11">
        <f t="shared" si="4"/>
        <v>53.439027600000003</v>
      </c>
      <c r="P128" s="11">
        <f t="shared" si="16"/>
        <v>0</v>
      </c>
    </row>
    <row r="129" spans="1:16" ht="15" customHeight="1">
      <c r="A129" s="44"/>
      <c r="B129" s="5">
        <f t="shared" si="18"/>
        <v>45931</v>
      </c>
      <c r="C129" s="218" t="s">
        <v>533</v>
      </c>
      <c r="D129" s="195">
        <v>22939</v>
      </c>
      <c r="E129" s="186"/>
      <c r="F129" s="2">
        <v>95593.44</v>
      </c>
      <c r="G129" s="3">
        <f t="shared" si="17"/>
        <v>76340.921184000006</v>
      </c>
      <c r="H129" s="187"/>
      <c r="I129" s="7">
        <v>0.12</v>
      </c>
      <c r="J129" s="7">
        <v>1.6500000000000001E-2</v>
      </c>
      <c r="K129" s="7">
        <v>7.5999999999999998E-2</v>
      </c>
      <c r="L129" s="7">
        <v>0</v>
      </c>
      <c r="M129" s="11">
        <f t="shared" si="2"/>
        <v>11471.212799999999</v>
      </c>
      <c r="N129" s="11">
        <f t="shared" si="3"/>
        <v>1388.0167488000002</v>
      </c>
      <c r="O129" s="11">
        <f t="shared" si="4"/>
        <v>6393.2892672000007</v>
      </c>
      <c r="P129" s="11">
        <f t="shared" si="16"/>
        <v>0</v>
      </c>
    </row>
    <row r="130" spans="1:16" ht="15" customHeight="1">
      <c r="A130" s="44"/>
      <c r="B130" s="5">
        <f t="shared" si="18"/>
        <v>45931</v>
      </c>
      <c r="C130" s="218" t="s">
        <v>533</v>
      </c>
      <c r="D130" s="195">
        <v>22940</v>
      </c>
      <c r="E130" s="186"/>
      <c r="F130" s="2">
        <v>6917.94</v>
      </c>
      <c r="G130" s="3">
        <f t="shared" si="17"/>
        <v>5524.6668839999993</v>
      </c>
      <c r="H130" s="187"/>
      <c r="I130" s="7">
        <v>0.12</v>
      </c>
      <c r="J130" s="7">
        <v>1.6500000000000001E-2</v>
      </c>
      <c r="K130" s="7">
        <v>7.5999999999999998E-2</v>
      </c>
      <c r="L130" s="7">
        <v>0</v>
      </c>
      <c r="M130" s="11">
        <f t="shared" si="2"/>
        <v>830.15279999999996</v>
      </c>
      <c r="N130" s="11">
        <f t="shared" si="3"/>
        <v>100.44848880000001</v>
      </c>
      <c r="O130" s="11">
        <f t="shared" si="4"/>
        <v>462.6718272</v>
      </c>
      <c r="P130" s="11">
        <f t="shared" si="16"/>
        <v>0</v>
      </c>
    </row>
    <row r="131" spans="1:16" ht="15" customHeight="1">
      <c r="A131" s="44"/>
      <c r="B131" s="5">
        <f t="shared" si="18"/>
        <v>45931</v>
      </c>
      <c r="C131" s="218" t="s">
        <v>533</v>
      </c>
      <c r="D131" s="195">
        <v>22941</v>
      </c>
      <c r="E131" s="186"/>
      <c r="F131" s="2">
        <v>6.02</v>
      </c>
      <c r="G131" s="3">
        <f t="shared" si="17"/>
        <v>4.8075719999999995</v>
      </c>
      <c r="H131" s="187"/>
      <c r="I131" s="7">
        <v>0.12</v>
      </c>
      <c r="J131" s="7">
        <v>1.6500000000000001E-2</v>
      </c>
      <c r="K131" s="7">
        <v>7.5999999999999998E-2</v>
      </c>
      <c r="L131" s="7">
        <v>0</v>
      </c>
      <c r="M131" s="11">
        <f t="shared" si="2"/>
        <v>0.72239999999999993</v>
      </c>
      <c r="N131" s="11">
        <f t="shared" si="3"/>
        <v>8.7410399999999985E-2</v>
      </c>
      <c r="O131" s="11">
        <f t="shared" si="4"/>
        <v>0.40261759999999991</v>
      </c>
      <c r="P131" s="11">
        <f t="shared" si="16"/>
        <v>0</v>
      </c>
    </row>
    <row r="132" spans="1:16" ht="15" customHeight="1">
      <c r="A132" s="44"/>
      <c r="B132" s="5">
        <f t="shared" si="18"/>
        <v>45931</v>
      </c>
      <c r="C132" s="218" t="s">
        <v>533</v>
      </c>
      <c r="D132" s="195">
        <v>12257</v>
      </c>
      <c r="E132" s="186"/>
      <c r="F132" s="2">
        <v>69911.460000000006</v>
      </c>
      <c r="G132" s="3">
        <f t="shared" si="17"/>
        <v>55831.291956000008</v>
      </c>
      <c r="H132" s="187"/>
      <c r="I132" s="7">
        <v>0.12</v>
      </c>
      <c r="J132" s="7">
        <v>1.6500000000000001E-2</v>
      </c>
      <c r="K132" s="7">
        <v>7.5999999999999998E-2</v>
      </c>
      <c r="L132" s="7">
        <v>0</v>
      </c>
      <c r="M132" s="11">
        <f t="shared" si="2"/>
        <v>8389.3752000000004</v>
      </c>
      <c r="N132" s="11">
        <f t="shared" si="3"/>
        <v>1015.1143992000001</v>
      </c>
      <c r="O132" s="11">
        <f t="shared" si="4"/>
        <v>4675.6784447999999</v>
      </c>
      <c r="P132" s="11">
        <f t="shared" si="16"/>
        <v>0</v>
      </c>
    </row>
    <row r="133" spans="1:16" ht="15" customHeight="1">
      <c r="A133" s="44"/>
      <c r="B133" s="5">
        <f t="shared" si="18"/>
        <v>45931</v>
      </c>
      <c r="C133" s="218" t="s">
        <v>533</v>
      </c>
      <c r="D133" s="195">
        <v>12258</v>
      </c>
      <c r="E133" s="186"/>
      <c r="F133" s="2">
        <v>4046.47</v>
      </c>
      <c r="G133" s="3">
        <f t="shared" si="17"/>
        <v>3231.5109419999999</v>
      </c>
      <c r="H133" s="187"/>
      <c r="I133" s="7">
        <v>0.12</v>
      </c>
      <c r="J133" s="7">
        <v>1.6500000000000001E-2</v>
      </c>
      <c r="K133" s="7">
        <v>7.5999999999999998E-2</v>
      </c>
      <c r="L133" s="7">
        <v>0</v>
      </c>
      <c r="M133" s="11">
        <f t="shared" si="2"/>
        <v>485.57639999999998</v>
      </c>
      <c r="N133" s="11">
        <f t="shared" si="3"/>
        <v>58.7547444</v>
      </c>
      <c r="O133" s="11">
        <f t="shared" si="4"/>
        <v>270.6279136</v>
      </c>
      <c r="P133" s="11">
        <f t="shared" si="16"/>
        <v>0</v>
      </c>
    </row>
    <row r="134" spans="1:16" ht="15" customHeight="1">
      <c r="A134" s="44"/>
      <c r="B134" s="5">
        <f t="shared" si="18"/>
        <v>45931</v>
      </c>
      <c r="C134" s="218" t="s">
        <v>533</v>
      </c>
      <c r="D134" s="195">
        <v>7061</v>
      </c>
      <c r="E134" s="186"/>
      <c r="F134" s="2">
        <v>227726.01</v>
      </c>
      <c r="G134" s="3">
        <f t="shared" si="17"/>
        <v>181861.99158600002</v>
      </c>
      <c r="H134" s="187"/>
      <c r="I134" s="7">
        <v>0.12</v>
      </c>
      <c r="J134" s="7">
        <v>1.6500000000000001E-2</v>
      </c>
      <c r="K134" s="7">
        <v>7.5999999999999998E-2</v>
      </c>
      <c r="L134" s="7">
        <v>0</v>
      </c>
      <c r="M134" s="11">
        <f t="shared" si="2"/>
        <v>27327.121200000001</v>
      </c>
      <c r="N134" s="11">
        <f t="shared" si="3"/>
        <v>3306.5816652000003</v>
      </c>
      <c r="O134" s="11">
        <f t="shared" si="4"/>
        <v>15230.315548800001</v>
      </c>
      <c r="P134" s="11">
        <f t="shared" si="16"/>
        <v>0</v>
      </c>
    </row>
    <row r="135" spans="1:16" ht="15" customHeight="1">
      <c r="A135" s="44"/>
      <c r="B135" s="5">
        <f t="shared" si="18"/>
        <v>45931</v>
      </c>
      <c r="C135" s="218" t="s">
        <v>533</v>
      </c>
      <c r="D135" s="195">
        <v>7062</v>
      </c>
      <c r="E135" s="186"/>
      <c r="F135" s="2">
        <v>16598.02</v>
      </c>
      <c r="G135" s="3">
        <f t="shared" si="17"/>
        <v>13255.178771999999</v>
      </c>
      <c r="H135" s="187"/>
      <c r="I135" s="7">
        <v>0.12</v>
      </c>
      <c r="J135" s="7">
        <v>1.6500000000000001E-2</v>
      </c>
      <c r="K135" s="7">
        <v>7.5999999999999998E-2</v>
      </c>
      <c r="L135" s="7">
        <v>0</v>
      </c>
      <c r="M135" s="11">
        <f t="shared" si="2"/>
        <v>1991.7624000000001</v>
      </c>
      <c r="N135" s="11">
        <f t="shared" si="3"/>
        <v>241.00325040000001</v>
      </c>
      <c r="O135" s="11">
        <f t="shared" si="4"/>
        <v>1110.0755776000001</v>
      </c>
      <c r="P135" s="11">
        <f t="shared" si="16"/>
        <v>0</v>
      </c>
    </row>
    <row r="136" spans="1:16" ht="15" customHeight="1">
      <c r="A136" s="44"/>
      <c r="B136" s="5">
        <f t="shared" si="18"/>
        <v>45931</v>
      </c>
      <c r="C136" s="218" t="s">
        <v>533</v>
      </c>
      <c r="D136" s="195">
        <v>28236</v>
      </c>
      <c r="E136" s="186"/>
      <c r="F136" s="2">
        <v>2699.68</v>
      </c>
      <c r="G136" s="3">
        <f t="shared" si="17"/>
        <v>2278.4624279999998</v>
      </c>
      <c r="H136" s="187"/>
      <c r="I136" s="7">
        <v>7.0000000000000007E-2</v>
      </c>
      <c r="J136" s="7">
        <v>1.6500000000000001E-2</v>
      </c>
      <c r="K136" s="7">
        <v>7.5999999999999998E-2</v>
      </c>
      <c r="L136" s="7">
        <v>0</v>
      </c>
      <c r="M136" s="11">
        <f t="shared" si="2"/>
        <v>188.9776</v>
      </c>
      <c r="N136" s="11">
        <f t="shared" si="3"/>
        <v>41.4265896</v>
      </c>
      <c r="O136" s="11">
        <f t="shared" si="4"/>
        <v>190.81338239999997</v>
      </c>
      <c r="P136" s="11">
        <f t="shared" si="16"/>
        <v>0</v>
      </c>
    </row>
    <row r="137" spans="1:16" ht="15" customHeight="1">
      <c r="A137" s="44"/>
      <c r="B137" s="5">
        <f t="shared" si="18"/>
        <v>45931</v>
      </c>
      <c r="C137" s="218" t="s">
        <v>533</v>
      </c>
      <c r="D137" s="195">
        <v>28237</v>
      </c>
      <c r="E137" s="186"/>
      <c r="F137" s="2">
        <v>159.54</v>
      </c>
      <c r="G137" s="3">
        <f t="shared" si="17"/>
        <v>134.6477715</v>
      </c>
      <c r="H137" s="187"/>
      <c r="I137" s="7">
        <v>7.0000000000000007E-2</v>
      </c>
      <c r="J137" s="7">
        <v>1.6500000000000001E-2</v>
      </c>
      <c r="K137" s="7">
        <v>7.5999999999999998E-2</v>
      </c>
      <c r="L137" s="7">
        <v>0</v>
      </c>
      <c r="M137" s="11">
        <f t="shared" si="2"/>
        <v>11.1678</v>
      </c>
      <c r="N137" s="11">
        <f t="shared" si="3"/>
        <v>2.4481413000000001</v>
      </c>
      <c r="O137" s="11">
        <f t="shared" si="4"/>
        <v>11.276287199999999</v>
      </c>
      <c r="P137" s="11">
        <f t="shared" si="16"/>
        <v>0</v>
      </c>
    </row>
    <row r="138" spans="1:16" ht="15" customHeight="1">
      <c r="A138" s="44"/>
      <c r="B138" s="5">
        <f t="shared" si="18"/>
        <v>45931</v>
      </c>
      <c r="C138" s="218" t="s">
        <v>533</v>
      </c>
      <c r="D138" s="195">
        <v>22942</v>
      </c>
      <c r="E138" s="186"/>
      <c r="F138" s="2">
        <v>116469.57</v>
      </c>
      <c r="G138" s="3">
        <f t="shared" si="17"/>
        <v>93012.598602000013</v>
      </c>
      <c r="H138" s="187"/>
      <c r="I138" s="7">
        <v>0.12</v>
      </c>
      <c r="J138" s="7">
        <v>1.6500000000000001E-2</v>
      </c>
      <c r="K138" s="7">
        <v>7.5999999999999998E-2</v>
      </c>
      <c r="L138" s="7">
        <v>0</v>
      </c>
      <c r="M138" s="11">
        <f t="shared" si="2"/>
        <v>13976.348400000001</v>
      </c>
      <c r="N138" s="11">
        <f t="shared" si="3"/>
        <v>1691.1381564000001</v>
      </c>
      <c r="O138" s="11">
        <f t="shared" si="4"/>
        <v>7789.4848416000004</v>
      </c>
      <c r="P138" s="11">
        <f t="shared" si="16"/>
        <v>0</v>
      </c>
    </row>
    <row r="139" spans="1:16" ht="15" customHeight="1">
      <c r="A139" s="44"/>
      <c r="B139" s="5">
        <f t="shared" si="18"/>
        <v>45931</v>
      </c>
      <c r="C139" s="218" t="s">
        <v>533</v>
      </c>
      <c r="D139" s="195">
        <v>22943</v>
      </c>
      <c r="E139" s="186"/>
      <c r="F139" s="2">
        <v>8767.35</v>
      </c>
      <c r="G139" s="3">
        <f t="shared" si="17"/>
        <v>7001.6057099999998</v>
      </c>
      <c r="H139" s="187"/>
      <c r="I139" s="7">
        <v>0.12</v>
      </c>
      <c r="J139" s="7">
        <v>1.6500000000000001E-2</v>
      </c>
      <c r="K139" s="7">
        <v>7.5999999999999998E-2</v>
      </c>
      <c r="L139" s="7">
        <v>0</v>
      </c>
      <c r="M139" s="11">
        <f t="shared" si="2"/>
        <v>1052.0820000000001</v>
      </c>
      <c r="N139" s="11">
        <f t="shared" si="3"/>
        <v>127.301922</v>
      </c>
      <c r="O139" s="11">
        <f t="shared" si="4"/>
        <v>586.36036799999999</v>
      </c>
      <c r="P139" s="11">
        <f t="shared" si="16"/>
        <v>0</v>
      </c>
    </row>
    <row r="140" spans="1:16" ht="15" hidden="1" customHeight="1">
      <c r="A140" s="44"/>
      <c r="B140" s="5">
        <f t="shared" si="18"/>
        <v>45931</v>
      </c>
      <c r="C140" s="218" t="s">
        <v>533</v>
      </c>
      <c r="D140" s="195"/>
      <c r="E140" s="186"/>
      <c r="F140" s="2"/>
      <c r="G140" s="3">
        <f t="shared" si="17"/>
        <v>0</v>
      </c>
      <c r="H140" s="187"/>
      <c r="I140" s="7"/>
      <c r="J140" s="7">
        <v>1.6500000000000001E-2</v>
      </c>
      <c r="K140" s="7">
        <v>7.5999999999999998E-2</v>
      </c>
      <c r="L140" s="7">
        <v>0</v>
      </c>
      <c r="M140" s="11">
        <f t="shared" si="2"/>
        <v>0</v>
      </c>
      <c r="N140" s="11">
        <f t="shared" si="3"/>
        <v>0</v>
      </c>
      <c r="O140" s="11">
        <f t="shared" si="4"/>
        <v>0</v>
      </c>
      <c r="P140" s="11">
        <f t="shared" si="16"/>
        <v>0</v>
      </c>
    </row>
    <row r="141" spans="1:16" ht="15" hidden="1" customHeight="1">
      <c r="A141" s="44"/>
      <c r="B141" s="5">
        <f t="shared" si="18"/>
        <v>45931</v>
      </c>
      <c r="C141" s="218" t="s">
        <v>533</v>
      </c>
      <c r="D141" s="195"/>
      <c r="E141" s="186"/>
      <c r="F141" s="2"/>
      <c r="G141" s="3">
        <f t="shared" si="17"/>
        <v>0</v>
      </c>
      <c r="H141" s="187"/>
      <c r="I141" s="7"/>
      <c r="J141" s="7">
        <v>1.6500000000000001E-2</v>
      </c>
      <c r="K141" s="7">
        <v>7.5999999999999998E-2</v>
      </c>
      <c r="L141" s="7">
        <v>0</v>
      </c>
      <c r="M141" s="11">
        <f t="shared" si="2"/>
        <v>0</v>
      </c>
      <c r="N141" s="11">
        <f t="shared" si="3"/>
        <v>0</v>
      </c>
      <c r="O141" s="11">
        <f t="shared" si="4"/>
        <v>0</v>
      </c>
      <c r="P141" s="11">
        <f t="shared" si="16"/>
        <v>0</v>
      </c>
    </row>
    <row r="142" spans="1:16" ht="15" hidden="1" customHeight="1">
      <c r="A142" s="44"/>
      <c r="B142" s="5">
        <f t="shared" si="18"/>
        <v>45931</v>
      </c>
      <c r="C142" s="218" t="s">
        <v>533</v>
      </c>
      <c r="D142" s="195"/>
      <c r="E142" s="186"/>
      <c r="F142" s="2"/>
      <c r="G142" s="3">
        <f t="shared" si="17"/>
        <v>0</v>
      </c>
      <c r="H142" s="187"/>
      <c r="I142" s="7"/>
      <c r="J142" s="7">
        <v>1.6500000000000001E-2</v>
      </c>
      <c r="K142" s="7">
        <v>7.5999999999999998E-2</v>
      </c>
      <c r="L142" s="7">
        <v>0</v>
      </c>
      <c r="M142" s="11">
        <f t="shared" si="2"/>
        <v>0</v>
      </c>
      <c r="N142" s="11">
        <f t="shared" si="3"/>
        <v>0</v>
      </c>
      <c r="O142" s="11">
        <f t="shared" si="4"/>
        <v>0</v>
      </c>
      <c r="P142" s="11">
        <f t="shared" si="16"/>
        <v>0</v>
      </c>
    </row>
    <row r="143" spans="1:16" ht="15" hidden="1" customHeight="1">
      <c r="A143" s="44"/>
      <c r="B143" s="5">
        <f t="shared" si="18"/>
        <v>45931</v>
      </c>
      <c r="C143" s="218" t="s">
        <v>533</v>
      </c>
      <c r="D143" s="195"/>
      <c r="E143" s="186"/>
      <c r="F143" s="2"/>
      <c r="G143" s="3">
        <f t="shared" si="17"/>
        <v>0</v>
      </c>
      <c r="H143" s="187"/>
      <c r="I143" s="7"/>
      <c r="J143" s="7">
        <v>1.6500000000000001E-2</v>
      </c>
      <c r="K143" s="7">
        <v>7.5999999999999998E-2</v>
      </c>
      <c r="L143" s="7">
        <v>0</v>
      </c>
      <c r="M143" s="11">
        <f t="shared" si="2"/>
        <v>0</v>
      </c>
      <c r="N143" s="11">
        <f t="shared" si="3"/>
        <v>0</v>
      </c>
      <c r="O143" s="11">
        <f t="shared" si="4"/>
        <v>0</v>
      </c>
      <c r="P143" s="11">
        <f t="shared" si="16"/>
        <v>0</v>
      </c>
    </row>
    <row r="144" spans="1:16" ht="15" hidden="1" customHeight="1">
      <c r="A144" s="44"/>
      <c r="B144" s="5">
        <f t="shared" si="18"/>
        <v>45931</v>
      </c>
      <c r="C144" s="218" t="s">
        <v>533</v>
      </c>
      <c r="D144" s="195"/>
      <c r="E144" s="186"/>
      <c r="F144" s="2"/>
      <c r="G144" s="3">
        <f t="shared" si="17"/>
        <v>0</v>
      </c>
      <c r="H144" s="187"/>
      <c r="I144" s="7"/>
      <c r="J144" s="7">
        <v>1.6500000000000001E-2</v>
      </c>
      <c r="K144" s="7">
        <v>7.5999999999999998E-2</v>
      </c>
      <c r="L144" s="7">
        <v>0</v>
      </c>
      <c r="M144" s="11">
        <f t="shared" si="2"/>
        <v>0</v>
      </c>
      <c r="N144" s="11">
        <f t="shared" si="3"/>
        <v>0</v>
      </c>
      <c r="O144" s="11">
        <f t="shared" si="4"/>
        <v>0</v>
      </c>
      <c r="P144" s="11">
        <f t="shared" si="16"/>
        <v>0</v>
      </c>
    </row>
    <row r="145" spans="1:16" ht="15" hidden="1" customHeight="1">
      <c r="A145" s="44"/>
      <c r="B145" s="5">
        <f t="shared" si="18"/>
        <v>45931</v>
      </c>
      <c r="C145" s="218" t="s">
        <v>533</v>
      </c>
      <c r="D145" s="195"/>
      <c r="E145" s="186"/>
      <c r="F145" s="2"/>
      <c r="G145" s="3">
        <f t="shared" si="17"/>
        <v>0</v>
      </c>
      <c r="H145" s="187"/>
      <c r="I145" s="7"/>
      <c r="J145" s="7">
        <v>1.6500000000000001E-2</v>
      </c>
      <c r="K145" s="7">
        <v>7.5999999999999998E-2</v>
      </c>
      <c r="L145" s="7">
        <v>0</v>
      </c>
      <c r="M145" s="11">
        <f t="shared" si="2"/>
        <v>0</v>
      </c>
      <c r="N145" s="11">
        <f t="shared" si="3"/>
        <v>0</v>
      </c>
      <c r="O145" s="11">
        <f t="shared" si="4"/>
        <v>0</v>
      </c>
      <c r="P145" s="11">
        <f t="shared" si="16"/>
        <v>0</v>
      </c>
    </row>
    <row r="146" spans="1:16" ht="15" hidden="1" customHeight="1">
      <c r="A146" s="44"/>
      <c r="B146" s="5">
        <f t="shared" si="18"/>
        <v>45931</v>
      </c>
      <c r="C146" s="218" t="s">
        <v>533</v>
      </c>
      <c r="D146" s="195"/>
      <c r="E146" s="186"/>
      <c r="F146" s="2"/>
      <c r="G146" s="3">
        <f t="shared" si="17"/>
        <v>0</v>
      </c>
      <c r="H146" s="187"/>
      <c r="I146" s="7"/>
      <c r="J146" s="7">
        <v>1.6500000000000001E-2</v>
      </c>
      <c r="K146" s="7">
        <v>7.5999999999999998E-2</v>
      </c>
      <c r="L146" s="7">
        <v>0</v>
      </c>
      <c r="M146" s="11">
        <f t="shared" si="2"/>
        <v>0</v>
      </c>
      <c r="N146" s="11">
        <f t="shared" si="3"/>
        <v>0</v>
      </c>
      <c r="O146" s="11">
        <f t="shared" si="4"/>
        <v>0</v>
      </c>
      <c r="P146" s="11">
        <f t="shared" si="16"/>
        <v>0</v>
      </c>
    </row>
    <row r="147" spans="1:16" ht="15" hidden="1" customHeight="1">
      <c r="A147" s="44"/>
      <c r="B147" s="5">
        <f t="shared" si="18"/>
        <v>45931</v>
      </c>
      <c r="C147" s="218" t="s">
        <v>533</v>
      </c>
      <c r="D147" s="195"/>
      <c r="E147" s="186"/>
      <c r="F147" s="2"/>
      <c r="G147" s="3">
        <f t="shared" si="17"/>
        <v>0</v>
      </c>
      <c r="H147" s="187"/>
      <c r="I147" s="7"/>
      <c r="J147" s="7">
        <v>1.6500000000000001E-2</v>
      </c>
      <c r="K147" s="7">
        <v>7.5999999999999998E-2</v>
      </c>
      <c r="L147" s="7">
        <v>0</v>
      </c>
      <c r="M147" s="11">
        <f t="shared" si="2"/>
        <v>0</v>
      </c>
      <c r="N147" s="11">
        <f t="shared" si="3"/>
        <v>0</v>
      </c>
      <c r="O147" s="11">
        <f t="shared" si="4"/>
        <v>0</v>
      </c>
      <c r="P147" s="11">
        <f t="shared" si="16"/>
        <v>0</v>
      </c>
    </row>
    <row r="148" spans="1:16" ht="15" hidden="1" customHeight="1">
      <c r="A148" s="44"/>
      <c r="B148" s="5">
        <f t="shared" si="18"/>
        <v>45931</v>
      </c>
      <c r="C148" s="218" t="s">
        <v>533</v>
      </c>
      <c r="D148" s="195"/>
      <c r="E148" s="186"/>
      <c r="F148" s="2"/>
      <c r="G148" s="3">
        <f t="shared" si="17"/>
        <v>0</v>
      </c>
      <c r="H148" s="187"/>
      <c r="I148" s="7"/>
      <c r="J148" s="7">
        <v>1.6500000000000001E-2</v>
      </c>
      <c r="K148" s="7">
        <v>7.5999999999999998E-2</v>
      </c>
      <c r="L148" s="7">
        <v>0</v>
      </c>
      <c r="M148" s="11">
        <f t="shared" si="2"/>
        <v>0</v>
      </c>
      <c r="N148" s="11">
        <f t="shared" si="3"/>
        <v>0</v>
      </c>
      <c r="O148" s="11">
        <f t="shared" si="4"/>
        <v>0</v>
      </c>
      <c r="P148" s="11">
        <f t="shared" si="16"/>
        <v>0</v>
      </c>
    </row>
    <row r="149" spans="1:16" ht="15" hidden="1" customHeight="1">
      <c r="A149" s="44"/>
      <c r="B149" s="5">
        <f t="shared" si="18"/>
        <v>45931</v>
      </c>
      <c r="C149" s="218" t="s">
        <v>533</v>
      </c>
      <c r="D149" s="195"/>
      <c r="E149" s="186"/>
      <c r="F149" s="2"/>
      <c r="G149" s="3">
        <f t="shared" si="17"/>
        <v>0</v>
      </c>
      <c r="H149" s="187"/>
      <c r="I149" s="7"/>
      <c r="J149" s="7">
        <v>1.6500000000000001E-2</v>
      </c>
      <c r="K149" s="7">
        <v>7.5999999999999998E-2</v>
      </c>
      <c r="L149" s="7">
        <v>0</v>
      </c>
      <c r="M149" s="11">
        <f t="shared" si="2"/>
        <v>0</v>
      </c>
      <c r="N149" s="11">
        <f t="shared" si="3"/>
        <v>0</v>
      </c>
      <c r="O149" s="11">
        <f t="shared" si="4"/>
        <v>0</v>
      </c>
      <c r="P149" s="11">
        <f t="shared" si="16"/>
        <v>0</v>
      </c>
    </row>
    <row r="150" spans="1:16" ht="15" hidden="1" customHeight="1">
      <c r="A150" s="44"/>
      <c r="B150" s="5">
        <f t="shared" si="18"/>
        <v>45931</v>
      </c>
      <c r="C150" s="218" t="s">
        <v>533</v>
      </c>
      <c r="D150" s="195"/>
      <c r="E150" s="186"/>
      <c r="F150" s="2"/>
      <c r="G150" s="3">
        <f t="shared" si="17"/>
        <v>0</v>
      </c>
      <c r="H150" s="187"/>
      <c r="I150" s="7"/>
      <c r="J150" s="7">
        <v>1.6500000000000001E-2</v>
      </c>
      <c r="K150" s="7">
        <v>7.5999999999999998E-2</v>
      </c>
      <c r="L150" s="7">
        <v>0</v>
      </c>
      <c r="M150" s="11">
        <f t="shared" si="2"/>
        <v>0</v>
      </c>
      <c r="N150" s="11">
        <f t="shared" si="3"/>
        <v>0</v>
      </c>
      <c r="O150" s="11">
        <f t="shared" si="4"/>
        <v>0</v>
      </c>
      <c r="P150" s="11">
        <f t="shared" si="16"/>
        <v>0</v>
      </c>
    </row>
    <row r="151" spans="1:16" ht="15" hidden="1" customHeight="1">
      <c r="A151" s="44"/>
      <c r="B151" s="5">
        <f t="shared" si="18"/>
        <v>45931</v>
      </c>
      <c r="C151" s="218" t="s">
        <v>533</v>
      </c>
      <c r="D151" s="195"/>
      <c r="E151" s="186"/>
      <c r="F151" s="2"/>
      <c r="G151" s="3">
        <f t="shared" si="17"/>
        <v>0</v>
      </c>
      <c r="H151" s="187"/>
      <c r="I151" s="7"/>
      <c r="J151" s="7">
        <v>1.6500000000000001E-2</v>
      </c>
      <c r="K151" s="7">
        <v>7.5999999999999998E-2</v>
      </c>
      <c r="L151" s="7">
        <v>0</v>
      </c>
      <c r="M151" s="11">
        <f t="shared" si="2"/>
        <v>0</v>
      </c>
      <c r="N151" s="11">
        <f t="shared" si="3"/>
        <v>0</v>
      </c>
      <c r="O151" s="11">
        <f t="shared" si="4"/>
        <v>0</v>
      </c>
      <c r="P151" s="11">
        <f t="shared" si="16"/>
        <v>0</v>
      </c>
    </row>
    <row r="152" spans="1:16" ht="15" hidden="1" customHeight="1">
      <c r="A152" s="44"/>
      <c r="B152" s="5">
        <f t="shared" si="18"/>
        <v>45931</v>
      </c>
      <c r="C152" s="218" t="s">
        <v>533</v>
      </c>
      <c r="D152" s="195"/>
      <c r="E152" s="186"/>
      <c r="F152" s="2"/>
      <c r="G152" s="3">
        <f t="shared" si="17"/>
        <v>0</v>
      </c>
      <c r="H152" s="187"/>
      <c r="I152" s="7"/>
      <c r="J152" s="7">
        <v>1.6500000000000001E-2</v>
      </c>
      <c r="K152" s="7">
        <v>7.5999999999999998E-2</v>
      </c>
      <c r="L152" s="7">
        <v>0</v>
      </c>
      <c r="M152" s="11">
        <f t="shared" si="2"/>
        <v>0</v>
      </c>
      <c r="N152" s="11">
        <f t="shared" si="3"/>
        <v>0</v>
      </c>
      <c r="O152" s="11">
        <f t="shared" si="4"/>
        <v>0</v>
      </c>
      <c r="P152" s="11">
        <f t="shared" si="16"/>
        <v>0</v>
      </c>
    </row>
    <row r="153" spans="1:16" ht="15" hidden="1" customHeight="1">
      <c r="A153" s="44"/>
      <c r="B153" s="5">
        <f t="shared" si="18"/>
        <v>45931</v>
      </c>
      <c r="C153" s="218" t="s">
        <v>533</v>
      </c>
      <c r="D153" s="195"/>
      <c r="E153" s="186"/>
      <c r="F153" s="2"/>
      <c r="G153" s="3">
        <f t="shared" si="17"/>
        <v>0</v>
      </c>
      <c r="H153" s="187"/>
      <c r="I153" s="7"/>
      <c r="J153" s="7">
        <v>1.6500000000000001E-2</v>
      </c>
      <c r="K153" s="7">
        <v>7.5999999999999998E-2</v>
      </c>
      <c r="L153" s="7">
        <v>0</v>
      </c>
      <c r="M153" s="11">
        <f t="shared" si="2"/>
        <v>0</v>
      </c>
      <c r="N153" s="11">
        <f t="shared" si="3"/>
        <v>0</v>
      </c>
      <c r="O153" s="11">
        <f t="shared" si="4"/>
        <v>0</v>
      </c>
      <c r="P153" s="11">
        <f t="shared" si="16"/>
        <v>0</v>
      </c>
    </row>
    <row r="154" spans="1:16" ht="15" hidden="1" customHeight="1">
      <c r="A154" s="44"/>
      <c r="B154" s="5">
        <f t="shared" si="18"/>
        <v>45931</v>
      </c>
      <c r="C154" s="218" t="s">
        <v>533</v>
      </c>
      <c r="D154" s="195"/>
      <c r="E154" s="186"/>
      <c r="F154" s="2"/>
      <c r="G154" s="3">
        <f t="shared" si="17"/>
        <v>0</v>
      </c>
      <c r="H154" s="187"/>
      <c r="I154" s="7"/>
      <c r="J154" s="7">
        <v>1.6500000000000001E-2</v>
      </c>
      <c r="K154" s="7">
        <v>7.5999999999999998E-2</v>
      </c>
      <c r="L154" s="7">
        <v>0</v>
      </c>
      <c r="M154" s="11">
        <f t="shared" si="2"/>
        <v>0</v>
      </c>
      <c r="N154" s="11">
        <f t="shared" si="3"/>
        <v>0</v>
      </c>
      <c r="O154" s="11">
        <f t="shared" si="4"/>
        <v>0</v>
      </c>
      <c r="P154" s="11">
        <f t="shared" si="16"/>
        <v>0</v>
      </c>
    </row>
    <row r="155" spans="1:16" ht="15" hidden="1" customHeight="1">
      <c r="A155" s="44"/>
      <c r="B155" s="5">
        <f t="shared" si="18"/>
        <v>45931</v>
      </c>
      <c r="C155" s="218" t="s">
        <v>533</v>
      </c>
      <c r="D155" s="195"/>
      <c r="E155" s="186"/>
      <c r="F155" s="2"/>
      <c r="G155" s="3">
        <f t="shared" si="17"/>
        <v>0</v>
      </c>
      <c r="H155" s="187"/>
      <c r="I155" s="7"/>
      <c r="J155" s="7">
        <v>1.6500000000000001E-2</v>
      </c>
      <c r="K155" s="7">
        <v>7.5999999999999998E-2</v>
      </c>
      <c r="L155" s="7">
        <v>0</v>
      </c>
      <c r="M155" s="11">
        <f t="shared" si="2"/>
        <v>0</v>
      </c>
      <c r="N155" s="11">
        <f t="shared" si="3"/>
        <v>0</v>
      </c>
      <c r="O155" s="11">
        <f t="shared" si="4"/>
        <v>0</v>
      </c>
      <c r="P155" s="11">
        <f t="shared" si="16"/>
        <v>0</v>
      </c>
    </row>
    <row r="156" spans="1:16" ht="15" hidden="1" customHeight="1">
      <c r="A156" s="44"/>
      <c r="B156" s="5">
        <f t="shared" si="18"/>
        <v>45931</v>
      </c>
      <c r="C156" s="218" t="s">
        <v>533</v>
      </c>
      <c r="D156" s="195"/>
      <c r="E156" s="186"/>
      <c r="F156" s="2"/>
      <c r="G156" s="3">
        <f t="shared" si="17"/>
        <v>0</v>
      </c>
      <c r="H156" s="187"/>
      <c r="I156" s="7"/>
      <c r="J156" s="7">
        <v>1.6500000000000001E-2</v>
      </c>
      <c r="K156" s="7">
        <v>7.5999999999999998E-2</v>
      </c>
      <c r="L156" s="7">
        <v>0</v>
      </c>
      <c r="M156" s="11">
        <f t="shared" si="2"/>
        <v>0</v>
      </c>
      <c r="N156" s="11">
        <f t="shared" si="3"/>
        <v>0</v>
      </c>
      <c r="O156" s="11">
        <f t="shared" si="4"/>
        <v>0</v>
      </c>
      <c r="P156" s="11">
        <f t="shared" si="16"/>
        <v>0</v>
      </c>
    </row>
    <row r="157" spans="1:16" ht="15" hidden="1" customHeight="1">
      <c r="A157" s="44"/>
      <c r="B157" s="5">
        <f t="shared" si="18"/>
        <v>45931</v>
      </c>
      <c r="C157" s="218" t="s">
        <v>533</v>
      </c>
      <c r="D157" s="195"/>
      <c r="E157" s="186"/>
      <c r="F157" s="2"/>
      <c r="G157" s="3">
        <f t="shared" si="17"/>
        <v>0</v>
      </c>
      <c r="H157" s="187"/>
      <c r="I157" s="7"/>
      <c r="J157" s="7">
        <v>1.6500000000000001E-2</v>
      </c>
      <c r="K157" s="7">
        <v>7.5999999999999998E-2</v>
      </c>
      <c r="L157" s="7">
        <v>0</v>
      </c>
      <c r="M157" s="11">
        <f t="shared" si="2"/>
        <v>0</v>
      </c>
      <c r="N157" s="11">
        <f t="shared" si="3"/>
        <v>0</v>
      </c>
      <c r="O157" s="11">
        <f t="shared" si="4"/>
        <v>0</v>
      </c>
      <c r="P157" s="11">
        <f t="shared" si="16"/>
        <v>0</v>
      </c>
    </row>
    <row r="158" spans="1:16" ht="15" hidden="1" customHeight="1">
      <c r="A158" s="44"/>
      <c r="B158" s="5">
        <f t="shared" si="18"/>
        <v>45931</v>
      </c>
      <c r="C158" s="218" t="s">
        <v>533</v>
      </c>
      <c r="D158" s="195"/>
      <c r="E158" s="186"/>
      <c r="F158" s="2"/>
      <c r="G158" s="3">
        <f t="shared" si="17"/>
        <v>0</v>
      </c>
      <c r="H158" s="187"/>
      <c r="I158" s="7"/>
      <c r="J158" s="7">
        <v>1.6500000000000001E-2</v>
      </c>
      <c r="K158" s="7">
        <v>7.5999999999999998E-2</v>
      </c>
      <c r="L158" s="7">
        <v>0</v>
      </c>
      <c r="M158" s="11">
        <f t="shared" si="2"/>
        <v>0</v>
      </c>
      <c r="N158" s="11">
        <f t="shared" si="3"/>
        <v>0</v>
      </c>
      <c r="O158" s="11">
        <f t="shared" si="4"/>
        <v>0</v>
      </c>
      <c r="P158" s="11">
        <f t="shared" si="16"/>
        <v>0</v>
      </c>
    </row>
    <row r="159" spans="1:16" ht="15" hidden="1" customHeight="1">
      <c r="A159" s="44"/>
      <c r="B159" s="5">
        <f t="shared" si="18"/>
        <v>45931</v>
      </c>
      <c r="C159" s="218" t="s">
        <v>533</v>
      </c>
      <c r="D159" s="195"/>
      <c r="E159" s="186"/>
      <c r="F159" s="2"/>
      <c r="G159" s="3">
        <f t="shared" si="17"/>
        <v>0</v>
      </c>
      <c r="H159" s="187"/>
      <c r="I159" s="7"/>
      <c r="J159" s="7">
        <v>1.6500000000000001E-2</v>
      </c>
      <c r="K159" s="7">
        <v>7.5999999999999998E-2</v>
      </c>
      <c r="L159" s="7">
        <v>0</v>
      </c>
      <c r="M159" s="11">
        <f t="shared" si="2"/>
        <v>0</v>
      </c>
      <c r="N159" s="11">
        <f t="shared" si="3"/>
        <v>0</v>
      </c>
      <c r="O159" s="11">
        <f t="shared" si="4"/>
        <v>0</v>
      </c>
      <c r="P159" s="11">
        <f t="shared" si="16"/>
        <v>0</v>
      </c>
    </row>
    <row r="160" spans="1:16" ht="15" hidden="1" customHeight="1">
      <c r="A160" s="44"/>
      <c r="B160" s="5">
        <f t="shared" si="18"/>
        <v>45931</v>
      </c>
      <c r="C160" s="218" t="s">
        <v>533</v>
      </c>
      <c r="D160" s="195"/>
      <c r="E160" s="186"/>
      <c r="F160" s="2"/>
      <c r="G160" s="3">
        <f t="shared" si="17"/>
        <v>0</v>
      </c>
      <c r="H160" s="187"/>
      <c r="I160" s="7"/>
      <c r="J160" s="7">
        <v>1.6500000000000001E-2</v>
      </c>
      <c r="K160" s="7">
        <v>7.5999999999999998E-2</v>
      </c>
      <c r="L160" s="7">
        <v>0</v>
      </c>
      <c r="M160" s="11">
        <f t="shared" si="2"/>
        <v>0</v>
      </c>
      <c r="N160" s="11">
        <f t="shared" si="3"/>
        <v>0</v>
      </c>
      <c r="O160" s="11">
        <f t="shared" si="4"/>
        <v>0</v>
      </c>
      <c r="P160" s="11">
        <f t="shared" si="16"/>
        <v>0</v>
      </c>
    </row>
    <row r="161" spans="1:16" ht="15" hidden="1" customHeight="1">
      <c r="A161" s="44"/>
      <c r="B161" s="5">
        <f t="shared" si="18"/>
        <v>45931</v>
      </c>
      <c r="C161" s="218" t="s">
        <v>533</v>
      </c>
      <c r="D161" s="195"/>
      <c r="E161" s="186"/>
      <c r="F161" s="2"/>
      <c r="G161" s="3">
        <f t="shared" si="17"/>
        <v>0</v>
      </c>
      <c r="H161" s="187"/>
      <c r="I161" s="7"/>
      <c r="J161" s="7">
        <v>1.6500000000000001E-2</v>
      </c>
      <c r="K161" s="7">
        <v>7.5999999999999998E-2</v>
      </c>
      <c r="L161" s="7">
        <v>0</v>
      </c>
      <c r="M161" s="11">
        <f t="shared" si="2"/>
        <v>0</v>
      </c>
      <c r="N161" s="11">
        <f t="shared" si="3"/>
        <v>0</v>
      </c>
      <c r="O161" s="11">
        <f t="shared" si="4"/>
        <v>0</v>
      </c>
      <c r="P161" s="11">
        <f t="shared" si="16"/>
        <v>0</v>
      </c>
    </row>
    <row r="162" spans="1:16" ht="15" hidden="1" customHeight="1">
      <c r="A162" s="44"/>
      <c r="B162" s="5">
        <f t="shared" si="18"/>
        <v>45931</v>
      </c>
      <c r="C162" s="218" t="s">
        <v>533</v>
      </c>
      <c r="D162" s="195"/>
      <c r="E162" s="186"/>
      <c r="F162" s="2"/>
      <c r="G162" s="3">
        <f t="shared" si="17"/>
        <v>0</v>
      </c>
      <c r="H162" s="187"/>
      <c r="I162" s="7"/>
      <c r="J162" s="7">
        <v>1.6500000000000001E-2</v>
      </c>
      <c r="K162" s="7">
        <v>7.5999999999999998E-2</v>
      </c>
      <c r="L162" s="7">
        <v>0</v>
      </c>
      <c r="M162" s="11">
        <f t="shared" si="2"/>
        <v>0</v>
      </c>
      <c r="N162" s="11">
        <f t="shared" si="3"/>
        <v>0</v>
      </c>
      <c r="O162" s="11">
        <f t="shared" si="4"/>
        <v>0</v>
      </c>
      <c r="P162" s="11">
        <f t="shared" si="16"/>
        <v>0</v>
      </c>
    </row>
    <row r="163" spans="1:16" ht="15" hidden="1" customHeight="1">
      <c r="A163" s="44"/>
      <c r="B163" s="5">
        <f t="shared" si="18"/>
        <v>45931</v>
      </c>
      <c r="C163" s="218" t="s">
        <v>533</v>
      </c>
      <c r="D163" s="195"/>
      <c r="E163" s="186"/>
      <c r="F163" s="2"/>
      <c r="G163" s="3">
        <f t="shared" si="17"/>
        <v>0</v>
      </c>
      <c r="H163" s="187"/>
      <c r="I163" s="7"/>
      <c r="J163" s="7">
        <v>1.6500000000000001E-2</v>
      </c>
      <c r="K163" s="7">
        <v>7.5999999999999998E-2</v>
      </c>
      <c r="L163" s="7">
        <v>0</v>
      </c>
      <c r="M163" s="11">
        <f t="shared" si="2"/>
        <v>0</v>
      </c>
      <c r="N163" s="11">
        <f t="shared" si="3"/>
        <v>0</v>
      </c>
      <c r="O163" s="11">
        <f t="shared" si="4"/>
        <v>0</v>
      </c>
      <c r="P163" s="11">
        <f t="shared" si="16"/>
        <v>0</v>
      </c>
    </row>
    <row r="164" spans="1:16" ht="15" hidden="1" customHeight="1">
      <c r="A164" s="44"/>
      <c r="B164" s="5">
        <f t="shared" si="18"/>
        <v>45931</v>
      </c>
      <c r="C164" s="218" t="s">
        <v>533</v>
      </c>
      <c r="D164" s="195"/>
      <c r="E164" s="186"/>
      <c r="F164" s="2"/>
      <c r="G164" s="3">
        <f t="shared" si="17"/>
        <v>0</v>
      </c>
      <c r="H164" s="187"/>
      <c r="I164" s="7"/>
      <c r="J164" s="7">
        <v>1.6500000000000001E-2</v>
      </c>
      <c r="K164" s="7">
        <v>7.5999999999999998E-2</v>
      </c>
      <c r="L164" s="7">
        <v>0</v>
      </c>
      <c r="M164" s="11">
        <f t="shared" si="2"/>
        <v>0</v>
      </c>
      <c r="N164" s="11">
        <f t="shared" si="3"/>
        <v>0</v>
      </c>
      <c r="O164" s="11">
        <f t="shared" si="4"/>
        <v>0</v>
      </c>
      <c r="P164" s="11">
        <f t="shared" si="16"/>
        <v>0</v>
      </c>
    </row>
    <row r="165" spans="1:16" ht="15" hidden="1" customHeight="1">
      <c r="A165" s="44"/>
      <c r="B165" s="5">
        <f t="shared" si="18"/>
        <v>45931</v>
      </c>
      <c r="C165" s="218" t="s">
        <v>533</v>
      </c>
      <c r="D165" s="195"/>
      <c r="E165" s="186"/>
      <c r="F165" s="2"/>
      <c r="G165" s="3">
        <f t="shared" si="17"/>
        <v>0</v>
      </c>
      <c r="H165" s="187"/>
      <c r="I165" s="7"/>
      <c r="J165" s="7">
        <v>1.6500000000000001E-2</v>
      </c>
      <c r="K165" s="7">
        <v>7.5999999999999998E-2</v>
      </c>
      <c r="L165" s="7">
        <v>0</v>
      </c>
      <c r="M165" s="11">
        <f t="shared" si="2"/>
        <v>0</v>
      </c>
      <c r="N165" s="11">
        <f t="shared" si="3"/>
        <v>0</v>
      </c>
      <c r="O165" s="11">
        <f t="shared" si="4"/>
        <v>0</v>
      </c>
      <c r="P165" s="11">
        <f t="shared" si="16"/>
        <v>0</v>
      </c>
    </row>
    <row r="166" spans="1:16" ht="15" hidden="1" customHeight="1">
      <c r="A166" s="44"/>
      <c r="B166" s="5">
        <f t="shared" si="18"/>
        <v>45931</v>
      </c>
      <c r="C166" s="218" t="s">
        <v>533</v>
      </c>
      <c r="D166" s="195"/>
      <c r="E166" s="186"/>
      <c r="F166" s="2"/>
      <c r="G166" s="3">
        <f t="shared" si="17"/>
        <v>0</v>
      </c>
      <c r="H166" s="187"/>
      <c r="I166" s="7"/>
      <c r="J166" s="7">
        <v>1.6500000000000001E-2</v>
      </c>
      <c r="K166" s="7">
        <v>7.5999999999999998E-2</v>
      </c>
      <c r="L166" s="7">
        <v>0</v>
      </c>
      <c r="M166" s="11">
        <f t="shared" si="2"/>
        <v>0</v>
      </c>
      <c r="N166" s="11">
        <f t="shared" si="3"/>
        <v>0</v>
      </c>
      <c r="O166" s="11">
        <f t="shared" si="4"/>
        <v>0</v>
      </c>
      <c r="P166" s="11">
        <f t="shared" si="16"/>
        <v>0</v>
      </c>
    </row>
    <row r="167" spans="1:16" ht="15" hidden="1" customHeight="1">
      <c r="A167" s="44"/>
      <c r="B167" s="5">
        <f t="shared" si="18"/>
        <v>45931</v>
      </c>
      <c r="C167" s="218" t="s">
        <v>533</v>
      </c>
      <c r="D167" s="195"/>
      <c r="E167" s="186"/>
      <c r="F167" s="2"/>
      <c r="G167" s="3">
        <f t="shared" si="17"/>
        <v>0</v>
      </c>
      <c r="H167" s="187"/>
      <c r="I167" s="7"/>
      <c r="J167" s="7">
        <v>1.6500000000000001E-2</v>
      </c>
      <c r="K167" s="7">
        <v>7.5999999999999998E-2</v>
      </c>
      <c r="L167" s="7">
        <v>0</v>
      </c>
      <c r="M167" s="11">
        <f t="shared" si="2"/>
        <v>0</v>
      </c>
      <c r="N167" s="11">
        <f t="shared" si="3"/>
        <v>0</v>
      </c>
      <c r="O167" s="11">
        <f t="shared" si="4"/>
        <v>0</v>
      </c>
      <c r="P167" s="11">
        <f t="shared" si="16"/>
        <v>0</v>
      </c>
    </row>
    <row r="168" spans="1:16" ht="15" hidden="1" customHeight="1">
      <c r="A168" s="44"/>
      <c r="B168" s="5">
        <f t="shared" si="18"/>
        <v>45931</v>
      </c>
      <c r="C168" s="218" t="s">
        <v>533</v>
      </c>
      <c r="D168" s="195"/>
      <c r="E168" s="186"/>
      <c r="F168" s="2"/>
      <c r="G168" s="3">
        <f t="shared" si="17"/>
        <v>0</v>
      </c>
      <c r="H168" s="187"/>
      <c r="I168" s="7"/>
      <c r="J168" s="7">
        <v>1.6500000000000001E-2</v>
      </c>
      <c r="K168" s="7">
        <v>7.5999999999999998E-2</v>
      </c>
      <c r="L168" s="7">
        <v>0</v>
      </c>
      <c r="M168" s="11">
        <f t="shared" si="2"/>
        <v>0</v>
      </c>
      <c r="N168" s="11">
        <f t="shared" si="3"/>
        <v>0</v>
      </c>
      <c r="O168" s="11">
        <f t="shared" si="4"/>
        <v>0</v>
      </c>
      <c r="P168" s="11">
        <f t="shared" si="16"/>
        <v>0</v>
      </c>
    </row>
    <row r="169" spans="1:16" ht="15" hidden="1" customHeight="1">
      <c r="A169" s="44"/>
      <c r="B169" s="5">
        <f t="shared" si="18"/>
        <v>45931</v>
      </c>
      <c r="C169" s="218" t="s">
        <v>533</v>
      </c>
      <c r="D169" s="195"/>
      <c r="E169" s="186"/>
      <c r="F169" s="2"/>
      <c r="G169" s="3">
        <f t="shared" si="17"/>
        <v>0</v>
      </c>
      <c r="H169" s="187"/>
      <c r="I169" s="7"/>
      <c r="J169" s="7">
        <v>1.6500000000000001E-2</v>
      </c>
      <c r="K169" s="7">
        <v>7.5999999999999998E-2</v>
      </c>
      <c r="L169" s="7">
        <v>0</v>
      </c>
      <c r="M169" s="11">
        <f t="shared" si="2"/>
        <v>0</v>
      </c>
      <c r="N169" s="11">
        <f t="shared" si="3"/>
        <v>0</v>
      </c>
      <c r="O169" s="11">
        <f t="shared" si="4"/>
        <v>0</v>
      </c>
      <c r="P169" s="11">
        <f t="shared" si="16"/>
        <v>0</v>
      </c>
    </row>
    <row r="170" spans="1:16" ht="15" hidden="1" customHeight="1">
      <c r="A170" s="44"/>
      <c r="B170" s="5">
        <f t="shared" si="18"/>
        <v>45931</v>
      </c>
      <c r="C170" s="218" t="s">
        <v>533</v>
      </c>
      <c r="D170" s="195"/>
      <c r="E170" s="186"/>
      <c r="F170" s="2"/>
      <c r="G170" s="3">
        <f t="shared" si="17"/>
        <v>0</v>
      </c>
      <c r="H170" s="187"/>
      <c r="I170" s="7"/>
      <c r="J170" s="7">
        <v>1.6500000000000001E-2</v>
      </c>
      <c r="K170" s="7">
        <v>7.5999999999999998E-2</v>
      </c>
      <c r="L170" s="7">
        <v>0</v>
      </c>
      <c r="M170" s="11">
        <f t="shared" si="2"/>
        <v>0</v>
      </c>
      <c r="N170" s="11">
        <f t="shared" si="3"/>
        <v>0</v>
      </c>
      <c r="O170" s="11">
        <f t="shared" si="4"/>
        <v>0</v>
      </c>
      <c r="P170" s="11">
        <f t="shared" si="16"/>
        <v>0</v>
      </c>
    </row>
    <row r="171" spans="1:16" ht="15" hidden="1" customHeight="1">
      <c r="A171" s="44"/>
      <c r="B171" s="5">
        <f t="shared" si="18"/>
        <v>45931</v>
      </c>
      <c r="C171" s="218" t="s">
        <v>533</v>
      </c>
      <c r="D171" s="195"/>
      <c r="E171" s="186"/>
      <c r="F171" s="2"/>
      <c r="G171" s="3">
        <f t="shared" si="17"/>
        <v>0</v>
      </c>
      <c r="H171" s="187"/>
      <c r="I171" s="7"/>
      <c r="J171" s="7">
        <v>1.6500000000000001E-2</v>
      </c>
      <c r="K171" s="7">
        <v>7.5999999999999998E-2</v>
      </c>
      <c r="L171" s="7">
        <v>0</v>
      </c>
      <c r="M171" s="11">
        <f t="shared" si="2"/>
        <v>0</v>
      </c>
      <c r="N171" s="11">
        <f t="shared" si="3"/>
        <v>0</v>
      </c>
      <c r="O171" s="11">
        <f t="shared" si="4"/>
        <v>0</v>
      </c>
      <c r="P171" s="11">
        <f t="shared" si="16"/>
        <v>0</v>
      </c>
    </row>
    <row r="172" spans="1:16" ht="15" hidden="1" customHeight="1">
      <c r="A172" s="44"/>
      <c r="B172" s="5">
        <f t="shared" si="18"/>
        <v>45931</v>
      </c>
      <c r="C172" s="218" t="s">
        <v>533</v>
      </c>
      <c r="D172" s="195"/>
      <c r="E172" s="186"/>
      <c r="F172" s="2"/>
      <c r="G172" s="3">
        <f t="shared" si="17"/>
        <v>0</v>
      </c>
      <c r="H172" s="187"/>
      <c r="I172" s="7"/>
      <c r="J172" s="7">
        <v>1.6500000000000001E-2</v>
      </c>
      <c r="K172" s="7">
        <v>7.5999999999999998E-2</v>
      </c>
      <c r="L172" s="7">
        <v>0</v>
      </c>
      <c r="M172" s="11">
        <f t="shared" si="2"/>
        <v>0</v>
      </c>
      <c r="N172" s="11">
        <f t="shared" si="3"/>
        <v>0</v>
      </c>
      <c r="O172" s="11">
        <f t="shared" si="4"/>
        <v>0</v>
      </c>
      <c r="P172" s="11">
        <f t="shared" si="16"/>
        <v>0</v>
      </c>
    </row>
    <row r="173" spans="1:16" ht="15" hidden="1" customHeight="1">
      <c r="A173" s="44"/>
      <c r="B173" s="5">
        <f t="shared" si="18"/>
        <v>45931</v>
      </c>
      <c r="C173" s="218" t="s">
        <v>533</v>
      </c>
      <c r="D173" s="195"/>
      <c r="E173" s="186"/>
      <c r="F173" s="2"/>
      <c r="G173" s="3">
        <f t="shared" si="17"/>
        <v>0</v>
      </c>
      <c r="H173" s="187"/>
      <c r="I173" s="7"/>
      <c r="J173" s="7">
        <v>1.6500000000000001E-2</v>
      </c>
      <c r="K173" s="7">
        <v>7.5999999999999998E-2</v>
      </c>
      <c r="L173" s="7">
        <v>0</v>
      </c>
      <c r="M173" s="11">
        <f t="shared" si="2"/>
        <v>0</v>
      </c>
      <c r="N173" s="11">
        <f t="shared" si="3"/>
        <v>0</v>
      </c>
      <c r="O173" s="11">
        <f t="shared" si="4"/>
        <v>0</v>
      </c>
      <c r="P173" s="11">
        <f t="shared" si="16"/>
        <v>0</v>
      </c>
    </row>
    <row r="174" spans="1:16" ht="15" hidden="1" customHeight="1">
      <c r="A174" s="44"/>
      <c r="B174" s="5">
        <f t="shared" si="18"/>
        <v>45931</v>
      </c>
      <c r="C174" s="218" t="s">
        <v>533</v>
      </c>
      <c r="D174" s="195"/>
      <c r="E174" s="186"/>
      <c r="F174" s="2"/>
      <c r="G174" s="3">
        <f t="shared" si="17"/>
        <v>0</v>
      </c>
      <c r="H174" s="187"/>
      <c r="I174" s="7"/>
      <c r="J174" s="7">
        <v>1.6500000000000001E-2</v>
      </c>
      <c r="K174" s="7">
        <v>7.5999999999999998E-2</v>
      </c>
      <c r="L174" s="7">
        <v>0</v>
      </c>
      <c r="M174" s="11">
        <f t="shared" si="2"/>
        <v>0</v>
      </c>
      <c r="N174" s="11">
        <f t="shared" si="3"/>
        <v>0</v>
      </c>
      <c r="O174" s="11">
        <f t="shared" si="4"/>
        <v>0</v>
      </c>
      <c r="P174" s="11">
        <f t="shared" si="16"/>
        <v>0</v>
      </c>
    </row>
    <row r="175" spans="1:16" ht="15" hidden="1" customHeight="1">
      <c r="A175" s="44"/>
      <c r="B175" s="5">
        <f t="shared" si="18"/>
        <v>45931</v>
      </c>
      <c r="C175" s="218" t="s">
        <v>533</v>
      </c>
      <c r="D175" s="195"/>
      <c r="E175" s="186"/>
      <c r="F175" s="2"/>
      <c r="G175" s="3">
        <f t="shared" si="17"/>
        <v>0</v>
      </c>
      <c r="H175" s="187"/>
      <c r="I175" s="7"/>
      <c r="J175" s="7">
        <v>1.6500000000000001E-2</v>
      </c>
      <c r="K175" s="7">
        <v>7.5999999999999998E-2</v>
      </c>
      <c r="L175" s="7">
        <v>0</v>
      </c>
      <c r="M175" s="11">
        <f t="shared" si="2"/>
        <v>0</v>
      </c>
      <c r="N175" s="11">
        <f t="shared" si="3"/>
        <v>0</v>
      </c>
      <c r="O175" s="11">
        <f t="shared" si="4"/>
        <v>0</v>
      </c>
      <c r="P175" s="11">
        <f t="shared" si="16"/>
        <v>0</v>
      </c>
    </row>
    <row r="176" spans="1:16" ht="15" hidden="1" customHeight="1">
      <c r="A176" s="44"/>
      <c r="B176" s="5">
        <f t="shared" si="18"/>
        <v>45931</v>
      </c>
      <c r="C176" s="218" t="s">
        <v>533</v>
      </c>
      <c r="D176" s="195"/>
      <c r="E176" s="186"/>
      <c r="F176" s="2"/>
      <c r="G176" s="3">
        <f t="shared" si="17"/>
        <v>0</v>
      </c>
      <c r="H176" s="187"/>
      <c r="I176" s="7"/>
      <c r="J176" s="7">
        <v>1.6500000000000001E-2</v>
      </c>
      <c r="K176" s="7">
        <v>7.5999999999999998E-2</v>
      </c>
      <c r="L176" s="7">
        <v>0</v>
      </c>
      <c r="M176" s="11">
        <f t="shared" si="2"/>
        <v>0</v>
      </c>
      <c r="N176" s="11">
        <f t="shared" si="3"/>
        <v>0</v>
      </c>
      <c r="O176" s="11">
        <f t="shared" si="4"/>
        <v>0</v>
      </c>
      <c r="P176" s="11">
        <f t="shared" si="16"/>
        <v>0</v>
      </c>
    </row>
    <row r="177" spans="1:16" ht="15" hidden="1" customHeight="1">
      <c r="A177" s="44"/>
      <c r="B177" s="5">
        <f t="shared" si="18"/>
        <v>45931</v>
      </c>
      <c r="C177" s="218" t="s">
        <v>533</v>
      </c>
      <c r="D177" s="195"/>
      <c r="E177" s="186"/>
      <c r="F177" s="2"/>
      <c r="G177" s="3">
        <f t="shared" si="17"/>
        <v>0</v>
      </c>
      <c r="H177" s="187"/>
      <c r="I177" s="7"/>
      <c r="J177" s="7">
        <v>1.6500000000000001E-2</v>
      </c>
      <c r="K177" s="7">
        <v>7.5999999999999998E-2</v>
      </c>
      <c r="L177" s="7">
        <v>0</v>
      </c>
      <c r="M177" s="11">
        <f t="shared" si="2"/>
        <v>0</v>
      </c>
      <c r="N177" s="11">
        <f t="shared" si="3"/>
        <v>0</v>
      </c>
      <c r="O177" s="11">
        <f t="shared" si="4"/>
        <v>0</v>
      </c>
      <c r="P177" s="11">
        <f t="shared" si="16"/>
        <v>0</v>
      </c>
    </row>
    <row r="178" spans="1:16" ht="15" hidden="1" customHeight="1">
      <c r="A178" s="44"/>
      <c r="B178" s="5">
        <f t="shared" si="18"/>
        <v>45931</v>
      </c>
      <c r="C178" s="218" t="s">
        <v>533</v>
      </c>
      <c r="D178" s="195"/>
      <c r="E178" s="186"/>
      <c r="F178" s="2"/>
      <c r="G178" s="3">
        <f t="shared" si="17"/>
        <v>0</v>
      </c>
      <c r="H178" s="187"/>
      <c r="I178" s="7"/>
      <c r="J178" s="7">
        <v>1.6500000000000001E-2</v>
      </c>
      <c r="K178" s="7">
        <v>7.5999999999999998E-2</v>
      </c>
      <c r="L178" s="7">
        <v>0</v>
      </c>
      <c r="M178" s="11">
        <f t="shared" si="2"/>
        <v>0</v>
      </c>
      <c r="N178" s="11">
        <f t="shared" si="3"/>
        <v>0</v>
      </c>
      <c r="O178" s="11">
        <f t="shared" si="4"/>
        <v>0</v>
      </c>
      <c r="P178" s="11">
        <f t="shared" si="16"/>
        <v>0</v>
      </c>
    </row>
    <row r="179" spans="1:16" ht="15" hidden="1" customHeight="1">
      <c r="A179" s="44"/>
      <c r="B179" s="5">
        <f t="shared" si="18"/>
        <v>45931</v>
      </c>
      <c r="C179" s="218" t="s">
        <v>533</v>
      </c>
      <c r="D179" s="195"/>
      <c r="E179" s="186"/>
      <c r="F179" s="2"/>
      <c r="G179" s="3">
        <f t="shared" si="17"/>
        <v>0</v>
      </c>
      <c r="H179" s="187"/>
      <c r="I179" s="7"/>
      <c r="J179" s="7">
        <v>1.6500000000000001E-2</v>
      </c>
      <c r="K179" s="7">
        <v>7.5999999999999998E-2</v>
      </c>
      <c r="L179" s="7">
        <v>0</v>
      </c>
      <c r="M179" s="11">
        <f t="shared" si="2"/>
        <v>0</v>
      </c>
      <c r="N179" s="11">
        <f t="shared" si="3"/>
        <v>0</v>
      </c>
      <c r="O179" s="11">
        <f t="shared" si="4"/>
        <v>0</v>
      </c>
      <c r="P179" s="11">
        <f t="shared" si="16"/>
        <v>0</v>
      </c>
    </row>
    <row r="180" spans="1:16" ht="15" hidden="1" customHeight="1">
      <c r="A180" s="44"/>
      <c r="B180" s="5">
        <f t="shared" si="18"/>
        <v>45931</v>
      </c>
      <c r="C180" s="218" t="s">
        <v>533</v>
      </c>
      <c r="D180" s="195"/>
      <c r="E180" s="186"/>
      <c r="F180" s="2"/>
      <c r="G180" s="3">
        <f t="shared" si="17"/>
        <v>0</v>
      </c>
      <c r="H180" s="187"/>
      <c r="I180" s="7"/>
      <c r="J180" s="7">
        <v>1.6500000000000001E-2</v>
      </c>
      <c r="K180" s="7">
        <v>7.5999999999999998E-2</v>
      </c>
      <c r="L180" s="7">
        <v>0</v>
      </c>
      <c r="M180" s="11">
        <f t="shared" si="2"/>
        <v>0</v>
      </c>
      <c r="N180" s="11">
        <f t="shared" si="3"/>
        <v>0</v>
      </c>
      <c r="O180" s="11">
        <f t="shared" si="4"/>
        <v>0</v>
      </c>
      <c r="P180" s="11">
        <f t="shared" si="16"/>
        <v>0</v>
      </c>
    </row>
    <row r="181" spans="1:16" ht="15" hidden="1" customHeight="1">
      <c r="A181" s="44"/>
      <c r="B181" s="5">
        <f t="shared" si="18"/>
        <v>45931</v>
      </c>
      <c r="C181" s="218" t="s">
        <v>533</v>
      </c>
      <c r="D181" s="195"/>
      <c r="E181" s="186"/>
      <c r="F181" s="2"/>
      <c r="G181" s="3">
        <f t="shared" si="17"/>
        <v>0</v>
      </c>
      <c r="H181" s="187"/>
      <c r="I181" s="7"/>
      <c r="J181" s="7">
        <v>1.6500000000000001E-2</v>
      </c>
      <c r="K181" s="7">
        <v>7.5999999999999998E-2</v>
      </c>
      <c r="L181" s="7">
        <v>0</v>
      </c>
      <c r="M181" s="11">
        <f t="shared" si="2"/>
        <v>0</v>
      </c>
      <c r="N181" s="11">
        <f t="shared" si="3"/>
        <v>0</v>
      </c>
      <c r="O181" s="11">
        <f t="shared" si="4"/>
        <v>0</v>
      </c>
      <c r="P181" s="11">
        <f t="shared" si="16"/>
        <v>0</v>
      </c>
    </row>
    <row r="182" spans="1:16" ht="15" hidden="1" customHeight="1">
      <c r="A182" s="44"/>
      <c r="B182" s="5">
        <f t="shared" si="18"/>
        <v>45931</v>
      </c>
      <c r="C182" s="218" t="s">
        <v>533</v>
      </c>
      <c r="D182" s="195"/>
      <c r="E182" s="186"/>
      <c r="F182" s="2"/>
      <c r="G182" s="3">
        <f t="shared" si="17"/>
        <v>0</v>
      </c>
      <c r="H182" s="187"/>
      <c r="I182" s="7"/>
      <c r="J182" s="7">
        <v>1.6500000000000001E-2</v>
      </c>
      <c r="K182" s="7">
        <v>7.5999999999999998E-2</v>
      </c>
      <c r="L182" s="7">
        <v>0</v>
      </c>
      <c r="M182" s="11">
        <f t="shared" si="2"/>
        <v>0</v>
      </c>
      <c r="N182" s="11">
        <f t="shared" si="3"/>
        <v>0</v>
      </c>
      <c r="O182" s="11">
        <f t="shared" si="4"/>
        <v>0</v>
      </c>
      <c r="P182" s="11">
        <f t="shared" si="16"/>
        <v>0</v>
      </c>
    </row>
    <row r="183" spans="1:16">
      <c r="B183" s="5"/>
      <c r="C183" s="1"/>
      <c r="E183" s="1"/>
      <c r="F183" s="2"/>
      <c r="G183" s="4"/>
      <c r="H183" s="4"/>
      <c r="I183" s="7"/>
      <c r="J183" s="7"/>
      <c r="K183" s="7"/>
      <c r="L183" s="7"/>
    </row>
    <row r="184" spans="1:16">
      <c r="E184" s="28">
        <f>SUM(E18:E182)</f>
        <v>45921192.117999993</v>
      </c>
      <c r="F184" s="133"/>
      <c r="G184" s="29">
        <f>SUM(G18:G182)</f>
        <v>96905393.684430331</v>
      </c>
    </row>
    <row r="185" spans="1:16">
      <c r="E185" s="137"/>
      <c r="F185" s="41"/>
    </row>
    <row r="186" spans="1:16" ht="15.75" thickBot="1"/>
    <row r="187" spans="1:16">
      <c r="B187" s="391" t="s">
        <v>1058</v>
      </c>
      <c r="C187" s="383"/>
      <c r="D187" s="383"/>
      <c r="E187" s="383"/>
      <c r="F187" s="383"/>
      <c r="G187" s="383"/>
      <c r="H187" s="383"/>
      <c r="I187" s="383"/>
      <c r="J187" s="383"/>
      <c r="K187" s="383"/>
      <c r="L187" s="383"/>
      <c r="M187" s="383"/>
      <c r="N187" s="383"/>
      <c r="O187" s="384"/>
    </row>
    <row r="188" spans="1:16">
      <c r="B188" s="385"/>
      <c r="C188" s="386"/>
      <c r="D188" s="386"/>
      <c r="E188" s="386"/>
      <c r="F188" s="386"/>
      <c r="G188" s="386"/>
      <c r="H188" s="386"/>
      <c r="I188" s="386"/>
      <c r="J188" s="386"/>
      <c r="K188" s="386"/>
      <c r="L188" s="386"/>
      <c r="M188" s="386"/>
      <c r="N188" s="386"/>
      <c r="O188" s="387"/>
    </row>
    <row r="189" spans="1:16">
      <c r="B189" s="385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7"/>
    </row>
    <row r="190" spans="1:16">
      <c r="B190" s="385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7"/>
    </row>
    <row r="191" spans="1:16" ht="27" customHeight="1">
      <c r="B191" s="385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7"/>
    </row>
    <row r="192" spans="1:16" ht="44.25" customHeight="1" thickBot="1">
      <c r="B192" s="388"/>
      <c r="C192" s="389"/>
      <c r="D192" s="389"/>
      <c r="E192" s="389"/>
      <c r="F192" s="389"/>
      <c r="G192" s="389"/>
      <c r="H192" s="389"/>
      <c r="I192" s="389"/>
      <c r="J192" s="389"/>
      <c r="K192" s="389"/>
      <c r="L192" s="389"/>
      <c r="M192" s="389"/>
      <c r="N192" s="389"/>
      <c r="O192" s="390"/>
    </row>
    <row r="203" spans="5:5">
      <c r="E203" s="19"/>
    </row>
    <row r="204" spans="5:5">
      <c r="E204" s="19"/>
    </row>
  </sheetData>
  <autoFilter ref="G184" xr:uid="{5736DE0D-6777-4169-95A4-47F8AEDCD431}"/>
  <mergeCells count="3">
    <mergeCell ref="C2:M2"/>
    <mergeCell ref="M16:P16"/>
    <mergeCell ref="B187:O192"/>
  </mergeCells>
  <conditionalFormatting sqref="D1:D1048576">
    <cfRule type="duplicateValues" dxfId="31" priority="1"/>
    <cfRule type="duplicateValues" dxfId="30" priority="2"/>
  </conditionalFormatting>
  <conditionalFormatting sqref="D7">
    <cfRule type="duplicateValues" dxfId="29" priority="5"/>
  </conditionalFormatting>
  <conditionalFormatting sqref="D18:D54">
    <cfRule type="duplicateValues" dxfId="28" priority="4"/>
  </conditionalFormatting>
  <conditionalFormatting sqref="D186:D1048576 D1:D184">
    <cfRule type="duplicateValues" dxfId="27" priority="3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3FF8-96C8-43AC-A1AA-43FD6AFCD76B}">
  <sheetPr>
    <pageSetUpPr fitToPage="1"/>
  </sheetPr>
  <dimension ref="A2:P207"/>
  <sheetViews>
    <sheetView showGridLines="0" topLeftCell="A7" zoomScale="90" zoomScaleNormal="90" workbookViewId="0">
      <selection activeCell="G187" sqref="G187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6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2:16" ht="23.25">
      <c r="C3" s="13">
        <v>45962</v>
      </c>
    </row>
    <row r="5" spans="2:16">
      <c r="C5" t="s">
        <v>17</v>
      </c>
      <c r="D5" s="14">
        <f t="shared" ref="D5:D10" ca="1" si="0">SUMIF($C$18:$G$185,$C$5:$C$10,$G$18:$G$185)/SUMIF($C$18:$G$185,$C$5:$C$10,$E$18:$E$185)</f>
        <v>2.1074878002350963</v>
      </c>
    </row>
    <row r="6" spans="2:16">
      <c r="C6" t="s">
        <v>440</v>
      </c>
      <c r="D6" s="14">
        <f t="shared" ca="1" si="0"/>
        <v>1.8468704924999999</v>
      </c>
    </row>
    <row r="7" spans="2:16">
      <c r="C7" t="s">
        <v>491</v>
      </c>
      <c r="D7" s="14">
        <f t="shared" ca="1" si="0"/>
        <v>1.9359059550704028</v>
      </c>
    </row>
    <row r="8" spans="2:16">
      <c r="C8" t="s">
        <v>756</v>
      </c>
      <c r="D8" s="14">
        <f t="shared" ca="1" si="0"/>
        <v>3.1817939218154763</v>
      </c>
      <c r="I8" s="19"/>
    </row>
    <row r="9" spans="2:16">
      <c r="C9" t="s">
        <v>757</v>
      </c>
      <c r="D9" s="14">
        <f t="shared" ca="1" si="0"/>
        <v>3.5957690941385438</v>
      </c>
      <c r="E9" s="14"/>
      <c r="F9" s="32"/>
      <c r="H9" s="137"/>
      <c r="I9" s="19"/>
    </row>
    <row r="10" spans="2:16">
      <c r="C10" t="s">
        <v>533</v>
      </c>
      <c r="D10" s="14" t="e">
        <f t="shared" ca="1" si="0"/>
        <v>#DIV/0!</v>
      </c>
    </row>
    <row r="11" spans="2:16">
      <c r="C11" s="30" t="s">
        <v>129</v>
      </c>
      <c r="D11" s="31">
        <f>+G187/E187</f>
        <v>2.1223202979498428</v>
      </c>
    </row>
    <row r="12" spans="2:16">
      <c r="D12" s="19"/>
    </row>
    <row r="13" spans="2:16">
      <c r="D13" s="22"/>
      <c r="H13" s="372"/>
    </row>
    <row r="15" spans="2:16">
      <c r="E15" s="137"/>
    </row>
    <row r="16" spans="2:16" ht="15" customHeight="1">
      <c r="B16" s="23"/>
      <c r="C16" s="23"/>
      <c r="D16" s="23"/>
      <c r="E16" s="23"/>
      <c r="F16" s="23"/>
      <c r="G16" s="23"/>
      <c r="H16" s="365"/>
      <c r="I16" s="24"/>
      <c r="J16" s="24"/>
      <c r="K16" s="24"/>
      <c r="L16" s="24"/>
      <c r="M16" s="381" t="s">
        <v>100</v>
      </c>
      <c r="N16" s="381"/>
      <c r="O16" s="381"/>
      <c r="P16" s="381"/>
    </row>
    <row r="17" spans="1:16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6" t="s">
        <v>537</v>
      </c>
      <c r="M17" s="27" t="s">
        <v>3</v>
      </c>
      <c r="N17" s="27" t="s">
        <v>97</v>
      </c>
      <c r="O17" s="27" t="s">
        <v>98</v>
      </c>
      <c r="P17" s="27" t="s">
        <v>537</v>
      </c>
    </row>
    <row r="18" spans="1:16">
      <c r="A18" s="44"/>
      <c r="B18" s="5">
        <f>C3</f>
        <v>45962</v>
      </c>
      <c r="C18" s="217" t="s">
        <v>17</v>
      </c>
      <c r="D18" s="216" t="s">
        <v>1065</v>
      </c>
      <c r="E18" s="1">
        <v>14803</v>
      </c>
      <c r="F18" s="2">
        <v>37363.4</v>
      </c>
      <c r="G18" s="3">
        <f>F18-SUM(M18:P18)</f>
        <v>29838.411240000001</v>
      </c>
      <c r="H18" s="202">
        <f t="shared" ref="H18:H44" si="1">+IF(G18=0,0,G18/E18)</f>
        <v>2.0157002796730392</v>
      </c>
      <c r="I18" s="200">
        <v>0.12</v>
      </c>
      <c r="J18" s="7">
        <v>1.6500000000000001E-2</v>
      </c>
      <c r="K18" s="7">
        <v>7.5999999999999998E-2</v>
      </c>
      <c r="L18" s="7">
        <v>0</v>
      </c>
      <c r="M18" s="11">
        <f t="shared" ref="M18:M185" si="2">+I18*F18</f>
        <v>4483.6080000000002</v>
      </c>
      <c r="N18" s="11">
        <f t="shared" ref="N18:N185" si="3">J18*(F18-M18)</f>
        <v>542.51656800000001</v>
      </c>
      <c r="O18" s="11">
        <f t="shared" ref="O18:O185" si="4">K18*(F18-M18)</f>
        <v>2498.864192</v>
      </c>
      <c r="P18" s="11">
        <f t="shared" ref="P18:P84" si="5">L18*(F18)</f>
        <v>0</v>
      </c>
    </row>
    <row r="19" spans="1:16">
      <c r="A19" s="44"/>
      <c r="B19" s="5">
        <f>B18</f>
        <v>45962</v>
      </c>
      <c r="C19" s="217" t="s">
        <v>17</v>
      </c>
      <c r="D19" s="216" t="s">
        <v>1066</v>
      </c>
      <c r="E19" s="1">
        <v>777785</v>
      </c>
      <c r="F19" s="2">
        <v>2084611.83</v>
      </c>
      <c r="G19" s="3">
        <f t="shared" ref="G19:G52" si="6">F19-SUM(M19:P19)</f>
        <v>1664771.0074380001</v>
      </c>
      <c r="H19" s="202">
        <f t="shared" si="1"/>
        <v>2.1403999915632212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si="2"/>
        <v>250153.41959999999</v>
      </c>
      <c r="N19" s="11">
        <f t="shared" si="3"/>
        <v>30268.563771600006</v>
      </c>
      <c r="O19" s="11">
        <f t="shared" si="4"/>
        <v>139418.8391904</v>
      </c>
      <c r="P19" s="11">
        <f t="shared" si="5"/>
        <v>0</v>
      </c>
    </row>
    <row r="20" spans="1:16">
      <c r="A20" s="44"/>
      <c r="B20" s="5">
        <f t="shared" ref="B20:B53" si="7">B19</f>
        <v>45962</v>
      </c>
      <c r="C20" s="217" t="s">
        <v>17</v>
      </c>
      <c r="D20" s="216" t="s">
        <v>1067</v>
      </c>
      <c r="E20" s="1">
        <v>7934</v>
      </c>
      <c r="F20" s="2">
        <v>20025.759999999998</v>
      </c>
      <c r="G20" s="3">
        <f t="shared" si="6"/>
        <v>15992.571935999998</v>
      </c>
      <c r="H20" s="202">
        <f t="shared" si="1"/>
        <v>2.0157010254600451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2403.0911999999998</v>
      </c>
      <c r="N20" s="11">
        <f t="shared" si="3"/>
        <v>290.77403520000001</v>
      </c>
      <c r="O20" s="11">
        <f t="shared" si="4"/>
        <v>1339.3228288</v>
      </c>
      <c r="P20" s="11">
        <f t="shared" si="5"/>
        <v>0</v>
      </c>
    </row>
    <row r="21" spans="1:16">
      <c r="A21" s="44"/>
      <c r="B21" s="5">
        <f t="shared" si="7"/>
        <v>45962</v>
      </c>
      <c r="C21" s="217" t="s">
        <v>17</v>
      </c>
      <c r="D21" s="214" t="s">
        <v>1068</v>
      </c>
      <c r="E21" s="1">
        <v>73861</v>
      </c>
      <c r="F21" s="2">
        <v>173618.68</v>
      </c>
      <c r="G21" s="3">
        <f t="shared" si="6"/>
        <v>138651.877848</v>
      </c>
      <c r="H21" s="202">
        <f t="shared" si="1"/>
        <v>1.8772001170847945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20834.241599999998</v>
      </c>
      <c r="N21" s="11">
        <f t="shared" si="3"/>
        <v>2520.9432336</v>
      </c>
      <c r="O21" s="11">
        <f t="shared" si="4"/>
        <v>11611.617318399998</v>
      </c>
      <c r="P21" s="11">
        <f t="shared" si="5"/>
        <v>0</v>
      </c>
    </row>
    <row r="22" spans="1:16">
      <c r="A22" s="44"/>
      <c r="B22" s="5">
        <f t="shared" si="7"/>
        <v>45962</v>
      </c>
      <c r="C22" s="217" t="s">
        <v>17</v>
      </c>
      <c r="D22" s="214" t="s">
        <v>1069</v>
      </c>
      <c r="E22" s="1">
        <v>416867</v>
      </c>
      <c r="F22" s="2">
        <v>1117282.8999999999</v>
      </c>
      <c r="G22" s="3">
        <f t="shared" si="6"/>
        <v>892262.12393999996</v>
      </c>
      <c r="H22" s="202">
        <f t="shared" si="1"/>
        <v>2.1403999931392987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134073.94799999997</v>
      </c>
      <c r="N22" s="11">
        <f t="shared" si="3"/>
        <v>16222.947708</v>
      </c>
      <c r="O22" s="11">
        <f t="shared" si="4"/>
        <v>74723.880351999993</v>
      </c>
      <c r="P22" s="11">
        <f t="shared" si="5"/>
        <v>0</v>
      </c>
    </row>
    <row r="23" spans="1:16">
      <c r="A23" s="44"/>
      <c r="B23" s="5">
        <f t="shared" si="7"/>
        <v>45962</v>
      </c>
      <c r="C23" s="217" t="s">
        <v>17</v>
      </c>
      <c r="D23" s="214" t="s">
        <v>1070</v>
      </c>
      <c r="E23" s="1">
        <v>2661980</v>
      </c>
      <c r="F23" s="2">
        <v>7134613.0700000003</v>
      </c>
      <c r="G23" s="3">
        <f t="shared" si="6"/>
        <v>5697701.9977020007</v>
      </c>
      <c r="H23" s="202">
        <f t="shared" si="1"/>
        <v>2.1404000021420146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856153.56839999999</v>
      </c>
      <c r="N23" s="11">
        <f t="shared" si="3"/>
        <v>103594.58177640001</v>
      </c>
      <c r="O23" s="11">
        <f t="shared" si="4"/>
        <v>477162.92212160002</v>
      </c>
      <c r="P23" s="11">
        <f t="shared" si="5"/>
        <v>0</v>
      </c>
    </row>
    <row r="24" spans="1:16">
      <c r="A24" s="44"/>
      <c r="B24" s="5">
        <f t="shared" si="7"/>
        <v>45962</v>
      </c>
      <c r="C24" s="217" t="s">
        <v>17</v>
      </c>
      <c r="D24" s="194" t="s">
        <v>1071</v>
      </c>
      <c r="E24" s="1">
        <v>44133</v>
      </c>
      <c r="F24" s="2">
        <v>111393.55</v>
      </c>
      <c r="G24" s="3">
        <f t="shared" si="6"/>
        <v>88958.889030000006</v>
      </c>
      <c r="H24" s="202">
        <f t="shared" si="1"/>
        <v>2.015700021072667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13367.226000000001</v>
      </c>
      <c r="N24" s="11">
        <f t="shared" si="3"/>
        <v>1617.4343460000002</v>
      </c>
      <c r="O24" s="11">
        <f t="shared" si="4"/>
        <v>7450.0006240000002</v>
      </c>
      <c r="P24" s="11">
        <f t="shared" si="5"/>
        <v>0</v>
      </c>
    </row>
    <row r="25" spans="1:16">
      <c r="A25" s="44"/>
      <c r="B25" s="5">
        <f t="shared" si="7"/>
        <v>45962</v>
      </c>
      <c r="C25" s="217" t="s">
        <v>17</v>
      </c>
      <c r="D25" s="196" t="s">
        <v>1072</v>
      </c>
      <c r="E25" s="1">
        <v>375630</v>
      </c>
      <c r="F25" s="2">
        <v>948105.92</v>
      </c>
      <c r="G25" s="3">
        <f t="shared" si="6"/>
        <v>757157.38771200005</v>
      </c>
      <c r="H25" s="202">
        <f t="shared" si="1"/>
        <v>2.0156999912467057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113772.7104</v>
      </c>
      <c r="N25" s="11">
        <f t="shared" si="3"/>
        <v>13766.497958400001</v>
      </c>
      <c r="O25" s="11">
        <f t="shared" si="4"/>
        <v>63409.323929600003</v>
      </c>
      <c r="P25" s="11">
        <f t="shared" si="5"/>
        <v>0</v>
      </c>
    </row>
    <row r="26" spans="1:16">
      <c r="A26" s="44"/>
      <c r="B26" s="5">
        <f t="shared" si="7"/>
        <v>45962</v>
      </c>
      <c r="C26" s="217" t="s">
        <v>17</v>
      </c>
      <c r="D26" s="194" t="s">
        <v>1073</v>
      </c>
      <c r="E26" s="1">
        <v>373727</v>
      </c>
      <c r="F26" s="2">
        <v>878487.77</v>
      </c>
      <c r="G26" s="3">
        <f t="shared" si="6"/>
        <v>701560.33312199998</v>
      </c>
      <c r="H26" s="202">
        <f t="shared" si="1"/>
        <v>1.8772000233378909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105418.5324</v>
      </c>
      <c r="N26" s="11">
        <f t="shared" si="3"/>
        <v>12755.642420400001</v>
      </c>
      <c r="O26" s="11">
        <f t="shared" si="4"/>
        <v>58753.262057599997</v>
      </c>
      <c r="P26" s="11">
        <f t="shared" si="5"/>
        <v>0</v>
      </c>
    </row>
    <row r="27" spans="1:16">
      <c r="A27" s="44"/>
      <c r="B27" s="5">
        <f t="shared" si="7"/>
        <v>45962</v>
      </c>
      <c r="C27" s="217" t="s">
        <v>17</v>
      </c>
      <c r="D27" s="194" t="s">
        <v>1074</v>
      </c>
      <c r="E27" s="1">
        <v>3138699</v>
      </c>
      <c r="F27" s="2">
        <v>7377868.4699999997</v>
      </c>
      <c r="G27" s="3">
        <f t="shared" si="6"/>
        <v>5891965.7601420004</v>
      </c>
      <c r="H27" s="202">
        <f t="shared" si="1"/>
        <v>1.8771999991531525</v>
      </c>
      <c r="I27" s="200">
        <v>0.12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885344.21639999992</v>
      </c>
      <c r="N27" s="11">
        <f t="shared" si="3"/>
        <v>107126.6501844</v>
      </c>
      <c r="O27" s="11">
        <f t="shared" si="4"/>
        <v>493431.84327359992</v>
      </c>
      <c r="P27" s="11">
        <f t="shared" si="5"/>
        <v>0</v>
      </c>
    </row>
    <row r="28" spans="1:16">
      <c r="A28" s="44"/>
      <c r="B28" s="5">
        <f t="shared" si="7"/>
        <v>45962</v>
      </c>
      <c r="C28" s="217" t="s">
        <v>17</v>
      </c>
      <c r="D28" s="194" t="s">
        <v>1075</v>
      </c>
      <c r="E28" s="1">
        <v>23527592</v>
      </c>
      <c r="F28" s="2">
        <v>63058424.640000001</v>
      </c>
      <c r="G28" s="3">
        <f t="shared" si="6"/>
        <v>50358457.917503998</v>
      </c>
      <c r="H28" s="202">
        <f t="shared" si="1"/>
        <v>2.1404000000299224</v>
      </c>
      <c r="I28" s="200">
        <v>0.12</v>
      </c>
      <c r="J28" s="7">
        <v>1.6500000000000001E-2</v>
      </c>
      <c r="K28" s="7">
        <v>7.5999999999999998E-2</v>
      </c>
      <c r="L28" s="7">
        <v>0</v>
      </c>
      <c r="M28" s="11">
        <f t="shared" si="2"/>
        <v>7567010.9567999998</v>
      </c>
      <c r="N28" s="11">
        <f t="shared" si="3"/>
        <v>915608.32577280002</v>
      </c>
      <c r="O28" s="11">
        <f t="shared" si="4"/>
        <v>4217347.4399231998</v>
      </c>
      <c r="P28" s="11">
        <f t="shared" si="5"/>
        <v>0</v>
      </c>
    </row>
    <row r="29" spans="1:16">
      <c r="A29" s="44"/>
      <c r="B29" s="5">
        <f t="shared" si="7"/>
        <v>45962</v>
      </c>
      <c r="C29" s="217" t="s">
        <v>17</v>
      </c>
      <c r="D29" s="194" t="s">
        <v>1076</v>
      </c>
      <c r="E29" s="1">
        <v>151032</v>
      </c>
      <c r="F29" s="2">
        <v>355017.87</v>
      </c>
      <c r="G29" s="3">
        <f t="shared" si="6"/>
        <v>283517.27098199999</v>
      </c>
      <c r="H29" s="202">
        <f t="shared" si="1"/>
        <v>1.877200003853488</v>
      </c>
      <c r="I29" s="200">
        <v>0.12</v>
      </c>
      <c r="J29" s="7">
        <v>1.6500000000000001E-2</v>
      </c>
      <c r="K29" s="7">
        <v>7.5999999999999998E-2</v>
      </c>
      <c r="L29" s="7">
        <v>0</v>
      </c>
      <c r="M29" s="11">
        <f t="shared" si="2"/>
        <v>42602.144399999997</v>
      </c>
      <c r="N29" s="11">
        <f t="shared" si="3"/>
        <v>5154.8594724000004</v>
      </c>
      <c r="O29" s="11">
        <f t="shared" si="4"/>
        <v>23743.5951456</v>
      </c>
      <c r="P29" s="11">
        <f t="shared" si="5"/>
        <v>0</v>
      </c>
    </row>
    <row r="30" spans="1:16" hidden="1">
      <c r="A30" s="44"/>
      <c r="B30" s="5">
        <f t="shared" si="7"/>
        <v>45962</v>
      </c>
      <c r="C30" s="217" t="s">
        <v>17</v>
      </c>
      <c r="D30" s="194"/>
      <c r="E30" s="1"/>
      <c r="F30" s="2"/>
      <c r="G30" s="3">
        <f t="shared" ref="G30:G44" si="8">F30-SUM(M30:P30)</f>
        <v>0</v>
      </c>
      <c r="H30" s="202">
        <f t="shared" si="1"/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 hidden="1">
      <c r="A31" s="44"/>
      <c r="B31" s="5">
        <f t="shared" si="7"/>
        <v>45962</v>
      </c>
      <c r="C31" s="217" t="s">
        <v>17</v>
      </c>
      <c r="D31" s="194"/>
      <c r="E31" s="1"/>
      <c r="F31" s="2"/>
      <c r="G31" s="3">
        <f t="shared" si="8"/>
        <v>0</v>
      </c>
      <c r="H31" s="202">
        <f t="shared" si="1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 hidden="1">
      <c r="A32" s="44"/>
      <c r="B32" s="5">
        <f t="shared" si="7"/>
        <v>45962</v>
      </c>
      <c r="C32" s="217" t="s">
        <v>17</v>
      </c>
      <c r="D32" s="194"/>
      <c r="E32" s="1"/>
      <c r="F32" s="2"/>
      <c r="G32" s="3">
        <f t="shared" si="8"/>
        <v>0</v>
      </c>
      <c r="H32" s="202">
        <f t="shared" si="1"/>
        <v>0</v>
      </c>
      <c r="I32" s="200"/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 hidden="1">
      <c r="A33" s="44"/>
      <c r="B33" s="5">
        <f t="shared" si="7"/>
        <v>45962</v>
      </c>
      <c r="C33" s="217" t="s">
        <v>17</v>
      </c>
      <c r="D33" s="194"/>
      <c r="E33" s="1"/>
      <c r="F33" s="2"/>
      <c r="G33" s="3">
        <f t="shared" si="8"/>
        <v>0</v>
      </c>
      <c r="H33" s="202">
        <f t="shared" si="1"/>
        <v>0</v>
      </c>
      <c r="I33" s="200"/>
      <c r="J33" s="7">
        <v>1.6500000000000001E-2</v>
      </c>
      <c r="K33" s="7">
        <v>7.5999999999999998E-2</v>
      </c>
      <c r="L33" s="7">
        <v>0</v>
      </c>
      <c r="M33" s="11">
        <f t="shared" si="2"/>
        <v>0</v>
      </c>
      <c r="N33" s="11">
        <f t="shared" si="3"/>
        <v>0</v>
      </c>
      <c r="O33" s="11">
        <f t="shared" si="4"/>
        <v>0</v>
      </c>
      <c r="P33" s="11">
        <f t="shared" si="5"/>
        <v>0</v>
      </c>
    </row>
    <row r="34" spans="1:16" hidden="1">
      <c r="A34" s="44"/>
      <c r="B34" s="5">
        <f t="shared" si="7"/>
        <v>45962</v>
      </c>
      <c r="C34" s="217" t="s">
        <v>17</v>
      </c>
      <c r="D34" s="194"/>
      <c r="E34" s="1"/>
      <c r="F34" s="2"/>
      <c r="G34" s="3">
        <f t="shared" si="8"/>
        <v>0</v>
      </c>
      <c r="H34" s="202">
        <f t="shared" si="1"/>
        <v>0</v>
      </c>
      <c r="I34" s="200"/>
      <c r="J34" s="7">
        <v>1.6500000000000001E-2</v>
      </c>
      <c r="K34" s="7">
        <v>7.5999999999999998E-2</v>
      </c>
      <c r="L34" s="7">
        <v>0</v>
      </c>
      <c r="M34" s="11">
        <f t="shared" si="2"/>
        <v>0</v>
      </c>
      <c r="N34" s="11">
        <f t="shared" si="3"/>
        <v>0</v>
      </c>
      <c r="O34" s="11">
        <f t="shared" si="4"/>
        <v>0</v>
      </c>
      <c r="P34" s="11">
        <f t="shared" si="5"/>
        <v>0</v>
      </c>
    </row>
    <row r="35" spans="1:16" hidden="1">
      <c r="A35" s="44"/>
      <c r="B35" s="5">
        <f t="shared" si="7"/>
        <v>45962</v>
      </c>
      <c r="C35" s="217" t="s">
        <v>17</v>
      </c>
      <c r="D35" s="194"/>
      <c r="E35" s="1"/>
      <c r="F35" s="2"/>
      <c r="G35" s="3">
        <f t="shared" si="8"/>
        <v>0</v>
      </c>
      <c r="H35" s="202">
        <f t="shared" si="1"/>
        <v>0</v>
      </c>
      <c r="I35" s="200"/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 hidden="1">
      <c r="A36" s="44"/>
      <c r="B36" s="5">
        <f t="shared" si="7"/>
        <v>45962</v>
      </c>
      <c r="C36" s="217" t="s">
        <v>17</v>
      </c>
      <c r="D36" s="194"/>
      <c r="E36" s="1"/>
      <c r="F36" s="2"/>
      <c r="G36" s="3">
        <f t="shared" si="8"/>
        <v>0</v>
      </c>
      <c r="H36" s="202">
        <f t="shared" si="1"/>
        <v>0</v>
      </c>
      <c r="I36" s="200"/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 hidden="1">
      <c r="A37" s="44"/>
      <c r="B37" s="5">
        <f t="shared" si="7"/>
        <v>45962</v>
      </c>
      <c r="C37" s="217" t="s">
        <v>17</v>
      </c>
      <c r="D37" s="194"/>
      <c r="E37" s="1"/>
      <c r="F37" s="2"/>
      <c r="G37" s="3">
        <f t="shared" si="8"/>
        <v>0</v>
      </c>
      <c r="H37" s="202">
        <f t="shared" si="1"/>
        <v>0</v>
      </c>
      <c r="I37" s="200"/>
      <c r="J37" s="7">
        <v>1.6500000000000001E-2</v>
      </c>
      <c r="K37" s="7">
        <v>7.5999999999999998E-2</v>
      </c>
      <c r="L37" s="7">
        <v>0</v>
      </c>
      <c r="M37" s="11">
        <f t="shared" si="2"/>
        <v>0</v>
      </c>
      <c r="N37" s="11">
        <f t="shared" si="3"/>
        <v>0</v>
      </c>
      <c r="O37" s="11">
        <f t="shared" si="4"/>
        <v>0</v>
      </c>
      <c r="P37" s="11">
        <f t="shared" si="5"/>
        <v>0</v>
      </c>
    </row>
    <row r="38" spans="1:16" hidden="1">
      <c r="A38" s="44"/>
      <c r="B38" s="5">
        <f t="shared" si="7"/>
        <v>45962</v>
      </c>
      <c r="C38" s="217" t="s">
        <v>17</v>
      </c>
      <c r="D38" s="194"/>
      <c r="E38" s="1"/>
      <c r="F38" s="2"/>
      <c r="G38" s="3">
        <f t="shared" si="8"/>
        <v>0</v>
      </c>
      <c r="H38" s="202">
        <f t="shared" si="1"/>
        <v>0</v>
      </c>
      <c r="I38" s="200"/>
      <c r="J38" s="7">
        <v>1.6500000000000001E-2</v>
      </c>
      <c r="K38" s="7">
        <v>7.5999999999999998E-2</v>
      </c>
      <c r="L38" s="7">
        <v>0</v>
      </c>
      <c r="M38" s="11">
        <f t="shared" si="2"/>
        <v>0</v>
      </c>
      <c r="N38" s="11">
        <f t="shared" si="3"/>
        <v>0</v>
      </c>
      <c r="O38" s="11">
        <f t="shared" si="4"/>
        <v>0</v>
      </c>
      <c r="P38" s="11">
        <f t="shared" si="5"/>
        <v>0</v>
      </c>
    </row>
    <row r="39" spans="1:16" hidden="1">
      <c r="A39" s="44"/>
      <c r="B39" s="5">
        <f t="shared" si="7"/>
        <v>45962</v>
      </c>
      <c r="C39" s="217" t="s">
        <v>17</v>
      </c>
      <c r="D39" s="194"/>
      <c r="E39" s="1"/>
      <c r="F39" s="2"/>
      <c r="G39" s="3">
        <f t="shared" si="8"/>
        <v>0</v>
      </c>
      <c r="H39" s="202">
        <f t="shared" si="1"/>
        <v>0</v>
      </c>
      <c r="I39" s="200"/>
      <c r="J39" s="7">
        <v>1.6500000000000001E-2</v>
      </c>
      <c r="K39" s="7">
        <v>7.5999999999999998E-2</v>
      </c>
      <c r="L39" s="7">
        <v>0</v>
      </c>
      <c r="M39" s="11">
        <f t="shared" si="2"/>
        <v>0</v>
      </c>
      <c r="N39" s="11">
        <f t="shared" si="3"/>
        <v>0</v>
      </c>
      <c r="O39" s="11">
        <f t="shared" si="4"/>
        <v>0</v>
      </c>
      <c r="P39" s="11">
        <f t="shared" si="5"/>
        <v>0</v>
      </c>
    </row>
    <row r="40" spans="1:16" hidden="1">
      <c r="A40" s="44"/>
      <c r="B40" s="5">
        <f t="shared" si="7"/>
        <v>45962</v>
      </c>
      <c r="C40" s="217" t="s">
        <v>17</v>
      </c>
      <c r="D40" s="194"/>
      <c r="E40" s="1"/>
      <c r="F40" s="2"/>
      <c r="G40" s="3">
        <f t="shared" si="8"/>
        <v>0</v>
      </c>
      <c r="H40" s="202">
        <f t="shared" si="1"/>
        <v>0</v>
      </c>
      <c r="I40" s="200"/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 hidden="1">
      <c r="A41" s="44"/>
      <c r="B41" s="5">
        <f t="shared" si="7"/>
        <v>45962</v>
      </c>
      <c r="C41" s="217" t="s">
        <v>17</v>
      </c>
      <c r="D41" s="194"/>
      <c r="E41" s="1"/>
      <c r="F41" s="2"/>
      <c r="G41" s="3">
        <f t="shared" si="8"/>
        <v>0</v>
      </c>
      <c r="H41" s="202">
        <f t="shared" si="1"/>
        <v>0</v>
      </c>
      <c r="I41" s="200"/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idden="1">
      <c r="A42" s="44"/>
      <c r="B42" s="5">
        <f t="shared" si="7"/>
        <v>45962</v>
      </c>
      <c r="C42" s="217" t="s">
        <v>17</v>
      </c>
      <c r="D42" s="194"/>
      <c r="E42" s="1"/>
      <c r="F42" s="2"/>
      <c r="G42" s="3">
        <f t="shared" si="8"/>
        <v>0</v>
      </c>
      <c r="H42" s="202">
        <f t="shared" si="1"/>
        <v>0</v>
      </c>
      <c r="I42" s="200"/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 hidden="1">
      <c r="A43" s="44"/>
      <c r="B43" s="5">
        <f t="shared" si="7"/>
        <v>45962</v>
      </c>
      <c r="C43" s="217" t="s">
        <v>17</v>
      </c>
      <c r="D43" s="194"/>
      <c r="E43" s="1"/>
      <c r="F43" s="2"/>
      <c r="G43" s="3">
        <f t="shared" si="8"/>
        <v>0</v>
      </c>
      <c r="H43" s="202">
        <f t="shared" si="1"/>
        <v>0</v>
      </c>
      <c r="I43" s="200"/>
      <c r="J43" s="7">
        <v>1.6500000000000001E-2</v>
      </c>
      <c r="K43" s="7">
        <v>7.5999999999999998E-2</v>
      </c>
      <c r="L43" s="7">
        <v>0</v>
      </c>
      <c r="M43" s="11">
        <f t="shared" si="2"/>
        <v>0</v>
      </c>
      <c r="N43" s="11">
        <f t="shared" si="3"/>
        <v>0</v>
      </c>
      <c r="O43" s="11">
        <f t="shared" si="4"/>
        <v>0</v>
      </c>
      <c r="P43" s="11">
        <f t="shared" si="5"/>
        <v>0</v>
      </c>
    </row>
    <row r="44" spans="1:16">
      <c r="A44" s="44"/>
      <c r="B44" s="5">
        <f t="shared" si="7"/>
        <v>45962</v>
      </c>
      <c r="C44" s="218" t="s">
        <v>830</v>
      </c>
      <c r="D44" s="194" t="s">
        <v>1077</v>
      </c>
      <c r="E44" s="1">
        <v>4885200</v>
      </c>
      <c r="F44" s="2">
        <v>10339767.52</v>
      </c>
      <c r="G44" s="3">
        <f t="shared" si="8"/>
        <v>8257338.3414719999</v>
      </c>
      <c r="H44" s="202">
        <f t="shared" si="1"/>
        <v>1.6902764147776959</v>
      </c>
      <c r="I44" s="200">
        <v>0.12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1240772.1024</v>
      </c>
      <c r="N44" s="11">
        <f t="shared" si="3"/>
        <v>150133.4243904</v>
      </c>
      <c r="O44" s="11">
        <f t="shared" si="4"/>
        <v>691523.65173759998</v>
      </c>
      <c r="P44" s="11">
        <f t="shared" si="5"/>
        <v>0</v>
      </c>
    </row>
    <row r="45" spans="1:16">
      <c r="A45" s="44"/>
      <c r="B45" s="5">
        <f>B44</f>
        <v>45962</v>
      </c>
      <c r="C45" s="218" t="s">
        <v>830</v>
      </c>
      <c r="D45" s="194" t="s">
        <v>1078</v>
      </c>
      <c r="E45" s="1">
        <v>650024.03899999999</v>
      </c>
      <c r="F45" s="2">
        <v>1356715.38</v>
      </c>
      <c r="G45" s="3">
        <f t="shared" si="6"/>
        <v>1083472.9024680001</v>
      </c>
      <c r="H45" s="202">
        <f>+IF(G45=0,0,G45/E45)</f>
        <v>1.6668197442894879</v>
      </c>
      <c r="I45" s="200">
        <v>0.12</v>
      </c>
      <c r="J45" s="7">
        <v>1.6500000000000001E-2</v>
      </c>
      <c r="K45" s="7">
        <v>7.5999999999999998E-2</v>
      </c>
      <c r="L45" s="7">
        <v>0</v>
      </c>
      <c r="M45" s="11">
        <f t="shared" si="2"/>
        <v>162805.84559999997</v>
      </c>
      <c r="N45" s="11">
        <f t="shared" si="3"/>
        <v>19699.507317600001</v>
      </c>
      <c r="O45" s="11">
        <f t="shared" si="4"/>
        <v>90737.124614400003</v>
      </c>
      <c r="P45" s="11">
        <f t="shared" si="5"/>
        <v>0</v>
      </c>
    </row>
    <row r="46" spans="1:16" hidden="1">
      <c r="A46" s="44"/>
      <c r="B46" s="5">
        <f t="shared" si="7"/>
        <v>45962</v>
      </c>
      <c r="C46" s="218" t="s">
        <v>830</v>
      </c>
      <c r="D46" s="194"/>
      <c r="E46" s="1"/>
      <c r="F46" s="2"/>
      <c r="G46" s="3">
        <f t="shared" si="6"/>
        <v>0</v>
      </c>
      <c r="H46" s="202">
        <f t="shared" ref="H46:H55" si="9">+IF(G46=0,0,G46/E46)</f>
        <v>0</v>
      </c>
      <c r="I46" s="200"/>
      <c r="J46" s="7">
        <v>1.6500000000000001E-2</v>
      </c>
      <c r="K46" s="7">
        <v>7.5999999999999998E-2</v>
      </c>
      <c r="L46" s="7">
        <v>0</v>
      </c>
      <c r="M46" s="11">
        <f t="shared" si="2"/>
        <v>0</v>
      </c>
      <c r="N46" s="11">
        <f t="shared" si="3"/>
        <v>0</v>
      </c>
      <c r="O46" s="11">
        <f t="shared" si="4"/>
        <v>0</v>
      </c>
      <c r="P46" s="11">
        <f t="shared" si="5"/>
        <v>0</v>
      </c>
    </row>
    <row r="47" spans="1:16">
      <c r="A47" s="44"/>
      <c r="B47" s="5">
        <f t="shared" si="7"/>
        <v>45962</v>
      </c>
      <c r="C47" s="219" t="s">
        <v>440</v>
      </c>
      <c r="D47" s="194" t="s">
        <v>1079</v>
      </c>
      <c r="E47" s="1">
        <v>300000</v>
      </c>
      <c r="F47" s="2">
        <v>656490</v>
      </c>
      <c r="G47" s="3">
        <f t="shared" si="6"/>
        <v>554061.14775</v>
      </c>
      <c r="H47" s="202">
        <f t="shared" si="9"/>
        <v>1.8468704924999999</v>
      </c>
      <c r="I47" s="7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45954.3</v>
      </c>
      <c r="N47" s="11">
        <f t="shared" si="3"/>
        <v>10073.83905</v>
      </c>
      <c r="O47" s="11">
        <f t="shared" si="4"/>
        <v>46400.713199999998</v>
      </c>
      <c r="P47" s="11">
        <f t="shared" si="5"/>
        <v>0</v>
      </c>
    </row>
    <row r="48" spans="1:16">
      <c r="A48" s="44"/>
      <c r="B48" s="5">
        <f t="shared" si="7"/>
        <v>45962</v>
      </c>
      <c r="C48" s="217" t="s">
        <v>491</v>
      </c>
      <c r="D48" s="194" t="s">
        <v>1080</v>
      </c>
      <c r="E48" s="1">
        <v>170000</v>
      </c>
      <c r="F48" s="2">
        <v>412142.5</v>
      </c>
      <c r="G48" s="3">
        <f>F48-SUM(M48:P48)</f>
        <v>329137.00049999997</v>
      </c>
      <c r="H48" s="202">
        <f>+IF(G48=0,0,G48/E48)</f>
        <v>1.9361000029411763</v>
      </c>
      <c r="I48" s="7">
        <v>0.12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49457.1</v>
      </c>
      <c r="N48" s="11">
        <f t="shared" si="3"/>
        <v>5984.3091000000004</v>
      </c>
      <c r="O48" s="11">
        <f t="shared" si="4"/>
        <v>27564.090400000001</v>
      </c>
      <c r="P48" s="11">
        <f t="shared" si="5"/>
        <v>0</v>
      </c>
    </row>
    <row r="49" spans="1:16">
      <c r="A49" s="44"/>
      <c r="B49" s="5">
        <f t="shared" si="7"/>
        <v>45962</v>
      </c>
      <c r="C49" s="217" t="s">
        <v>491</v>
      </c>
      <c r="D49" s="194" t="s">
        <v>1081</v>
      </c>
      <c r="E49" s="185">
        <v>5540000</v>
      </c>
      <c r="F49" s="2">
        <v>13429609.32</v>
      </c>
      <c r="G49" s="3">
        <f t="shared" ref="G49" si="10">F49-SUM(M49:P49)</f>
        <v>10724886.002952</v>
      </c>
      <c r="H49" s="202">
        <f>+IF(G49=0,0,G49/E49)</f>
        <v>1.9359000005328519</v>
      </c>
      <c r="I49" s="7">
        <v>0.12</v>
      </c>
      <c r="J49" s="7">
        <v>1.6500000000000001E-2</v>
      </c>
      <c r="K49" s="7">
        <v>7.5999999999999998E-2</v>
      </c>
      <c r="L49" s="7">
        <v>0</v>
      </c>
      <c r="M49" s="11">
        <f t="shared" si="2"/>
        <v>1611553.1184</v>
      </c>
      <c r="N49" s="11">
        <f t="shared" si="3"/>
        <v>194997.92732640001</v>
      </c>
      <c r="O49" s="11">
        <f t="shared" si="4"/>
        <v>898172.27132159995</v>
      </c>
      <c r="P49" s="11">
        <f t="shared" si="5"/>
        <v>0</v>
      </c>
    </row>
    <row r="50" spans="1:16" hidden="1">
      <c r="A50" s="44"/>
      <c r="B50" s="5">
        <f>B46</f>
        <v>45962</v>
      </c>
      <c r="C50" s="217" t="s">
        <v>491</v>
      </c>
      <c r="D50" s="194"/>
      <c r="E50" s="1"/>
      <c r="F50" s="2"/>
      <c r="G50" s="3">
        <f t="shared" ref="G50:G51" si="11">F50-SUM(M50:P50)</f>
        <v>0</v>
      </c>
      <c r="H50" s="202">
        <f t="shared" si="9"/>
        <v>0</v>
      </c>
      <c r="I50" s="7"/>
      <c r="J50" s="7">
        <v>1.6500000000000001E-2</v>
      </c>
      <c r="K50" s="7">
        <v>7.5999999999999998E-2</v>
      </c>
      <c r="L50" s="7">
        <v>0</v>
      </c>
      <c r="M50" s="11">
        <f t="shared" si="2"/>
        <v>0</v>
      </c>
      <c r="N50" s="11">
        <f t="shared" si="3"/>
        <v>0</v>
      </c>
      <c r="O50" s="11">
        <f t="shared" si="4"/>
        <v>0</v>
      </c>
      <c r="P50" s="11">
        <f t="shared" si="5"/>
        <v>0</v>
      </c>
    </row>
    <row r="51" spans="1:16" hidden="1">
      <c r="A51" s="44"/>
      <c r="B51" s="5">
        <f>B47</f>
        <v>45962</v>
      </c>
      <c r="C51" s="217" t="s">
        <v>491</v>
      </c>
      <c r="D51" s="195"/>
      <c r="E51" s="118"/>
      <c r="F51" s="2"/>
      <c r="G51" s="3">
        <f t="shared" si="11"/>
        <v>0</v>
      </c>
      <c r="H51" s="202">
        <f t="shared" si="9"/>
        <v>0</v>
      </c>
      <c r="I51" s="7"/>
      <c r="J51" s="7">
        <v>1.6500000000000001E-2</v>
      </c>
      <c r="K51" s="7">
        <v>7.5999999999999998E-2</v>
      </c>
      <c r="L51" s="7">
        <v>0</v>
      </c>
      <c r="M51" s="11">
        <f t="shared" si="2"/>
        <v>0</v>
      </c>
      <c r="N51" s="11">
        <f t="shared" si="3"/>
        <v>0</v>
      </c>
      <c r="O51" s="11">
        <f t="shared" si="4"/>
        <v>0</v>
      </c>
      <c r="P51" s="11">
        <f t="shared" si="5"/>
        <v>0</v>
      </c>
    </row>
    <row r="52" spans="1:16" hidden="1">
      <c r="A52" s="44"/>
      <c r="B52" s="5">
        <f>B48</f>
        <v>45962</v>
      </c>
      <c r="C52" s="220" t="s">
        <v>756</v>
      </c>
      <c r="D52" s="195"/>
      <c r="E52" s="118"/>
      <c r="F52" s="2"/>
      <c r="G52" s="3">
        <f t="shared" si="6"/>
        <v>0</v>
      </c>
      <c r="H52" s="202">
        <f t="shared" si="9"/>
        <v>0</v>
      </c>
      <c r="I52" s="7"/>
      <c r="J52" s="200">
        <v>1.6500000000000001E-2</v>
      </c>
      <c r="K52" s="200">
        <v>7.5999999999999998E-2</v>
      </c>
      <c r="L52" s="200">
        <v>0</v>
      </c>
      <c r="M52" s="11">
        <f t="shared" si="2"/>
        <v>0</v>
      </c>
      <c r="N52" s="11">
        <f t="shared" si="3"/>
        <v>0</v>
      </c>
      <c r="O52" s="11">
        <f t="shared" si="4"/>
        <v>0</v>
      </c>
      <c r="P52" s="11">
        <f t="shared" si="5"/>
        <v>0</v>
      </c>
    </row>
    <row r="53" spans="1:16">
      <c r="A53" s="44"/>
      <c r="B53" s="5">
        <f t="shared" si="7"/>
        <v>45962</v>
      </c>
      <c r="C53" s="220" t="s">
        <v>756</v>
      </c>
      <c r="D53" s="212" t="s">
        <v>1064</v>
      </c>
      <c r="E53" s="118">
        <v>1012443.72</v>
      </c>
      <c r="F53" s="2">
        <v>4465079.3</v>
      </c>
      <c r="G53" s="3">
        <f t="shared" ref="G53" si="12">F53-SUM(M53:P53)</f>
        <v>3221387.2744762497</v>
      </c>
      <c r="H53" s="202">
        <f t="shared" si="9"/>
        <v>3.1817939218154763</v>
      </c>
      <c r="I53" s="7">
        <v>0.20499999999999999</v>
      </c>
      <c r="J53" s="200">
        <v>1.6500000000000001E-2</v>
      </c>
      <c r="K53" s="200">
        <v>7.5999999999999998E-2</v>
      </c>
      <c r="L53" s="200">
        <v>0</v>
      </c>
      <c r="M53" s="11">
        <f t="shared" si="2"/>
        <v>915341.2564999999</v>
      </c>
      <c r="N53" s="11">
        <f t="shared" si="3"/>
        <v>58570.677717749997</v>
      </c>
      <c r="O53" s="11">
        <f t="shared" si="4"/>
        <v>269780.09130599996</v>
      </c>
      <c r="P53" s="11">
        <f t="shared" si="5"/>
        <v>0</v>
      </c>
    </row>
    <row r="54" spans="1:16">
      <c r="A54" s="44"/>
      <c r="B54" s="5">
        <f t="shared" ref="B54:B59" si="13">B53</f>
        <v>45962</v>
      </c>
      <c r="C54" s="220" t="s">
        <v>757</v>
      </c>
      <c r="D54" s="212" t="s">
        <v>321</v>
      </c>
      <c r="E54" s="118">
        <v>128009.31</v>
      </c>
      <c r="F54" s="2">
        <v>637998.4</v>
      </c>
      <c r="G54" s="3">
        <f t="shared" ref="G54:G120" si="14">F54-SUM(M54:P54)</f>
        <v>460291.92066000006</v>
      </c>
      <c r="H54" s="202">
        <f t="shared" si="9"/>
        <v>3.5957690941385438</v>
      </c>
      <c r="I54" s="7">
        <v>0.20499999999999999</v>
      </c>
      <c r="J54" s="7">
        <v>1.6500000000000001E-2</v>
      </c>
      <c r="K54" s="7">
        <v>7.5999999999999998E-2</v>
      </c>
      <c r="L54" s="7">
        <v>0</v>
      </c>
      <c r="M54" s="11">
        <f t="shared" si="2"/>
        <v>130789.67199999999</v>
      </c>
      <c r="N54" s="11">
        <f t="shared" si="3"/>
        <v>8368.9440119999999</v>
      </c>
      <c r="O54" s="11">
        <f t="shared" si="4"/>
        <v>38547.863327999999</v>
      </c>
      <c r="P54" s="11">
        <f t="shared" si="5"/>
        <v>0</v>
      </c>
    </row>
    <row r="55" spans="1:16" ht="15" hidden="1" customHeight="1">
      <c r="A55" s="44"/>
      <c r="B55" s="5">
        <f t="shared" si="13"/>
        <v>45962</v>
      </c>
      <c r="C55" s="220" t="s">
        <v>757</v>
      </c>
      <c r="D55" s="195"/>
      <c r="E55" s="118"/>
      <c r="F55" s="2"/>
      <c r="G55" s="3">
        <f t="shared" si="14"/>
        <v>0</v>
      </c>
      <c r="H55" s="202">
        <f t="shared" si="9"/>
        <v>0</v>
      </c>
      <c r="I55" s="7"/>
      <c r="J55" s="7">
        <v>1.6500000000000001E-2</v>
      </c>
      <c r="K55" s="7">
        <v>7.5999999999999998E-2</v>
      </c>
      <c r="L55" s="7">
        <v>0</v>
      </c>
      <c r="M55" s="11">
        <f t="shared" si="2"/>
        <v>0</v>
      </c>
      <c r="N55" s="11">
        <f t="shared" si="3"/>
        <v>0</v>
      </c>
      <c r="O55" s="11">
        <f t="shared" si="4"/>
        <v>0</v>
      </c>
      <c r="P55" s="11">
        <f t="shared" si="5"/>
        <v>0</v>
      </c>
    </row>
    <row r="56" spans="1:16" ht="15" customHeight="1">
      <c r="A56" s="44"/>
      <c r="B56" s="5">
        <f t="shared" si="13"/>
        <v>45962</v>
      </c>
      <c r="C56" s="221" t="s">
        <v>792</v>
      </c>
      <c r="D56" s="195" t="s">
        <v>1061</v>
      </c>
      <c r="E56" s="186"/>
      <c r="F56" s="2">
        <v>267686.32</v>
      </c>
      <c r="G56" s="3">
        <f t="shared" si="14"/>
        <v>242925.33540000001</v>
      </c>
      <c r="H56" s="187"/>
      <c r="I56" s="193"/>
      <c r="J56" s="7">
        <v>1.6500000000000001E-2</v>
      </c>
      <c r="K56" s="7">
        <v>7.5999999999999998E-2</v>
      </c>
      <c r="L56" s="7">
        <v>0</v>
      </c>
      <c r="M56" s="11">
        <f t="shared" si="2"/>
        <v>0</v>
      </c>
      <c r="N56" s="11">
        <f t="shared" si="3"/>
        <v>4416.8242800000007</v>
      </c>
      <c r="O56" s="11">
        <f t="shared" si="4"/>
        <v>20344.160319999999</v>
      </c>
      <c r="P56" s="11">
        <f t="shared" si="5"/>
        <v>0</v>
      </c>
    </row>
    <row r="57" spans="1:16" ht="15" customHeight="1">
      <c r="A57" s="44"/>
      <c r="B57" s="5">
        <f t="shared" si="13"/>
        <v>45962</v>
      </c>
      <c r="C57" s="221" t="s">
        <v>792</v>
      </c>
      <c r="D57" s="195" t="s">
        <v>1059</v>
      </c>
      <c r="E57" s="186"/>
      <c r="F57" s="2">
        <v>351860.4</v>
      </c>
      <c r="G57" s="3">
        <f>F57-SUM(M57:P57)</f>
        <v>319313.31300000002</v>
      </c>
      <c r="H57" s="187"/>
      <c r="I57" s="193"/>
      <c r="J57" s="7">
        <v>1.6500000000000001E-2</v>
      </c>
      <c r="K57" s="7">
        <v>7.5999999999999998E-2</v>
      </c>
      <c r="L57" s="7">
        <v>0</v>
      </c>
      <c r="M57" s="11">
        <f t="shared" ref="M57" si="15">+I57*F57</f>
        <v>0</v>
      </c>
      <c r="N57" s="11">
        <f t="shared" ref="N57" si="16">J57*(F57-M57)</f>
        <v>5805.6966000000002</v>
      </c>
      <c r="O57" s="11">
        <f t="shared" ref="O57" si="17">K57*(F57-M57)</f>
        <v>26741.3904</v>
      </c>
      <c r="P57" s="11">
        <f t="shared" ref="P57" si="18">L57*(F57)</f>
        <v>0</v>
      </c>
    </row>
    <row r="58" spans="1:16" ht="15" customHeight="1">
      <c r="A58" s="44"/>
      <c r="B58" s="5">
        <f t="shared" si="13"/>
        <v>45962</v>
      </c>
      <c r="C58" s="221" t="s">
        <v>792</v>
      </c>
      <c r="D58" s="195" t="s">
        <v>1062</v>
      </c>
      <c r="E58" s="186"/>
      <c r="F58" s="2">
        <v>115421.46</v>
      </c>
      <c r="G58" s="3">
        <f>F58-SUM(M58:P58)</f>
        <v>104744.97495</v>
      </c>
      <c r="H58" s="187"/>
      <c r="I58" s="193"/>
      <c r="J58" s="7">
        <v>1.6500000000000001E-2</v>
      </c>
      <c r="K58" s="7">
        <v>7.5999999999999998E-2</v>
      </c>
      <c r="L58" s="7">
        <v>0</v>
      </c>
      <c r="M58" s="11">
        <f t="shared" ref="M58" si="19">+I58*F58</f>
        <v>0</v>
      </c>
      <c r="N58" s="11">
        <f t="shared" ref="N58" si="20">J58*(F58-M58)</f>
        <v>1904.4540900000002</v>
      </c>
      <c r="O58" s="11">
        <f t="shared" ref="O58" si="21">K58*(F58-M58)</f>
        <v>8772.0309600000001</v>
      </c>
      <c r="P58" s="11">
        <f t="shared" ref="P58" si="22">L58*(F58)</f>
        <v>0</v>
      </c>
    </row>
    <row r="59" spans="1:16" ht="15" hidden="1" customHeight="1">
      <c r="A59" s="44"/>
      <c r="B59" s="5">
        <f t="shared" si="13"/>
        <v>45962</v>
      </c>
      <c r="C59" s="221" t="s">
        <v>792</v>
      </c>
      <c r="D59" s="195"/>
      <c r="E59" s="186"/>
      <c r="F59" s="2"/>
      <c r="G59" s="3">
        <f>F59-SUM(M59:P59)</f>
        <v>0</v>
      </c>
      <c r="H59" s="187"/>
      <c r="I59" s="193"/>
      <c r="J59" s="7">
        <v>1.6500000000000001E-2</v>
      </c>
      <c r="K59" s="7">
        <v>7.5999999999999998E-2</v>
      </c>
      <c r="L59" s="7">
        <v>0</v>
      </c>
      <c r="M59" s="11">
        <f t="shared" ref="M59" si="23">+I59*F59</f>
        <v>0</v>
      </c>
      <c r="N59" s="11">
        <f t="shared" ref="N59" si="24">J59*(F59-M59)</f>
        <v>0</v>
      </c>
      <c r="O59" s="11">
        <f t="shared" ref="O59" si="25">K59*(F59-M59)</f>
        <v>0</v>
      </c>
      <c r="P59" s="11">
        <f t="shared" ref="P59" si="26">L59*(F59)</f>
        <v>0</v>
      </c>
    </row>
    <row r="60" spans="1:16" hidden="1">
      <c r="A60" s="44"/>
      <c r="B60" s="5">
        <f t="shared" ref="B60:B123" si="27">B59</f>
        <v>45962</v>
      </c>
      <c r="C60" s="221" t="s">
        <v>1010</v>
      </c>
      <c r="D60" s="361"/>
      <c r="E60" s="186"/>
      <c r="F60" s="2"/>
      <c r="G60" s="3">
        <f t="shared" si="14"/>
        <v>0</v>
      </c>
      <c r="H60" s="187"/>
      <c r="I60" s="193"/>
      <c r="J60" s="7">
        <v>1.6500000000000001E-2</v>
      </c>
      <c r="K60" s="7">
        <v>7.5999999999999998E-2</v>
      </c>
      <c r="L60" s="7">
        <v>0</v>
      </c>
      <c r="M60" s="11">
        <f t="shared" si="2"/>
        <v>0</v>
      </c>
      <c r="N60" s="11">
        <f t="shared" si="3"/>
        <v>0</v>
      </c>
      <c r="O60" s="11">
        <f t="shared" si="4"/>
        <v>0</v>
      </c>
      <c r="P60" s="11">
        <f t="shared" si="5"/>
        <v>0</v>
      </c>
    </row>
    <row r="61" spans="1:16" hidden="1">
      <c r="A61" s="44"/>
      <c r="B61" s="5">
        <f t="shared" si="27"/>
        <v>45962</v>
      </c>
      <c r="C61" s="1" t="s">
        <v>33</v>
      </c>
      <c r="D61" s="195"/>
      <c r="E61" s="118"/>
      <c r="F61" s="2"/>
      <c r="G61" s="3">
        <f t="shared" si="14"/>
        <v>0</v>
      </c>
      <c r="H61" s="202">
        <f t="shared" ref="H61:H62" si="28">+IF(G61=0,0,G61/E61)</f>
        <v>0</v>
      </c>
      <c r="I61" s="7"/>
      <c r="J61" s="7">
        <v>1.6500000000000001E-2</v>
      </c>
      <c r="K61" s="7">
        <v>7.5999999999999998E-2</v>
      </c>
      <c r="L61" s="7">
        <v>0</v>
      </c>
      <c r="M61" s="11">
        <f t="shared" si="2"/>
        <v>0</v>
      </c>
      <c r="N61" s="11">
        <f t="shared" si="3"/>
        <v>0</v>
      </c>
      <c r="O61" s="11">
        <f t="shared" si="4"/>
        <v>0</v>
      </c>
      <c r="P61" s="11">
        <f t="shared" si="5"/>
        <v>0</v>
      </c>
    </row>
    <row r="62" spans="1:16" hidden="1">
      <c r="A62" s="44"/>
      <c r="B62" s="5">
        <f t="shared" si="27"/>
        <v>45962</v>
      </c>
      <c r="C62" s="1" t="s">
        <v>33</v>
      </c>
      <c r="D62" s="195"/>
      <c r="E62" s="118"/>
      <c r="F62" s="2"/>
      <c r="G62" s="3">
        <f t="shared" si="14"/>
        <v>0</v>
      </c>
      <c r="H62" s="202">
        <f t="shared" si="28"/>
        <v>0</v>
      </c>
      <c r="I62" s="7"/>
      <c r="J62" s="7">
        <v>1.6500000000000001E-2</v>
      </c>
      <c r="K62" s="7">
        <v>7.5999999999999998E-2</v>
      </c>
      <c r="L62" s="7">
        <v>0</v>
      </c>
      <c r="M62" s="11">
        <f t="shared" si="2"/>
        <v>0</v>
      </c>
      <c r="N62" s="11">
        <f t="shared" si="3"/>
        <v>0</v>
      </c>
      <c r="O62" s="11">
        <f t="shared" si="4"/>
        <v>0</v>
      </c>
      <c r="P62" s="11">
        <f t="shared" si="5"/>
        <v>0</v>
      </c>
    </row>
    <row r="63" spans="1:16" ht="15" customHeight="1">
      <c r="A63" s="44"/>
      <c r="B63" s="5">
        <f t="shared" si="27"/>
        <v>45962</v>
      </c>
      <c r="C63" s="218" t="s">
        <v>533</v>
      </c>
      <c r="D63" s="195">
        <v>12399</v>
      </c>
      <c r="E63" s="186"/>
      <c r="F63" s="2">
        <v>154578.16</v>
      </c>
      <c r="G63" s="3">
        <f>F63-SUM(M63:P63)</f>
        <v>123446.11857600001</v>
      </c>
      <c r="H63" s="187"/>
      <c r="I63" s="7">
        <v>0.12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18549.379199999999</v>
      </c>
      <c r="N63" s="11">
        <f t="shared" si="3"/>
        <v>2244.4748832</v>
      </c>
      <c r="O63" s="11">
        <f t="shared" si="4"/>
        <v>10338.187340800001</v>
      </c>
      <c r="P63" s="11">
        <f t="shared" si="5"/>
        <v>0</v>
      </c>
    </row>
    <row r="64" spans="1:16" ht="15" customHeight="1">
      <c r="A64" s="44"/>
      <c r="B64" s="5">
        <f t="shared" si="27"/>
        <v>45962</v>
      </c>
      <c r="C64" s="218" t="s">
        <v>533</v>
      </c>
      <c r="D64" s="195">
        <v>12400</v>
      </c>
      <c r="E64" s="186"/>
      <c r="F64" s="2">
        <v>4688.37</v>
      </c>
      <c r="G64" s="3">
        <f>F64-SUM(M64:P64)</f>
        <v>3744.132282</v>
      </c>
      <c r="H64" s="187"/>
      <c r="I64" s="7">
        <v>0.12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562.60439999999994</v>
      </c>
      <c r="N64" s="11">
        <f t="shared" si="3"/>
        <v>68.075132400000001</v>
      </c>
      <c r="O64" s="11">
        <f t="shared" si="4"/>
        <v>313.55818559999994</v>
      </c>
      <c r="P64" s="11">
        <f t="shared" si="5"/>
        <v>0</v>
      </c>
    </row>
    <row r="65" spans="1:16" ht="15" customHeight="1">
      <c r="A65" s="44"/>
      <c r="B65" s="5">
        <f t="shared" si="27"/>
        <v>45962</v>
      </c>
      <c r="C65" s="218" t="s">
        <v>533</v>
      </c>
      <c r="D65" s="195">
        <v>7087</v>
      </c>
      <c r="E65" s="186"/>
      <c r="F65" s="2">
        <v>285861.15000000002</v>
      </c>
      <c r="G65" s="3">
        <f t="shared" si="14"/>
        <v>228288.71439000004</v>
      </c>
      <c r="H65" s="187"/>
      <c r="I65" s="7">
        <v>0.12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34303.338000000003</v>
      </c>
      <c r="N65" s="11">
        <f t="shared" si="3"/>
        <v>4150.7038980000007</v>
      </c>
      <c r="O65" s="11">
        <f t="shared" si="4"/>
        <v>19118.393712000001</v>
      </c>
      <c r="P65" s="11">
        <f t="shared" si="5"/>
        <v>0</v>
      </c>
    </row>
    <row r="66" spans="1:16" ht="15" customHeight="1">
      <c r="A66" s="44"/>
      <c r="B66" s="5">
        <f t="shared" si="27"/>
        <v>45962</v>
      </c>
      <c r="C66" s="218" t="s">
        <v>533</v>
      </c>
      <c r="D66" s="195">
        <v>7088</v>
      </c>
      <c r="E66" s="186"/>
      <c r="F66" s="2">
        <v>9535.2999999999993</v>
      </c>
      <c r="G66" s="3">
        <f t="shared" si="14"/>
        <v>7614.8905799999993</v>
      </c>
      <c r="H66" s="187"/>
      <c r="I66" s="7">
        <v>0.12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1144.2359999999999</v>
      </c>
      <c r="N66" s="11">
        <f t="shared" si="3"/>
        <v>138.45255599999999</v>
      </c>
      <c r="O66" s="11">
        <f t="shared" si="4"/>
        <v>637.72086399999989</v>
      </c>
      <c r="P66" s="11">
        <f t="shared" si="5"/>
        <v>0</v>
      </c>
    </row>
    <row r="67" spans="1:16" ht="15" customHeight="1">
      <c r="A67" s="44"/>
      <c r="B67" s="5">
        <f t="shared" si="27"/>
        <v>45962</v>
      </c>
      <c r="C67" s="218" t="s">
        <v>533</v>
      </c>
      <c r="D67" s="195">
        <v>28775</v>
      </c>
      <c r="E67" s="186"/>
      <c r="F67" s="2">
        <v>3373.73</v>
      </c>
      <c r="G67" s="3">
        <f t="shared" si="14"/>
        <v>2847.34377675</v>
      </c>
      <c r="H67" s="187"/>
      <c r="I67" s="7">
        <v>7.0000000000000007E-2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236.16110000000003</v>
      </c>
      <c r="N67" s="11">
        <f t="shared" si="3"/>
        <v>51.769886850000006</v>
      </c>
      <c r="O67" s="11">
        <f t="shared" si="4"/>
        <v>238.45523640000002</v>
      </c>
      <c r="P67" s="11">
        <f t="shared" si="5"/>
        <v>0</v>
      </c>
    </row>
    <row r="68" spans="1:16" ht="15" customHeight="1">
      <c r="A68" s="44"/>
      <c r="B68" s="5">
        <f t="shared" si="27"/>
        <v>45962</v>
      </c>
      <c r="C68" s="218" t="s">
        <v>533</v>
      </c>
      <c r="D68" s="195">
        <v>28776</v>
      </c>
      <c r="E68" s="186"/>
      <c r="F68" s="2">
        <v>93.75</v>
      </c>
      <c r="G68" s="3">
        <f t="shared" si="14"/>
        <v>79.122656250000006</v>
      </c>
      <c r="H68" s="187"/>
      <c r="I68" s="7">
        <v>7.0000000000000007E-2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6.5625000000000009</v>
      </c>
      <c r="N68" s="11">
        <f t="shared" si="3"/>
        <v>1.4385937500000001</v>
      </c>
      <c r="O68" s="11">
        <f t="shared" si="4"/>
        <v>6.6262499999999998</v>
      </c>
      <c r="P68" s="11">
        <f t="shared" si="5"/>
        <v>0</v>
      </c>
    </row>
    <row r="69" spans="1:16" ht="15" customHeight="1">
      <c r="A69" s="44"/>
      <c r="B69" s="5">
        <f t="shared" si="27"/>
        <v>45962</v>
      </c>
      <c r="C69" s="218" t="s">
        <v>533</v>
      </c>
      <c r="D69" s="195">
        <v>23026</v>
      </c>
      <c r="E69" s="186"/>
      <c r="F69" s="2">
        <v>99095.06</v>
      </c>
      <c r="G69" s="3">
        <f t="shared" si="14"/>
        <v>79137.314916000003</v>
      </c>
      <c r="H69" s="187"/>
      <c r="I69" s="7">
        <v>0.12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11891.4072</v>
      </c>
      <c r="N69" s="11">
        <f t="shared" si="3"/>
        <v>1438.8602711999999</v>
      </c>
      <c r="O69" s="11">
        <f t="shared" si="4"/>
        <v>6627.4776127999994</v>
      </c>
      <c r="P69" s="11">
        <f t="shared" si="5"/>
        <v>0</v>
      </c>
    </row>
    <row r="70" spans="1:16" ht="15" customHeight="1">
      <c r="A70" s="44"/>
      <c r="B70" s="5">
        <f t="shared" si="27"/>
        <v>45962</v>
      </c>
      <c r="C70" s="218" t="s">
        <v>533</v>
      </c>
      <c r="D70" s="195">
        <v>23027</v>
      </c>
      <c r="E70" s="186"/>
      <c r="F70" s="2">
        <v>3122.96</v>
      </c>
      <c r="G70" s="3">
        <f t="shared" si="14"/>
        <v>2493.995856</v>
      </c>
      <c r="H70" s="187"/>
      <c r="I70" s="7">
        <v>0.12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374.7552</v>
      </c>
      <c r="N70" s="11">
        <f t="shared" si="3"/>
        <v>45.345379200000004</v>
      </c>
      <c r="O70" s="11">
        <f t="shared" si="4"/>
        <v>208.86356480000001</v>
      </c>
      <c r="P70" s="11">
        <f t="shared" si="5"/>
        <v>0</v>
      </c>
    </row>
    <row r="71" spans="1:16" ht="15" customHeight="1">
      <c r="A71" s="44"/>
      <c r="B71" s="5">
        <f t="shared" si="27"/>
        <v>45962</v>
      </c>
      <c r="C71" s="218" t="s">
        <v>533</v>
      </c>
      <c r="D71" s="195">
        <v>12403</v>
      </c>
      <c r="E71" s="186"/>
      <c r="F71" s="2">
        <v>119385.82</v>
      </c>
      <c r="G71" s="3">
        <f t="shared" si="14"/>
        <v>95341.515852000011</v>
      </c>
      <c r="H71" s="187"/>
      <c r="I71" s="7">
        <v>0.12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14326.2984</v>
      </c>
      <c r="N71" s="11">
        <f t="shared" si="3"/>
        <v>1733.4821064000002</v>
      </c>
      <c r="O71" s="11">
        <f t="shared" si="4"/>
        <v>7984.5236416000007</v>
      </c>
      <c r="P71" s="11">
        <f t="shared" si="5"/>
        <v>0</v>
      </c>
    </row>
    <row r="72" spans="1:16" ht="15" customHeight="1">
      <c r="A72" s="44"/>
      <c r="B72" s="5">
        <f t="shared" si="27"/>
        <v>45962</v>
      </c>
      <c r="C72" s="218" t="s">
        <v>533</v>
      </c>
      <c r="D72" s="195">
        <v>12404</v>
      </c>
      <c r="E72" s="186"/>
      <c r="F72" s="2">
        <v>4602.71</v>
      </c>
      <c r="G72" s="3">
        <f t="shared" si="14"/>
        <v>3675.7242059999999</v>
      </c>
      <c r="H72" s="187"/>
      <c r="I72" s="7">
        <v>0.12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552.3252</v>
      </c>
      <c r="N72" s="11">
        <f t="shared" si="3"/>
        <v>66.831349200000005</v>
      </c>
      <c r="O72" s="11">
        <f t="shared" si="4"/>
        <v>307.82924479999997</v>
      </c>
      <c r="P72" s="11">
        <f t="shared" si="5"/>
        <v>0</v>
      </c>
    </row>
    <row r="73" spans="1:16" ht="15" customHeight="1">
      <c r="A73" s="44"/>
      <c r="B73" s="5">
        <f t="shared" si="27"/>
        <v>45962</v>
      </c>
      <c r="C73" s="218" t="s">
        <v>533</v>
      </c>
      <c r="D73" s="195">
        <v>7089</v>
      </c>
      <c r="E73" s="186"/>
      <c r="F73" s="2">
        <v>214561.82</v>
      </c>
      <c r="G73" s="3">
        <f t="shared" si="14"/>
        <v>171349.06945200003</v>
      </c>
      <c r="H73" s="187"/>
      <c r="I73" s="7">
        <v>0.12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25747.418399999999</v>
      </c>
      <c r="N73" s="11">
        <f t="shared" si="3"/>
        <v>3115.4376264000002</v>
      </c>
      <c r="O73" s="11">
        <f t="shared" si="4"/>
        <v>14349.894521600001</v>
      </c>
      <c r="P73" s="11">
        <f t="shared" si="5"/>
        <v>0</v>
      </c>
    </row>
    <row r="74" spans="1:16" ht="15" customHeight="1">
      <c r="A74" s="44"/>
      <c r="B74" s="5">
        <f t="shared" si="27"/>
        <v>45962</v>
      </c>
      <c r="C74" s="218" t="s">
        <v>533</v>
      </c>
      <c r="D74" s="195">
        <v>7090</v>
      </c>
      <c r="E74" s="186"/>
      <c r="F74" s="2">
        <v>9063.2900000000009</v>
      </c>
      <c r="G74" s="3">
        <f t="shared" si="14"/>
        <v>7237.9433940000008</v>
      </c>
      <c r="H74" s="187"/>
      <c r="I74" s="7">
        <v>0.12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1087.5948000000001</v>
      </c>
      <c r="N74" s="11">
        <f t="shared" si="3"/>
        <v>131.59897080000002</v>
      </c>
      <c r="O74" s="11">
        <f t="shared" si="4"/>
        <v>606.15283520000003</v>
      </c>
      <c r="P74" s="11">
        <f t="shared" si="5"/>
        <v>0</v>
      </c>
    </row>
    <row r="75" spans="1:16" ht="15" customHeight="1">
      <c r="A75" s="44"/>
      <c r="B75" s="5">
        <f t="shared" si="27"/>
        <v>45962</v>
      </c>
      <c r="C75" s="218" t="s">
        <v>533</v>
      </c>
      <c r="D75" s="195">
        <v>28821</v>
      </c>
      <c r="E75" s="186"/>
      <c r="F75" s="2">
        <v>15583.73</v>
      </c>
      <c r="G75" s="3">
        <f t="shared" si="14"/>
        <v>13152.27852675</v>
      </c>
      <c r="H75" s="187"/>
      <c r="I75" s="7">
        <v>7.0000000000000007E-2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1090.8611000000001</v>
      </c>
      <c r="N75" s="11">
        <f t="shared" si="3"/>
        <v>239.13233685</v>
      </c>
      <c r="O75" s="11">
        <f t="shared" si="4"/>
        <v>1101.4580363999999</v>
      </c>
      <c r="P75" s="11">
        <f t="shared" si="5"/>
        <v>0</v>
      </c>
    </row>
    <row r="76" spans="1:16" ht="15" customHeight="1">
      <c r="A76" s="44"/>
      <c r="B76" s="5">
        <f t="shared" si="27"/>
        <v>45962</v>
      </c>
      <c r="C76" s="218" t="s">
        <v>533</v>
      </c>
      <c r="D76" s="195">
        <v>28822</v>
      </c>
      <c r="E76" s="186"/>
      <c r="F76" s="2">
        <v>546.86</v>
      </c>
      <c r="G76" s="3">
        <f t="shared" si="14"/>
        <v>461.53616850000003</v>
      </c>
      <c r="H76" s="187"/>
      <c r="I76" s="7">
        <v>7.0000000000000007E-2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38.280200000000008</v>
      </c>
      <c r="N76" s="11">
        <f t="shared" si="3"/>
        <v>8.3915667000000003</v>
      </c>
      <c r="O76" s="11">
        <f t="shared" si="4"/>
        <v>38.652064799999998</v>
      </c>
      <c r="P76" s="11">
        <f t="shared" si="5"/>
        <v>0</v>
      </c>
    </row>
    <row r="77" spans="1:16" ht="15" customHeight="1">
      <c r="A77" s="44"/>
      <c r="B77" s="5">
        <f t="shared" si="27"/>
        <v>45962</v>
      </c>
      <c r="C77" s="218" t="s">
        <v>533</v>
      </c>
      <c r="D77" s="195">
        <v>23028</v>
      </c>
      <c r="E77" s="186"/>
      <c r="F77" s="2">
        <v>76688.14</v>
      </c>
      <c r="G77" s="3">
        <f t="shared" si="14"/>
        <v>61243.148604000002</v>
      </c>
      <c r="H77" s="187"/>
      <c r="I77" s="7">
        <v>0.12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9202.5767999999989</v>
      </c>
      <c r="N77" s="11">
        <f t="shared" si="3"/>
        <v>1113.5117928000002</v>
      </c>
      <c r="O77" s="11">
        <f t="shared" si="4"/>
        <v>5128.9028032000006</v>
      </c>
      <c r="P77" s="11">
        <f t="shared" si="5"/>
        <v>0</v>
      </c>
    </row>
    <row r="78" spans="1:16" ht="15" customHeight="1">
      <c r="A78" s="44"/>
      <c r="B78" s="5">
        <f t="shared" si="27"/>
        <v>45962</v>
      </c>
      <c r="C78" s="218" t="s">
        <v>533</v>
      </c>
      <c r="D78" s="195">
        <v>23029</v>
      </c>
      <c r="E78" s="186"/>
      <c r="F78" s="2">
        <v>2976.13</v>
      </c>
      <c r="G78" s="3">
        <f t="shared" si="14"/>
        <v>2376.7374180000002</v>
      </c>
      <c r="H78" s="187"/>
      <c r="I78" s="7">
        <v>0.12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357.13560000000001</v>
      </c>
      <c r="N78" s="11">
        <f t="shared" si="3"/>
        <v>43.213407600000004</v>
      </c>
      <c r="O78" s="11">
        <f t="shared" si="4"/>
        <v>199.04357440000001</v>
      </c>
      <c r="P78" s="11">
        <f t="shared" si="5"/>
        <v>0</v>
      </c>
    </row>
    <row r="79" spans="1:16" ht="15" customHeight="1">
      <c r="A79" s="44"/>
      <c r="B79" s="5">
        <f t="shared" si="27"/>
        <v>45962</v>
      </c>
      <c r="C79" s="218" t="s">
        <v>533</v>
      </c>
      <c r="D79" s="195">
        <v>12405</v>
      </c>
      <c r="E79" s="186"/>
      <c r="F79" s="2">
        <v>33858.080000000002</v>
      </c>
      <c r="G79" s="3">
        <f t="shared" si="14"/>
        <v>27039.062688000002</v>
      </c>
      <c r="H79" s="187"/>
      <c r="I79" s="7">
        <v>0.12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4062.9695999999999</v>
      </c>
      <c r="N79" s="11">
        <f t="shared" si="3"/>
        <v>491.61932160000003</v>
      </c>
      <c r="O79" s="11">
        <f t="shared" si="4"/>
        <v>2264.4283903999999</v>
      </c>
      <c r="P79" s="11">
        <f t="shared" si="5"/>
        <v>0</v>
      </c>
    </row>
    <row r="80" spans="1:16" ht="15" customHeight="1">
      <c r="A80" s="44"/>
      <c r="B80" s="5">
        <f t="shared" si="27"/>
        <v>45962</v>
      </c>
      <c r="C80" s="218" t="s">
        <v>533</v>
      </c>
      <c r="D80" s="195">
        <v>12406</v>
      </c>
      <c r="E80" s="186"/>
      <c r="F80" s="2">
        <v>1141.21</v>
      </c>
      <c r="G80" s="3">
        <f t="shared" si="14"/>
        <v>911.37030600000003</v>
      </c>
      <c r="H80" s="187"/>
      <c r="I80" s="7">
        <v>0.12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136.9452</v>
      </c>
      <c r="N80" s="11">
        <f t="shared" si="3"/>
        <v>16.570369200000002</v>
      </c>
      <c r="O80" s="11">
        <f t="shared" si="4"/>
        <v>76.324124800000007</v>
      </c>
      <c r="P80" s="11">
        <f t="shared" si="5"/>
        <v>0</v>
      </c>
    </row>
    <row r="81" spans="1:16" ht="15" customHeight="1">
      <c r="A81" s="44"/>
      <c r="B81" s="5">
        <f t="shared" si="27"/>
        <v>45962</v>
      </c>
      <c r="C81" s="218" t="s">
        <v>533</v>
      </c>
      <c r="D81" s="195">
        <v>7091</v>
      </c>
      <c r="E81" s="186"/>
      <c r="F81" s="2">
        <v>62062.78</v>
      </c>
      <c r="G81" s="3">
        <f t="shared" si="14"/>
        <v>49563.336108000003</v>
      </c>
      <c r="H81" s="187"/>
      <c r="I81" s="7">
        <v>0.12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7447.5335999999998</v>
      </c>
      <c r="N81" s="11">
        <f t="shared" si="3"/>
        <v>901.15156560000003</v>
      </c>
      <c r="O81" s="11">
        <f t="shared" si="4"/>
        <v>4150.7587263999994</v>
      </c>
      <c r="P81" s="11">
        <f t="shared" si="5"/>
        <v>0</v>
      </c>
    </row>
    <row r="82" spans="1:16" ht="15" customHeight="1">
      <c r="A82" s="44"/>
      <c r="B82" s="5">
        <f t="shared" si="27"/>
        <v>45962</v>
      </c>
      <c r="C82" s="218" t="s">
        <v>533</v>
      </c>
      <c r="D82" s="195">
        <v>7092</v>
      </c>
      <c r="E82" s="186"/>
      <c r="F82" s="2">
        <v>2280.7800000000002</v>
      </c>
      <c r="G82" s="3">
        <f t="shared" si="14"/>
        <v>1821.4309080000003</v>
      </c>
      <c r="H82" s="187"/>
      <c r="I82" s="7">
        <v>0.12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273.6936</v>
      </c>
      <c r="N82" s="11">
        <f t="shared" si="3"/>
        <v>33.116925600000002</v>
      </c>
      <c r="O82" s="11">
        <f t="shared" si="4"/>
        <v>152.53856640000001</v>
      </c>
      <c r="P82" s="11">
        <f t="shared" si="5"/>
        <v>0</v>
      </c>
    </row>
    <row r="83" spans="1:16" ht="15" customHeight="1">
      <c r="A83" s="44"/>
      <c r="B83" s="5">
        <f t="shared" si="27"/>
        <v>45962</v>
      </c>
      <c r="C83" s="218" t="s">
        <v>533</v>
      </c>
      <c r="D83" s="195">
        <v>28852</v>
      </c>
      <c r="E83" s="186"/>
      <c r="F83" s="2">
        <v>4433.95</v>
      </c>
      <c r="G83" s="3">
        <f t="shared" si="14"/>
        <v>3742.1429512499999</v>
      </c>
      <c r="H83" s="187"/>
      <c r="I83" s="7">
        <v>7.0000000000000007E-2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310.37650000000002</v>
      </c>
      <c r="N83" s="11">
        <f t="shared" si="3"/>
        <v>68.038962749999996</v>
      </c>
      <c r="O83" s="11">
        <f t="shared" si="4"/>
        <v>313.39158599999996</v>
      </c>
      <c r="P83" s="11">
        <f t="shared" si="5"/>
        <v>0</v>
      </c>
    </row>
    <row r="84" spans="1:16" ht="15" customHeight="1">
      <c r="A84" s="44"/>
      <c r="B84" s="5">
        <f t="shared" si="27"/>
        <v>45962</v>
      </c>
      <c r="C84" s="218" t="s">
        <v>533</v>
      </c>
      <c r="D84" s="195">
        <v>28853</v>
      </c>
      <c r="E84" s="186"/>
      <c r="F84" s="2">
        <v>137</v>
      </c>
      <c r="G84" s="3">
        <f t="shared" si="14"/>
        <v>115.62457499999999</v>
      </c>
      <c r="H84" s="187"/>
      <c r="I84" s="7">
        <v>7.0000000000000007E-2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9.5900000000000016</v>
      </c>
      <c r="N84" s="11">
        <f t="shared" si="3"/>
        <v>2.1022650000000001</v>
      </c>
      <c r="O84" s="11">
        <f t="shared" si="4"/>
        <v>9.6831599999999991</v>
      </c>
      <c r="P84" s="11">
        <f t="shared" si="5"/>
        <v>0</v>
      </c>
    </row>
    <row r="85" spans="1:16" ht="15" customHeight="1">
      <c r="A85" s="44"/>
      <c r="B85" s="5">
        <f t="shared" si="27"/>
        <v>45962</v>
      </c>
      <c r="C85" s="218" t="s">
        <v>533</v>
      </c>
      <c r="D85" s="195">
        <v>23030</v>
      </c>
      <c r="E85" s="186"/>
      <c r="F85" s="2">
        <v>21772.34</v>
      </c>
      <c r="G85" s="3">
        <f t="shared" si="14"/>
        <v>17387.390724000001</v>
      </c>
      <c r="H85" s="187"/>
      <c r="I85" s="7">
        <v>0.12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2612.6808000000001</v>
      </c>
      <c r="N85" s="11">
        <f t="shared" si="3"/>
        <v>316.13437680000004</v>
      </c>
      <c r="O85" s="11">
        <f t="shared" si="4"/>
        <v>1456.1340992</v>
      </c>
      <c r="P85" s="11">
        <f t="shared" ref="P85:P185" si="29">L85*(F85)</f>
        <v>0</v>
      </c>
    </row>
    <row r="86" spans="1:16" ht="15" customHeight="1">
      <c r="A86" s="44"/>
      <c r="B86" s="5">
        <f t="shared" si="27"/>
        <v>45962</v>
      </c>
      <c r="C86" s="218" t="s">
        <v>533</v>
      </c>
      <c r="D86" s="195">
        <v>23031</v>
      </c>
      <c r="E86" s="186"/>
      <c r="F86" s="2">
        <v>752.48</v>
      </c>
      <c r="G86" s="3">
        <f t="shared" si="14"/>
        <v>600.93052799999998</v>
      </c>
      <c r="H86" s="187"/>
      <c r="I86" s="7">
        <v>0.12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90.297600000000003</v>
      </c>
      <c r="N86" s="11">
        <f t="shared" si="3"/>
        <v>10.9260096</v>
      </c>
      <c r="O86" s="11">
        <f t="shared" si="4"/>
        <v>50.325862399999998</v>
      </c>
      <c r="P86" s="11">
        <f t="shared" si="29"/>
        <v>0</v>
      </c>
    </row>
    <row r="87" spans="1:16" ht="15" customHeight="1">
      <c r="A87" s="44"/>
      <c r="B87" s="5">
        <f t="shared" si="27"/>
        <v>45962</v>
      </c>
      <c r="C87" s="218" t="s">
        <v>533</v>
      </c>
      <c r="D87" s="195">
        <v>12407</v>
      </c>
      <c r="E87" s="186"/>
      <c r="F87" s="2">
        <v>21272.95</v>
      </c>
      <c r="G87" s="3">
        <f t="shared" si="14"/>
        <v>16988.577870000001</v>
      </c>
      <c r="H87" s="187"/>
      <c r="I87" s="7">
        <v>0.12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2552.7539999999999</v>
      </c>
      <c r="N87" s="11">
        <f t="shared" si="3"/>
        <v>308.88323400000002</v>
      </c>
      <c r="O87" s="11">
        <f t="shared" si="4"/>
        <v>1422.7348959999999</v>
      </c>
      <c r="P87" s="11">
        <f t="shared" si="29"/>
        <v>0</v>
      </c>
    </row>
    <row r="88" spans="1:16" ht="15" customHeight="1">
      <c r="A88" s="44"/>
      <c r="B88" s="5">
        <f t="shared" si="27"/>
        <v>45962</v>
      </c>
      <c r="C88" s="218" t="s">
        <v>533</v>
      </c>
      <c r="D88" s="195">
        <v>12408</v>
      </c>
      <c r="E88" s="186"/>
      <c r="F88" s="2">
        <v>737.54</v>
      </c>
      <c r="G88" s="3">
        <f t="shared" si="14"/>
        <v>588.99944400000004</v>
      </c>
      <c r="H88" s="187"/>
      <c r="I88" s="7">
        <v>0.12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88.504799999999989</v>
      </c>
      <c r="N88" s="11">
        <f t="shared" si="3"/>
        <v>10.709080800000001</v>
      </c>
      <c r="O88" s="11">
        <f t="shared" si="4"/>
        <v>49.326675200000004</v>
      </c>
      <c r="P88" s="11">
        <f t="shared" si="29"/>
        <v>0</v>
      </c>
    </row>
    <row r="89" spans="1:16" ht="15" customHeight="1">
      <c r="A89" s="44"/>
      <c r="B89" s="5">
        <f t="shared" si="27"/>
        <v>45962</v>
      </c>
      <c r="C89" s="218" t="s">
        <v>533</v>
      </c>
      <c r="D89" s="195">
        <v>7093</v>
      </c>
      <c r="E89" s="186"/>
      <c r="F89" s="2">
        <v>38954.22</v>
      </c>
      <c r="G89" s="3">
        <f t="shared" si="14"/>
        <v>31108.840091999999</v>
      </c>
      <c r="H89" s="187"/>
      <c r="I89" s="7">
        <v>0.12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4674.5064000000002</v>
      </c>
      <c r="N89" s="11">
        <f t="shared" si="3"/>
        <v>565.61527440000009</v>
      </c>
      <c r="O89" s="11">
        <f t="shared" si="4"/>
        <v>2605.2582336</v>
      </c>
      <c r="P89" s="11">
        <f t="shared" si="29"/>
        <v>0</v>
      </c>
    </row>
    <row r="90" spans="1:16" ht="15" customHeight="1">
      <c r="A90" s="44"/>
      <c r="B90" s="5">
        <f t="shared" si="27"/>
        <v>45962</v>
      </c>
      <c r="C90" s="218" t="s">
        <v>533</v>
      </c>
      <c r="D90" s="195">
        <v>7094</v>
      </c>
      <c r="E90" s="186"/>
      <c r="F90" s="2">
        <v>1461.22</v>
      </c>
      <c r="G90" s="3">
        <f t="shared" si="14"/>
        <v>1166.930292</v>
      </c>
      <c r="H90" s="187"/>
      <c r="I90" s="7">
        <v>0.12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175.34639999999999</v>
      </c>
      <c r="N90" s="11">
        <f t="shared" si="3"/>
        <v>21.216914400000004</v>
      </c>
      <c r="O90" s="11">
        <f t="shared" si="4"/>
        <v>97.726393600000009</v>
      </c>
      <c r="P90" s="11">
        <f t="shared" si="29"/>
        <v>0</v>
      </c>
    </row>
    <row r="91" spans="1:16" ht="15" customHeight="1">
      <c r="A91" s="44"/>
      <c r="B91" s="5">
        <f t="shared" si="27"/>
        <v>45962</v>
      </c>
      <c r="C91" s="218" t="s">
        <v>533</v>
      </c>
      <c r="D91" s="195">
        <v>28866</v>
      </c>
      <c r="E91" s="186"/>
      <c r="F91" s="2">
        <v>2780.54</v>
      </c>
      <c r="G91" s="3">
        <f t="shared" si="14"/>
        <v>2346.7062464999999</v>
      </c>
      <c r="H91" s="187"/>
      <c r="I91" s="7">
        <v>7.0000000000000007E-2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194.63780000000003</v>
      </c>
      <c r="N91" s="11">
        <f t="shared" si="3"/>
        <v>42.667386300000004</v>
      </c>
      <c r="O91" s="11">
        <f t="shared" si="4"/>
        <v>196.5285672</v>
      </c>
      <c r="P91" s="11">
        <f t="shared" si="29"/>
        <v>0</v>
      </c>
    </row>
    <row r="92" spans="1:16" ht="15" customHeight="1">
      <c r="A92" s="44"/>
      <c r="B92" s="5">
        <f t="shared" si="27"/>
        <v>45962</v>
      </c>
      <c r="C92" s="218" t="s">
        <v>533</v>
      </c>
      <c r="D92" s="195">
        <v>28558</v>
      </c>
      <c r="E92" s="186"/>
      <c r="F92" s="2">
        <v>87.65</v>
      </c>
      <c r="G92" s="3">
        <f t="shared" si="14"/>
        <v>73.974408750000009</v>
      </c>
      <c r="H92" s="187"/>
      <c r="I92" s="7">
        <v>7.0000000000000007E-2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6.1355000000000013</v>
      </c>
      <c r="N92" s="11">
        <f t="shared" si="3"/>
        <v>1.34498925</v>
      </c>
      <c r="O92" s="11">
        <f t="shared" si="4"/>
        <v>6.1951019999999994</v>
      </c>
      <c r="P92" s="11">
        <f t="shared" si="29"/>
        <v>0</v>
      </c>
    </row>
    <row r="93" spans="1:16" ht="15" customHeight="1">
      <c r="A93" s="44"/>
      <c r="B93" s="5">
        <f t="shared" si="27"/>
        <v>45962</v>
      </c>
      <c r="C93" s="218" t="s">
        <v>533</v>
      </c>
      <c r="D93" s="195">
        <v>22966</v>
      </c>
      <c r="E93" s="186"/>
      <c r="F93" s="2">
        <v>13627.73</v>
      </c>
      <c r="G93" s="3">
        <f t="shared" si="14"/>
        <v>10883.105178</v>
      </c>
      <c r="H93" s="187"/>
      <c r="I93" s="7">
        <v>0.12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1635.3275999999998</v>
      </c>
      <c r="N93" s="11">
        <f t="shared" si="3"/>
        <v>197.87463959999999</v>
      </c>
      <c r="O93" s="11">
        <f t="shared" si="4"/>
        <v>911.4225823999999</v>
      </c>
      <c r="P93" s="11">
        <f t="shared" si="29"/>
        <v>0</v>
      </c>
    </row>
    <row r="94" spans="1:16" ht="15" customHeight="1">
      <c r="A94" s="44"/>
      <c r="B94" s="5">
        <f t="shared" si="27"/>
        <v>45962</v>
      </c>
      <c r="C94" s="218" t="s">
        <v>533</v>
      </c>
      <c r="D94" s="195">
        <v>22967</v>
      </c>
      <c r="E94" s="186"/>
      <c r="F94" s="2">
        <v>474.59</v>
      </c>
      <c r="G94" s="3">
        <f t="shared" si="14"/>
        <v>379.00757399999998</v>
      </c>
      <c r="H94" s="187"/>
      <c r="I94" s="7">
        <v>0.12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56.950799999999994</v>
      </c>
      <c r="N94" s="11">
        <f t="shared" si="3"/>
        <v>6.8910467999999998</v>
      </c>
      <c r="O94" s="11">
        <f t="shared" si="4"/>
        <v>31.740579199999996</v>
      </c>
      <c r="P94" s="11">
        <f t="shared" si="29"/>
        <v>0</v>
      </c>
    </row>
    <row r="95" spans="1:16" ht="15" customHeight="1">
      <c r="A95" s="44"/>
      <c r="B95" s="5">
        <f t="shared" si="27"/>
        <v>45962</v>
      </c>
      <c r="C95" s="218" t="s">
        <v>533</v>
      </c>
      <c r="D95" s="195">
        <v>12368</v>
      </c>
      <c r="E95" s="186"/>
      <c r="F95" s="2">
        <v>99836.19</v>
      </c>
      <c r="G95" s="3">
        <f t="shared" si="14"/>
        <v>79729.181333999994</v>
      </c>
      <c r="H95" s="187"/>
      <c r="I95" s="7">
        <v>0.12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11980.3428</v>
      </c>
      <c r="N95" s="11">
        <f t="shared" si="3"/>
        <v>1449.6214788000002</v>
      </c>
      <c r="O95" s="11">
        <f t="shared" si="4"/>
        <v>6677.0443872000005</v>
      </c>
      <c r="P95" s="11">
        <f t="shared" si="29"/>
        <v>0</v>
      </c>
    </row>
    <row r="96" spans="1:16" ht="15" customHeight="1">
      <c r="A96" s="44"/>
      <c r="B96" s="5">
        <f t="shared" si="27"/>
        <v>45962</v>
      </c>
      <c r="C96" s="218" t="s">
        <v>533</v>
      </c>
      <c r="D96" s="195">
        <v>12369</v>
      </c>
      <c r="E96" s="186"/>
      <c r="F96" s="2">
        <v>3331.52</v>
      </c>
      <c r="G96" s="3">
        <f t="shared" si="14"/>
        <v>2660.551872</v>
      </c>
      <c r="H96" s="187"/>
      <c r="I96" s="7">
        <v>0.12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399.7824</v>
      </c>
      <c r="N96" s="11">
        <f t="shared" si="3"/>
        <v>48.373670400000002</v>
      </c>
      <c r="O96" s="11">
        <f t="shared" si="4"/>
        <v>222.8120576</v>
      </c>
      <c r="P96" s="11">
        <f t="shared" si="29"/>
        <v>0</v>
      </c>
    </row>
    <row r="97" spans="1:16" ht="15" customHeight="1">
      <c r="A97" s="44"/>
      <c r="B97" s="5">
        <f t="shared" si="27"/>
        <v>45962</v>
      </c>
      <c r="C97" s="218" t="s">
        <v>533</v>
      </c>
      <c r="D97" s="195">
        <v>7075</v>
      </c>
      <c r="E97" s="186"/>
      <c r="F97" s="2">
        <v>181896.55</v>
      </c>
      <c r="G97" s="3">
        <f t="shared" si="14"/>
        <v>145262.58483000001</v>
      </c>
      <c r="H97" s="187"/>
      <c r="I97" s="7">
        <v>0.12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21827.585999999999</v>
      </c>
      <c r="N97" s="11">
        <f t="shared" si="3"/>
        <v>2641.1379059999999</v>
      </c>
      <c r="O97" s="11">
        <f t="shared" si="4"/>
        <v>12165.241263999998</v>
      </c>
      <c r="P97" s="11">
        <f t="shared" si="29"/>
        <v>0</v>
      </c>
    </row>
    <row r="98" spans="1:16" ht="15" customHeight="1">
      <c r="A98" s="44"/>
      <c r="B98" s="5">
        <f t="shared" si="27"/>
        <v>45962</v>
      </c>
      <c r="C98" s="218" t="s">
        <v>533</v>
      </c>
      <c r="D98" s="195">
        <v>7076</v>
      </c>
      <c r="E98" s="186"/>
      <c r="F98" s="2">
        <v>6533.89</v>
      </c>
      <c r="G98" s="3">
        <f t="shared" si="14"/>
        <v>5217.9645540000001</v>
      </c>
      <c r="H98" s="187"/>
      <c r="I98" s="7">
        <v>0.12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784.06680000000006</v>
      </c>
      <c r="N98" s="11">
        <f t="shared" si="3"/>
        <v>94.872082800000015</v>
      </c>
      <c r="O98" s="11">
        <f t="shared" si="4"/>
        <v>436.98656320000003</v>
      </c>
      <c r="P98" s="11">
        <f t="shared" si="29"/>
        <v>0</v>
      </c>
    </row>
    <row r="99" spans="1:16" ht="15" customHeight="1">
      <c r="A99" s="44"/>
      <c r="B99" s="5">
        <f t="shared" si="27"/>
        <v>45962</v>
      </c>
      <c r="C99" s="218" t="s">
        <v>533</v>
      </c>
      <c r="D99" s="195">
        <v>28559</v>
      </c>
      <c r="E99" s="186"/>
      <c r="F99" s="2">
        <v>13007.1</v>
      </c>
      <c r="G99" s="3">
        <f t="shared" si="14"/>
        <v>10977.6672225</v>
      </c>
      <c r="H99" s="187"/>
      <c r="I99" s="7">
        <v>7.0000000000000007E-2</v>
      </c>
      <c r="J99" s="7">
        <v>1.6500000000000001E-2</v>
      </c>
      <c r="K99" s="7">
        <v>7.5999999999999998E-2</v>
      </c>
      <c r="L99" s="7">
        <v>0</v>
      </c>
      <c r="M99" s="11">
        <f t="shared" si="2"/>
        <v>910.49700000000007</v>
      </c>
      <c r="N99" s="11">
        <f t="shared" si="3"/>
        <v>199.59394950000004</v>
      </c>
      <c r="O99" s="11">
        <f t="shared" si="4"/>
        <v>919.34182800000008</v>
      </c>
      <c r="P99" s="11">
        <f t="shared" si="29"/>
        <v>0</v>
      </c>
    </row>
    <row r="100" spans="1:16" ht="15" customHeight="1">
      <c r="A100" s="44"/>
      <c r="B100" s="5">
        <f t="shared" si="27"/>
        <v>45962</v>
      </c>
      <c r="C100" s="218" t="s">
        <v>533</v>
      </c>
      <c r="D100" s="195">
        <v>28569</v>
      </c>
      <c r="E100" s="186"/>
      <c r="F100" s="2">
        <v>393.04</v>
      </c>
      <c r="G100" s="3">
        <f t="shared" si="14"/>
        <v>331.715934</v>
      </c>
      <c r="H100" s="187"/>
      <c r="I100" s="7">
        <v>7.0000000000000007E-2</v>
      </c>
      <c r="J100" s="7">
        <v>1.6500000000000001E-2</v>
      </c>
      <c r="K100" s="7">
        <v>7.5999999999999998E-2</v>
      </c>
      <c r="L100" s="7">
        <v>0</v>
      </c>
      <c r="M100" s="11">
        <f t="shared" si="2"/>
        <v>27.512800000000006</v>
      </c>
      <c r="N100" s="11">
        <f t="shared" si="3"/>
        <v>6.0311988000000003</v>
      </c>
      <c r="O100" s="11">
        <f t="shared" si="4"/>
        <v>27.780067199999998</v>
      </c>
      <c r="P100" s="11">
        <f t="shared" si="29"/>
        <v>0</v>
      </c>
    </row>
    <row r="101" spans="1:16" ht="15" customHeight="1">
      <c r="A101" s="44"/>
      <c r="B101" s="5">
        <f t="shared" si="27"/>
        <v>45962</v>
      </c>
      <c r="C101" s="218" t="s">
        <v>533</v>
      </c>
      <c r="D101" s="195">
        <v>22972</v>
      </c>
      <c r="E101" s="186"/>
      <c r="F101" s="2">
        <v>63357.26</v>
      </c>
      <c r="G101" s="3">
        <f t="shared" si="14"/>
        <v>50597.107836000003</v>
      </c>
      <c r="H101" s="187"/>
      <c r="I101" s="7">
        <v>0.12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7602.8711999999996</v>
      </c>
      <c r="N101" s="11">
        <f t="shared" si="3"/>
        <v>919.94741520000002</v>
      </c>
      <c r="O101" s="11">
        <f t="shared" si="4"/>
        <v>4237.3335488000002</v>
      </c>
      <c r="P101" s="11">
        <f t="shared" si="29"/>
        <v>0</v>
      </c>
    </row>
    <row r="102" spans="1:16" ht="15" customHeight="1">
      <c r="A102" s="44"/>
      <c r="B102" s="5">
        <f t="shared" si="27"/>
        <v>45962</v>
      </c>
      <c r="C102" s="218" t="s">
        <v>533</v>
      </c>
      <c r="D102" s="195">
        <v>22973</v>
      </c>
      <c r="E102" s="186"/>
      <c r="F102" s="2">
        <v>2099.8200000000002</v>
      </c>
      <c r="G102" s="3">
        <f t="shared" si="14"/>
        <v>1676.916252</v>
      </c>
      <c r="H102" s="187"/>
      <c r="I102" s="7">
        <v>0.12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251.97840000000002</v>
      </c>
      <c r="N102" s="11">
        <f t="shared" si="3"/>
        <v>30.489386400000004</v>
      </c>
      <c r="O102" s="11">
        <f t="shared" si="4"/>
        <v>140.43596160000001</v>
      </c>
      <c r="P102" s="11">
        <f t="shared" si="29"/>
        <v>0</v>
      </c>
    </row>
    <row r="103" spans="1:16" ht="15" customHeight="1">
      <c r="A103" s="44"/>
      <c r="B103" s="5">
        <f t="shared" si="27"/>
        <v>45962</v>
      </c>
      <c r="C103" s="218" t="s">
        <v>533</v>
      </c>
      <c r="D103" s="195">
        <v>12377</v>
      </c>
      <c r="E103" s="186"/>
      <c r="F103" s="2">
        <v>42676.03</v>
      </c>
      <c r="G103" s="3">
        <f t="shared" si="14"/>
        <v>34081.077557999997</v>
      </c>
      <c r="H103" s="187"/>
      <c r="I103" s="7">
        <v>0.12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5121.1235999999999</v>
      </c>
      <c r="N103" s="11">
        <f t="shared" si="3"/>
        <v>619.65595559999997</v>
      </c>
      <c r="O103" s="11">
        <f t="shared" si="4"/>
        <v>2854.1728863999997</v>
      </c>
      <c r="P103" s="11">
        <f t="shared" si="29"/>
        <v>0</v>
      </c>
    </row>
    <row r="104" spans="1:16" ht="15" customHeight="1">
      <c r="A104" s="44"/>
      <c r="B104" s="5">
        <f t="shared" si="27"/>
        <v>45962</v>
      </c>
      <c r="C104" s="218" t="s">
        <v>533</v>
      </c>
      <c r="D104" s="195">
        <v>12378</v>
      </c>
      <c r="E104" s="186"/>
      <c r="F104" s="2">
        <v>1466.34</v>
      </c>
      <c r="G104" s="3">
        <f t="shared" si="14"/>
        <v>1171.0191239999999</v>
      </c>
      <c r="H104" s="187"/>
      <c r="I104" s="7">
        <v>0.12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175.96079999999998</v>
      </c>
      <c r="N104" s="11">
        <f t="shared" si="3"/>
        <v>21.291256799999999</v>
      </c>
      <c r="O104" s="11">
        <f t="shared" si="4"/>
        <v>98.068819199999993</v>
      </c>
      <c r="P104" s="11">
        <f t="shared" si="29"/>
        <v>0</v>
      </c>
    </row>
    <row r="105" spans="1:16" ht="15" customHeight="1">
      <c r="A105" s="44"/>
      <c r="B105" s="5">
        <f t="shared" si="27"/>
        <v>45962</v>
      </c>
      <c r="C105" s="218" t="s">
        <v>533</v>
      </c>
      <c r="D105" s="195">
        <v>7077</v>
      </c>
      <c r="E105" s="186"/>
      <c r="F105" s="2">
        <v>78247.48</v>
      </c>
      <c r="G105" s="3">
        <f t="shared" si="14"/>
        <v>62488.437527999995</v>
      </c>
      <c r="H105" s="187"/>
      <c r="I105" s="7">
        <v>0.12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9389.6975999999995</v>
      </c>
      <c r="N105" s="11">
        <f t="shared" si="3"/>
        <v>1136.1534096</v>
      </c>
      <c r="O105" s="11">
        <f t="shared" si="4"/>
        <v>5233.1914623999992</v>
      </c>
      <c r="P105" s="11">
        <f t="shared" si="29"/>
        <v>0</v>
      </c>
    </row>
    <row r="106" spans="1:16" ht="15" customHeight="1">
      <c r="A106" s="44"/>
      <c r="B106" s="5">
        <f t="shared" si="27"/>
        <v>45962</v>
      </c>
      <c r="C106" s="218" t="s">
        <v>533</v>
      </c>
      <c r="D106" s="195">
        <v>7078</v>
      </c>
      <c r="E106" s="186"/>
      <c r="F106" s="2">
        <v>2903.21</v>
      </c>
      <c r="G106" s="3">
        <f t="shared" si="14"/>
        <v>2318.503506</v>
      </c>
      <c r="H106" s="187"/>
      <c r="I106" s="7">
        <v>0.12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348.3852</v>
      </c>
      <c r="N106" s="11">
        <f t="shared" si="3"/>
        <v>42.154609200000003</v>
      </c>
      <c r="O106" s="11">
        <f t="shared" si="4"/>
        <v>194.16668479999998</v>
      </c>
      <c r="P106" s="11">
        <f t="shared" si="29"/>
        <v>0</v>
      </c>
    </row>
    <row r="107" spans="1:16" ht="15" customHeight="1">
      <c r="A107" s="44"/>
      <c r="B107" s="5">
        <f t="shared" si="27"/>
        <v>45962</v>
      </c>
      <c r="C107" s="218" t="s">
        <v>533</v>
      </c>
      <c r="D107" s="195">
        <v>28624</v>
      </c>
      <c r="E107" s="186"/>
      <c r="F107" s="2">
        <v>5588.14</v>
      </c>
      <c r="G107" s="3">
        <f t="shared" si="14"/>
        <v>4716.2504564999999</v>
      </c>
      <c r="H107" s="187"/>
      <c r="I107" s="7">
        <v>7.0000000000000007E-2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391.16980000000007</v>
      </c>
      <c r="N107" s="11">
        <f t="shared" si="3"/>
        <v>85.750008300000019</v>
      </c>
      <c r="O107" s="11">
        <f t="shared" si="4"/>
        <v>394.96973520000006</v>
      </c>
      <c r="P107" s="11">
        <f t="shared" si="29"/>
        <v>0</v>
      </c>
    </row>
    <row r="108" spans="1:16" ht="15" customHeight="1">
      <c r="A108" s="44"/>
      <c r="B108" s="5">
        <f t="shared" si="27"/>
        <v>45962</v>
      </c>
      <c r="C108" s="218" t="s">
        <v>533</v>
      </c>
      <c r="D108" s="195">
        <v>28682</v>
      </c>
      <c r="E108" s="186"/>
      <c r="F108" s="2">
        <v>174.19</v>
      </c>
      <c r="G108" s="3">
        <f t="shared" si="14"/>
        <v>147.01200524999999</v>
      </c>
      <c r="H108" s="187"/>
      <c r="I108" s="7">
        <v>7.0000000000000007E-2</v>
      </c>
      <c r="J108" s="7">
        <v>1.6500000000000001E-2</v>
      </c>
      <c r="K108" s="7">
        <v>7.5999999999999998E-2</v>
      </c>
      <c r="L108" s="7">
        <v>0</v>
      </c>
      <c r="M108" s="11">
        <f t="shared" si="2"/>
        <v>12.193300000000001</v>
      </c>
      <c r="N108" s="11">
        <f t="shared" si="3"/>
        <v>2.6729455500000001</v>
      </c>
      <c r="O108" s="11">
        <f t="shared" si="4"/>
        <v>12.3117492</v>
      </c>
      <c r="P108" s="11">
        <f t="shared" si="29"/>
        <v>0</v>
      </c>
    </row>
    <row r="109" spans="1:16" ht="15" customHeight="1">
      <c r="A109" s="44"/>
      <c r="B109" s="5">
        <f t="shared" si="27"/>
        <v>45962</v>
      </c>
      <c r="C109" s="218" t="s">
        <v>533</v>
      </c>
      <c r="D109" s="195">
        <v>22989</v>
      </c>
      <c r="E109" s="186"/>
      <c r="F109" s="2">
        <v>27409.85</v>
      </c>
      <c r="G109" s="3">
        <f t="shared" si="14"/>
        <v>21889.50621</v>
      </c>
      <c r="H109" s="187"/>
      <c r="I109" s="7">
        <v>0.12</v>
      </c>
      <c r="J109" s="7">
        <v>1.6500000000000001E-2</v>
      </c>
      <c r="K109" s="7">
        <v>7.5999999999999998E-2</v>
      </c>
      <c r="L109" s="7">
        <v>0</v>
      </c>
      <c r="M109" s="11">
        <f t="shared" si="2"/>
        <v>3289.1819999999998</v>
      </c>
      <c r="N109" s="11">
        <f t="shared" si="3"/>
        <v>397.99102199999999</v>
      </c>
      <c r="O109" s="11">
        <f t="shared" si="4"/>
        <v>1833.1707679999997</v>
      </c>
      <c r="P109" s="11">
        <f t="shared" si="29"/>
        <v>0</v>
      </c>
    </row>
    <row r="110" spans="1:16" ht="15" customHeight="1">
      <c r="A110" s="44"/>
      <c r="B110" s="5">
        <f t="shared" si="27"/>
        <v>45962</v>
      </c>
      <c r="C110" s="218" t="s">
        <v>533</v>
      </c>
      <c r="D110" s="195">
        <v>22990</v>
      </c>
      <c r="E110" s="186"/>
      <c r="F110" s="2">
        <v>942.31</v>
      </c>
      <c r="G110" s="3">
        <f t="shared" si="14"/>
        <v>752.52876599999991</v>
      </c>
      <c r="H110" s="187"/>
      <c r="I110" s="7">
        <v>0.12</v>
      </c>
      <c r="J110" s="7">
        <v>1.6500000000000001E-2</v>
      </c>
      <c r="K110" s="7">
        <v>7.5999999999999998E-2</v>
      </c>
      <c r="L110" s="7">
        <v>0</v>
      </c>
      <c r="M110" s="11">
        <f t="shared" si="2"/>
        <v>113.07719999999999</v>
      </c>
      <c r="N110" s="11">
        <f t="shared" si="3"/>
        <v>13.6823412</v>
      </c>
      <c r="O110" s="11">
        <f t="shared" si="4"/>
        <v>63.021692799999997</v>
      </c>
      <c r="P110" s="11">
        <f t="shared" si="29"/>
        <v>0</v>
      </c>
    </row>
    <row r="111" spans="1:16" ht="15" customHeight="1">
      <c r="A111" s="44"/>
      <c r="B111" s="5">
        <f t="shared" si="27"/>
        <v>45962</v>
      </c>
      <c r="C111" s="218" t="s">
        <v>533</v>
      </c>
      <c r="D111" s="195">
        <v>12379</v>
      </c>
      <c r="E111" s="186"/>
      <c r="F111" s="2">
        <v>109291.39</v>
      </c>
      <c r="G111" s="3">
        <f t="shared" si="14"/>
        <v>87280.104053999996</v>
      </c>
      <c r="H111" s="187"/>
      <c r="I111" s="7">
        <v>0.12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13114.9668</v>
      </c>
      <c r="N111" s="11">
        <f t="shared" si="3"/>
        <v>1586.9109828000001</v>
      </c>
      <c r="O111" s="11">
        <f t="shared" si="4"/>
        <v>7309.4081631999998</v>
      </c>
      <c r="P111" s="11">
        <f t="shared" si="29"/>
        <v>0</v>
      </c>
    </row>
    <row r="112" spans="1:16" ht="15" customHeight="1">
      <c r="A112" s="44"/>
      <c r="B112" s="5">
        <f t="shared" si="27"/>
        <v>45962</v>
      </c>
      <c r="C112" s="218" t="s">
        <v>533</v>
      </c>
      <c r="D112" s="195">
        <v>12380</v>
      </c>
      <c r="E112" s="186"/>
      <c r="F112" s="2">
        <v>3497.61</v>
      </c>
      <c r="G112" s="3">
        <f t="shared" si="14"/>
        <v>2793.1913460000001</v>
      </c>
      <c r="H112" s="187"/>
      <c r="I112" s="7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419.71319999999997</v>
      </c>
      <c r="N112" s="11">
        <f t="shared" si="3"/>
        <v>50.785297200000002</v>
      </c>
      <c r="O112" s="11">
        <f t="shared" si="4"/>
        <v>233.9201568</v>
      </c>
      <c r="P112" s="11">
        <f t="shared" si="29"/>
        <v>0</v>
      </c>
    </row>
    <row r="113" spans="1:16" ht="15" customHeight="1">
      <c r="A113" s="44"/>
      <c r="B113" s="5">
        <f t="shared" si="27"/>
        <v>45962</v>
      </c>
      <c r="C113" s="218" t="s">
        <v>533</v>
      </c>
      <c r="D113" s="195">
        <v>7081</v>
      </c>
      <c r="E113" s="186"/>
      <c r="F113" s="2">
        <v>199489.19</v>
      </c>
      <c r="G113" s="3">
        <f t="shared" si="14"/>
        <v>159312.06713400001</v>
      </c>
      <c r="H113" s="187"/>
      <c r="I113" s="7">
        <v>0.12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23938.702799999999</v>
      </c>
      <c r="N113" s="11">
        <f t="shared" si="3"/>
        <v>2896.5830388000004</v>
      </c>
      <c r="O113" s="11">
        <f t="shared" si="4"/>
        <v>13341.837027199999</v>
      </c>
      <c r="P113" s="11">
        <f t="shared" si="29"/>
        <v>0</v>
      </c>
    </row>
    <row r="114" spans="1:16" ht="15" customHeight="1">
      <c r="A114" s="44"/>
      <c r="B114" s="5">
        <f t="shared" si="27"/>
        <v>45962</v>
      </c>
      <c r="C114" s="218" t="s">
        <v>533</v>
      </c>
      <c r="D114" s="195">
        <v>7082</v>
      </c>
      <c r="E114" s="186"/>
      <c r="F114" s="2">
        <v>6894.53</v>
      </c>
      <c r="G114" s="3">
        <f t="shared" si="14"/>
        <v>5505.9716580000004</v>
      </c>
      <c r="H114" s="187"/>
      <c r="I114" s="7">
        <v>0.12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827.34359999999992</v>
      </c>
      <c r="N114" s="11">
        <f t="shared" si="3"/>
        <v>100.10857559999999</v>
      </c>
      <c r="O114" s="11">
        <f t="shared" si="4"/>
        <v>461.10616639999995</v>
      </c>
      <c r="P114" s="11">
        <f t="shared" si="29"/>
        <v>0</v>
      </c>
    </row>
    <row r="115" spans="1:16" ht="15" customHeight="1">
      <c r="A115" s="44"/>
      <c r="B115" s="5">
        <f t="shared" si="27"/>
        <v>45962</v>
      </c>
      <c r="C115" s="218" t="s">
        <v>533</v>
      </c>
      <c r="D115" s="195">
        <v>28698</v>
      </c>
      <c r="E115" s="186"/>
      <c r="F115" s="2">
        <v>14289.22</v>
      </c>
      <c r="G115" s="3">
        <f t="shared" si="14"/>
        <v>12059.744449499998</v>
      </c>
      <c r="H115" s="187"/>
      <c r="I115" s="7">
        <v>7.0000000000000007E-2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1000.2454</v>
      </c>
      <c r="N115" s="11">
        <f t="shared" si="3"/>
        <v>219.2680809</v>
      </c>
      <c r="O115" s="11">
        <f t="shared" si="4"/>
        <v>1009.9620695999999</v>
      </c>
      <c r="P115" s="11">
        <f t="shared" si="29"/>
        <v>0</v>
      </c>
    </row>
    <row r="116" spans="1:16" ht="15" customHeight="1">
      <c r="A116" s="44"/>
      <c r="B116" s="5">
        <f t="shared" si="27"/>
        <v>45962</v>
      </c>
      <c r="C116" s="218" t="s">
        <v>533</v>
      </c>
      <c r="D116" s="195">
        <v>28699</v>
      </c>
      <c r="E116" s="186"/>
      <c r="F116" s="2">
        <v>416.54</v>
      </c>
      <c r="G116" s="3">
        <f t="shared" si="14"/>
        <v>351.54934650000001</v>
      </c>
      <c r="H116" s="187"/>
      <c r="I116" s="7">
        <v>7.0000000000000007E-2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29.157800000000005</v>
      </c>
      <c r="N116" s="11">
        <f t="shared" si="3"/>
        <v>6.3918063000000007</v>
      </c>
      <c r="O116" s="11">
        <f t="shared" si="4"/>
        <v>29.4410472</v>
      </c>
      <c r="P116" s="11">
        <f t="shared" si="29"/>
        <v>0</v>
      </c>
    </row>
    <row r="117" spans="1:16" ht="15" customHeight="1">
      <c r="A117" s="44"/>
      <c r="B117" s="5">
        <f t="shared" si="27"/>
        <v>45962</v>
      </c>
      <c r="C117" s="218" t="s">
        <v>533</v>
      </c>
      <c r="D117" s="195">
        <v>22994</v>
      </c>
      <c r="E117" s="186"/>
      <c r="F117" s="2">
        <v>69749.990000000005</v>
      </c>
      <c r="G117" s="3">
        <f t="shared" si="14"/>
        <v>55702.342014000002</v>
      </c>
      <c r="H117" s="187"/>
      <c r="I117" s="7">
        <v>0.12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8369.9988000000012</v>
      </c>
      <c r="N117" s="11">
        <f t="shared" si="3"/>
        <v>1012.7698548000001</v>
      </c>
      <c r="O117" s="11">
        <f t="shared" si="4"/>
        <v>4664.8793311999998</v>
      </c>
      <c r="P117" s="11">
        <f t="shared" si="29"/>
        <v>0</v>
      </c>
    </row>
    <row r="118" spans="1:16" ht="15" customHeight="1">
      <c r="A118" s="44"/>
      <c r="B118" s="5">
        <f t="shared" si="27"/>
        <v>45962</v>
      </c>
      <c r="C118" s="218" t="s">
        <v>533</v>
      </c>
      <c r="D118" s="195">
        <v>22995</v>
      </c>
      <c r="E118" s="186"/>
      <c r="F118" s="2">
        <v>2248.06</v>
      </c>
      <c r="G118" s="3">
        <f t="shared" si="14"/>
        <v>1795.300716</v>
      </c>
      <c r="H118" s="187"/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269.7672</v>
      </c>
      <c r="N118" s="11">
        <f t="shared" si="3"/>
        <v>32.641831199999999</v>
      </c>
      <c r="O118" s="11">
        <f t="shared" si="4"/>
        <v>150.35025279999999</v>
      </c>
      <c r="P118" s="11">
        <f t="shared" si="29"/>
        <v>0</v>
      </c>
    </row>
    <row r="119" spans="1:16" ht="15" customHeight="1">
      <c r="A119" s="44"/>
      <c r="B119" s="5">
        <f t="shared" si="27"/>
        <v>45962</v>
      </c>
      <c r="C119" s="218" t="s">
        <v>533</v>
      </c>
      <c r="D119" s="195">
        <v>12396</v>
      </c>
      <c r="E119" s="186"/>
      <c r="F119" s="2">
        <v>130268.86</v>
      </c>
      <c r="G119" s="3">
        <f t="shared" si="14"/>
        <v>104032.71159600001</v>
      </c>
      <c r="H119" s="187"/>
      <c r="I119" s="7">
        <v>0.12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15632.263199999999</v>
      </c>
      <c r="N119" s="11">
        <f t="shared" si="3"/>
        <v>1891.5038472000001</v>
      </c>
      <c r="O119" s="11">
        <f t="shared" si="4"/>
        <v>8712.3813568000005</v>
      </c>
      <c r="P119" s="11">
        <f t="shared" si="29"/>
        <v>0</v>
      </c>
    </row>
    <row r="120" spans="1:16" ht="15" customHeight="1">
      <c r="A120" s="44"/>
      <c r="B120" s="5">
        <f t="shared" si="27"/>
        <v>45962</v>
      </c>
      <c r="C120" s="218" t="s">
        <v>533</v>
      </c>
      <c r="D120" s="195">
        <v>12395</v>
      </c>
      <c r="E120" s="186"/>
      <c r="F120" s="2">
        <v>4529.54</v>
      </c>
      <c r="G120" s="3">
        <f t="shared" si="14"/>
        <v>3617.2906439999997</v>
      </c>
      <c r="H120" s="187"/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543.54480000000001</v>
      </c>
      <c r="N120" s="11">
        <f t="shared" si="3"/>
        <v>65.768920800000004</v>
      </c>
      <c r="O120" s="11">
        <f t="shared" si="4"/>
        <v>302.93563519999998</v>
      </c>
      <c r="P120" s="11">
        <f t="shared" si="29"/>
        <v>0</v>
      </c>
    </row>
    <row r="121" spans="1:16" ht="15" customHeight="1">
      <c r="A121" s="44"/>
      <c r="B121" s="5">
        <f t="shared" si="27"/>
        <v>45962</v>
      </c>
      <c r="C121" s="218" t="s">
        <v>533</v>
      </c>
      <c r="D121" s="195">
        <v>7085</v>
      </c>
      <c r="E121" s="186"/>
      <c r="F121" s="2">
        <v>240041.07</v>
      </c>
      <c r="G121" s="3">
        <f t="shared" ref="G121:G185" si="30">F121-SUM(M121:P121)</f>
        <v>191696.79850199999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28804.928400000001</v>
      </c>
      <c r="N121" s="11">
        <f t="shared" si="3"/>
        <v>3485.3963364000001</v>
      </c>
      <c r="O121" s="11">
        <f t="shared" si="4"/>
        <v>16053.9467616</v>
      </c>
      <c r="P121" s="11">
        <f t="shared" si="29"/>
        <v>0</v>
      </c>
    </row>
    <row r="122" spans="1:16" ht="15" customHeight="1">
      <c r="A122" s="44"/>
      <c r="B122" s="5">
        <f t="shared" si="27"/>
        <v>45962</v>
      </c>
      <c r="C122" s="218" t="s">
        <v>533</v>
      </c>
      <c r="D122" s="195">
        <v>7086</v>
      </c>
      <c r="E122" s="186"/>
      <c r="F122" s="2">
        <v>9135.23</v>
      </c>
      <c r="G122" s="3">
        <f t="shared" si="30"/>
        <v>7295.3946779999997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1096.2275999999999</v>
      </c>
      <c r="N122" s="11">
        <f t="shared" si="3"/>
        <v>132.6435396</v>
      </c>
      <c r="O122" s="11">
        <f t="shared" si="4"/>
        <v>610.96418239999991</v>
      </c>
      <c r="P122" s="11">
        <f t="shared" si="29"/>
        <v>0</v>
      </c>
    </row>
    <row r="123" spans="1:16" ht="15" customHeight="1">
      <c r="A123" s="44"/>
      <c r="B123" s="5">
        <f t="shared" si="27"/>
        <v>45962</v>
      </c>
      <c r="C123" s="218" t="s">
        <v>533</v>
      </c>
      <c r="D123" s="195">
        <v>28741</v>
      </c>
      <c r="E123" s="186"/>
      <c r="F123" s="2">
        <v>2824.82</v>
      </c>
      <c r="G123" s="3">
        <f t="shared" si="30"/>
        <v>2384.0774595000003</v>
      </c>
      <c r="H123" s="187"/>
      <c r="I123" s="7">
        <v>7.0000000000000007E-2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197.73740000000004</v>
      </c>
      <c r="N123" s="11">
        <f t="shared" si="3"/>
        <v>43.346862900000005</v>
      </c>
      <c r="O123" s="11">
        <f t="shared" si="4"/>
        <v>199.65827760000002</v>
      </c>
      <c r="P123" s="11">
        <f t="shared" si="29"/>
        <v>0</v>
      </c>
    </row>
    <row r="124" spans="1:16" ht="15" customHeight="1">
      <c r="A124" s="44"/>
      <c r="B124" s="5">
        <f t="shared" ref="B124:B185" si="31">B123</f>
        <v>45962</v>
      </c>
      <c r="C124" s="218" t="s">
        <v>533</v>
      </c>
      <c r="D124" s="195">
        <v>28757</v>
      </c>
      <c r="E124" s="186"/>
      <c r="F124" s="2">
        <v>89.7</v>
      </c>
      <c r="G124" s="3">
        <f t="shared" si="30"/>
        <v>75.704557500000007</v>
      </c>
      <c r="H124" s="187"/>
      <c r="I124" s="7">
        <v>7.0000000000000007E-2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6.2790000000000008</v>
      </c>
      <c r="N124" s="11">
        <f t="shared" si="3"/>
        <v>1.3764465000000001</v>
      </c>
      <c r="O124" s="11">
        <f t="shared" si="4"/>
        <v>6.3399960000000002</v>
      </c>
      <c r="P124" s="11">
        <f t="shared" si="29"/>
        <v>0</v>
      </c>
    </row>
    <row r="125" spans="1:16" ht="15" customHeight="1">
      <c r="A125" s="44"/>
      <c r="B125" s="5">
        <f t="shared" si="31"/>
        <v>45962</v>
      </c>
      <c r="C125" s="218" t="s">
        <v>533</v>
      </c>
      <c r="D125" s="195">
        <v>23011</v>
      </c>
      <c r="E125" s="186"/>
      <c r="F125" s="2">
        <v>82894.87</v>
      </c>
      <c r="G125" s="3">
        <f t="shared" si="30"/>
        <v>66199.843181999997</v>
      </c>
      <c r="H125" s="187"/>
      <c r="I125" s="7">
        <v>0.12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9947.384399999999</v>
      </c>
      <c r="N125" s="11">
        <f t="shared" si="3"/>
        <v>1203.6335124</v>
      </c>
      <c r="O125" s="11">
        <f t="shared" si="4"/>
        <v>5544.0089055999997</v>
      </c>
      <c r="P125" s="11">
        <f t="shared" si="29"/>
        <v>0</v>
      </c>
    </row>
    <row r="126" spans="1:16" ht="15" customHeight="1">
      <c r="A126" s="44"/>
      <c r="B126" s="5">
        <f t="shared" si="31"/>
        <v>45962</v>
      </c>
      <c r="C126" s="218" t="s">
        <v>533</v>
      </c>
      <c r="D126" s="195">
        <v>23012</v>
      </c>
      <c r="E126" s="186"/>
      <c r="F126" s="2">
        <v>2952.9</v>
      </c>
      <c r="G126" s="3">
        <f t="shared" si="30"/>
        <v>2358.1859400000003</v>
      </c>
      <c r="H126" s="187"/>
      <c r="I126" s="7">
        <v>0.12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354.34800000000001</v>
      </c>
      <c r="N126" s="11">
        <f t="shared" si="3"/>
        <v>42.876108000000002</v>
      </c>
      <c r="O126" s="11">
        <f t="shared" si="4"/>
        <v>197.48995200000002</v>
      </c>
      <c r="P126" s="11">
        <f t="shared" si="29"/>
        <v>0</v>
      </c>
    </row>
    <row r="127" spans="1:16" ht="15" hidden="1" customHeight="1">
      <c r="A127" s="44"/>
      <c r="B127" s="5">
        <f t="shared" si="31"/>
        <v>45962</v>
      </c>
      <c r="C127" s="218" t="s">
        <v>533</v>
      </c>
      <c r="D127" s="195"/>
      <c r="E127" s="186"/>
      <c r="F127" s="2"/>
      <c r="G127" s="3">
        <f t="shared" si="30"/>
        <v>0</v>
      </c>
      <c r="H127" s="187"/>
      <c r="I127" s="7"/>
      <c r="J127" s="7">
        <v>1.6500000000000001E-2</v>
      </c>
      <c r="K127" s="7">
        <v>7.5999999999999998E-2</v>
      </c>
      <c r="L127" s="7">
        <v>0</v>
      </c>
      <c r="M127" s="11">
        <f t="shared" si="2"/>
        <v>0</v>
      </c>
      <c r="N127" s="11">
        <f t="shared" si="3"/>
        <v>0</v>
      </c>
      <c r="O127" s="11">
        <f t="shared" si="4"/>
        <v>0</v>
      </c>
      <c r="P127" s="11">
        <f t="shared" si="29"/>
        <v>0</v>
      </c>
    </row>
    <row r="128" spans="1:16" ht="15" hidden="1" customHeight="1">
      <c r="A128" s="44"/>
      <c r="B128" s="5">
        <f t="shared" si="31"/>
        <v>45962</v>
      </c>
      <c r="C128" s="218" t="s">
        <v>533</v>
      </c>
      <c r="D128" s="195"/>
      <c r="E128" s="186"/>
      <c r="F128" s="2"/>
      <c r="G128" s="3">
        <f t="shared" si="30"/>
        <v>0</v>
      </c>
      <c r="H128" s="187"/>
      <c r="I128" s="7"/>
      <c r="J128" s="7">
        <v>1.6500000000000001E-2</v>
      </c>
      <c r="K128" s="7">
        <v>7.5999999999999998E-2</v>
      </c>
      <c r="L128" s="7">
        <v>0</v>
      </c>
      <c r="M128" s="11">
        <f t="shared" si="2"/>
        <v>0</v>
      </c>
      <c r="N128" s="11">
        <f t="shared" si="3"/>
        <v>0</v>
      </c>
      <c r="O128" s="11">
        <f t="shared" si="4"/>
        <v>0</v>
      </c>
      <c r="P128" s="11">
        <f t="shared" si="29"/>
        <v>0</v>
      </c>
    </row>
    <row r="129" spans="1:16" ht="15" hidden="1" customHeight="1">
      <c r="A129" s="44"/>
      <c r="B129" s="5">
        <f t="shared" si="31"/>
        <v>45962</v>
      </c>
      <c r="C129" s="218" t="s">
        <v>533</v>
      </c>
      <c r="D129" s="195"/>
      <c r="E129" s="186"/>
      <c r="F129" s="2"/>
      <c r="G129" s="3">
        <f t="shared" si="30"/>
        <v>0</v>
      </c>
      <c r="H129" s="187"/>
      <c r="I129" s="7"/>
      <c r="J129" s="7">
        <v>1.6500000000000001E-2</v>
      </c>
      <c r="K129" s="7">
        <v>7.5999999999999998E-2</v>
      </c>
      <c r="L129" s="7">
        <v>0</v>
      </c>
      <c r="M129" s="11">
        <f t="shared" si="2"/>
        <v>0</v>
      </c>
      <c r="N129" s="11">
        <f t="shared" si="3"/>
        <v>0</v>
      </c>
      <c r="O129" s="11">
        <f t="shared" si="4"/>
        <v>0</v>
      </c>
      <c r="P129" s="11">
        <f t="shared" si="29"/>
        <v>0</v>
      </c>
    </row>
    <row r="130" spans="1:16" ht="15" hidden="1" customHeight="1">
      <c r="A130" s="44"/>
      <c r="B130" s="5">
        <f t="shared" si="31"/>
        <v>45962</v>
      </c>
      <c r="C130" s="218" t="s">
        <v>533</v>
      </c>
      <c r="D130" s="195"/>
      <c r="E130" s="186"/>
      <c r="F130" s="2"/>
      <c r="G130" s="3">
        <f t="shared" si="30"/>
        <v>0</v>
      </c>
      <c r="H130" s="187"/>
      <c r="I130" s="7"/>
      <c r="J130" s="7">
        <v>1.6500000000000001E-2</v>
      </c>
      <c r="K130" s="7">
        <v>7.5999999999999998E-2</v>
      </c>
      <c r="L130" s="7">
        <v>0</v>
      </c>
      <c r="M130" s="11">
        <f t="shared" si="2"/>
        <v>0</v>
      </c>
      <c r="N130" s="11">
        <f t="shared" si="3"/>
        <v>0</v>
      </c>
      <c r="O130" s="11">
        <f t="shared" si="4"/>
        <v>0</v>
      </c>
      <c r="P130" s="11">
        <f t="shared" si="29"/>
        <v>0</v>
      </c>
    </row>
    <row r="131" spans="1:16" ht="15" hidden="1" customHeight="1">
      <c r="A131" s="44"/>
      <c r="B131" s="5">
        <f t="shared" si="31"/>
        <v>45962</v>
      </c>
      <c r="C131" s="218" t="s">
        <v>533</v>
      </c>
      <c r="D131" s="195"/>
      <c r="E131" s="186"/>
      <c r="F131" s="2"/>
      <c r="G131" s="3">
        <f t="shared" si="30"/>
        <v>0</v>
      </c>
      <c r="H131" s="187"/>
      <c r="I131" s="7"/>
      <c r="J131" s="7">
        <v>1.6500000000000001E-2</v>
      </c>
      <c r="K131" s="7">
        <v>7.5999999999999998E-2</v>
      </c>
      <c r="L131" s="7">
        <v>0</v>
      </c>
      <c r="M131" s="11">
        <f t="shared" si="2"/>
        <v>0</v>
      </c>
      <c r="N131" s="11">
        <f t="shared" si="3"/>
        <v>0</v>
      </c>
      <c r="O131" s="11">
        <f t="shared" si="4"/>
        <v>0</v>
      </c>
      <c r="P131" s="11">
        <f t="shared" si="29"/>
        <v>0</v>
      </c>
    </row>
    <row r="132" spans="1:16" ht="15" hidden="1" customHeight="1">
      <c r="A132" s="44"/>
      <c r="B132" s="5">
        <f t="shared" si="31"/>
        <v>45962</v>
      </c>
      <c r="C132" s="218" t="s">
        <v>533</v>
      </c>
      <c r="D132" s="195"/>
      <c r="E132" s="186"/>
      <c r="F132" s="2"/>
      <c r="G132" s="3">
        <f t="shared" si="30"/>
        <v>0</v>
      </c>
      <c r="H132" s="187"/>
      <c r="I132" s="7"/>
      <c r="J132" s="7">
        <v>1.6500000000000001E-2</v>
      </c>
      <c r="K132" s="7">
        <v>7.5999999999999998E-2</v>
      </c>
      <c r="L132" s="7">
        <v>0</v>
      </c>
      <c r="M132" s="11">
        <f t="shared" si="2"/>
        <v>0</v>
      </c>
      <c r="N132" s="11">
        <f t="shared" si="3"/>
        <v>0</v>
      </c>
      <c r="O132" s="11">
        <f t="shared" si="4"/>
        <v>0</v>
      </c>
      <c r="P132" s="11">
        <f t="shared" si="29"/>
        <v>0</v>
      </c>
    </row>
    <row r="133" spans="1:16" ht="15" hidden="1" customHeight="1">
      <c r="A133" s="44"/>
      <c r="B133" s="5">
        <f t="shared" si="31"/>
        <v>45962</v>
      </c>
      <c r="C133" s="218" t="s">
        <v>533</v>
      </c>
      <c r="D133" s="195"/>
      <c r="E133" s="186"/>
      <c r="F133" s="2"/>
      <c r="G133" s="3">
        <f t="shared" si="30"/>
        <v>0</v>
      </c>
      <c r="H133" s="187"/>
      <c r="I133" s="7"/>
      <c r="J133" s="7">
        <v>1.6500000000000001E-2</v>
      </c>
      <c r="K133" s="7">
        <v>7.5999999999999998E-2</v>
      </c>
      <c r="L133" s="7">
        <v>0</v>
      </c>
      <c r="M133" s="11">
        <f t="shared" si="2"/>
        <v>0</v>
      </c>
      <c r="N133" s="11">
        <f t="shared" si="3"/>
        <v>0</v>
      </c>
      <c r="O133" s="11">
        <f t="shared" si="4"/>
        <v>0</v>
      </c>
      <c r="P133" s="11">
        <f t="shared" si="29"/>
        <v>0</v>
      </c>
    </row>
    <row r="134" spans="1:16" ht="15" hidden="1" customHeight="1">
      <c r="A134" s="44"/>
      <c r="B134" s="5">
        <f t="shared" si="31"/>
        <v>45962</v>
      </c>
      <c r="C134" s="218" t="s">
        <v>533</v>
      </c>
      <c r="D134" s="195"/>
      <c r="E134" s="186"/>
      <c r="F134" s="2"/>
      <c r="G134" s="3">
        <f t="shared" si="30"/>
        <v>0</v>
      </c>
      <c r="H134" s="187"/>
      <c r="I134" s="7"/>
      <c r="J134" s="7">
        <v>1.6500000000000001E-2</v>
      </c>
      <c r="K134" s="7">
        <v>7.5999999999999998E-2</v>
      </c>
      <c r="L134" s="7">
        <v>0</v>
      </c>
      <c r="M134" s="11">
        <f t="shared" si="2"/>
        <v>0</v>
      </c>
      <c r="N134" s="11">
        <f t="shared" si="3"/>
        <v>0</v>
      </c>
      <c r="O134" s="11">
        <f t="shared" si="4"/>
        <v>0</v>
      </c>
      <c r="P134" s="11">
        <f t="shared" si="29"/>
        <v>0</v>
      </c>
    </row>
    <row r="135" spans="1:16" ht="15" hidden="1" customHeight="1">
      <c r="A135" s="44"/>
      <c r="B135" s="5">
        <f t="shared" si="31"/>
        <v>45962</v>
      </c>
      <c r="C135" s="218" t="s">
        <v>533</v>
      </c>
      <c r="D135" s="195"/>
      <c r="E135" s="186"/>
      <c r="F135" s="2"/>
      <c r="G135" s="3">
        <f t="shared" si="30"/>
        <v>0</v>
      </c>
      <c r="H135" s="187"/>
      <c r="I135" s="7"/>
      <c r="J135" s="7">
        <v>1.6500000000000001E-2</v>
      </c>
      <c r="K135" s="7">
        <v>7.5999999999999998E-2</v>
      </c>
      <c r="L135" s="7">
        <v>0</v>
      </c>
      <c r="M135" s="11">
        <f t="shared" si="2"/>
        <v>0</v>
      </c>
      <c r="N135" s="11">
        <f t="shared" si="3"/>
        <v>0</v>
      </c>
      <c r="O135" s="11">
        <f t="shared" si="4"/>
        <v>0</v>
      </c>
      <c r="P135" s="11">
        <f t="shared" si="29"/>
        <v>0</v>
      </c>
    </row>
    <row r="136" spans="1:16" ht="15" hidden="1" customHeight="1">
      <c r="A136" s="44"/>
      <c r="B136" s="5">
        <f t="shared" si="31"/>
        <v>45962</v>
      </c>
      <c r="C136" s="218" t="s">
        <v>533</v>
      </c>
      <c r="D136" s="195"/>
      <c r="E136" s="186"/>
      <c r="F136" s="2"/>
      <c r="G136" s="3">
        <f t="shared" si="30"/>
        <v>0</v>
      </c>
      <c r="H136" s="187"/>
      <c r="I136" s="7"/>
      <c r="J136" s="7">
        <v>1.6500000000000001E-2</v>
      </c>
      <c r="K136" s="7">
        <v>7.5999999999999998E-2</v>
      </c>
      <c r="L136" s="7">
        <v>0</v>
      </c>
      <c r="M136" s="11">
        <f t="shared" si="2"/>
        <v>0</v>
      </c>
      <c r="N136" s="11">
        <f t="shared" si="3"/>
        <v>0</v>
      </c>
      <c r="O136" s="11">
        <f t="shared" si="4"/>
        <v>0</v>
      </c>
      <c r="P136" s="11">
        <f t="shared" si="29"/>
        <v>0</v>
      </c>
    </row>
    <row r="137" spans="1:16" ht="15" hidden="1" customHeight="1">
      <c r="A137" s="44"/>
      <c r="B137" s="5">
        <f t="shared" si="31"/>
        <v>45962</v>
      </c>
      <c r="C137" s="218" t="s">
        <v>533</v>
      </c>
      <c r="D137" s="195"/>
      <c r="E137" s="186"/>
      <c r="F137" s="2"/>
      <c r="G137" s="3">
        <f t="shared" si="30"/>
        <v>0</v>
      </c>
      <c r="H137" s="187"/>
      <c r="I137" s="7"/>
      <c r="J137" s="7">
        <v>1.6500000000000001E-2</v>
      </c>
      <c r="K137" s="7">
        <v>7.5999999999999998E-2</v>
      </c>
      <c r="L137" s="7">
        <v>0</v>
      </c>
      <c r="M137" s="11">
        <f t="shared" si="2"/>
        <v>0</v>
      </c>
      <c r="N137" s="11">
        <f t="shared" si="3"/>
        <v>0</v>
      </c>
      <c r="O137" s="11">
        <f t="shared" si="4"/>
        <v>0</v>
      </c>
      <c r="P137" s="11">
        <f t="shared" si="29"/>
        <v>0</v>
      </c>
    </row>
    <row r="138" spans="1:16" ht="15" hidden="1" customHeight="1">
      <c r="A138" s="44"/>
      <c r="B138" s="5">
        <f t="shared" si="31"/>
        <v>45962</v>
      </c>
      <c r="C138" s="218" t="s">
        <v>533</v>
      </c>
      <c r="D138" s="195"/>
      <c r="E138" s="186"/>
      <c r="F138" s="2"/>
      <c r="G138" s="3">
        <f t="shared" si="30"/>
        <v>0</v>
      </c>
      <c r="H138" s="187"/>
      <c r="I138" s="7"/>
      <c r="J138" s="7">
        <v>1.6500000000000001E-2</v>
      </c>
      <c r="K138" s="7">
        <v>7.5999999999999998E-2</v>
      </c>
      <c r="L138" s="7">
        <v>0</v>
      </c>
      <c r="M138" s="11">
        <f t="shared" si="2"/>
        <v>0</v>
      </c>
      <c r="N138" s="11">
        <f t="shared" si="3"/>
        <v>0</v>
      </c>
      <c r="O138" s="11">
        <f t="shared" si="4"/>
        <v>0</v>
      </c>
      <c r="P138" s="11">
        <f t="shared" si="29"/>
        <v>0</v>
      </c>
    </row>
    <row r="139" spans="1:16" ht="15" hidden="1" customHeight="1">
      <c r="A139" s="44"/>
      <c r="B139" s="5">
        <f t="shared" si="31"/>
        <v>45962</v>
      </c>
      <c r="C139" s="218" t="s">
        <v>533</v>
      </c>
      <c r="D139" s="195"/>
      <c r="E139" s="186"/>
      <c r="F139" s="2"/>
      <c r="G139" s="3">
        <f t="shared" si="30"/>
        <v>0</v>
      </c>
      <c r="H139" s="187"/>
      <c r="I139" s="7"/>
      <c r="J139" s="7">
        <v>1.6500000000000001E-2</v>
      </c>
      <c r="K139" s="7">
        <v>7.5999999999999998E-2</v>
      </c>
      <c r="L139" s="7">
        <v>0</v>
      </c>
      <c r="M139" s="11">
        <f t="shared" si="2"/>
        <v>0</v>
      </c>
      <c r="N139" s="11">
        <f t="shared" si="3"/>
        <v>0</v>
      </c>
      <c r="O139" s="11">
        <f t="shared" si="4"/>
        <v>0</v>
      </c>
      <c r="P139" s="11">
        <f t="shared" si="29"/>
        <v>0</v>
      </c>
    </row>
    <row r="140" spans="1:16" ht="15" hidden="1" customHeight="1">
      <c r="A140" s="44"/>
      <c r="B140" s="5">
        <f t="shared" si="31"/>
        <v>45962</v>
      </c>
      <c r="C140" s="218" t="s">
        <v>533</v>
      </c>
      <c r="D140" s="195"/>
      <c r="E140" s="186"/>
      <c r="F140" s="2"/>
      <c r="G140" s="3">
        <f t="shared" si="30"/>
        <v>0</v>
      </c>
      <c r="H140" s="187"/>
      <c r="I140" s="7"/>
      <c r="J140" s="7">
        <v>1.6500000000000001E-2</v>
      </c>
      <c r="K140" s="7">
        <v>7.5999999999999998E-2</v>
      </c>
      <c r="L140" s="7">
        <v>0</v>
      </c>
      <c r="M140" s="11">
        <f t="shared" si="2"/>
        <v>0</v>
      </c>
      <c r="N140" s="11">
        <f t="shared" si="3"/>
        <v>0</v>
      </c>
      <c r="O140" s="11">
        <f t="shared" si="4"/>
        <v>0</v>
      </c>
      <c r="P140" s="11">
        <f t="shared" si="29"/>
        <v>0</v>
      </c>
    </row>
    <row r="141" spans="1:16" ht="15" hidden="1" customHeight="1">
      <c r="A141" s="44"/>
      <c r="B141" s="5">
        <f t="shared" si="31"/>
        <v>45962</v>
      </c>
      <c r="C141" s="218" t="s">
        <v>533</v>
      </c>
      <c r="D141" s="195"/>
      <c r="E141" s="186"/>
      <c r="F141" s="2"/>
      <c r="G141" s="3">
        <f t="shared" si="30"/>
        <v>0</v>
      </c>
      <c r="H141" s="187"/>
      <c r="I141" s="7"/>
      <c r="J141" s="7">
        <v>1.6500000000000001E-2</v>
      </c>
      <c r="K141" s="7">
        <v>7.5999999999999998E-2</v>
      </c>
      <c r="L141" s="7">
        <v>0</v>
      </c>
      <c r="M141" s="11">
        <f t="shared" si="2"/>
        <v>0</v>
      </c>
      <c r="N141" s="11">
        <f t="shared" si="3"/>
        <v>0</v>
      </c>
      <c r="O141" s="11">
        <f t="shared" si="4"/>
        <v>0</v>
      </c>
      <c r="P141" s="11">
        <f t="shared" si="29"/>
        <v>0</v>
      </c>
    </row>
    <row r="142" spans="1:16" ht="15" hidden="1" customHeight="1">
      <c r="A142" s="44"/>
      <c r="B142" s="5">
        <f t="shared" si="31"/>
        <v>45962</v>
      </c>
      <c r="C142" s="218" t="s">
        <v>533</v>
      </c>
      <c r="D142" s="195"/>
      <c r="E142" s="186"/>
      <c r="F142" s="2"/>
      <c r="G142" s="3">
        <f t="shared" si="30"/>
        <v>0</v>
      </c>
      <c r="H142" s="187"/>
      <c r="I142" s="7"/>
      <c r="J142" s="7">
        <v>1.6500000000000001E-2</v>
      </c>
      <c r="K142" s="7">
        <v>7.5999999999999998E-2</v>
      </c>
      <c r="L142" s="7">
        <v>0</v>
      </c>
      <c r="M142" s="11">
        <f t="shared" si="2"/>
        <v>0</v>
      </c>
      <c r="N142" s="11">
        <f t="shared" si="3"/>
        <v>0</v>
      </c>
      <c r="O142" s="11">
        <f t="shared" si="4"/>
        <v>0</v>
      </c>
      <c r="P142" s="11">
        <f t="shared" si="29"/>
        <v>0</v>
      </c>
    </row>
    <row r="143" spans="1:16" ht="15" hidden="1" customHeight="1">
      <c r="A143" s="44"/>
      <c r="B143" s="5">
        <f t="shared" si="31"/>
        <v>45962</v>
      </c>
      <c r="C143" s="218" t="s">
        <v>533</v>
      </c>
      <c r="D143" s="195"/>
      <c r="E143" s="186"/>
      <c r="F143" s="2"/>
      <c r="G143" s="3">
        <f t="shared" si="30"/>
        <v>0</v>
      </c>
      <c r="H143" s="187"/>
      <c r="I143" s="7"/>
      <c r="J143" s="7">
        <v>1.6500000000000001E-2</v>
      </c>
      <c r="K143" s="7">
        <v>7.5999999999999998E-2</v>
      </c>
      <c r="L143" s="7">
        <v>0</v>
      </c>
      <c r="M143" s="11">
        <f t="shared" si="2"/>
        <v>0</v>
      </c>
      <c r="N143" s="11">
        <f t="shared" si="3"/>
        <v>0</v>
      </c>
      <c r="O143" s="11">
        <f t="shared" si="4"/>
        <v>0</v>
      </c>
      <c r="P143" s="11">
        <f t="shared" si="29"/>
        <v>0</v>
      </c>
    </row>
    <row r="144" spans="1:16" ht="15" hidden="1" customHeight="1">
      <c r="A144" s="44"/>
      <c r="B144" s="5">
        <f t="shared" si="31"/>
        <v>45962</v>
      </c>
      <c r="C144" s="218" t="s">
        <v>533</v>
      </c>
      <c r="D144" s="195"/>
      <c r="E144" s="186"/>
      <c r="F144" s="2"/>
      <c r="G144" s="3">
        <f t="shared" si="30"/>
        <v>0</v>
      </c>
      <c r="H144" s="187"/>
      <c r="I144" s="7"/>
      <c r="J144" s="7">
        <v>1.6500000000000001E-2</v>
      </c>
      <c r="K144" s="7">
        <v>7.5999999999999998E-2</v>
      </c>
      <c r="L144" s="7">
        <v>0</v>
      </c>
      <c r="M144" s="11">
        <f t="shared" si="2"/>
        <v>0</v>
      </c>
      <c r="N144" s="11">
        <f t="shared" si="3"/>
        <v>0</v>
      </c>
      <c r="O144" s="11">
        <f t="shared" si="4"/>
        <v>0</v>
      </c>
      <c r="P144" s="11">
        <f t="shared" si="29"/>
        <v>0</v>
      </c>
    </row>
    <row r="145" spans="1:16" ht="15" hidden="1" customHeight="1">
      <c r="A145" s="44"/>
      <c r="B145" s="5">
        <f t="shared" si="31"/>
        <v>45962</v>
      </c>
      <c r="C145" s="218" t="s">
        <v>533</v>
      </c>
      <c r="D145" s="195"/>
      <c r="E145" s="186"/>
      <c r="F145" s="2"/>
      <c r="G145" s="3">
        <f t="shared" si="30"/>
        <v>0</v>
      </c>
      <c r="H145" s="187"/>
      <c r="I145" s="7"/>
      <c r="J145" s="7">
        <v>1.6500000000000001E-2</v>
      </c>
      <c r="K145" s="7">
        <v>7.5999999999999998E-2</v>
      </c>
      <c r="L145" s="7">
        <v>0</v>
      </c>
      <c r="M145" s="11">
        <f t="shared" si="2"/>
        <v>0</v>
      </c>
      <c r="N145" s="11">
        <f t="shared" si="3"/>
        <v>0</v>
      </c>
      <c r="O145" s="11">
        <f t="shared" si="4"/>
        <v>0</v>
      </c>
      <c r="P145" s="11">
        <f t="shared" si="29"/>
        <v>0</v>
      </c>
    </row>
    <row r="146" spans="1:16" ht="15" hidden="1" customHeight="1">
      <c r="A146" s="44"/>
      <c r="B146" s="5">
        <f t="shared" si="31"/>
        <v>45962</v>
      </c>
      <c r="C146" s="218" t="s">
        <v>533</v>
      </c>
      <c r="D146" s="195"/>
      <c r="E146" s="186"/>
      <c r="F146" s="2"/>
      <c r="G146" s="3">
        <f t="shared" si="30"/>
        <v>0</v>
      </c>
      <c r="H146" s="187"/>
      <c r="I146" s="7"/>
      <c r="J146" s="7">
        <v>1.6500000000000001E-2</v>
      </c>
      <c r="K146" s="7">
        <v>7.5999999999999998E-2</v>
      </c>
      <c r="L146" s="7">
        <v>0</v>
      </c>
      <c r="M146" s="11">
        <f t="shared" si="2"/>
        <v>0</v>
      </c>
      <c r="N146" s="11">
        <f t="shared" si="3"/>
        <v>0</v>
      </c>
      <c r="O146" s="11">
        <f t="shared" si="4"/>
        <v>0</v>
      </c>
      <c r="P146" s="11">
        <f t="shared" si="29"/>
        <v>0</v>
      </c>
    </row>
    <row r="147" spans="1:16" ht="15" hidden="1" customHeight="1">
      <c r="A147" s="44"/>
      <c r="B147" s="5">
        <f t="shared" si="31"/>
        <v>45962</v>
      </c>
      <c r="C147" s="218" t="s">
        <v>533</v>
      </c>
      <c r="D147" s="195"/>
      <c r="E147" s="186"/>
      <c r="F147" s="2"/>
      <c r="G147" s="3">
        <f t="shared" si="30"/>
        <v>0</v>
      </c>
      <c r="H147" s="187"/>
      <c r="I147" s="7"/>
      <c r="J147" s="7">
        <v>1.6500000000000001E-2</v>
      </c>
      <c r="K147" s="7">
        <v>7.5999999999999998E-2</v>
      </c>
      <c r="L147" s="7">
        <v>0</v>
      </c>
      <c r="M147" s="11">
        <f t="shared" si="2"/>
        <v>0</v>
      </c>
      <c r="N147" s="11">
        <f t="shared" si="3"/>
        <v>0</v>
      </c>
      <c r="O147" s="11">
        <f t="shared" si="4"/>
        <v>0</v>
      </c>
      <c r="P147" s="11">
        <f t="shared" si="29"/>
        <v>0</v>
      </c>
    </row>
    <row r="148" spans="1:16" ht="15" hidden="1" customHeight="1">
      <c r="A148" s="44"/>
      <c r="B148" s="5">
        <f t="shared" si="31"/>
        <v>45962</v>
      </c>
      <c r="C148" s="218" t="s">
        <v>533</v>
      </c>
      <c r="D148" s="195"/>
      <c r="E148" s="186"/>
      <c r="F148" s="2"/>
      <c r="G148" s="3">
        <f t="shared" si="30"/>
        <v>0</v>
      </c>
      <c r="H148" s="187"/>
      <c r="I148" s="7"/>
      <c r="J148" s="7">
        <v>1.6500000000000001E-2</v>
      </c>
      <c r="K148" s="7">
        <v>7.5999999999999998E-2</v>
      </c>
      <c r="L148" s="7">
        <v>0</v>
      </c>
      <c r="M148" s="11">
        <f t="shared" si="2"/>
        <v>0</v>
      </c>
      <c r="N148" s="11">
        <f t="shared" si="3"/>
        <v>0</v>
      </c>
      <c r="O148" s="11">
        <f t="shared" si="4"/>
        <v>0</v>
      </c>
      <c r="P148" s="11">
        <f t="shared" si="29"/>
        <v>0</v>
      </c>
    </row>
    <row r="149" spans="1:16" ht="15" hidden="1" customHeight="1">
      <c r="A149" s="44"/>
      <c r="B149" s="5">
        <f t="shared" si="31"/>
        <v>45962</v>
      </c>
      <c r="C149" s="218" t="s">
        <v>533</v>
      </c>
      <c r="D149" s="195"/>
      <c r="E149" s="186"/>
      <c r="F149" s="2"/>
      <c r="G149" s="3">
        <f t="shared" si="30"/>
        <v>0</v>
      </c>
      <c r="H149" s="187"/>
      <c r="I149" s="7"/>
      <c r="J149" s="7">
        <v>1.6500000000000001E-2</v>
      </c>
      <c r="K149" s="7">
        <v>7.5999999999999998E-2</v>
      </c>
      <c r="L149" s="7">
        <v>0</v>
      </c>
      <c r="M149" s="11">
        <f t="shared" si="2"/>
        <v>0</v>
      </c>
      <c r="N149" s="11">
        <f t="shared" si="3"/>
        <v>0</v>
      </c>
      <c r="O149" s="11">
        <f t="shared" si="4"/>
        <v>0</v>
      </c>
      <c r="P149" s="11">
        <f t="shared" si="29"/>
        <v>0</v>
      </c>
    </row>
    <row r="150" spans="1:16" ht="15" hidden="1" customHeight="1">
      <c r="A150" s="44"/>
      <c r="B150" s="5">
        <f t="shared" si="31"/>
        <v>45962</v>
      </c>
      <c r="C150" s="218" t="s">
        <v>533</v>
      </c>
      <c r="D150" s="195"/>
      <c r="E150" s="186"/>
      <c r="F150" s="2"/>
      <c r="G150" s="3">
        <f t="shared" si="30"/>
        <v>0</v>
      </c>
      <c r="H150" s="187"/>
      <c r="I150" s="7"/>
      <c r="J150" s="7">
        <v>1.6500000000000001E-2</v>
      </c>
      <c r="K150" s="7">
        <v>7.5999999999999998E-2</v>
      </c>
      <c r="L150" s="7">
        <v>0</v>
      </c>
      <c r="M150" s="11">
        <f t="shared" si="2"/>
        <v>0</v>
      </c>
      <c r="N150" s="11">
        <f t="shared" si="3"/>
        <v>0</v>
      </c>
      <c r="O150" s="11">
        <f t="shared" si="4"/>
        <v>0</v>
      </c>
      <c r="P150" s="11">
        <f t="shared" si="29"/>
        <v>0</v>
      </c>
    </row>
    <row r="151" spans="1:16" ht="15" hidden="1" customHeight="1">
      <c r="A151" s="44"/>
      <c r="B151" s="5">
        <f t="shared" si="31"/>
        <v>45962</v>
      </c>
      <c r="C151" s="218" t="s">
        <v>533</v>
      </c>
      <c r="D151" s="195"/>
      <c r="E151" s="186"/>
      <c r="F151" s="2"/>
      <c r="G151" s="3">
        <f t="shared" si="30"/>
        <v>0</v>
      </c>
      <c r="H151" s="187"/>
      <c r="I151" s="7"/>
      <c r="J151" s="7">
        <v>1.6500000000000001E-2</v>
      </c>
      <c r="K151" s="7">
        <v>7.5999999999999998E-2</v>
      </c>
      <c r="L151" s="7">
        <v>0</v>
      </c>
      <c r="M151" s="11">
        <f t="shared" si="2"/>
        <v>0</v>
      </c>
      <c r="N151" s="11">
        <f t="shared" si="3"/>
        <v>0</v>
      </c>
      <c r="O151" s="11">
        <f t="shared" si="4"/>
        <v>0</v>
      </c>
      <c r="P151" s="11">
        <f t="shared" si="29"/>
        <v>0</v>
      </c>
    </row>
    <row r="152" spans="1:16" ht="15" hidden="1" customHeight="1">
      <c r="A152" s="44"/>
      <c r="B152" s="5">
        <f t="shared" si="31"/>
        <v>45962</v>
      </c>
      <c r="C152" s="218" t="s">
        <v>533</v>
      </c>
      <c r="D152" s="195"/>
      <c r="E152" s="186"/>
      <c r="F152" s="2"/>
      <c r="G152" s="3">
        <f t="shared" si="30"/>
        <v>0</v>
      </c>
      <c r="H152" s="187"/>
      <c r="I152" s="7"/>
      <c r="J152" s="7">
        <v>1.6500000000000001E-2</v>
      </c>
      <c r="K152" s="7">
        <v>7.5999999999999998E-2</v>
      </c>
      <c r="L152" s="7">
        <v>0</v>
      </c>
      <c r="M152" s="11">
        <f t="shared" si="2"/>
        <v>0</v>
      </c>
      <c r="N152" s="11">
        <f t="shared" si="3"/>
        <v>0</v>
      </c>
      <c r="O152" s="11">
        <f t="shared" si="4"/>
        <v>0</v>
      </c>
      <c r="P152" s="11">
        <f t="shared" si="29"/>
        <v>0</v>
      </c>
    </row>
    <row r="153" spans="1:16" ht="15" hidden="1" customHeight="1">
      <c r="A153" s="44"/>
      <c r="B153" s="5">
        <f t="shared" si="31"/>
        <v>45962</v>
      </c>
      <c r="C153" s="218" t="s">
        <v>533</v>
      </c>
      <c r="D153" s="195"/>
      <c r="E153" s="186"/>
      <c r="F153" s="2"/>
      <c r="G153" s="3">
        <f t="shared" si="30"/>
        <v>0</v>
      </c>
      <c r="H153" s="187"/>
      <c r="I153" s="7"/>
      <c r="J153" s="7">
        <v>1.6500000000000001E-2</v>
      </c>
      <c r="K153" s="7">
        <v>7.5999999999999998E-2</v>
      </c>
      <c r="L153" s="7">
        <v>0</v>
      </c>
      <c r="M153" s="11">
        <f t="shared" si="2"/>
        <v>0</v>
      </c>
      <c r="N153" s="11">
        <f t="shared" si="3"/>
        <v>0</v>
      </c>
      <c r="O153" s="11">
        <f t="shared" si="4"/>
        <v>0</v>
      </c>
      <c r="P153" s="11">
        <f t="shared" si="29"/>
        <v>0</v>
      </c>
    </row>
    <row r="154" spans="1:16" ht="15" hidden="1" customHeight="1">
      <c r="A154" s="44"/>
      <c r="B154" s="5">
        <f t="shared" si="31"/>
        <v>45962</v>
      </c>
      <c r="C154" s="218" t="s">
        <v>533</v>
      </c>
      <c r="D154" s="195"/>
      <c r="E154" s="186"/>
      <c r="F154" s="2"/>
      <c r="G154" s="3">
        <f t="shared" si="30"/>
        <v>0</v>
      </c>
      <c r="H154" s="187"/>
      <c r="I154" s="7"/>
      <c r="J154" s="7">
        <v>1.6500000000000001E-2</v>
      </c>
      <c r="K154" s="7">
        <v>7.5999999999999998E-2</v>
      </c>
      <c r="L154" s="7">
        <v>0</v>
      </c>
      <c r="M154" s="11">
        <f t="shared" si="2"/>
        <v>0</v>
      </c>
      <c r="N154" s="11">
        <f t="shared" si="3"/>
        <v>0</v>
      </c>
      <c r="O154" s="11">
        <f t="shared" si="4"/>
        <v>0</v>
      </c>
      <c r="P154" s="11">
        <f t="shared" si="29"/>
        <v>0</v>
      </c>
    </row>
    <row r="155" spans="1:16" ht="15" hidden="1" customHeight="1">
      <c r="A155" s="44"/>
      <c r="B155" s="5">
        <f t="shared" si="31"/>
        <v>45962</v>
      </c>
      <c r="C155" s="218" t="s">
        <v>533</v>
      </c>
      <c r="D155" s="195"/>
      <c r="E155" s="186"/>
      <c r="F155" s="2"/>
      <c r="G155" s="3">
        <f t="shared" si="30"/>
        <v>0</v>
      </c>
      <c r="H155" s="187"/>
      <c r="I155" s="7"/>
      <c r="J155" s="7">
        <v>1.6500000000000001E-2</v>
      </c>
      <c r="K155" s="7">
        <v>7.5999999999999998E-2</v>
      </c>
      <c r="L155" s="7">
        <v>0</v>
      </c>
      <c r="M155" s="11">
        <f t="shared" si="2"/>
        <v>0</v>
      </c>
      <c r="N155" s="11">
        <f t="shared" si="3"/>
        <v>0</v>
      </c>
      <c r="O155" s="11">
        <f t="shared" si="4"/>
        <v>0</v>
      </c>
      <c r="P155" s="11">
        <f t="shared" si="29"/>
        <v>0</v>
      </c>
    </row>
    <row r="156" spans="1:16" ht="15" hidden="1" customHeight="1">
      <c r="A156" s="44"/>
      <c r="B156" s="5">
        <f t="shared" si="31"/>
        <v>45962</v>
      </c>
      <c r="C156" s="218" t="s">
        <v>533</v>
      </c>
      <c r="D156" s="195"/>
      <c r="E156" s="186"/>
      <c r="F156" s="2"/>
      <c r="G156" s="3">
        <f t="shared" si="30"/>
        <v>0</v>
      </c>
      <c r="H156" s="187"/>
      <c r="I156" s="7"/>
      <c r="J156" s="7">
        <v>1.6500000000000001E-2</v>
      </c>
      <c r="K156" s="7">
        <v>7.5999999999999998E-2</v>
      </c>
      <c r="L156" s="7">
        <v>0</v>
      </c>
      <c r="M156" s="11">
        <f t="shared" si="2"/>
        <v>0</v>
      </c>
      <c r="N156" s="11">
        <f t="shared" si="3"/>
        <v>0</v>
      </c>
      <c r="O156" s="11">
        <f t="shared" si="4"/>
        <v>0</v>
      </c>
      <c r="P156" s="11">
        <f t="shared" si="29"/>
        <v>0</v>
      </c>
    </row>
    <row r="157" spans="1:16" ht="15" hidden="1" customHeight="1">
      <c r="A157" s="44"/>
      <c r="B157" s="5">
        <f t="shared" si="31"/>
        <v>45962</v>
      </c>
      <c r="C157" s="218" t="s">
        <v>533</v>
      </c>
      <c r="D157" s="195"/>
      <c r="E157" s="186"/>
      <c r="F157" s="2"/>
      <c r="G157" s="3">
        <f t="shared" si="30"/>
        <v>0</v>
      </c>
      <c r="H157" s="187"/>
      <c r="I157" s="7"/>
      <c r="J157" s="7">
        <v>1.6500000000000001E-2</v>
      </c>
      <c r="K157" s="7">
        <v>7.5999999999999998E-2</v>
      </c>
      <c r="L157" s="7">
        <v>0</v>
      </c>
      <c r="M157" s="11">
        <f t="shared" si="2"/>
        <v>0</v>
      </c>
      <c r="N157" s="11">
        <f t="shared" si="3"/>
        <v>0</v>
      </c>
      <c r="O157" s="11">
        <f t="shared" si="4"/>
        <v>0</v>
      </c>
      <c r="P157" s="11">
        <f t="shared" si="29"/>
        <v>0</v>
      </c>
    </row>
    <row r="158" spans="1:16" ht="15" hidden="1" customHeight="1">
      <c r="A158" s="44"/>
      <c r="B158" s="5">
        <f t="shared" si="31"/>
        <v>45962</v>
      </c>
      <c r="C158" s="218" t="s">
        <v>533</v>
      </c>
      <c r="D158" s="195"/>
      <c r="E158" s="186"/>
      <c r="F158" s="2"/>
      <c r="G158" s="3">
        <f t="shared" si="30"/>
        <v>0</v>
      </c>
      <c r="H158" s="187"/>
      <c r="I158" s="7"/>
      <c r="J158" s="7">
        <v>1.6500000000000001E-2</v>
      </c>
      <c r="K158" s="7">
        <v>7.5999999999999998E-2</v>
      </c>
      <c r="L158" s="7">
        <v>0</v>
      </c>
      <c r="M158" s="11">
        <f t="shared" si="2"/>
        <v>0</v>
      </c>
      <c r="N158" s="11">
        <f t="shared" si="3"/>
        <v>0</v>
      </c>
      <c r="O158" s="11">
        <f t="shared" si="4"/>
        <v>0</v>
      </c>
      <c r="P158" s="11">
        <f t="shared" si="29"/>
        <v>0</v>
      </c>
    </row>
    <row r="159" spans="1:16" ht="15" hidden="1" customHeight="1">
      <c r="A159" s="44"/>
      <c r="B159" s="5">
        <f t="shared" si="31"/>
        <v>45962</v>
      </c>
      <c r="C159" s="218" t="s">
        <v>533</v>
      </c>
      <c r="D159" s="195"/>
      <c r="E159" s="186"/>
      <c r="F159" s="2"/>
      <c r="G159" s="3">
        <f t="shared" si="30"/>
        <v>0</v>
      </c>
      <c r="H159" s="187"/>
      <c r="I159" s="7"/>
      <c r="J159" s="7">
        <v>1.6500000000000001E-2</v>
      </c>
      <c r="K159" s="7">
        <v>7.5999999999999998E-2</v>
      </c>
      <c r="L159" s="7">
        <v>0</v>
      </c>
      <c r="M159" s="11">
        <f t="shared" si="2"/>
        <v>0</v>
      </c>
      <c r="N159" s="11">
        <f t="shared" si="3"/>
        <v>0</v>
      </c>
      <c r="O159" s="11">
        <f t="shared" si="4"/>
        <v>0</v>
      </c>
      <c r="P159" s="11">
        <f t="shared" si="29"/>
        <v>0</v>
      </c>
    </row>
    <row r="160" spans="1:16" ht="15" hidden="1" customHeight="1">
      <c r="A160" s="44"/>
      <c r="B160" s="5">
        <f t="shared" si="31"/>
        <v>45962</v>
      </c>
      <c r="C160" s="218" t="s">
        <v>533</v>
      </c>
      <c r="D160" s="195"/>
      <c r="E160" s="186"/>
      <c r="F160" s="2"/>
      <c r="G160" s="3">
        <f t="shared" si="30"/>
        <v>0</v>
      </c>
      <c r="H160" s="187"/>
      <c r="I160" s="7"/>
      <c r="J160" s="7">
        <v>1.6500000000000001E-2</v>
      </c>
      <c r="K160" s="7">
        <v>7.5999999999999998E-2</v>
      </c>
      <c r="L160" s="7">
        <v>0</v>
      </c>
      <c r="M160" s="11">
        <f t="shared" si="2"/>
        <v>0</v>
      </c>
      <c r="N160" s="11">
        <f t="shared" si="3"/>
        <v>0</v>
      </c>
      <c r="O160" s="11">
        <f t="shared" si="4"/>
        <v>0</v>
      </c>
      <c r="P160" s="11">
        <f t="shared" si="29"/>
        <v>0</v>
      </c>
    </row>
    <row r="161" spans="1:16" ht="15" hidden="1" customHeight="1">
      <c r="A161" s="44"/>
      <c r="B161" s="5">
        <f t="shared" si="31"/>
        <v>45962</v>
      </c>
      <c r="C161" s="218" t="s">
        <v>533</v>
      </c>
      <c r="D161" s="195"/>
      <c r="E161" s="186"/>
      <c r="F161" s="2"/>
      <c r="G161" s="3">
        <f t="shared" si="30"/>
        <v>0</v>
      </c>
      <c r="H161" s="187"/>
      <c r="I161" s="7"/>
      <c r="J161" s="7">
        <v>1.6500000000000001E-2</v>
      </c>
      <c r="K161" s="7">
        <v>7.5999999999999998E-2</v>
      </c>
      <c r="L161" s="7">
        <v>0</v>
      </c>
      <c r="M161" s="11">
        <f t="shared" si="2"/>
        <v>0</v>
      </c>
      <c r="N161" s="11">
        <f t="shared" si="3"/>
        <v>0</v>
      </c>
      <c r="O161" s="11">
        <f t="shared" si="4"/>
        <v>0</v>
      </c>
      <c r="P161" s="11">
        <f t="shared" si="29"/>
        <v>0</v>
      </c>
    </row>
    <row r="162" spans="1:16" ht="15" hidden="1" customHeight="1">
      <c r="A162" s="44"/>
      <c r="B162" s="5">
        <f t="shared" si="31"/>
        <v>45962</v>
      </c>
      <c r="C162" s="218" t="s">
        <v>533</v>
      </c>
      <c r="D162" s="195"/>
      <c r="E162" s="186"/>
      <c r="F162" s="2"/>
      <c r="G162" s="3">
        <f t="shared" si="30"/>
        <v>0</v>
      </c>
      <c r="H162" s="187"/>
      <c r="I162" s="7"/>
      <c r="J162" s="7">
        <v>1.6500000000000001E-2</v>
      </c>
      <c r="K162" s="7">
        <v>7.5999999999999998E-2</v>
      </c>
      <c r="L162" s="7">
        <v>0</v>
      </c>
      <c r="M162" s="11">
        <f t="shared" si="2"/>
        <v>0</v>
      </c>
      <c r="N162" s="11">
        <f t="shared" si="3"/>
        <v>0</v>
      </c>
      <c r="O162" s="11">
        <f t="shared" si="4"/>
        <v>0</v>
      </c>
      <c r="P162" s="11">
        <f t="shared" si="29"/>
        <v>0</v>
      </c>
    </row>
    <row r="163" spans="1:16" ht="15" hidden="1" customHeight="1">
      <c r="A163" s="44"/>
      <c r="B163" s="5">
        <f t="shared" si="31"/>
        <v>45962</v>
      </c>
      <c r="C163" s="218" t="s">
        <v>533</v>
      </c>
      <c r="D163" s="195"/>
      <c r="E163" s="186"/>
      <c r="F163" s="2"/>
      <c r="G163" s="3">
        <f t="shared" si="30"/>
        <v>0</v>
      </c>
      <c r="H163" s="187"/>
      <c r="I163" s="7"/>
      <c r="J163" s="7">
        <v>1.6500000000000001E-2</v>
      </c>
      <c r="K163" s="7">
        <v>7.5999999999999998E-2</v>
      </c>
      <c r="L163" s="7">
        <v>0</v>
      </c>
      <c r="M163" s="11">
        <f t="shared" si="2"/>
        <v>0</v>
      </c>
      <c r="N163" s="11">
        <f t="shared" si="3"/>
        <v>0</v>
      </c>
      <c r="O163" s="11">
        <f t="shared" si="4"/>
        <v>0</v>
      </c>
      <c r="P163" s="11">
        <f t="shared" si="29"/>
        <v>0</v>
      </c>
    </row>
    <row r="164" spans="1:16" ht="15" hidden="1" customHeight="1">
      <c r="A164" s="44"/>
      <c r="B164" s="5">
        <f t="shared" si="31"/>
        <v>45962</v>
      </c>
      <c r="C164" s="218" t="s">
        <v>533</v>
      </c>
      <c r="D164" s="195"/>
      <c r="E164" s="186"/>
      <c r="F164" s="2"/>
      <c r="G164" s="3">
        <f t="shared" si="30"/>
        <v>0</v>
      </c>
      <c r="H164" s="187"/>
      <c r="I164" s="7"/>
      <c r="J164" s="7">
        <v>1.6500000000000001E-2</v>
      </c>
      <c r="K164" s="7">
        <v>7.5999999999999998E-2</v>
      </c>
      <c r="L164" s="7">
        <v>0</v>
      </c>
      <c r="M164" s="11">
        <f t="shared" si="2"/>
        <v>0</v>
      </c>
      <c r="N164" s="11">
        <f t="shared" si="3"/>
        <v>0</v>
      </c>
      <c r="O164" s="11">
        <f t="shared" si="4"/>
        <v>0</v>
      </c>
      <c r="P164" s="11">
        <f t="shared" si="29"/>
        <v>0</v>
      </c>
    </row>
    <row r="165" spans="1:16" ht="15" hidden="1" customHeight="1">
      <c r="A165" s="44"/>
      <c r="B165" s="5">
        <f t="shared" si="31"/>
        <v>45962</v>
      </c>
      <c r="C165" s="218" t="s">
        <v>533</v>
      </c>
      <c r="D165" s="195"/>
      <c r="E165" s="186"/>
      <c r="F165" s="2"/>
      <c r="G165" s="3">
        <f t="shared" si="30"/>
        <v>0</v>
      </c>
      <c r="H165" s="187"/>
      <c r="I165" s="7"/>
      <c r="J165" s="7">
        <v>1.6500000000000001E-2</v>
      </c>
      <c r="K165" s="7">
        <v>7.5999999999999998E-2</v>
      </c>
      <c r="L165" s="7">
        <v>0</v>
      </c>
      <c r="M165" s="11">
        <f t="shared" si="2"/>
        <v>0</v>
      </c>
      <c r="N165" s="11">
        <f t="shared" si="3"/>
        <v>0</v>
      </c>
      <c r="O165" s="11">
        <f t="shared" si="4"/>
        <v>0</v>
      </c>
      <c r="P165" s="11">
        <f t="shared" si="29"/>
        <v>0</v>
      </c>
    </row>
    <row r="166" spans="1:16" ht="15" hidden="1" customHeight="1">
      <c r="A166" s="44"/>
      <c r="B166" s="5">
        <f t="shared" si="31"/>
        <v>45962</v>
      </c>
      <c r="C166" s="218" t="s">
        <v>533</v>
      </c>
      <c r="D166" s="195"/>
      <c r="E166" s="186"/>
      <c r="F166" s="2"/>
      <c r="G166" s="3">
        <f t="shared" si="30"/>
        <v>0</v>
      </c>
      <c r="H166" s="187"/>
      <c r="I166" s="7"/>
      <c r="J166" s="7">
        <v>1.6500000000000001E-2</v>
      </c>
      <c r="K166" s="7">
        <v>7.5999999999999998E-2</v>
      </c>
      <c r="L166" s="7">
        <v>0</v>
      </c>
      <c r="M166" s="11">
        <f t="shared" si="2"/>
        <v>0</v>
      </c>
      <c r="N166" s="11">
        <f t="shared" si="3"/>
        <v>0</v>
      </c>
      <c r="O166" s="11">
        <f t="shared" si="4"/>
        <v>0</v>
      </c>
      <c r="P166" s="11">
        <f t="shared" si="29"/>
        <v>0</v>
      </c>
    </row>
    <row r="167" spans="1:16" ht="15" hidden="1" customHeight="1">
      <c r="A167" s="44"/>
      <c r="B167" s="5">
        <f t="shared" si="31"/>
        <v>45962</v>
      </c>
      <c r="C167" s="218" t="s">
        <v>533</v>
      </c>
      <c r="D167" s="195"/>
      <c r="E167" s="186"/>
      <c r="F167" s="2"/>
      <c r="G167" s="3">
        <f t="shared" si="30"/>
        <v>0</v>
      </c>
      <c r="H167" s="187"/>
      <c r="I167" s="7"/>
      <c r="J167" s="7">
        <v>1.6500000000000001E-2</v>
      </c>
      <c r="K167" s="7">
        <v>7.5999999999999998E-2</v>
      </c>
      <c r="L167" s="7">
        <v>0</v>
      </c>
      <c r="M167" s="11">
        <f t="shared" si="2"/>
        <v>0</v>
      </c>
      <c r="N167" s="11">
        <f t="shared" si="3"/>
        <v>0</v>
      </c>
      <c r="O167" s="11">
        <f t="shared" si="4"/>
        <v>0</v>
      </c>
      <c r="P167" s="11">
        <f t="shared" si="29"/>
        <v>0</v>
      </c>
    </row>
    <row r="168" spans="1:16" ht="15" hidden="1" customHeight="1">
      <c r="A168" s="44"/>
      <c r="B168" s="5">
        <f t="shared" si="31"/>
        <v>45962</v>
      </c>
      <c r="C168" s="218" t="s">
        <v>533</v>
      </c>
      <c r="D168" s="195"/>
      <c r="E168" s="186"/>
      <c r="F168" s="2"/>
      <c r="G168" s="3">
        <f t="shared" si="30"/>
        <v>0</v>
      </c>
      <c r="H168" s="187"/>
      <c r="I168" s="7"/>
      <c r="J168" s="7">
        <v>1.6500000000000001E-2</v>
      </c>
      <c r="K168" s="7">
        <v>7.5999999999999998E-2</v>
      </c>
      <c r="L168" s="7">
        <v>0</v>
      </c>
      <c r="M168" s="11">
        <f t="shared" si="2"/>
        <v>0</v>
      </c>
      <c r="N168" s="11">
        <f t="shared" si="3"/>
        <v>0</v>
      </c>
      <c r="O168" s="11">
        <f t="shared" si="4"/>
        <v>0</v>
      </c>
      <c r="P168" s="11">
        <f t="shared" si="29"/>
        <v>0</v>
      </c>
    </row>
    <row r="169" spans="1:16" ht="15" hidden="1" customHeight="1">
      <c r="A169" s="44"/>
      <c r="B169" s="5">
        <f t="shared" si="31"/>
        <v>45962</v>
      </c>
      <c r="C169" s="218" t="s">
        <v>533</v>
      </c>
      <c r="D169" s="195"/>
      <c r="E169" s="186"/>
      <c r="F169" s="2"/>
      <c r="G169" s="3">
        <f t="shared" si="30"/>
        <v>0</v>
      </c>
      <c r="H169" s="187"/>
      <c r="I169" s="7"/>
      <c r="J169" s="7">
        <v>1.6500000000000001E-2</v>
      </c>
      <c r="K169" s="7">
        <v>7.5999999999999998E-2</v>
      </c>
      <c r="L169" s="7">
        <v>0</v>
      </c>
      <c r="M169" s="11">
        <f t="shared" si="2"/>
        <v>0</v>
      </c>
      <c r="N169" s="11">
        <f t="shared" si="3"/>
        <v>0</v>
      </c>
      <c r="O169" s="11">
        <f t="shared" si="4"/>
        <v>0</v>
      </c>
      <c r="P169" s="11">
        <f t="shared" si="29"/>
        <v>0</v>
      </c>
    </row>
    <row r="170" spans="1:16" ht="15" hidden="1" customHeight="1">
      <c r="A170" s="44"/>
      <c r="B170" s="5">
        <f t="shared" si="31"/>
        <v>45962</v>
      </c>
      <c r="C170" s="218" t="s">
        <v>533</v>
      </c>
      <c r="D170" s="195"/>
      <c r="E170" s="186"/>
      <c r="F170" s="2"/>
      <c r="G170" s="3">
        <f t="shared" si="30"/>
        <v>0</v>
      </c>
      <c r="H170" s="187"/>
      <c r="I170" s="7"/>
      <c r="J170" s="7">
        <v>1.6500000000000001E-2</v>
      </c>
      <c r="K170" s="7">
        <v>7.5999999999999998E-2</v>
      </c>
      <c r="L170" s="7">
        <v>0</v>
      </c>
      <c r="M170" s="11">
        <f t="shared" si="2"/>
        <v>0</v>
      </c>
      <c r="N170" s="11">
        <f t="shared" si="3"/>
        <v>0</v>
      </c>
      <c r="O170" s="11">
        <f t="shared" si="4"/>
        <v>0</v>
      </c>
      <c r="P170" s="11">
        <f t="shared" si="29"/>
        <v>0</v>
      </c>
    </row>
    <row r="171" spans="1:16" ht="15" hidden="1" customHeight="1">
      <c r="A171" s="44"/>
      <c r="B171" s="5">
        <f t="shared" si="31"/>
        <v>45962</v>
      </c>
      <c r="C171" s="218" t="s">
        <v>533</v>
      </c>
      <c r="D171" s="195"/>
      <c r="E171" s="186"/>
      <c r="F171" s="2"/>
      <c r="G171" s="3">
        <f t="shared" si="30"/>
        <v>0</v>
      </c>
      <c r="H171" s="187"/>
      <c r="I171" s="7"/>
      <c r="J171" s="7">
        <v>1.6500000000000001E-2</v>
      </c>
      <c r="K171" s="7">
        <v>7.5999999999999998E-2</v>
      </c>
      <c r="L171" s="7">
        <v>0</v>
      </c>
      <c r="M171" s="11">
        <f t="shared" si="2"/>
        <v>0</v>
      </c>
      <c r="N171" s="11">
        <f t="shared" si="3"/>
        <v>0</v>
      </c>
      <c r="O171" s="11">
        <f t="shared" si="4"/>
        <v>0</v>
      </c>
      <c r="P171" s="11">
        <f t="shared" si="29"/>
        <v>0</v>
      </c>
    </row>
    <row r="172" spans="1:16" ht="15" hidden="1" customHeight="1">
      <c r="A172" s="44"/>
      <c r="B172" s="5">
        <f t="shared" si="31"/>
        <v>45962</v>
      </c>
      <c r="C172" s="218" t="s">
        <v>533</v>
      </c>
      <c r="D172" s="195"/>
      <c r="E172" s="186"/>
      <c r="F172" s="2"/>
      <c r="G172" s="3">
        <f t="shared" si="30"/>
        <v>0</v>
      </c>
      <c r="H172" s="187"/>
      <c r="I172" s="7"/>
      <c r="J172" s="7">
        <v>1.6500000000000001E-2</v>
      </c>
      <c r="K172" s="7">
        <v>7.5999999999999998E-2</v>
      </c>
      <c r="L172" s="7">
        <v>0</v>
      </c>
      <c r="M172" s="11">
        <f t="shared" si="2"/>
        <v>0</v>
      </c>
      <c r="N172" s="11">
        <f t="shared" si="3"/>
        <v>0</v>
      </c>
      <c r="O172" s="11">
        <f t="shared" si="4"/>
        <v>0</v>
      </c>
      <c r="P172" s="11">
        <f t="shared" si="29"/>
        <v>0</v>
      </c>
    </row>
    <row r="173" spans="1:16" ht="15" hidden="1" customHeight="1">
      <c r="A173" s="44"/>
      <c r="B173" s="5">
        <f t="shared" si="31"/>
        <v>45962</v>
      </c>
      <c r="C173" s="218" t="s">
        <v>533</v>
      </c>
      <c r="D173" s="195"/>
      <c r="E173" s="186"/>
      <c r="F173" s="2"/>
      <c r="G173" s="3">
        <f t="shared" si="30"/>
        <v>0</v>
      </c>
      <c r="H173" s="187"/>
      <c r="I173" s="7"/>
      <c r="J173" s="7">
        <v>1.6500000000000001E-2</v>
      </c>
      <c r="K173" s="7">
        <v>7.5999999999999998E-2</v>
      </c>
      <c r="L173" s="7">
        <v>0</v>
      </c>
      <c r="M173" s="11">
        <f t="shared" si="2"/>
        <v>0</v>
      </c>
      <c r="N173" s="11">
        <f t="shared" si="3"/>
        <v>0</v>
      </c>
      <c r="O173" s="11">
        <f t="shared" si="4"/>
        <v>0</v>
      </c>
      <c r="P173" s="11">
        <f t="shared" si="29"/>
        <v>0</v>
      </c>
    </row>
    <row r="174" spans="1:16" ht="15" hidden="1" customHeight="1">
      <c r="A174" s="44"/>
      <c r="B174" s="5">
        <f t="shared" si="31"/>
        <v>45962</v>
      </c>
      <c r="C174" s="218" t="s">
        <v>533</v>
      </c>
      <c r="D174" s="195"/>
      <c r="E174" s="186"/>
      <c r="F174" s="2"/>
      <c r="G174" s="3">
        <f t="shared" si="30"/>
        <v>0</v>
      </c>
      <c r="H174" s="187"/>
      <c r="I174" s="7"/>
      <c r="J174" s="7">
        <v>1.6500000000000001E-2</v>
      </c>
      <c r="K174" s="7">
        <v>7.5999999999999998E-2</v>
      </c>
      <c r="L174" s="7">
        <v>0</v>
      </c>
      <c r="M174" s="11">
        <f t="shared" si="2"/>
        <v>0</v>
      </c>
      <c r="N174" s="11">
        <f t="shared" si="3"/>
        <v>0</v>
      </c>
      <c r="O174" s="11">
        <f t="shared" si="4"/>
        <v>0</v>
      </c>
      <c r="P174" s="11">
        <f t="shared" si="29"/>
        <v>0</v>
      </c>
    </row>
    <row r="175" spans="1:16" ht="15" hidden="1" customHeight="1">
      <c r="A175" s="44"/>
      <c r="B175" s="5">
        <f t="shared" si="31"/>
        <v>45962</v>
      </c>
      <c r="C175" s="218" t="s">
        <v>533</v>
      </c>
      <c r="D175" s="195"/>
      <c r="E175" s="186"/>
      <c r="F175" s="2"/>
      <c r="G175" s="3">
        <f t="shared" si="30"/>
        <v>0</v>
      </c>
      <c r="H175" s="187"/>
      <c r="I175" s="7"/>
      <c r="J175" s="7">
        <v>1.6500000000000001E-2</v>
      </c>
      <c r="K175" s="7">
        <v>7.5999999999999998E-2</v>
      </c>
      <c r="L175" s="7">
        <v>0</v>
      </c>
      <c r="M175" s="11">
        <f t="shared" si="2"/>
        <v>0</v>
      </c>
      <c r="N175" s="11">
        <f t="shared" si="3"/>
        <v>0</v>
      </c>
      <c r="O175" s="11">
        <f t="shared" si="4"/>
        <v>0</v>
      </c>
      <c r="P175" s="11">
        <f t="shared" si="29"/>
        <v>0</v>
      </c>
    </row>
    <row r="176" spans="1:16" ht="15" hidden="1" customHeight="1">
      <c r="A176" s="44"/>
      <c r="B176" s="5">
        <f t="shared" si="31"/>
        <v>45962</v>
      </c>
      <c r="C176" s="218" t="s">
        <v>533</v>
      </c>
      <c r="D176" s="195"/>
      <c r="E176" s="186"/>
      <c r="F176" s="2"/>
      <c r="G176" s="3">
        <f t="shared" si="30"/>
        <v>0</v>
      </c>
      <c r="H176" s="187"/>
      <c r="I176" s="7"/>
      <c r="J176" s="7">
        <v>1.6500000000000001E-2</v>
      </c>
      <c r="K176" s="7">
        <v>7.5999999999999998E-2</v>
      </c>
      <c r="L176" s="7">
        <v>0</v>
      </c>
      <c r="M176" s="11">
        <f t="shared" si="2"/>
        <v>0</v>
      </c>
      <c r="N176" s="11">
        <f t="shared" si="3"/>
        <v>0</v>
      </c>
      <c r="O176" s="11">
        <f t="shared" si="4"/>
        <v>0</v>
      </c>
      <c r="P176" s="11">
        <f t="shared" si="29"/>
        <v>0</v>
      </c>
    </row>
    <row r="177" spans="1:16" ht="15" hidden="1" customHeight="1">
      <c r="A177" s="44"/>
      <c r="B177" s="5">
        <f t="shared" si="31"/>
        <v>45962</v>
      </c>
      <c r="C177" s="218" t="s">
        <v>533</v>
      </c>
      <c r="D177" s="195"/>
      <c r="E177" s="186"/>
      <c r="F177" s="2"/>
      <c r="G177" s="3">
        <f t="shared" si="30"/>
        <v>0</v>
      </c>
      <c r="H177" s="187"/>
      <c r="I177" s="7"/>
      <c r="J177" s="7">
        <v>1.6500000000000001E-2</v>
      </c>
      <c r="K177" s="7">
        <v>7.5999999999999998E-2</v>
      </c>
      <c r="L177" s="7">
        <v>0</v>
      </c>
      <c r="M177" s="11">
        <f t="shared" si="2"/>
        <v>0</v>
      </c>
      <c r="N177" s="11">
        <f t="shared" si="3"/>
        <v>0</v>
      </c>
      <c r="O177" s="11">
        <f t="shared" si="4"/>
        <v>0</v>
      </c>
      <c r="P177" s="11">
        <f t="shared" si="29"/>
        <v>0</v>
      </c>
    </row>
    <row r="178" spans="1:16" ht="15" hidden="1" customHeight="1">
      <c r="A178" s="44"/>
      <c r="B178" s="5">
        <f t="shared" si="31"/>
        <v>45962</v>
      </c>
      <c r="C178" s="218" t="s">
        <v>533</v>
      </c>
      <c r="D178" s="195"/>
      <c r="E178" s="186"/>
      <c r="F178" s="2"/>
      <c r="G178" s="3">
        <f t="shared" si="30"/>
        <v>0</v>
      </c>
      <c r="H178" s="187"/>
      <c r="I178" s="7"/>
      <c r="J178" s="7">
        <v>1.6500000000000001E-2</v>
      </c>
      <c r="K178" s="7">
        <v>7.5999999999999998E-2</v>
      </c>
      <c r="L178" s="7">
        <v>0</v>
      </c>
      <c r="M178" s="11">
        <f t="shared" si="2"/>
        <v>0</v>
      </c>
      <c r="N178" s="11">
        <f t="shared" si="3"/>
        <v>0</v>
      </c>
      <c r="O178" s="11">
        <f t="shared" si="4"/>
        <v>0</v>
      </c>
      <c r="P178" s="11">
        <f t="shared" si="29"/>
        <v>0</v>
      </c>
    </row>
    <row r="179" spans="1:16" ht="15" hidden="1" customHeight="1">
      <c r="A179" s="44"/>
      <c r="B179" s="5">
        <f t="shared" si="31"/>
        <v>45962</v>
      </c>
      <c r="C179" s="218" t="s">
        <v>533</v>
      </c>
      <c r="D179" s="195"/>
      <c r="E179" s="186"/>
      <c r="F179" s="2"/>
      <c r="G179" s="3">
        <f t="shared" si="30"/>
        <v>0</v>
      </c>
      <c r="H179" s="187"/>
      <c r="I179" s="7"/>
      <c r="J179" s="7">
        <v>1.6500000000000001E-2</v>
      </c>
      <c r="K179" s="7">
        <v>7.5999999999999998E-2</v>
      </c>
      <c r="L179" s="7">
        <v>0</v>
      </c>
      <c r="M179" s="11">
        <f t="shared" si="2"/>
        <v>0</v>
      </c>
      <c r="N179" s="11">
        <f t="shared" si="3"/>
        <v>0</v>
      </c>
      <c r="O179" s="11">
        <f t="shared" si="4"/>
        <v>0</v>
      </c>
      <c r="P179" s="11">
        <f t="shared" si="29"/>
        <v>0</v>
      </c>
    </row>
    <row r="180" spans="1:16" ht="15" hidden="1" customHeight="1">
      <c r="A180" s="44"/>
      <c r="B180" s="5">
        <f t="shared" si="31"/>
        <v>45962</v>
      </c>
      <c r="C180" s="218" t="s">
        <v>533</v>
      </c>
      <c r="D180" s="195"/>
      <c r="E180" s="186"/>
      <c r="F180" s="2"/>
      <c r="G180" s="3">
        <f t="shared" si="30"/>
        <v>0</v>
      </c>
      <c r="H180" s="187"/>
      <c r="I180" s="7"/>
      <c r="J180" s="7">
        <v>1.6500000000000001E-2</v>
      </c>
      <c r="K180" s="7">
        <v>7.5999999999999998E-2</v>
      </c>
      <c r="L180" s="7">
        <v>0</v>
      </c>
      <c r="M180" s="11">
        <f t="shared" si="2"/>
        <v>0</v>
      </c>
      <c r="N180" s="11">
        <f t="shared" si="3"/>
        <v>0</v>
      </c>
      <c r="O180" s="11">
        <f t="shared" si="4"/>
        <v>0</v>
      </c>
      <c r="P180" s="11">
        <f t="shared" si="29"/>
        <v>0</v>
      </c>
    </row>
    <row r="181" spans="1:16" ht="15" hidden="1" customHeight="1">
      <c r="A181" s="44"/>
      <c r="B181" s="5">
        <f t="shared" si="31"/>
        <v>45962</v>
      </c>
      <c r="C181" s="218" t="s">
        <v>533</v>
      </c>
      <c r="D181" s="195"/>
      <c r="E181" s="186"/>
      <c r="F181" s="2"/>
      <c r="G181" s="3">
        <f t="shared" si="30"/>
        <v>0</v>
      </c>
      <c r="H181" s="187"/>
      <c r="I181" s="7"/>
      <c r="J181" s="7">
        <v>1.6500000000000001E-2</v>
      </c>
      <c r="K181" s="7">
        <v>7.5999999999999998E-2</v>
      </c>
      <c r="L181" s="7">
        <v>0</v>
      </c>
      <c r="M181" s="11">
        <f t="shared" si="2"/>
        <v>0</v>
      </c>
      <c r="N181" s="11">
        <f t="shared" si="3"/>
        <v>0</v>
      </c>
      <c r="O181" s="11">
        <f t="shared" si="4"/>
        <v>0</v>
      </c>
      <c r="P181" s="11">
        <f t="shared" si="29"/>
        <v>0</v>
      </c>
    </row>
    <row r="182" spans="1:16" ht="15" hidden="1" customHeight="1">
      <c r="A182" s="44"/>
      <c r="B182" s="5">
        <f t="shared" si="31"/>
        <v>45962</v>
      </c>
      <c r="C182" s="218" t="s">
        <v>533</v>
      </c>
      <c r="D182" s="195"/>
      <c r="E182" s="186"/>
      <c r="F182" s="2"/>
      <c r="G182" s="3">
        <f t="shared" si="30"/>
        <v>0</v>
      </c>
      <c r="H182" s="187"/>
      <c r="I182" s="7"/>
      <c r="J182" s="7">
        <v>1.6500000000000001E-2</v>
      </c>
      <c r="K182" s="7">
        <v>7.5999999999999998E-2</v>
      </c>
      <c r="L182" s="7">
        <v>0</v>
      </c>
      <c r="M182" s="11">
        <f t="shared" si="2"/>
        <v>0</v>
      </c>
      <c r="N182" s="11">
        <f t="shared" si="3"/>
        <v>0</v>
      </c>
      <c r="O182" s="11">
        <f t="shared" si="4"/>
        <v>0</v>
      </c>
      <c r="P182" s="11">
        <f t="shared" si="29"/>
        <v>0</v>
      </c>
    </row>
    <row r="183" spans="1:16" ht="15" hidden="1" customHeight="1">
      <c r="A183" s="44"/>
      <c r="B183" s="5">
        <f t="shared" si="31"/>
        <v>45962</v>
      </c>
      <c r="C183" s="218" t="s">
        <v>533</v>
      </c>
      <c r="D183" s="195"/>
      <c r="E183" s="186"/>
      <c r="F183" s="2"/>
      <c r="G183" s="3">
        <f t="shared" si="30"/>
        <v>0</v>
      </c>
      <c r="H183" s="187"/>
      <c r="I183" s="7"/>
      <c r="J183" s="7">
        <v>1.6500000000000001E-2</v>
      </c>
      <c r="K183" s="7">
        <v>7.5999999999999998E-2</v>
      </c>
      <c r="L183" s="7">
        <v>0</v>
      </c>
      <c r="M183" s="11">
        <f t="shared" si="2"/>
        <v>0</v>
      </c>
      <c r="N183" s="11">
        <f t="shared" si="3"/>
        <v>0</v>
      </c>
      <c r="O183" s="11">
        <f t="shared" si="4"/>
        <v>0</v>
      </c>
      <c r="P183" s="11">
        <f t="shared" si="29"/>
        <v>0</v>
      </c>
    </row>
    <row r="184" spans="1:16" ht="15" hidden="1" customHeight="1">
      <c r="A184" s="44"/>
      <c r="B184" s="5">
        <f t="shared" si="31"/>
        <v>45962</v>
      </c>
      <c r="C184" s="218" t="s">
        <v>533</v>
      </c>
      <c r="D184" s="195"/>
      <c r="E184" s="186"/>
      <c r="F184" s="2"/>
      <c r="G184" s="3">
        <f t="shared" si="30"/>
        <v>0</v>
      </c>
      <c r="H184" s="187"/>
      <c r="I184" s="7"/>
      <c r="J184" s="7">
        <v>1.6500000000000001E-2</v>
      </c>
      <c r="K184" s="7">
        <v>7.5999999999999998E-2</v>
      </c>
      <c r="L184" s="7">
        <v>0</v>
      </c>
      <c r="M184" s="11">
        <f t="shared" si="2"/>
        <v>0</v>
      </c>
      <c r="N184" s="11">
        <f t="shared" si="3"/>
        <v>0</v>
      </c>
      <c r="O184" s="11">
        <f t="shared" si="4"/>
        <v>0</v>
      </c>
      <c r="P184" s="11">
        <f t="shared" si="29"/>
        <v>0</v>
      </c>
    </row>
    <row r="185" spans="1:16" ht="15" hidden="1" customHeight="1">
      <c r="A185" s="44"/>
      <c r="B185" s="5">
        <f t="shared" si="31"/>
        <v>45962</v>
      </c>
      <c r="C185" s="218" t="s">
        <v>533</v>
      </c>
      <c r="D185" s="195"/>
      <c r="E185" s="186"/>
      <c r="F185" s="2"/>
      <c r="G185" s="3">
        <f t="shared" si="30"/>
        <v>0</v>
      </c>
      <c r="H185" s="187"/>
      <c r="I185" s="7"/>
      <c r="J185" s="7">
        <v>1.6500000000000001E-2</v>
      </c>
      <c r="K185" s="7">
        <v>7.5999999999999998E-2</v>
      </c>
      <c r="L185" s="7">
        <v>0</v>
      </c>
      <c r="M185" s="11">
        <f t="shared" si="2"/>
        <v>0</v>
      </c>
      <c r="N185" s="11">
        <f t="shared" si="3"/>
        <v>0</v>
      </c>
      <c r="O185" s="11">
        <f t="shared" si="4"/>
        <v>0</v>
      </c>
      <c r="P185" s="11">
        <f t="shared" si="29"/>
        <v>0</v>
      </c>
    </row>
    <row r="186" spans="1:16">
      <c r="B186" s="5"/>
      <c r="C186" s="1"/>
      <c r="E186" s="1"/>
      <c r="F186" s="2"/>
      <c r="G186" s="4"/>
      <c r="H186" s="4"/>
      <c r="I186" s="7"/>
      <c r="J186" s="7"/>
      <c r="K186" s="7"/>
      <c r="L186" s="7"/>
    </row>
    <row r="187" spans="1:16">
      <c r="E187" s="28">
        <f>SUM(E18:E185)</f>
        <v>44249720.068999998</v>
      </c>
      <c r="F187" s="133"/>
      <c r="G187" s="29">
        <f>SUM(G18:G185)</f>
        <v>93912079.081037223</v>
      </c>
    </row>
    <row r="188" spans="1:16">
      <c r="E188" s="137"/>
      <c r="F188" s="41"/>
    </row>
    <row r="189" spans="1:16" ht="15.75" thickBot="1"/>
    <row r="190" spans="1:16">
      <c r="B190" s="391" t="s">
        <v>1060</v>
      </c>
      <c r="C190" s="383"/>
      <c r="D190" s="383"/>
      <c r="E190" s="383"/>
      <c r="F190" s="383"/>
      <c r="G190" s="383"/>
      <c r="H190" s="383"/>
      <c r="I190" s="383"/>
      <c r="J190" s="383"/>
      <c r="K190" s="383"/>
      <c r="L190" s="383"/>
      <c r="M190" s="383"/>
      <c r="N190" s="383"/>
      <c r="O190" s="384"/>
    </row>
    <row r="191" spans="1:16">
      <c r="B191" s="385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7"/>
    </row>
    <row r="192" spans="1:16">
      <c r="B192" s="385"/>
      <c r="C192" s="386"/>
      <c r="D192" s="386"/>
      <c r="E192" s="386"/>
      <c r="F192" s="386"/>
      <c r="G192" s="386"/>
      <c r="H192" s="386"/>
      <c r="I192" s="386"/>
      <c r="J192" s="386"/>
      <c r="K192" s="386"/>
      <c r="L192" s="386"/>
      <c r="M192" s="386"/>
      <c r="N192" s="386"/>
      <c r="O192" s="387"/>
    </row>
    <row r="193" spans="2:15">
      <c r="B193" s="385"/>
      <c r="C193" s="386"/>
      <c r="D193" s="386"/>
      <c r="E193" s="386"/>
      <c r="F193" s="386"/>
      <c r="G193" s="386"/>
      <c r="H193" s="386"/>
      <c r="I193" s="386"/>
      <c r="J193" s="386"/>
      <c r="K193" s="386"/>
      <c r="L193" s="386"/>
      <c r="M193" s="386"/>
      <c r="N193" s="386"/>
      <c r="O193" s="387"/>
    </row>
    <row r="194" spans="2:15" ht="27" customHeight="1">
      <c r="B194" s="385"/>
      <c r="C194" s="386"/>
      <c r="D194" s="386"/>
      <c r="E194" s="386"/>
      <c r="F194" s="386"/>
      <c r="G194" s="386"/>
      <c r="H194" s="386"/>
      <c r="I194" s="386"/>
      <c r="J194" s="386"/>
      <c r="K194" s="386"/>
      <c r="L194" s="386"/>
      <c r="M194" s="386"/>
      <c r="N194" s="386"/>
      <c r="O194" s="387"/>
    </row>
    <row r="195" spans="2:15" ht="44.25" customHeight="1" thickBot="1">
      <c r="B195" s="388"/>
      <c r="C195" s="389"/>
      <c r="D195" s="389"/>
      <c r="E195" s="389"/>
      <c r="F195" s="389"/>
      <c r="G195" s="389"/>
      <c r="H195" s="389"/>
      <c r="I195" s="389"/>
      <c r="J195" s="389"/>
      <c r="K195" s="389"/>
      <c r="L195" s="389"/>
      <c r="M195" s="389"/>
      <c r="N195" s="389"/>
      <c r="O195" s="390"/>
    </row>
    <row r="206" spans="2:15">
      <c r="E206" s="19"/>
    </row>
    <row r="207" spans="2:15">
      <c r="E207" s="19"/>
    </row>
  </sheetData>
  <mergeCells count="3">
    <mergeCell ref="C2:M2"/>
    <mergeCell ref="M16:P16"/>
    <mergeCell ref="B190:O195"/>
  </mergeCells>
  <phoneticPr fontId="28" type="noConversion"/>
  <conditionalFormatting sqref="D1:D1048576">
    <cfRule type="duplicateValues" dxfId="26" priority="1"/>
    <cfRule type="duplicateValues" dxfId="25" priority="2"/>
  </conditionalFormatting>
  <conditionalFormatting sqref="D7">
    <cfRule type="duplicateValues" dxfId="24" priority="5"/>
  </conditionalFormatting>
  <conditionalFormatting sqref="D18:D54">
    <cfRule type="duplicateValues" dxfId="23" priority="4"/>
  </conditionalFormatting>
  <conditionalFormatting sqref="D189:D1048576 D1:D187">
    <cfRule type="duplicateValues" dxfId="22" priority="3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85E7-F8A0-4289-9067-DBA711F515D9}">
  <sheetPr>
    <pageSetUpPr fitToPage="1"/>
  </sheetPr>
  <dimension ref="A2:P204"/>
  <sheetViews>
    <sheetView showGridLines="0" topLeftCell="A100" zoomScale="90" zoomScaleNormal="90" workbookViewId="0">
      <selection activeCell="G60" sqref="G60:G139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6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2:16" ht="23.25">
      <c r="C3" s="13">
        <v>45992</v>
      </c>
    </row>
    <row r="5" spans="2:16">
      <c r="C5" t="s">
        <v>17</v>
      </c>
      <c r="D5" s="14">
        <f t="shared" ref="D5:D10" ca="1" si="0">SUMIF($C$18:$G$182,$C$5:$C$10,$G$18:$G$182)/SUMIF($C$18:$G$182,$C$5:$C$10,$E$18:$E$182)</f>
        <v>2.1120184526802417</v>
      </c>
    </row>
    <row r="6" spans="2:16">
      <c r="C6" t="s">
        <v>440</v>
      </c>
      <c r="D6" s="14">
        <f t="shared" ca="1" si="0"/>
        <v>1.8530315099999999</v>
      </c>
    </row>
    <row r="7" spans="2:16">
      <c r="C7" t="s">
        <v>491</v>
      </c>
      <c r="D7" s="14">
        <f t="shared" ca="1" si="0"/>
        <v>1.9553999994774194</v>
      </c>
    </row>
    <row r="8" spans="2:16">
      <c r="C8" t="s">
        <v>756</v>
      </c>
      <c r="D8" s="14">
        <f t="shared" ca="1" si="0"/>
        <v>3.1817939139573967</v>
      </c>
      <c r="I8" s="19"/>
    </row>
    <row r="9" spans="2:16">
      <c r="C9" t="s">
        <v>757</v>
      </c>
      <c r="D9" s="14">
        <f t="shared" ca="1" si="0"/>
        <v>3.5957690801184405</v>
      </c>
      <c r="E9" s="14"/>
      <c r="F9" s="32"/>
      <c r="H9" s="137"/>
      <c r="I9" s="19"/>
    </row>
    <row r="10" spans="2:16">
      <c r="C10" t="s">
        <v>533</v>
      </c>
      <c r="D10" s="14" t="e">
        <f t="shared" ca="1" si="0"/>
        <v>#DIV/0!</v>
      </c>
    </row>
    <row r="11" spans="2:16">
      <c r="C11" s="30" t="s">
        <v>129</v>
      </c>
      <c r="D11" s="31">
        <f>+G184/E184</f>
        <v>2.1382732426844271</v>
      </c>
    </row>
    <row r="12" spans="2:16">
      <c r="D12" s="19"/>
    </row>
    <row r="13" spans="2:16">
      <c r="D13" s="22"/>
    </row>
    <row r="15" spans="2:16">
      <c r="E15" s="137"/>
    </row>
    <row r="16" spans="2:16" ht="15" customHeight="1">
      <c r="B16" s="23"/>
      <c r="C16" s="23"/>
      <c r="D16" s="23"/>
      <c r="E16" s="23"/>
      <c r="F16" s="23"/>
      <c r="G16" s="23"/>
      <c r="H16" s="365"/>
      <c r="I16" s="24"/>
      <c r="J16" s="24"/>
      <c r="K16" s="24"/>
      <c r="L16" s="24"/>
      <c r="M16" s="381" t="s">
        <v>100</v>
      </c>
      <c r="N16" s="381"/>
      <c r="O16" s="381"/>
      <c r="P16" s="381"/>
    </row>
    <row r="17" spans="1:16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6" t="s">
        <v>537</v>
      </c>
      <c r="M17" s="27" t="s">
        <v>3</v>
      </c>
      <c r="N17" s="27" t="s">
        <v>97</v>
      </c>
      <c r="O17" s="27" t="s">
        <v>98</v>
      </c>
      <c r="P17" s="27" t="s">
        <v>537</v>
      </c>
    </row>
    <row r="18" spans="1:16">
      <c r="A18" s="44"/>
      <c r="B18" s="5">
        <f>C3</f>
        <v>45992</v>
      </c>
      <c r="C18" s="217" t="s">
        <v>17</v>
      </c>
      <c r="D18" s="216" t="s">
        <v>1088</v>
      </c>
      <c r="E18" s="1">
        <v>58343</v>
      </c>
      <c r="F18" s="2">
        <v>155603.24</v>
      </c>
      <c r="G18" s="3">
        <f>F18-SUM(M18:P18)</f>
        <v>124264.74746399999</v>
      </c>
      <c r="H18" s="202">
        <f t="shared" ref="H18:H44" si="1">+IF(G18=0,0,G18/E18)</f>
        <v>2.1298998588348215</v>
      </c>
      <c r="I18" s="200">
        <v>0.12</v>
      </c>
      <c r="J18" s="7">
        <v>1.6500000000000001E-2</v>
      </c>
      <c r="K18" s="7">
        <v>7.5999999999999998E-2</v>
      </c>
      <c r="L18" s="7">
        <v>0</v>
      </c>
      <c r="M18" s="11">
        <f t="shared" ref="M18:M182" si="2">+I18*F18</f>
        <v>18672.388799999997</v>
      </c>
      <c r="N18" s="11">
        <f t="shared" ref="N18:N182" si="3">J18*(F18-M18)</f>
        <v>2259.3590448</v>
      </c>
      <c r="O18" s="11">
        <f t="shared" ref="O18:O182" si="4">K18*(F18-M18)</f>
        <v>10406.7446912</v>
      </c>
      <c r="P18" s="11">
        <f t="shared" ref="P18:P81" si="5">L18*(F18)</f>
        <v>0</v>
      </c>
    </row>
    <row r="19" spans="1:16">
      <c r="A19" s="44"/>
      <c r="B19" s="5">
        <f>B18</f>
        <v>45992</v>
      </c>
      <c r="C19" s="217" t="s">
        <v>17</v>
      </c>
      <c r="D19" s="216" t="s">
        <v>1089</v>
      </c>
      <c r="E19" s="1">
        <v>803</v>
      </c>
      <c r="F19" s="2">
        <v>2016.25</v>
      </c>
      <c r="G19" s="3">
        <f t="shared" ref="G19:G52" si="6">F19-SUM(M19:P19)</f>
        <v>1610.17725</v>
      </c>
      <c r="H19" s="202">
        <f t="shared" si="1"/>
        <v>2.0052020547945206</v>
      </c>
      <c r="I19" s="200">
        <v>0.12</v>
      </c>
      <c r="J19" s="7">
        <v>1.6500000000000001E-2</v>
      </c>
      <c r="K19" s="7">
        <v>7.5999999999999998E-2</v>
      </c>
      <c r="L19" s="7">
        <v>0</v>
      </c>
      <c r="M19" s="11">
        <f t="shared" si="2"/>
        <v>241.95</v>
      </c>
      <c r="N19" s="11">
        <f t="shared" si="3"/>
        <v>29.275950000000002</v>
      </c>
      <c r="O19" s="11">
        <f t="shared" si="4"/>
        <v>134.8468</v>
      </c>
      <c r="P19" s="11">
        <f t="shared" si="5"/>
        <v>0</v>
      </c>
    </row>
    <row r="20" spans="1:16">
      <c r="A20" s="44"/>
      <c r="B20" s="5">
        <f t="shared" ref="B20:B53" si="7">B19</f>
        <v>45992</v>
      </c>
      <c r="C20" s="217" t="s">
        <v>17</v>
      </c>
      <c r="D20" s="216" t="s">
        <v>1090</v>
      </c>
      <c r="E20" s="1">
        <v>5075</v>
      </c>
      <c r="F20" s="2">
        <v>11862.65</v>
      </c>
      <c r="G20" s="3">
        <f t="shared" si="6"/>
        <v>9473.5122899999988</v>
      </c>
      <c r="H20" s="202">
        <f t="shared" si="1"/>
        <v>1.8667019290640392</v>
      </c>
      <c r="I20" s="200">
        <v>0.12</v>
      </c>
      <c r="J20" s="7">
        <v>1.6500000000000001E-2</v>
      </c>
      <c r="K20" s="7">
        <v>7.5999999999999998E-2</v>
      </c>
      <c r="L20" s="7">
        <v>0</v>
      </c>
      <c r="M20" s="11">
        <f t="shared" si="2"/>
        <v>1423.5179999999998</v>
      </c>
      <c r="N20" s="11">
        <f t="shared" si="3"/>
        <v>172.245678</v>
      </c>
      <c r="O20" s="11">
        <f t="shared" si="4"/>
        <v>793.37403199999994</v>
      </c>
      <c r="P20" s="11">
        <f t="shared" si="5"/>
        <v>0</v>
      </c>
    </row>
    <row r="21" spans="1:16">
      <c r="A21" s="44"/>
      <c r="B21" s="5">
        <f t="shared" si="7"/>
        <v>45992</v>
      </c>
      <c r="C21" s="217" t="s">
        <v>17</v>
      </c>
      <c r="D21" s="214" t="s">
        <v>1091</v>
      </c>
      <c r="E21" s="1">
        <v>2810</v>
      </c>
      <c r="F21" s="2">
        <v>7055.62</v>
      </c>
      <c r="G21" s="3">
        <f t="shared" si="6"/>
        <v>5634.6181319999996</v>
      </c>
      <c r="H21" s="202">
        <f t="shared" si="1"/>
        <v>2.0052021822064057</v>
      </c>
      <c r="I21" s="200">
        <v>0.12</v>
      </c>
      <c r="J21" s="7">
        <v>1.6500000000000001E-2</v>
      </c>
      <c r="K21" s="7">
        <v>7.5999999999999998E-2</v>
      </c>
      <c r="L21" s="7">
        <v>0</v>
      </c>
      <c r="M21" s="11">
        <f t="shared" si="2"/>
        <v>846.67439999999999</v>
      </c>
      <c r="N21" s="11">
        <f t="shared" si="3"/>
        <v>102.44760240000001</v>
      </c>
      <c r="O21" s="11">
        <f t="shared" si="4"/>
        <v>471.87986560000002</v>
      </c>
      <c r="P21" s="11">
        <f t="shared" si="5"/>
        <v>0</v>
      </c>
    </row>
    <row r="22" spans="1:16">
      <c r="A22" s="44"/>
      <c r="B22" s="5">
        <f t="shared" si="7"/>
        <v>45992</v>
      </c>
      <c r="C22" s="217" t="s">
        <v>17</v>
      </c>
      <c r="D22" s="214" t="s">
        <v>1092</v>
      </c>
      <c r="E22" s="1">
        <v>5748</v>
      </c>
      <c r="F22" s="2">
        <v>13435.74</v>
      </c>
      <c r="G22" s="3">
        <f t="shared" si="6"/>
        <v>10729.781964</v>
      </c>
      <c r="H22" s="202">
        <f t="shared" si="1"/>
        <v>1.8666983235908141</v>
      </c>
      <c r="I22" s="200">
        <v>0.12</v>
      </c>
      <c r="J22" s="7">
        <v>1.6500000000000001E-2</v>
      </c>
      <c r="K22" s="7">
        <v>7.5999999999999998E-2</v>
      </c>
      <c r="L22" s="7">
        <v>0</v>
      </c>
      <c r="M22" s="11">
        <f t="shared" si="2"/>
        <v>1612.2887999999998</v>
      </c>
      <c r="N22" s="11">
        <f t="shared" si="3"/>
        <v>195.0869448</v>
      </c>
      <c r="O22" s="11">
        <f t="shared" si="4"/>
        <v>898.58229119999999</v>
      </c>
      <c r="P22" s="11">
        <f t="shared" si="5"/>
        <v>0</v>
      </c>
    </row>
    <row r="23" spans="1:16">
      <c r="A23" s="44"/>
      <c r="B23" s="5">
        <f t="shared" si="7"/>
        <v>45992</v>
      </c>
      <c r="C23" s="217" t="s">
        <v>17</v>
      </c>
      <c r="D23" s="214" t="s">
        <v>1093</v>
      </c>
      <c r="E23" s="1">
        <v>147622</v>
      </c>
      <c r="F23" s="2">
        <v>393714.12</v>
      </c>
      <c r="G23" s="3">
        <f t="shared" si="6"/>
        <v>314420.09623199998</v>
      </c>
      <c r="H23" s="202">
        <f t="shared" si="1"/>
        <v>2.1298999893782766</v>
      </c>
      <c r="I23" s="200">
        <v>0.12</v>
      </c>
      <c r="J23" s="7">
        <v>1.6500000000000001E-2</v>
      </c>
      <c r="K23" s="7">
        <v>7.5999999999999998E-2</v>
      </c>
      <c r="L23" s="7">
        <v>0</v>
      </c>
      <c r="M23" s="11">
        <f t="shared" si="2"/>
        <v>47245.6944</v>
      </c>
      <c r="N23" s="11">
        <f t="shared" si="3"/>
        <v>5716.7290224000008</v>
      </c>
      <c r="O23" s="11">
        <f t="shared" si="4"/>
        <v>26331.6003456</v>
      </c>
      <c r="P23" s="11">
        <f t="shared" si="5"/>
        <v>0</v>
      </c>
    </row>
    <row r="24" spans="1:16">
      <c r="A24" s="44"/>
      <c r="B24" s="5">
        <f t="shared" si="7"/>
        <v>45992</v>
      </c>
      <c r="C24" s="217" t="s">
        <v>17</v>
      </c>
      <c r="D24" s="194" t="s">
        <v>1094</v>
      </c>
      <c r="E24" s="1">
        <v>57092</v>
      </c>
      <c r="F24" s="2">
        <v>143351.97</v>
      </c>
      <c r="G24" s="3">
        <f t="shared" si="6"/>
        <v>114480.88324200001</v>
      </c>
      <c r="H24" s="202">
        <f t="shared" si="1"/>
        <v>2.0052000848104816</v>
      </c>
      <c r="I24" s="200">
        <v>0.12</v>
      </c>
      <c r="J24" s="7">
        <v>1.6500000000000001E-2</v>
      </c>
      <c r="K24" s="7">
        <v>7.5999999999999998E-2</v>
      </c>
      <c r="L24" s="7">
        <v>0</v>
      </c>
      <c r="M24" s="11">
        <f t="shared" si="2"/>
        <v>17202.236399999998</v>
      </c>
      <c r="N24" s="11">
        <f t="shared" si="3"/>
        <v>2081.4706044000004</v>
      </c>
      <c r="O24" s="11">
        <f t="shared" si="4"/>
        <v>9587.3797536000002</v>
      </c>
      <c r="P24" s="11">
        <f t="shared" si="5"/>
        <v>0</v>
      </c>
    </row>
    <row r="25" spans="1:16">
      <c r="A25" s="44"/>
      <c r="B25" s="5">
        <f t="shared" si="7"/>
        <v>45992</v>
      </c>
      <c r="C25" s="217" t="s">
        <v>17</v>
      </c>
      <c r="D25" s="196" t="s">
        <v>1095</v>
      </c>
      <c r="E25" s="1">
        <v>352315</v>
      </c>
      <c r="F25" s="2">
        <v>823524.18</v>
      </c>
      <c r="G25" s="3">
        <f t="shared" si="6"/>
        <v>657666.41014800011</v>
      </c>
      <c r="H25" s="202">
        <f t="shared" si="1"/>
        <v>1.8666999990008943</v>
      </c>
      <c r="I25" s="200">
        <v>0.12</v>
      </c>
      <c r="J25" s="7">
        <v>1.6500000000000001E-2</v>
      </c>
      <c r="K25" s="7">
        <v>7.5999999999999998E-2</v>
      </c>
      <c r="L25" s="7">
        <v>0</v>
      </c>
      <c r="M25" s="11">
        <f t="shared" si="2"/>
        <v>98822.901599999997</v>
      </c>
      <c r="N25" s="11">
        <f t="shared" si="3"/>
        <v>11957.571093600001</v>
      </c>
      <c r="O25" s="11">
        <f t="shared" si="4"/>
        <v>55077.297158400004</v>
      </c>
      <c r="P25" s="11">
        <f t="shared" si="5"/>
        <v>0</v>
      </c>
    </row>
    <row r="26" spans="1:16">
      <c r="A26" s="44"/>
      <c r="B26" s="5">
        <f t="shared" si="7"/>
        <v>45992</v>
      </c>
      <c r="C26" s="217" t="s">
        <v>17</v>
      </c>
      <c r="D26" s="194" t="s">
        <v>1096</v>
      </c>
      <c r="E26" s="1">
        <v>6207896</v>
      </c>
      <c r="F26" s="2">
        <v>16556721.390000001</v>
      </c>
      <c r="G26" s="3">
        <f t="shared" si="6"/>
        <v>13222197.702054001</v>
      </c>
      <c r="H26" s="202">
        <f t="shared" si="1"/>
        <v>2.1299000018772869</v>
      </c>
      <c r="I26" s="200">
        <v>0.12</v>
      </c>
      <c r="J26" s="7">
        <v>1.6500000000000001E-2</v>
      </c>
      <c r="K26" s="7">
        <v>7.5999999999999998E-2</v>
      </c>
      <c r="L26" s="7">
        <v>0</v>
      </c>
      <c r="M26" s="11">
        <f t="shared" si="2"/>
        <v>1986806.5667999999</v>
      </c>
      <c r="N26" s="11">
        <f t="shared" si="3"/>
        <v>240403.59458280003</v>
      </c>
      <c r="O26" s="11">
        <f t="shared" si="4"/>
        <v>1107313.5265631999</v>
      </c>
      <c r="P26" s="11">
        <f t="shared" si="5"/>
        <v>0</v>
      </c>
    </row>
    <row r="27" spans="1:16">
      <c r="A27" s="44"/>
      <c r="B27" s="5">
        <f t="shared" si="7"/>
        <v>45992</v>
      </c>
      <c r="C27" s="217" t="s">
        <v>17</v>
      </c>
      <c r="D27" s="194" t="s">
        <v>1097</v>
      </c>
      <c r="E27" s="1">
        <v>40549</v>
      </c>
      <c r="F27" s="2">
        <v>101814.25</v>
      </c>
      <c r="G27" s="3">
        <f t="shared" si="6"/>
        <v>81308.860050000003</v>
      </c>
      <c r="H27" s="202">
        <f t="shared" si="1"/>
        <v>2.0052001294729833</v>
      </c>
      <c r="I27" s="200">
        <v>0.12</v>
      </c>
      <c r="J27" s="7">
        <v>1.6500000000000001E-2</v>
      </c>
      <c r="K27" s="7">
        <v>7.5999999999999998E-2</v>
      </c>
      <c r="L27" s="7">
        <v>0</v>
      </c>
      <c r="M27" s="11">
        <f t="shared" si="2"/>
        <v>12217.71</v>
      </c>
      <c r="N27" s="11">
        <f t="shared" si="3"/>
        <v>1478.3429100000003</v>
      </c>
      <c r="O27" s="11">
        <f t="shared" si="4"/>
        <v>6809.3370400000003</v>
      </c>
      <c r="P27" s="11">
        <f t="shared" si="5"/>
        <v>0</v>
      </c>
    </row>
    <row r="28" spans="1:16">
      <c r="A28" s="44"/>
      <c r="B28" s="5">
        <f t="shared" si="7"/>
        <v>45992</v>
      </c>
      <c r="C28" s="217" t="s">
        <v>17</v>
      </c>
      <c r="D28" s="194" t="s">
        <v>1098</v>
      </c>
      <c r="E28" s="1">
        <v>100789</v>
      </c>
      <c r="F28" s="2">
        <v>253070.51</v>
      </c>
      <c r="G28" s="3">
        <f t="shared" si="6"/>
        <v>202102.10928600002</v>
      </c>
      <c r="H28" s="202">
        <f t="shared" si="1"/>
        <v>2.0052000643522607</v>
      </c>
      <c r="I28" s="200">
        <v>0.12</v>
      </c>
      <c r="J28" s="7">
        <v>1.6500000000000001E-2</v>
      </c>
      <c r="K28" s="7">
        <v>7.5999999999999998E-2</v>
      </c>
      <c r="L28" s="7">
        <v>0</v>
      </c>
      <c r="M28" s="11">
        <f t="shared" si="2"/>
        <v>30368.461200000002</v>
      </c>
      <c r="N28" s="11">
        <f t="shared" si="3"/>
        <v>3674.5838052000004</v>
      </c>
      <c r="O28" s="11">
        <f t="shared" si="4"/>
        <v>16925.355708800002</v>
      </c>
      <c r="P28" s="11">
        <f t="shared" si="5"/>
        <v>0</v>
      </c>
    </row>
    <row r="29" spans="1:16">
      <c r="A29" s="44"/>
      <c r="B29" s="5">
        <f t="shared" si="7"/>
        <v>45992</v>
      </c>
      <c r="C29" s="217" t="s">
        <v>17</v>
      </c>
      <c r="D29" s="194" t="s">
        <v>1099</v>
      </c>
      <c r="E29" s="1">
        <v>202515</v>
      </c>
      <c r="F29" s="2">
        <v>473371.84</v>
      </c>
      <c r="G29" s="3">
        <f t="shared" si="6"/>
        <v>378034.75142400002</v>
      </c>
      <c r="H29" s="202">
        <f t="shared" si="1"/>
        <v>1.866700004562625</v>
      </c>
      <c r="I29" s="200">
        <v>0.12</v>
      </c>
      <c r="J29" s="7">
        <v>1.6500000000000001E-2</v>
      </c>
      <c r="K29" s="7">
        <v>7.5999999999999998E-2</v>
      </c>
      <c r="L29" s="7">
        <v>0</v>
      </c>
      <c r="M29" s="11">
        <f t="shared" si="2"/>
        <v>56804.620800000004</v>
      </c>
      <c r="N29" s="11">
        <f t="shared" si="3"/>
        <v>6873.3591168000012</v>
      </c>
      <c r="O29" s="11">
        <f t="shared" si="4"/>
        <v>31659.108659200003</v>
      </c>
      <c r="P29" s="11">
        <f t="shared" si="5"/>
        <v>0</v>
      </c>
    </row>
    <row r="30" spans="1:16">
      <c r="A30" s="44"/>
      <c r="B30" s="5">
        <f t="shared" si="7"/>
        <v>45992</v>
      </c>
      <c r="C30" s="217" t="s">
        <v>17</v>
      </c>
      <c r="D30" s="194" t="s">
        <v>1100</v>
      </c>
      <c r="E30" s="1">
        <v>519383</v>
      </c>
      <c r="F30" s="2">
        <v>1214039.8799999999</v>
      </c>
      <c r="G30" s="3">
        <f t="shared" ref="G30:G44" si="8">F30-SUM(M30:P30)</f>
        <v>969532.2481679999</v>
      </c>
      <c r="H30" s="202">
        <f t="shared" si="1"/>
        <v>1.8667000039816473</v>
      </c>
      <c r="I30" s="200">
        <v>0.12</v>
      </c>
      <c r="J30" s="7">
        <v>1.6500000000000001E-2</v>
      </c>
      <c r="K30" s="7">
        <v>7.5999999999999998E-2</v>
      </c>
      <c r="L30" s="7">
        <v>0</v>
      </c>
      <c r="M30" s="11">
        <f t="shared" si="2"/>
        <v>145684.78559999997</v>
      </c>
      <c r="N30" s="11">
        <f t="shared" si="3"/>
        <v>17627.859057599999</v>
      </c>
      <c r="O30" s="11">
        <f t="shared" si="4"/>
        <v>81194.987174399983</v>
      </c>
      <c r="P30" s="11">
        <f t="shared" si="5"/>
        <v>0</v>
      </c>
    </row>
    <row r="31" spans="1:16">
      <c r="A31" s="44"/>
      <c r="B31" s="5">
        <f t="shared" si="7"/>
        <v>45992</v>
      </c>
      <c r="C31" s="217" t="s">
        <v>17</v>
      </c>
      <c r="D31" s="194" t="s">
        <v>1101</v>
      </c>
      <c r="E31" s="1">
        <v>2669372</v>
      </c>
      <c r="F31" s="2">
        <v>7119328.1100000003</v>
      </c>
      <c r="G31" s="3">
        <f t="shared" si="8"/>
        <v>5685495.4286460001</v>
      </c>
      <c r="H31" s="202">
        <f t="shared" si="1"/>
        <v>2.1299000021900283</v>
      </c>
      <c r="I31" s="200">
        <v>0.12</v>
      </c>
      <c r="J31" s="7">
        <v>1.6500000000000001E-2</v>
      </c>
      <c r="K31" s="7">
        <v>7.5999999999999998E-2</v>
      </c>
      <c r="L31" s="7">
        <v>0</v>
      </c>
      <c r="M31" s="11">
        <f t="shared" si="2"/>
        <v>854319.37320000003</v>
      </c>
      <c r="N31" s="11">
        <f t="shared" si="3"/>
        <v>103372.6441572</v>
      </c>
      <c r="O31" s="11">
        <f t="shared" si="4"/>
        <v>476140.66399679997</v>
      </c>
      <c r="P31" s="11">
        <f t="shared" si="5"/>
        <v>0</v>
      </c>
    </row>
    <row r="32" spans="1:16">
      <c r="A32" s="44"/>
      <c r="B32" s="5">
        <f t="shared" si="7"/>
        <v>45992</v>
      </c>
      <c r="C32" s="217" t="s">
        <v>17</v>
      </c>
      <c r="D32" s="194" t="s">
        <v>1102</v>
      </c>
      <c r="E32" s="1">
        <v>6924774</v>
      </c>
      <c r="F32" s="2">
        <v>18468665.34</v>
      </c>
      <c r="G32" s="3">
        <f t="shared" si="8"/>
        <v>14749076.140524</v>
      </c>
      <c r="H32" s="202">
        <f t="shared" si="1"/>
        <v>2.1298999997002066</v>
      </c>
      <c r="I32" s="200">
        <v>0.12</v>
      </c>
      <c r="J32" s="7">
        <v>1.6500000000000001E-2</v>
      </c>
      <c r="K32" s="7">
        <v>7.5999999999999998E-2</v>
      </c>
      <c r="L32" s="7">
        <v>0</v>
      </c>
      <c r="M32" s="11">
        <f t="shared" si="2"/>
        <v>2216239.8407999999</v>
      </c>
      <c r="N32" s="11">
        <f t="shared" si="3"/>
        <v>268165.02073679998</v>
      </c>
      <c r="O32" s="11">
        <f t="shared" si="4"/>
        <v>1235184.3379392</v>
      </c>
      <c r="P32" s="11">
        <f t="shared" si="5"/>
        <v>0</v>
      </c>
    </row>
    <row r="33" spans="1:16">
      <c r="A33" s="44"/>
      <c r="B33" s="5">
        <f t="shared" si="7"/>
        <v>45992</v>
      </c>
      <c r="C33" s="217" t="s">
        <v>17</v>
      </c>
      <c r="D33" s="194" t="s">
        <v>1103</v>
      </c>
      <c r="E33" s="1">
        <v>134257</v>
      </c>
      <c r="F33" s="2">
        <v>318981.18</v>
      </c>
      <c r="G33" s="3">
        <f t="shared" si="8"/>
        <v>269212.14139050001</v>
      </c>
      <c r="H33" s="202">
        <f t="shared" si="1"/>
        <v>2.0052000371712464</v>
      </c>
      <c r="I33" s="200">
        <v>7.0000000000000007E-2</v>
      </c>
      <c r="J33" s="7">
        <v>1.6500000000000001E-2</v>
      </c>
      <c r="K33" s="7">
        <v>7.5999999999999998E-2</v>
      </c>
      <c r="L33" s="7">
        <v>0</v>
      </c>
      <c r="M33" s="11">
        <f t="shared" si="2"/>
        <v>22328.6826</v>
      </c>
      <c r="N33" s="11">
        <f t="shared" si="3"/>
        <v>4894.7662071000004</v>
      </c>
      <c r="O33" s="11">
        <f t="shared" si="4"/>
        <v>22545.589802399998</v>
      </c>
      <c r="P33" s="11">
        <f t="shared" si="5"/>
        <v>0</v>
      </c>
    </row>
    <row r="34" spans="1:16">
      <c r="A34" s="44"/>
      <c r="B34" s="5">
        <f t="shared" si="7"/>
        <v>45992</v>
      </c>
      <c r="C34" s="217" t="s">
        <v>17</v>
      </c>
      <c r="D34" s="194" t="s">
        <v>1104</v>
      </c>
      <c r="E34" s="1">
        <v>11326049</v>
      </c>
      <c r="F34" s="2">
        <v>28583017</v>
      </c>
      <c r="G34" s="3">
        <f t="shared" si="8"/>
        <v>24123351.772574998</v>
      </c>
      <c r="H34" s="202">
        <f t="shared" si="1"/>
        <v>2.1299000006599829</v>
      </c>
      <c r="I34" s="200">
        <v>7.0000000000000007E-2</v>
      </c>
      <c r="J34" s="7">
        <v>1.6500000000000001E-2</v>
      </c>
      <c r="K34" s="7">
        <v>7.5999999999999998E-2</v>
      </c>
      <c r="L34" s="7">
        <v>0</v>
      </c>
      <c r="M34" s="11">
        <f t="shared" si="2"/>
        <v>2000811.1900000002</v>
      </c>
      <c r="N34" s="11">
        <f t="shared" si="3"/>
        <v>438606.39586499997</v>
      </c>
      <c r="O34" s="11">
        <f t="shared" si="4"/>
        <v>2020247.6415599999</v>
      </c>
      <c r="P34" s="11">
        <f t="shared" si="5"/>
        <v>0</v>
      </c>
    </row>
    <row r="35" spans="1:16">
      <c r="A35" s="44"/>
      <c r="B35" s="5">
        <f t="shared" si="7"/>
        <v>45992</v>
      </c>
      <c r="C35" s="217" t="s">
        <v>17</v>
      </c>
      <c r="D35" s="194" t="s">
        <v>1105</v>
      </c>
      <c r="E35" s="1">
        <v>760941</v>
      </c>
      <c r="F35" s="2">
        <v>1683045.79</v>
      </c>
      <c r="G35" s="3">
        <f t="shared" si="8"/>
        <v>1420448.5706152502</v>
      </c>
      <c r="H35" s="202">
        <f t="shared" si="1"/>
        <v>1.8667000077735989</v>
      </c>
      <c r="I35" s="200">
        <v>7.0000000000000007E-2</v>
      </c>
      <c r="J35" s="7">
        <v>1.6500000000000001E-2</v>
      </c>
      <c r="K35" s="7">
        <v>7.5999999999999998E-2</v>
      </c>
      <c r="L35" s="7">
        <v>0</v>
      </c>
      <c r="M35" s="11">
        <f t="shared" si="2"/>
        <v>117813.20530000002</v>
      </c>
      <c r="N35" s="11">
        <f t="shared" si="3"/>
        <v>25826.337647550001</v>
      </c>
      <c r="O35" s="11">
        <f t="shared" si="4"/>
        <v>118957.6764372</v>
      </c>
      <c r="P35" s="11">
        <f t="shared" si="5"/>
        <v>0</v>
      </c>
    </row>
    <row r="36" spans="1:16" hidden="1">
      <c r="A36" s="44"/>
      <c r="B36" s="5">
        <f t="shared" si="7"/>
        <v>45992</v>
      </c>
      <c r="C36" s="217" t="s">
        <v>17</v>
      </c>
      <c r="D36" s="194"/>
      <c r="E36" s="1"/>
      <c r="F36" s="2"/>
      <c r="G36" s="3">
        <f t="shared" si="8"/>
        <v>0</v>
      </c>
      <c r="H36" s="202">
        <f t="shared" si="1"/>
        <v>0</v>
      </c>
      <c r="I36" s="200"/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 hidden="1">
      <c r="A37" s="44"/>
      <c r="B37" s="5">
        <f t="shared" si="7"/>
        <v>45992</v>
      </c>
      <c r="C37" s="217" t="s">
        <v>17</v>
      </c>
      <c r="D37" s="194"/>
      <c r="E37" s="1"/>
      <c r="F37" s="2"/>
      <c r="G37" s="3">
        <f t="shared" si="8"/>
        <v>0</v>
      </c>
      <c r="H37" s="202">
        <f t="shared" si="1"/>
        <v>0</v>
      </c>
      <c r="I37" s="200"/>
      <c r="J37" s="7">
        <v>1.6500000000000001E-2</v>
      </c>
      <c r="K37" s="7">
        <v>7.5999999999999998E-2</v>
      </c>
      <c r="L37" s="7">
        <v>0</v>
      </c>
      <c r="M37" s="11">
        <f t="shared" si="2"/>
        <v>0</v>
      </c>
      <c r="N37" s="11">
        <f t="shared" si="3"/>
        <v>0</v>
      </c>
      <c r="O37" s="11">
        <f t="shared" si="4"/>
        <v>0</v>
      </c>
      <c r="P37" s="11">
        <f t="shared" si="5"/>
        <v>0</v>
      </c>
    </row>
    <row r="38" spans="1:16" hidden="1">
      <c r="A38" s="44"/>
      <c r="B38" s="5">
        <f t="shared" si="7"/>
        <v>45992</v>
      </c>
      <c r="C38" s="217" t="s">
        <v>17</v>
      </c>
      <c r="D38" s="194"/>
      <c r="E38" s="1"/>
      <c r="F38" s="2"/>
      <c r="G38" s="3">
        <f t="shared" si="8"/>
        <v>0</v>
      </c>
      <c r="H38" s="202">
        <f t="shared" si="1"/>
        <v>0</v>
      </c>
      <c r="I38" s="200"/>
      <c r="J38" s="7">
        <v>1.6500000000000001E-2</v>
      </c>
      <c r="K38" s="7">
        <v>7.5999999999999998E-2</v>
      </c>
      <c r="L38" s="7">
        <v>0</v>
      </c>
      <c r="M38" s="11">
        <f t="shared" si="2"/>
        <v>0</v>
      </c>
      <c r="N38" s="11">
        <f t="shared" si="3"/>
        <v>0</v>
      </c>
      <c r="O38" s="11">
        <f t="shared" si="4"/>
        <v>0</v>
      </c>
      <c r="P38" s="11">
        <f t="shared" si="5"/>
        <v>0</v>
      </c>
    </row>
    <row r="39" spans="1:16" hidden="1">
      <c r="A39" s="44"/>
      <c r="B39" s="5">
        <f t="shared" si="7"/>
        <v>45992</v>
      </c>
      <c r="C39" s="217" t="s">
        <v>17</v>
      </c>
      <c r="D39" s="194"/>
      <c r="E39" s="1"/>
      <c r="F39" s="2"/>
      <c r="G39" s="3">
        <f t="shared" si="8"/>
        <v>0</v>
      </c>
      <c r="H39" s="202">
        <f t="shared" si="1"/>
        <v>0</v>
      </c>
      <c r="I39" s="200"/>
      <c r="J39" s="7">
        <v>1.6500000000000001E-2</v>
      </c>
      <c r="K39" s="7">
        <v>7.5999999999999998E-2</v>
      </c>
      <c r="L39" s="7">
        <v>0</v>
      </c>
      <c r="M39" s="11">
        <f t="shared" si="2"/>
        <v>0</v>
      </c>
      <c r="N39" s="11">
        <f t="shared" si="3"/>
        <v>0</v>
      </c>
      <c r="O39" s="11">
        <f t="shared" si="4"/>
        <v>0</v>
      </c>
      <c r="P39" s="11">
        <f t="shared" si="5"/>
        <v>0</v>
      </c>
    </row>
    <row r="40" spans="1:16" hidden="1">
      <c r="A40" s="44"/>
      <c r="B40" s="5">
        <f t="shared" si="7"/>
        <v>45992</v>
      </c>
      <c r="C40" s="217" t="s">
        <v>17</v>
      </c>
      <c r="D40" s="194"/>
      <c r="E40" s="1"/>
      <c r="F40" s="2"/>
      <c r="G40" s="3">
        <f t="shared" si="8"/>
        <v>0</v>
      </c>
      <c r="H40" s="202">
        <f t="shared" si="1"/>
        <v>0</v>
      </c>
      <c r="I40" s="200"/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 hidden="1">
      <c r="A41" s="44"/>
      <c r="B41" s="5">
        <f t="shared" si="7"/>
        <v>45992</v>
      </c>
      <c r="C41" s="217" t="s">
        <v>17</v>
      </c>
      <c r="D41" s="194"/>
      <c r="E41" s="1"/>
      <c r="F41" s="2"/>
      <c r="G41" s="3">
        <f t="shared" si="8"/>
        <v>0</v>
      </c>
      <c r="H41" s="202">
        <f t="shared" si="1"/>
        <v>0</v>
      </c>
      <c r="I41" s="200"/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 hidden="1">
      <c r="A42" s="44"/>
      <c r="B42" s="5">
        <f t="shared" si="7"/>
        <v>45992</v>
      </c>
      <c r="C42" s="217" t="s">
        <v>17</v>
      </c>
      <c r="D42" s="194"/>
      <c r="E42" s="1"/>
      <c r="F42" s="2"/>
      <c r="G42" s="3">
        <f t="shared" si="8"/>
        <v>0</v>
      </c>
      <c r="H42" s="202">
        <f t="shared" si="1"/>
        <v>0</v>
      </c>
      <c r="I42" s="200"/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 hidden="1">
      <c r="A43" s="44"/>
      <c r="B43" s="5">
        <f t="shared" si="7"/>
        <v>45992</v>
      </c>
      <c r="C43" s="217" t="s">
        <v>17</v>
      </c>
      <c r="D43" s="194"/>
      <c r="E43" s="1"/>
      <c r="F43" s="2"/>
      <c r="G43" s="3">
        <f t="shared" si="8"/>
        <v>0</v>
      </c>
      <c r="H43" s="202">
        <f t="shared" si="1"/>
        <v>0</v>
      </c>
      <c r="I43" s="200"/>
      <c r="J43" s="7">
        <v>1.6500000000000001E-2</v>
      </c>
      <c r="K43" s="7">
        <v>7.5999999999999998E-2</v>
      </c>
      <c r="L43" s="7">
        <v>0</v>
      </c>
      <c r="M43" s="11">
        <f t="shared" si="2"/>
        <v>0</v>
      </c>
      <c r="N43" s="11">
        <f t="shared" si="3"/>
        <v>0</v>
      </c>
      <c r="O43" s="11">
        <f t="shared" si="4"/>
        <v>0</v>
      </c>
      <c r="P43" s="11">
        <f t="shared" si="5"/>
        <v>0</v>
      </c>
    </row>
    <row r="44" spans="1:16">
      <c r="A44" s="44"/>
      <c r="B44" s="5">
        <f t="shared" si="7"/>
        <v>45992</v>
      </c>
      <c r="C44" s="218" t="s">
        <v>830</v>
      </c>
      <c r="D44" s="194" t="s">
        <v>1107</v>
      </c>
      <c r="E44" s="1">
        <v>4960001</v>
      </c>
      <c r="F44" s="2">
        <v>10695379.17</v>
      </c>
      <c r="G44" s="3">
        <f t="shared" si="8"/>
        <v>8541329.8051619995</v>
      </c>
      <c r="H44" s="202">
        <f t="shared" si="1"/>
        <v>1.722041952241945</v>
      </c>
      <c r="I44" s="200">
        <v>0.12</v>
      </c>
      <c r="J44" s="7">
        <v>1.6500000000000001E-2</v>
      </c>
      <c r="K44" s="7">
        <v>7.5999999999999998E-2</v>
      </c>
      <c r="L44" s="7">
        <v>0</v>
      </c>
      <c r="M44" s="11">
        <f t="shared" si="2"/>
        <v>1283445.5004</v>
      </c>
      <c r="N44" s="11">
        <f t="shared" si="3"/>
        <v>155296.90554840001</v>
      </c>
      <c r="O44" s="11">
        <f t="shared" si="4"/>
        <v>715306.95888960001</v>
      </c>
      <c r="P44" s="11">
        <f t="shared" si="5"/>
        <v>0</v>
      </c>
    </row>
    <row r="45" spans="1:16" hidden="1">
      <c r="A45" s="44"/>
      <c r="B45" s="5">
        <f>B44</f>
        <v>45992</v>
      </c>
      <c r="C45" s="218" t="s">
        <v>830</v>
      </c>
      <c r="D45" s="194"/>
      <c r="E45" s="1"/>
      <c r="F45" s="2"/>
      <c r="G45" s="3">
        <f t="shared" si="6"/>
        <v>0</v>
      </c>
      <c r="H45" s="202">
        <f>+IF(G45=0,0,G45/E45)</f>
        <v>0</v>
      </c>
      <c r="I45" s="200"/>
      <c r="J45" s="7">
        <v>1.6500000000000001E-2</v>
      </c>
      <c r="K45" s="7">
        <v>7.5999999999999998E-2</v>
      </c>
      <c r="L45" s="7">
        <v>0</v>
      </c>
      <c r="M45" s="11">
        <f t="shared" si="2"/>
        <v>0</v>
      </c>
      <c r="N45" s="11">
        <f t="shared" si="3"/>
        <v>0</v>
      </c>
      <c r="O45" s="11">
        <f t="shared" si="4"/>
        <v>0</v>
      </c>
      <c r="P45" s="11">
        <f t="shared" si="5"/>
        <v>0</v>
      </c>
    </row>
    <row r="46" spans="1:16" hidden="1">
      <c r="A46" s="44"/>
      <c r="B46" s="5">
        <f t="shared" si="7"/>
        <v>45992</v>
      </c>
      <c r="C46" s="218" t="s">
        <v>830</v>
      </c>
      <c r="D46" s="194"/>
      <c r="E46" s="1"/>
      <c r="F46" s="2"/>
      <c r="G46" s="3">
        <f t="shared" si="6"/>
        <v>0</v>
      </c>
      <c r="H46" s="202">
        <f t="shared" ref="H46:H55" si="9">+IF(G46=0,0,G46/E46)</f>
        <v>0</v>
      </c>
      <c r="I46" s="200"/>
      <c r="J46" s="7">
        <v>1.6500000000000001E-2</v>
      </c>
      <c r="K46" s="7">
        <v>7.5999999999999998E-2</v>
      </c>
      <c r="L46" s="7">
        <v>0</v>
      </c>
      <c r="M46" s="11">
        <f t="shared" si="2"/>
        <v>0</v>
      </c>
      <c r="N46" s="11">
        <f t="shared" si="3"/>
        <v>0</v>
      </c>
      <c r="O46" s="11">
        <f t="shared" si="4"/>
        <v>0</v>
      </c>
      <c r="P46" s="11">
        <f t="shared" si="5"/>
        <v>0</v>
      </c>
    </row>
    <row r="47" spans="1:16">
      <c r="A47" s="44"/>
      <c r="B47" s="5">
        <f t="shared" si="7"/>
        <v>45992</v>
      </c>
      <c r="C47" s="219" t="s">
        <v>440</v>
      </c>
      <c r="D47" s="194" t="s">
        <v>1108</v>
      </c>
      <c r="E47" s="1">
        <v>310000</v>
      </c>
      <c r="F47" s="2">
        <v>680636</v>
      </c>
      <c r="G47" s="3">
        <f t="shared" si="6"/>
        <v>574439.76809999999</v>
      </c>
      <c r="H47" s="202">
        <f t="shared" si="9"/>
        <v>1.8530315099999999</v>
      </c>
      <c r="I47" s="7">
        <v>7.0000000000000007E-2</v>
      </c>
      <c r="J47" s="7">
        <v>1.6500000000000001E-2</v>
      </c>
      <c r="K47" s="7">
        <v>7.5999999999999998E-2</v>
      </c>
      <c r="L47" s="7">
        <v>0</v>
      </c>
      <c r="M47" s="11">
        <f t="shared" si="2"/>
        <v>47644.520000000004</v>
      </c>
      <c r="N47" s="11">
        <f t="shared" si="3"/>
        <v>10444.359420000001</v>
      </c>
      <c r="O47" s="11">
        <f t="shared" si="4"/>
        <v>48107.352479999994</v>
      </c>
      <c r="P47" s="11">
        <f t="shared" si="5"/>
        <v>0</v>
      </c>
    </row>
    <row r="48" spans="1:16">
      <c r="A48" s="44"/>
      <c r="B48" s="5">
        <f t="shared" si="7"/>
        <v>45992</v>
      </c>
      <c r="C48" s="217" t="s">
        <v>491</v>
      </c>
      <c r="D48" s="194" t="s">
        <v>1106</v>
      </c>
      <c r="E48" s="1">
        <v>6200000</v>
      </c>
      <c r="F48" s="2">
        <v>15180916.6</v>
      </c>
      <c r="G48" s="3">
        <f>F48-SUM(M48:P48)</f>
        <v>12123479.99676</v>
      </c>
      <c r="H48" s="202">
        <f>+IF(G48=0,0,G48/E48)</f>
        <v>1.9553999994774194</v>
      </c>
      <c r="I48" s="7">
        <v>0.12</v>
      </c>
      <c r="J48" s="7">
        <v>1.6500000000000001E-2</v>
      </c>
      <c r="K48" s="7">
        <v>7.5999999999999998E-2</v>
      </c>
      <c r="L48" s="7">
        <v>0</v>
      </c>
      <c r="M48" s="11">
        <f t="shared" si="2"/>
        <v>1821709.9919999999</v>
      </c>
      <c r="N48" s="11">
        <f t="shared" si="3"/>
        <v>220426.909032</v>
      </c>
      <c r="O48" s="11">
        <f t="shared" si="4"/>
        <v>1015299.7022079999</v>
      </c>
      <c r="P48" s="11">
        <f t="shared" si="5"/>
        <v>0</v>
      </c>
    </row>
    <row r="49" spans="1:16" hidden="1">
      <c r="A49" s="44"/>
      <c r="B49" s="5">
        <f t="shared" si="7"/>
        <v>45992</v>
      </c>
      <c r="C49" s="217" t="s">
        <v>491</v>
      </c>
      <c r="D49" s="194"/>
      <c r="E49" s="185"/>
      <c r="F49" s="2"/>
      <c r="G49" s="3">
        <f t="shared" ref="G49" si="10">F49-SUM(M49:P49)</f>
        <v>0</v>
      </c>
      <c r="H49" s="202">
        <f>+IF(G49=0,0,G49/E49)</f>
        <v>0</v>
      </c>
      <c r="I49" s="7"/>
      <c r="J49" s="7">
        <v>1.6500000000000001E-2</v>
      </c>
      <c r="K49" s="7">
        <v>7.5999999999999998E-2</v>
      </c>
      <c r="L49" s="7">
        <v>0</v>
      </c>
      <c r="M49" s="11">
        <f t="shared" si="2"/>
        <v>0</v>
      </c>
      <c r="N49" s="11">
        <f t="shared" si="3"/>
        <v>0</v>
      </c>
      <c r="O49" s="11">
        <f t="shared" si="4"/>
        <v>0</v>
      </c>
      <c r="P49" s="11">
        <f t="shared" si="5"/>
        <v>0</v>
      </c>
    </row>
    <row r="50" spans="1:16" hidden="1">
      <c r="A50" s="44"/>
      <c r="B50" s="5">
        <f>B46</f>
        <v>45992</v>
      </c>
      <c r="C50" s="217" t="s">
        <v>491</v>
      </c>
      <c r="D50" s="194"/>
      <c r="E50" s="1"/>
      <c r="F50" s="2"/>
      <c r="G50" s="3">
        <f t="shared" ref="G50:G51" si="11">F50-SUM(M50:P50)</f>
        <v>0</v>
      </c>
      <c r="H50" s="202">
        <f t="shared" si="9"/>
        <v>0</v>
      </c>
      <c r="I50" s="7"/>
      <c r="J50" s="7">
        <v>1.6500000000000001E-2</v>
      </c>
      <c r="K50" s="7">
        <v>7.5999999999999998E-2</v>
      </c>
      <c r="L50" s="7">
        <v>0</v>
      </c>
      <c r="M50" s="11">
        <f t="shared" si="2"/>
        <v>0</v>
      </c>
      <c r="N50" s="11">
        <f t="shared" si="3"/>
        <v>0</v>
      </c>
      <c r="O50" s="11">
        <f t="shared" si="4"/>
        <v>0</v>
      </c>
      <c r="P50" s="11">
        <f t="shared" si="5"/>
        <v>0</v>
      </c>
    </row>
    <row r="51" spans="1:16" hidden="1">
      <c r="A51" s="44"/>
      <c r="B51" s="5">
        <f>B47</f>
        <v>45992</v>
      </c>
      <c r="C51" s="217" t="s">
        <v>491</v>
      </c>
      <c r="D51" s="195"/>
      <c r="E51" s="118"/>
      <c r="F51" s="2"/>
      <c r="G51" s="3">
        <f t="shared" si="11"/>
        <v>0</v>
      </c>
      <c r="H51" s="202">
        <f t="shared" si="9"/>
        <v>0</v>
      </c>
      <c r="I51" s="7"/>
      <c r="J51" s="7">
        <v>1.6500000000000001E-2</v>
      </c>
      <c r="K51" s="7">
        <v>7.5999999999999998E-2</v>
      </c>
      <c r="L51" s="7">
        <v>0</v>
      </c>
      <c r="M51" s="11">
        <f t="shared" si="2"/>
        <v>0</v>
      </c>
      <c r="N51" s="11">
        <f t="shared" si="3"/>
        <v>0</v>
      </c>
      <c r="O51" s="11">
        <f t="shared" si="4"/>
        <v>0</v>
      </c>
      <c r="P51" s="11">
        <f t="shared" si="5"/>
        <v>0</v>
      </c>
    </row>
    <row r="52" spans="1:16">
      <c r="A52" s="44"/>
      <c r="B52" s="5">
        <f>B48</f>
        <v>45992</v>
      </c>
      <c r="C52" s="220" t="s">
        <v>756</v>
      </c>
      <c r="D52" s="195" t="s">
        <v>1109</v>
      </c>
      <c r="E52" s="118">
        <v>852084.92</v>
      </c>
      <c r="F52" s="2">
        <v>3757864.91</v>
      </c>
      <c r="G52" s="3">
        <f t="shared" si="6"/>
        <v>2711158.6126308753</v>
      </c>
      <c r="H52" s="202">
        <f t="shared" si="9"/>
        <v>3.1817939139573967</v>
      </c>
      <c r="I52" s="7">
        <v>0.20499999999999999</v>
      </c>
      <c r="J52" s="200">
        <v>1.6500000000000001E-2</v>
      </c>
      <c r="K52" s="200">
        <v>7.5999999999999998E-2</v>
      </c>
      <c r="L52" s="200">
        <v>0</v>
      </c>
      <c r="M52" s="11">
        <f t="shared" si="2"/>
        <v>770362.30654999998</v>
      </c>
      <c r="N52" s="11">
        <f t="shared" si="3"/>
        <v>49293.792956925005</v>
      </c>
      <c r="O52" s="11">
        <f t="shared" si="4"/>
        <v>227050.1978622</v>
      </c>
      <c r="P52" s="11">
        <f t="shared" si="5"/>
        <v>0</v>
      </c>
    </row>
    <row r="53" spans="1:16" hidden="1">
      <c r="A53" s="44"/>
      <c r="B53" s="5">
        <f t="shared" si="7"/>
        <v>45992</v>
      </c>
      <c r="C53" s="220" t="s">
        <v>756</v>
      </c>
      <c r="D53" s="212"/>
      <c r="E53" s="118"/>
      <c r="F53" s="2"/>
      <c r="G53" s="3">
        <f t="shared" ref="G53" si="12">F53-SUM(M53:P53)</f>
        <v>0</v>
      </c>
      <c r="H53" s="202">
        <f t="shared" si="9"/>
        <v>0</v>
      </c>
      <c r="I53" s="7"/>
      <c r="J53" s="200">
        <v>1.6500000000000001E-2</v>
      </c>
      <c r="K53" s="200">
        <v>7.5999999999999998E-2</v>
      </c>
      <c r="L53" s="200">
        <v>0</v>
      </c>
      <c r="M53" s="11">
        <f t="shared" si="2"/>
        <v>0</v>
      </c>
      <c r="N53" s="11">
        <f t="shared" si="3"/>
        <v>0</v>
      </c>
      <c r="O53" s="11">
        <f t="shared" si="4"/>
        <v>0</v>
      </c>
      <c r="P53" s="11">
        <f t="shared" si="5"/>
        <v>0</v>
      </c>
    </row>
    <row r="54" spans="1:16" hidden="1">
      <c r="A54" s="44"/>
      <c r="B54" s="5">
        <f>B53</f>
        <v>45992</v>
      </c>
      <c r="C54" s="220" t="s">
        <v>757</v>
      </c>
      <c r="D54" s="212"/>
      <c r="E54" s="118"/>
      <c r="F54" s="2"/>
      <c r="G54" s="3">
        <f t="shared" ref="G54:G117" si="13">F54-SUM(M54:P54)</f>
        <v>0</v>
      </c>
      <c r="H54" s="202">
        <f t="shared" si="9"/>
        <v>0</v>
      </c>
      <c r="I54" s="7"/>
      <c r="J54" s="7">
        <v>1.6500000000000001E-2</v>
      </c>
      <c r="K54" s="7">
        <v>7.5999999999999998E-2</v>
      </c>
      <c r="L54" s="7">
        <v>0</v>
      </c>
      <c r="M54" s="11">
        <f t="shared" si="2"/>
        <v>0</v>
      </c>
      <c r="N54" s="11">
        <f t="shared" si="3"/>
        <v>0</v>
      </c>
      <c r="O54" s="11">
        <f t="shared" si="4"/>
        <v>0</v>
      </c>
      <c r="P54" s="11">
        <f t="shared" si="5"/>
        <v>0</v>
      </c>
    </row>
    <row r="55" spans="1:16" ht="15" customHeight="1">
      <c r="A55" s="44"/>
      <c r="B55" s="5">
        <f>B54</f>
        <v>45992</v>
      </c>
      <c r="C55" s="220" t="s">
        <v>757</v>
      </c>
      <c r="D55" s="195" t="s">
        <v>1110</v>
      </c>
      <c r="E55" s="118">
        <v>139346.01</v>
      </c>
      <c r="F55" s="2">
        <v>694500.51</v>
      </c>
      <c r="G55" s="3">
        <f t="shared" si="13"/>
        <v>501056.07419587503</v>
      </c>
      <c r="H55" s="202">
        <f t="shared" si="9"/>
        <v>3.5957690801184405</v>
      </c>
      <c r="I55" s="7">
        <v>0.20499999999999999</v>
      </c>
      <c r="J55" s="7">
        <v>1.6500000000000001E-2</v>
      </c>
      <c r="K55" s="7">
        <v>7.5999999999999998E-2</v>
      </c>
      <c r="L55" s="7">
        <v>0</v>
      </c>
      <c r="M55" s="11">
        <f t="shared" si="2"/>
        <v>142372.60454999999</v>
      </c>
      <c r="N55" s="11">
        <f t="shared" si="3"/>
        <v>9110.1104399249998</v>
      </c>
      <c r="O55" s="11">
        <f t="shared" si="4"/>
        <v>41961.720814199994</v>
      </c>
      <c r="P55" s="11">
        <f t="shared" si="5"/>
        <v>0</v>
      </c>
    </row>
    <row r="56" spans="1:16" ht="15" customHeight="1">
      <c r="A56" s="44"/>
      <c r="B56" s="5">
        <f t="shared" ref="B56:B119" si="14">B55</f>
        <v>45992</v>
      </c>
      <c r="C56" s="221" t="s">
        <v>792</v>
      </c>
      <c r="D56" s="195" t="s">
        <v>1063</v>
      </c>
      <c r="E56" s="186"/>
      <c r="F56" s="2">
        <v>263807</v>
      </c>
      <c r="G56" s="3">
        <f>F56-SUM(M56:P56)</f>
        <v>239404.85250000001</v>
      </c>
      <c r="H56" s="187"/>
      <c r="I56" s="193"/>
      <c r="J56" s="7">
        <v>1.6500000000000001E-2</v>
      </c>
      <c r="K56" s="7">
        <v>7.5999999999999998E-2</v>
      </c>
      <c r="L56" s="7">
        <v>0</v>
      </c>
      <c r="M56" s="11">
        <f t="shared" si="2"/>
        <v>0</v>
      </c>
      <c r="N56" s="11">
        <f t="shared" si="3"/>
        <v>4352.8155000000006</v>
      </c>
      <c r="O56" s="11">
        <f t="shared" si="4"/>
        <v>20049.331999999999</v>
      </c>
      <c r="P56" s="11">
        <f t="shared" si="5"/>
        <v>0</v>
      </c>
    </row>
    <row r="57" spans="1:16">
      <c r="A57" s="44"/>
      <c r="B57" s="5">
        <f t="shared" si="14"/>
        <v>45992</v>
      </c>
      <c r="C57" s="221" t="s">
        <v>792</v>
      </c>
      <c r="D57" s="361" t="s">
        <v>1087</v>
      </c>
      <c r="E57" s="186"/>
      <c r="F57" s="2">
        <v>219601.95</v>
      </c>
      <c r="G57" s="3">
        <f t="shared" si="13"/>
        <v>199288.76962500002</v>
      </c>
      <c r="H57" s="187"/>
      <c r="I57" s="193"/>
      <c r="J57" s="7">
        <v>1.6500000000000001E-2</v>
      </c>
      <c r="K57" s="7">
        <v>7.5999999999999998E-2</v>
      </c>
      <c r="L57" s="7">
        <v>0</v>
      </c>
      <c r="M57" s="11">
        <f t="shared" si="2"/>
        <v>0</v>
      </c>
      <c r="N57" s="11">
        <f t="shared" si="3"/>
        <v>3623.4321750000004</v>
      </c>
      <c r="O57" s="11">
        <f t="shared" si="4"/>
        <v>16689.748200000002</v>
      </c>
      <c r="P57" s="11">
        <f t="shared" si="5"/>
        <v>0</v>
      </c>
    </row>
    <row r="58" spans="1:16">
      <c r="A58" s="44"/>
      <c r="B58" s="5">
        <f t="shared" si="14"/>
        <v>45992</v>
      </c>
      <c r="C58" s="217" t="s">
        <v>1082</v>
      </c>
      <c r="D58" s="195" t="s">
        <v>1084</v>
      </c>
      <c r="E58" s="118">
        <v>14119</v>
      </c>
      <c r="F58" s="2">
        <v>69132.27</v>
      </c>
      <c r="G58" s="3">
        <f t="shared" si="13"/>
        <v>49876.340344875003</v>
      </c>
      <c r="H58" s="202">
        <f t="shared" ref="H58:H59" si="15">+IF(G58=0,0,G58/E58)</f>
        <v>3.5325689032420855</v>
      </c>
      <c r="I58" s="7">
        <v>0.20499999999999999</v>
      </c>
      <c r="J58" s="7">
        <v>1.6500000000000001E-2</v>
      </c>
      <c r="K58" s="7">
        <v>7.5999999999999998E-2</v>
      </c>
      <c r="L58" s="7">
        <v>0</v>
      </c>
      <c r="M58" s="11">
        <f>+I58*F58</f>
        <v>14172.11535</v>
      </c>
      <c r="N58" s="11">
        <f>J58*(F58-M58)</f>
        <v>906.84255172500013</v>
      </c>
      <c r="O58" s="11">
        <f>K58*(F58-M58)</f>
        <v>4176.9717534000001</v>
      </c>
      <c r="P58" s="11">
        <f t="shared" si="5"/>
        <v>0</v>
      </c>
    </row>
    <row r="59" spans="1:16">
      <c r="A59" s="44"/>
      <c r="B59" s="5">
        <f t="shared" si="14"/>
        <v>45992</v>
      </c>
      <c r="C59" s="217" t="s">
        <v>1082</v>
      </c>
      <c r="D59" s="195" t="s">
        <v>1111</v>
      </c>
      <c r="E59" s="118">
        <v>449336</v>
      </c>
      <c r="F59" s="2">
        <v>2200128.79</v>
      </c>
      <c r="G59" s="3">
        <f t="shared" si="13"/>
        <v>1587310.417155375</v>
      </c>
      <c r="H59" s="202">
        <f t="shared" si="15"/>
        <v>3.5325689843577521</v>
      </c>
      <c r="I59" s="7">
        <v>0.20499999999999999</v>
      </c>
      <c r="J59" s="7">
        <v>1.6500000000000001E-2</v>
      </c>
      <c r="K59" s="7">
        <v>7.5999999999999998E-2</v>
      </c>
      <c r="L59" s="7">
        <v>0</v>
      </c>
      <c r="M59" s="11">
        <f t="shared" si="2"/>
        <v>451026.40194999997</v>
      </c>
      <c r="N59" s="11">
        <f t="shared" si="3"/>
        <v>28860.189402825003</v>
      </c>
      <c r="O59" s="11">
        <f t="shared" si="4"/>
        <v>132931.78149180001</v>
      </c>
      <c r="P59" s="11">
        <f t="shared" si="5"/>
        <v>0</v>
      </c>
    </row>
    <row r="60" spans="1:16" ht="15" customHeight="1">
      <c r="A60" s="44"/>
      <c r="B60" s="5">
        <f t="shared" si="14"/>
        <v>45992</v>
      </c>
      <c r="C60" s="218" t="s">
        <v>533</v>
      </c>
      <c r="D60" s="195">
        <v>7321</v>
      </c>
      <c r="E60" s="186"/>
      <c r="F60" s="2">
        <v>2951.24</v>
      </c>
      <c r="G60" s="3">
        <f>F60-SUM(M60:P60)</f>
        <v>2356.8602639999999</v>
      </c>
      <c r="H60" s="187"/>
      <c r="I60" s="7">
        <v>0.12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354.14879999999994</v>
      </c>
      <c r="N60" s="11">
        <f t="shared" si="3"/>
        <v>42.852004799999996</v>
      </c>
      <c r="O60" s="11">
        <f t="shared" si="4"/>
        <v>197.37893119999998</v>
      </c>
      <c r="P60" s="11">
        <f t="shared" si="5"/>
        <v>0</v>
      </c>
    </row>
    <row r="61" spans="1:16" ht="15" customHeight="1">
      <c r="A61" s="44"/>
      <c r="B61" s="5">
        <f t="shared" si="14"/>
        <v>45992</v>
      </c>
      <c r="C61" s="218" t="s">
        <v>533</v>
      </c>
      <c r="D61" s="195">
        <v>12627</v>
      </c>
      <c r="E61" s="186"/>
      <c r="F61" s="2">
        <v>7851.97</v>
      </c>
      <c r="G61" s="3">
        <f>F61-SUM(M61:P61)</f>
        <v>6270.5832420000006</v>
      </c>
      <c r="H61" s="187"/>
      <c r="I61" s="7">
        <v>0.12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942.2364</v>
      </c>
      <c r="N61" s="11">
        <f t="shared" si="3"/>
        <v>114.01060440000002</v>
      </c>
      <c r="O61" s="11">
        <f t="shared" si="4"/>
        <v>525.13975360000006</v>
      </c>
      <c r="P61" s="11">
        <f t="shared" si="5"/>
        <v>0</v>
      </c>
    </row>
    <row r="62" spans="1:16" ht="15" customHeight="1">
      <c r="A62" s="44"/>
      <c r="B62" s="5">
        <f t="shared" si="14"/>
        <v>45992</v>
      </c>
      <c r="C62" s="218" t="s">
        <v>533</v>
      </c>
      <c r="D62" s="195">
        <v>12628</v>
      </c>
      <c r="E62" s="186"/>
      <c r="F62" s="2">
        <v>6944.13</v>
      </c>
      <c r="G62" s="3">
        <f t="shared" si="13"/>
        <v>5545.5822179999996</v>
      </c>
      <c r="H62" s="187"/>
      <c r="I62" s="7">
        <v>0.12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833.29560000000004</v>
      </c>
      <c r="N62" s="11">
        <f t="shared" si="3"/>
        <v>100.82876760000001</v>
      </c>
      <c r="O62" s="11">
        <f t="shared" si="4"/>
        <v>464.42341439999996</v>
      </c>
      <c r="P62" s="11">
        <f t="shared" si="5"/>
        <v>0</v>
      </c>
    </row>
    <row r="63" spans="1:16" ht="15" customHeight="1">
      <c r="A63" s="44"/>
      <c r="B63" s="5">
        <f t="shared" si="14"/>
        <v>45992</v>
      </c>
      <c r="C63" s="218" t="s">
        <v>533</v>
      </c>
      <c r="D63" s="195">
        <v>29950</v>
      </c>
      <c r="E63" s="186"/>
      <c r="F63" s="2">
        <v>93.68</v>
      </c>
      <c r="G63" s="3">
        <f t="shared" si="13"/>
        <v>79.063578000000007</v>
      </c>
      <c r="H63" s="187"/>
      <c r="I63" s="7">
        <v>7.0000000000000007E-2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6.5576000000000008</v>
      </c>
      <c r="N63" s="11">
        <f t="shared" si="3"/>
        <v>1.4375196000000001</v>
      </c>
      <c r="O63" s="11">
        <f t="shared" si="4"/>
        <v>6.6213023999999994</v>
      </c>
      <c r="P63" s="11">
        <f t="shared" si="5"/>
        <v>0</v>
      </c>
    </row>
    <row r="64" spans="1:16" ht="15" customHeight="1">
      <c r="A64" s="44"/>
      <c r="B64" s="5">
        <f t="shared" si="14"/>
        <v>45992</v>
      </c>
      <c r="C64" s="218" t="s">
        <v>533</v>
      </c>
      <c r="D64" s="195">
        <v>29951</v>
      </c>
      <c r="E64" s="186"/>
      <c r="F64" s="2">
        <v>83.01</v>
      </c>
      <c r="G64" s="3">
        <f t="shared" si="13"/>
        <v>70.05836475000001</v>
      </c>
      <c r="H64" s="187"/>
      <c r="I64" s="7">
        <v>7.0000000000000007E-2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5.8107000000000006</v>
      </c>
      <c r="N64" s="11">
        <f t="shared" si="3"/>
        <v>1.2737884500000003</v>
      </c>
      <c r="O64" s="11">
        <f t="shared" si="4"/>
        <v>5.8671468000000004</v>
      </c>
      <c r="P64" s="11">
        <f t="shared" si="5"/>
        <v>0</v>
      </c>
    </row>
    <row r="65" spans="1:16" ht="15" customHeight="1">
      <c r="A65" s="44"/>
      <c r="B65" s="5">
        <f t="shared" si="14"/>
        <v>45992</v>
      </c>
      <c r="C65" s="218" t="s">
        <v>533</v>
      </c>
      <c r="D65" s="195">
        <v>7324</v>
      </c>
      <c r="E65" s="186"/>
      <c r="F65" s="2">
        <v>7223.35</v>
      </c>
      <c r="G65" s="3">
        <f t="shared" si="13"/>
        <v>5768.5673100000004</v>
      </c>
      <c r="H65" s="187"/>
      <c r="I65" s="7">
        <v>0.12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866.80200000000002</v>
      </c>
      <c r="N65" s="11">
        <f t="shared" si="3"/>
        <v>104.88304200000002</v>
      </c>
      <c r="O65" s="11">
        <f t="shared" si="4"/>
        <v>483.09764800000005</v>
      </c>
      <c r="P65" s="11">
        <f t="shared" si="5"/>
        <v>0</v>
      </c>
    </row>
    <row r="66" spans="1:16" ht="15" customHeight="1">
      <c r="A66" s="44"/>
      <c r="B66" s="5">
        <f t="shared" si="14"/>
        <v>45992</v>
      </c>
      <c r="C66" s="218" t="s">
        <v>533</v>
      </c>
      <c r="D66" s="195">
        <v>7323</v>
      </c>
      <c r="E66" s="186"/>
      <c r="F66" s="2">
        <v>6701.62</v>
      </c>
      <c r="G66" s="3">
        <f t="shared" si="13"/>
        <v>5351.913732</v>
      </c>
      <c r="H66" s="187"/>
      <c r="I66" s="7">
        <v>0.12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804.19439999999997</v>
      </c>
      <c r="N66" s="11">
        <f t="shared" si="3"/>
        <v>97.307522399999996</v>
      </c>
      <c r="O66" s="11">
        <f t="shared" si="4"/>
        <v>448.20434559999995</v>
      </c>
      <c r="P66" s="11">
        <f t="shared" si="5"/>
        <v>0</v>
      </c>
    </row>
    <row r="67" spans="1:16" ht="15" customHeight="1">
      <c r="A67" s="44"/>
      <c r="B67" s="5">
        <f t="shared" si="14"/>
        <v>45992</v>
      </c>
      <c r="C67" s="218" t="s">
        <v>533</v>
      </c>
      <c r="D67" s="195">
        <v>7325</v>
      </c>
      <c r="E67" s="186"/>
      <c r="F67" s="2">
        <v>2480.2600000000002</v>
      </c>
      <c r="G67" s="3">
        <f t="shared" si="13"/>
        <v>1980.7356360000001</v>
      </c>
      <c r="H67" s="187"/>
      <c r="I67" s="7">
        <v>0.12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297.63120000000004</v>
      </c>
      <c r="N67" s="11">
        <f t="shared" si="3"/>
        <v>36.013375200000006</v>
      </c>
      <c r="O67" s="11">
        <f t="shared" si="4"/>
        <v>165.87978880000003</v>
      </c>
      <c r="P67" s="11">
        <f t="shared" si="5"/>
        <v>0</v>
      </c>
    </row>
    <row r="68" spans="1:16" ht="15" customHeight="1">
      <c r="A68" s="44"/>
      <c r="B68" s="5">
        <f t="shared" si="14"/>
        <v>45992</v>
      </c>
      <c r="C68" s="218" t="s">
        <v>533</v>
      </c>
      <c r="D68" s="195">
        <v>23363</v>
      </c>
      <c r="E68" s="186"/>
      <c r="F68" s="2">
        <v>7046.91</v>
      </c>
      <c r="G68" s="3">
        <f t="shared" si="13"/>
        <v>5627.6623259999997</v>
      </c>
      <c r="H68" s="187"/>
      <c r="I68" s="7">
        <v>0.12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845.62919999999997</v>
      </c>
      <c r="N68" s="11">
        <f t="shared" si="3"/>
        <v>102.32113319999999</v>
      </c>
      <c r="O68" s="11">
        <f t="shared" si="4"/>
        <v>471.29734079999997</v>
      </c>
      <c r="P68" s="11">
        <f t="shared" si="5"/>
        <v>0</v>
      </c>
    </row>
    <row r="69" spans="1:16" ht="15" customHeight="1">
      <c r="A69" s="44"/>
      <c r="B69" s="5">
        <f t="shared" si="14"/>
        <v>45992</v>
      </c>
      <c r="C69" s="218" t="s">
        <v>533</v>
      </c>
      <c r="D69" s="195">
        <v>23364</v>
      </c>
      <c r="E69" s="186"/>
      <c r="F69" s="2">
        <v>23465.19</v>
      </c>
      <c r="G69" s="3">
        <f t="shared" si="13"/>
        <v>18739.300733999997</v>
      </c>
      <c r="H69" s="187"/>
      <c r="I69" s="7">
        <v>0.12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2815.8227999999999</v>
      </c>
      <c r="N69" s="11">
        <f t="shared" si="3"/>
        <v>340.71455880000002</v>
      </c>
      <c r="O69" s="11">
        <f t="shared" si="4"/>
        <v>1569.3519071999999</v>
      </c>
      <c r="P69" s="11">
        <f t="shared" si="5"/>
        <v>0</v>
      </c>
    </row>
    <row r="70" spans="1:16" ht="15" customHeight="1">
      <c r="A70" s="44"/>
      <c r="B70" s="5">
        <f t="shared" si="14"/>
        <v>45992</v>
      </c>
      <c r="C70" s="218" t="s">
        <v>533</v>
      </c>
      <c r="D70" s="195">
        <v>23365</v>
      </c>
      <c r="E70" s="186"/>
      <c r="F70" s="2">
        <v>29683.88</v>
      </c>
      <c r="G70" s="3">
        <f t="shared" si="13"/>
        <v>23705.546568000002</v>
      </c>
      <c r="H70" s="187"/>
      <c r="I70" s="7">
        <v>0.12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3562.0655999999999</v>
      </c>
      <c r="N70" s="11">
        <f t="shared" si="3"/>
        <v>431.00993760000006</v>
      </c>
      <c r="O70" s="11">
        <f t="shared" si="4"/>
        <v>1985.2578944000002</v>
      </c>
      <c r="P70" s="11">
        <f t="shared" si="5"/>
        <v>0</v>
      </c>
    </row>
    <row r="71" spans="1:16" ht="15" customHeight="1">
      <c r="A71" s="44"/>
      <c r="B71" s="5">
        <f t="shared" si="14"/>
        <v>45992</v>
      </c>
      <c r="C71" s="218" t="s">
        <v>533</v>
      </c>
      <c r="D71" s="195">
        <v>29969</v>
      </c>
      <c r="E71" s="186"/>
      <c r="F71" s="2">
        <v>2490.34</v>
      </c>
      <c r="G71" s="3">
        <f t="shared" si="13"/>
        <v>2101.7847015000002</v>
      </c>
      <c r="H71" s="187"/>
      <c r="I71" s="7">
        <v>7.0000000000000007E-2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174.32380000000003</v>
      </c>
      <c r="N71" s="11">
        <f t="shared" si="3"/>
        <v>38.214267300000003</v>
      </c>
      <c r="O71" s="11">
        <f t="shared" si="4"/>
        <v>176.0172312</v>
      </c>
      <c r="P71" s="11">
        <f t="shared" si="5"/>
        <v>0</v>
      </c>
    </row>
    <row r="72" spans="1:16" ht="15" customHeight="1">
      <c r="A72" s="44"/>
      <c r="B72" s="5">
        <f t="shared" si="14"/>
        <v>45992</v>
      </c>
      <c r="C72" s="218" t="s">
        <v>533</v>
      </c>
      <c r="D72" s="195">
        <v>7326</v>
      </c>
      <c r="E72" s="186"/>
      <c r="F72" s="2">
        <v>139288.88</v>
      </c>
      <c r="G72" s="3">
        <f t="shared" si="13"/>
        <v>111236.09956800001</v>
      </c>
      <c r="H72" s="187"/>
      <c r="I72" s="7">
        <v>0.12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16714.6656</v>
      </c>
      <c r="N72" s="11">
        <f t="shared" si="3"/>
        <v>2022.4745376000001</v>
      </c>
      <c r="O72" s="11">
        <f t="shared" si="4"/>
        <v>9315.6402944000001</v>
      </c>
      <c r="P72" s="11">
        <f t="shared" si="5"/>
        <v>0</v>
      </c>
    </row>
    <row r="73" spans="1:16" ht="15" customHeight="1">
      <c r="A73" s="44"/>
      <c r="B73" s="5">
        <f t="shared" si="14"/>
        <v>45992</v>
      </c>
      <c r="C73" s="218" t="s">
        <v>533</v>
      </c>
      <c r="D73" s="195">
        <v>12631</v>
      </c>
      <c r="E73" s="186"/>
      <c r="F73" s="2">
        <v>173060.42</v>
      </c>
      <c r="G73" s="3">
        <f t="shared" si="13"/>
        <v>138206.051412</v>
      </c>
      <c r="H73" s="187"/>
      <c r="I73" s="7">
        <v>0.12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20767.250400000001</v>
      </c>
      <c r="N73" s="11">
        <f t="shared" si="3"/>
        <v>2512.8372984000007</v>
      </c>
      <c r="O73" s="11">
        <f t="shared" si="4"/>
        <v>11574.280889600001</v>
      </c>
      <c r="P73" s="11">
        <f t="shared" si="5"/>
        <v>0</v>
      </c>
    </row>
    <row r="74" spans="1:16" ht="15" customHeight="1">
      <c r="A74" s="44"/>
      <c r="B74" s="5">
        <f t="shared" si="14"/>
        <v>45992</v>
      </c>
      <c r="C74" s="218" t="s">
        <v>533</v>
      </c>
      <c r="D74" s="195">
        <v>12632</v>
      </c>
      <c r="E74" s="186"/>
      <c r="F74" s="2">
        <v>211485.95</v>
      </c>
      <c r="G74" s="3">
        <f t="shared" si="13"/>
        <v>168892.67967000001</v>
      </c>
      <c r="H74" s="187"/>
      <c r="I74" s="7">
        <v>0.12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25378.314000000002</v>
      </c>
      <c r="N74" s="11">
        <f t="shared" si="3"/>
        <v>3070.7759940000001</v>
      </c>
      <c r="O74" s="11">
        <f t="shared" si="4"/>
        <v>14144.180335999999</v>
      </c>
      <c r="P74" s="11">
        <f t="shared" si="5"/>
        <v>0</v>
      </c>
    </row>
    <row r="75" spans="1:16" ht="15" customHeight="1">
      <c r="A75" s="44"/>
      <c r="B75" s="5">
        <f t="shared" si="14"/>
        <v>45992</v>
      </c>
      <c r="C75" s="218" t="s">
        <v>533</v>
      </c>
      <c r="D75" s="195">
        <v>7327</v>
      </c>
      <c r="E75" s="186"/>
      <c r="F75" s="2">
        <v>170250.43</v>
      </c>
      <c r="G75" s="3">
        <f t="shared" si="13"/>
        <v>135961.99339799999</v>
      </c>
      <c r="H75" s="187"/>
      <c r="I75" s="7">
        <v>0.12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20430.051599999999</v>
      </c>
      <c r="N75" s="11">
        <f t="shared" si="3"/>
        <v>2472.0362436</v>
      </c>
      <c r="O75" s="11">
        <f t="shared" si="4"/>
        <v>11386.348758399999</v>
      </c>
      <c r="P75" s="11">
        <f t="shared" si="5"/>
        <v>0</v>
      </c>
    </row>
    <row r="76" spans="1:16" ht="15" customHeight="1">
      <c r="A76" s="44"/>
      <c r="B76" s="5">
        <f t="shared" si="14"/>
        <v>45992</v>
      </c>
      <c r="C76" s="218" t="s">
        <v>533</v>
      </c>
      <c r="D76" s="195">
        <v>29991</v>
      </c>
      <c r="E76" s="186"/>
      <c r="F76" s="2">
        <v>3064.27</v>
      </c>
      <c r="G76" s="3">
        <f t="shared" si="13"/>
        <v>2586.1672732500001</v>
      </c>
      <c r="H76" s="187"/>
      <c r="I76" s="7">
        <v>7.0000000000000007E-2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214.49890000000002</v>
      </c>
      <c r="N76" s="11">
        <f t="shared" si="3"/>
        <v>47.021223150000004</v>
      </c>
      <c r="O76" s="11">
        <f t="shared" si="4"/>
        <v>216.5826036</v>
      </c>
      <c r="P76" s="11">
        <f t="shared" si="5"/>
        <v>0</v>
      </c>
    </row>
    <row r="77" spans="1:16" ht="15" customHeight="1">
      <c r="A77" s="44"/>
      <c r="B77" s="5">
        <f t="shared" si="14"/>
        <v>45992</v>
      </c>
      <c r="C77" s="218" t="s">
        <v>533</v>
      </c>
      <c r="D77" s="195">
        <v>23368</v>
      </c>
      <c r="E77" s="186"/>
      <c r="F77" s="2">
        <v>7051.82</v>
      </c>
      <c r="G77" s="3">
        <f t="shared" si="13"/>
        <v>5631.5834519999999</v>
      </c>
      <c r="H77" s="187"/>
      <c r="I77" s="7">
        <v>0.12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846.21839999999997</v>
      </c>
      <c r="N77" s="11">
        <f t="shared" si="3"/>
        <v>102.39242640000001</v>
      </c>
      <c r="O77" s="11">
        <f t="shared" si="4"/>
        <v>471.62572159999996</v>
      </c>
      <c r="P77" s="11">
        <f t="shared" si="5"/>
        <v>0</v>
      </c>
    </row>
    <row r="78" spans="1:16" ht="15" customHeight="1">
      <c r="A78" s="44"/>
      <c r="B78" s="5">
        <f t="shared" si="14"/>
        <v>45992</v>
      </c>
      <c r="C78" s="218" t="s">
        <v>533</v>
      </c>
      <c r="D78" s="195">
        <v>7329</v>
      </c>
      <c r="E78" s="186"/>
      <c r="F78" s="2">
        <v>58258.01</v>
      </c>
      <c r="G78" s="3">
        <f t="shared" si="13"/>
        <v>46524.846786000002</v>
      </c>
      <c r="H78" s="187"/>
      <c r="I78" s="7">
        <v>0.12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6990.9611999999997</v>
      </c>
      <c r="N78" s="11">
        <f t="shared" si="3"/>
        <v>845.90630520000013</v>
      </c>
      <c r="O78" s="11">
        <f t="shared" si="4"/>
        <v>3896.2957088000003</v>
      </c>
      <c r="P78" s="11">
        <f t="shared" si="5"/>
        <v>0</v>
      </c>
    </row>
    <row r="79" spans="1:16" ht="15" customHeight="1">
      <c r="A79" s="44"/>
      <c r="B79" s="5">
        <f t="shared" si="14"/>
        <v>45992</v>
      </c>
      <c r="C79" s="218" t="s">
        <v>533</v>
      </c>
      <c r="D79" s="195">
        <v>7330</v>
      </c>
      <c r="E79" s="186"/>
      <c r="F79" s="2">
        <v>71857.02</v>
      </c>
      <c r="G79" s="3">
        <f t="shared" si="13"/>
        <v>57385.016172000003</v>
      </c>
      <c r="H79" s="187"/>
      <c r="I79" s="7">
        <v>0.12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8622.8423999999995</v>
      </c>
      <c r="N79" s="11">
        <f t="shared" si="3"/>
        <v>1043.3639304000001</v>
      </c>
      <c r="O79" s="11">
        <f t="shared" si="4"/>
        <v>4805.7974976000005</v>
      </c>
      <c r="P79" s="11">
        <f t="shared" si="5"/>
        <v>0</v>
      </c>
    </row>
    <row r="80" spans="1:16" ht="15" customHeight="1">
      <c r="A80" s="44"/>
      <c r="B80" s="5">
        <f t="shared" si="14"/>
        <v>45992</v>
      </c>
      <c r="C80" s="218" t="s">
        <v>533</v>
      </c>
      <c r="D80" s="195">
        <v>7331</v>
      </c>
      <c r="E80" s="186"/>
      <c r="F80" s="2">
        <v>1015.1</v>
      </c>
      <c r="G80" s="3">
        <f t="shared" si="13"/>
        <v>810.65886</v>
      </c>
      <c r="H80" s="187"/>
      <c r="I80" s="7">
        <v>0.12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121.812</v>
      </c>
      <c r="N80" s="11">
        <f t="shared" si="3"/>
        <v>14.739252</v>
      </c>
      <c r="O80" s="11">
        <f t="shared" si="4"/>
        <v>67.889887999999999</v>
      </c>
      <c r="P80" s="11">
        <f t="shared" si="5"/>
        <v>0</v>
      </c>
    </row>
    <row r="81" spans="1:16" ht="15" customHeight="1">
      <c r="A81" s="44"/>
      <c r="B81" s="5">
        <f t="shared" si="14"/>
        <v>45992</v>
      </c>
      <c r="C81" s="218" t="s">
        <v>533</v>
      </c>
      <c r="D81" s="195">
        <v>7332</v>
      </c>
      <c r="E81" s="186"/>
      <c r="F81" s="2">
        <v>1714.93</v>
      </c>
      <c r="G81" s="3">
        <f t="shared" si="13"/>
        <v>1369.5430980000001</v>
      </c>
      <c r="H81" s="187"/>
      <c r="I81" s="7">
        <v>0.12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205.79159999999999</v>
      </c>
      <c r="N81" s="11">
        <f t="shared" si="3"/>
        <v>24.9007836</v>
      </c>
      <c r="O81" s="11">
        <f t="shared" si="4"/>
        <v>114.69451840000001</v>
      </c>
      <c r="P81" s="11">
        <f t="shared" si="5"/>
        <v>0</v>
      </c>
    </row>
    <row r="82" spans="1:16" ht="15" customHeight="1">
      <c r="A82" s="44"/>
      <c r="B82" s="5">
        <f t="shared" si="14"/>
        <v>45992</v>
      </c>
      <c r="C82" s="218" t="s">
        <v>533</v>
      </c>
      <c r="D82" s="195">
        <v>29992</v>
      </c>
      <c r="E82" s="186"/>
      <c r="F82" s="2">
        <v>78.099999999999994</v>
      </c>
      <c r="G82" s="3">
        <f t="shared" si="13"/>
        <v>65.914447499999994</v>
      </c>
      <c r="H82" s="187"/>
      <c r="I82" s="7">
        <v>7.0000000000000007E-2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5.4670000000000005</v>
      </c>
      <c r="N82" s="11">
        <f t="shared" si="3"/>
        <v>1.1984444999999999</v>
      </c>
      <c r="O82" s="11">
        <f t="shared" si="4"/>
        <v>5.5201079999999996</v>
      </c>
      <c r="P82" s="11">
        <f t="shared" ref="P82:P182" si="16">L82*(F82)</f>
        <v>0</v>
      </c>
    </row>
    <row r="83" spans="1:16" ht="15" customHeight="1">
      <c r="A83" s="44"/>
      <c r="B83" s="5">
        <f t="shared" si="14"/>
        <v>45992</v>
      </c>
      <c r="C83" s="218" t="s">
        <v>533</v>
      </c>
      <c r="D83" s="195">
        <v>7333</v>
      </c>
      <c r="E83" s="186"/>
      <c r="F83" s="2">
        <v>397.53</v>
      </c>
      <c r="G83" s="3">
        <f t="shared" si="13"/>
        <v>317.46745799999997</v>
      </c>
      <c r="H83" s="187"/>
      <c r="I83" s="7">
        <v>0.12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47.703599999999994</v>
      </c>
      <c r="N83" s="11">
        <f t="shared" si="3"/>
        <v>5.7721355999999995</v>
      </c>
      <c r="O83" s="11">
        <f t="shared" si="4"/>
        <v>26.586806399999997</v>
      </c>
      <c r="P83" s="11">
        <f t="shared" si="16"/>
        <v>0</v>
      </c>
    </row>
    <row r="84" spans="1:16" ht="15" customHeight="1">
      <c r="A84" s="44"/>
      <c r="B84" s="5">
        <f t="shared" si="14"/>
        <v>45992</v>
      </c>
      <c r="C84" s="218" t="s">
        <v>533</v>
      </c>
      <c r="D84" s="195">
        <v>12637</v>
      </c>
      <c r="E84" s="186"/>
      <c r="F84" s="2">
        <v>4996.28</v>
      </c>
      <c r="G84" s="3">
        <f t="shared" si="13"/>
        <v>3990.0292079999999</v>
      </c>
      <c r="H84" s="187"/>
      <c r="I84" s="7">
        <v>0.12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599.55359999999996</v>
      </c>
      <c r="N84" s="11">
        <f t="shared" si="3"/>
        <v>72.545985599999995</v>
      </c>
      <c r="O84" s="11">
        <f t="shared" si="4"/>
        <v>334.15120639999998</v>
      </c>
      <c r="P84" s="11">
        <f t="shared" si="16"/>
        <v>0</v>
      </c>
    </row>
    <row r="85" spans="1:16" ht="15" customHeight="1">
      <c r="A85" s="44"/>
      <c r="B85" s="5">
        <f t="shared" si="14"/>
        <v>45992</v>
      </c>
      <c r="C85" s="218" t="s">
        <v>533</v>
      </c>
      <c r="D85" s="195">
        <v>7334</v>
      </c>
      <c r="E85" s="186"/>
      <c r="F85" s="2">
        <v>583.12</v>
      </c>
      <c r="G85" s="3">
        <f t="shared" si="13"/>
        <v>465.67963199999997</v>
      </c>
      <c r="H85" s="187"/>
      <c r="I85" s="7">
        <v>0.12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69.974400000000003</v>
      </c>
      <c r="N85" s="11">
        <f t="shared" si="3"/>
        <v>8.4669024000000022</v>
      </c>
      <c r="O85" s="11">
        <f t="shared" si="4"/>
        <v>38.999065600000002</v>
      </c>
      <c r="P85" s="11">
        <f t="shared" si="16"/>
        <v>0</v>
      </c>
    </row>
    <row r="86" spans="1:16" ht="15" customHeight="1">
      <c r="A86" s="44"/>
      <c r="B86" s="5">
        <f t="shared" si="14"/>
        <v>45992</v>
      </c>
      <c r="C86" s="218" t="s">
        <v>533</v>
      </c>
      <c r="D86" s="195">
        <v>7335</v>
      </c>
      <c r="E86" s="186"/>
      <c r="F86" s="2">
        <v>4767.41</v>
      </c>
      <c r="G86" s="3">
        <f t="shared" si="13"/>
        <v>3807.2536259999997</v>
      </c>
      <c r="H86" s="187"/>
      <c r="I86" s="7">
        <v>0.12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572.08920000000001</v>
      </c>
      <c r="N86" s="11">
        <f t="shared" si="3"/>
        <v>69.222793199999998</v>
      </c>
      <c r="O86" s="11">
        <f t="shared" si="4"/>
        <v>318.84438079999995</v>
      </c>
      <c r="P86" s="11">
        <f t="shared" si="16"/>
        <v>0</v>
      </c>
    </row>
    <row r="87" spans="1:16" ht="15" customHeight="1">
      <c r="A87" s="44"/>
      <c r="B87" s="5">
        <f t="shared" si="14"/>
        <v>45992</v>
      </c>
      <c r="C87" s="218" t="s">
        <v>533</v>
      </c>
      <c r="D87" s="195">
        <v>7336</v>
      </c>
      <c r="E87" s="186"/>
      <c r="F87" s="2">
        <v>2634.29</v>
      </c>
      <c r="G87" s="3">
        <f t="shared" si="13"/>
        <v>2103.7439939999999</v>
      </c>
      <c r="H87" s="187"/>
      <c r="I87" s="7">
        <v>0.12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316.1148</v>
      </c>
      <c r="N87" s="11">
        <f t="shared" si="3"/>
        <v>38.249890800000003</v>
      </c>
      <c r="O87" s="11">
        <f t="shared" si="4"/>
        <v>176.1813152</v>
      </c>
      <c r="P87" s="11">
        <f t="shared" si="16"/>
        <v>0</v>
      </c>
    </row>
    <row r="88" spans="1:16" ht="15" customHeight="1">
      <c r="A88" s="44"/>
      <c r="B88" s="5">
        <f t="shared" si="14"/>
        <v>45992</v>
      </c>
      <c r="C88" s="218" t="s">
        <v>533</v>
      </c>
      <c r="D88" s="195">
        <v>30014</v>
      </c>
      <c r="E88" s="186"/>
      <c r="F88" s="2">
        <v>358.13</v>
      </c>
      <c r="G88" s="3">
        <f t="shared" si="13"/>
        <v>302.25276674999998</v>
      </c>
      <c r="H88" s="187"/>
      <c r="I88" s="7">
        <v>7.0000000000000007E-2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25.069100000000002</v>
      </c>
      <c r="N88" s="11">
        <f t="shared" si="3"/>
        <v>5.4955048500000006</v>
      </c>
      <c r="O88" s="11">
        <f t="shared" si="4"/>
        <v>25.312628400000001</v>
      </c>
      <c r="P88" s="11">
        <f t="shared" si="16"/>
        <v>0</v>
      </c>
    </row>
    <row r="89" spans="1:16" ht="15" customHeight="1">
      <c r="A89" s="44"/>
      <c r="B89" s="5">
        <f t="shared" si="14"/>
        <v>45992</v>
      </c>
      <c r="C89" s="218" t="s">
        <v>533</v>
      </c>
      <c r="D89" s="195">
        <v>7337</v>
      </c>
      <c r="E89" s="186"/>
      <c r="F89" s="2">
        <v>1977.16</v>
      </c>
      <c r="G89" s="3">
        <f t="shared" si="13"/>
        <v>1578.9599760000001</v>
      </c>
      <c r="H89" s="187"/>
      <c r="I89" s="7">
        <v>0.12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237.25919999999999</v>
      </c>
      <c r="N89" s="11">
        <f t="shared" si="3"/>
        <v>28.708363200000004</v>
      </c>
      <c r="O89" s="11">
        <f t="shared" si="4"/>
        <v>132.23246080000001</v>
      </c>
      <c r="P89" s="11">
        <f t="shared" si="16"/>
        <v>0</v>
      </c>
    </row>
    <row r="90" spans="1:16" ht="15" customHeight="1">
      <c r="A90" s="44"/>
      <c r="B90" s="5">
        <f t="shared" si="14"/>
        <v>45992</v>
      </c>
      <c r="C90" s="218" t="s">
        <v>533</v>
      </c>
      <c r="D90" s="195">
        <v>7338</v>
      </c>
      <c r="E90" s="186"/>
      <c r="F90" s="2">
        <v>1855.03</v>
      </c>
      <c r="G90" s="3">
        <f t="shared" si="13"/>
        <v>1481.426958</v>
      </c>
      <c r="H90" s="187"/>
      <c r="I90" s="7">
        <v>0.12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222.6036</v>
      </c>
      <c r="N90" s="11">
        <f t="shared" si="3"/>
        <v>26.935035600000003</v>
      </c>
      <c r="O90" s="11">
        <f t="shared" si="4"/>
        <v>124.0644064</v>
      </c>
      <c r="P90" s="11">
        <f t="shared" si="16"/>
        <v>0</v>
      </c>
    </row>
    <row r="91" spans="1:16" ht="15" customHeight="1">
      <c r="A91" s="44"/>
      <c r="B91" s="5">
        <f t="shared" si="14"/>
        <v>45992</v>
      </c>
      <c r="C91" s="218" t="s">
        <v>533</v>
      </c>
      <c r="D91" s="195">
        <v>30015</v>
      </c>
      <c r="E91" s="186"/>
      <c r="F91" s="2">
        <v>121.96</v>
      </c>
      <c r="G91" s="3">
        <f t="shared" si="13"/>
        <v>102.931191</v>
      </c>
      <c r="H91" s="187"/>
      <c r="I91" s="7">
        <v>7.0000000000000007E-2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8.5372000000000003</v>
      </c>
      <c r="N91" s="11">
        <f t="shared" si="3"/>
        <v>1.8714762</v>
      </c>
      <c r="O91" s="11">
        <f t="shared" si="4"/>
        <v>8.6201327999999986</v>
      </c>
      <c r="P91" s="11">
        <f t="shared" si="16"/>
        <v>0</v>
      </c>
    </row>
    <row r="92" spans="1:16" ht="15" customHeight="1">
      <c r="A92" s="44"/>
      <c r="B92" s="5">
        <f t="shared" si="14"/>
        <v>45992</v>
      </c>
      <c r="C92" s="218" t="s">
        <v>533</v>
      </c>
      <c r="D92" s="195">
        <v>7339</v>
      </c>
      <c r="E92" s="186"/>
      <c r="F92" s="2">
        <v>1624.16</v>
      </c>
      <c r="G92" s="3">
        <f t="shared" si="13"/>
        <v>1297.0541760000001</v>
      </c>
      <c r="H92" s="187"/>
      <c r="I92" s="7">
        <v>0.12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194.89920000000001</v>
      </c>
      <c r="N92" s="11">
        <f t="shared" si="3"/>
        <v>23.582803200000001</v>
      </c>
      <c r="O92" s="11">
        <f t="shared" si="4"/>
        <v>108.6238208</v>
      </c>
      <c r="P92" s="11">
        <f t="shared" si="16"/>
        <v>0</v>
      </c>
    </row>
    <row r="93" spans="1:16" ht="15" customHeight="1">
      <c r="A93" s="44"/>
      <c r="B93" s="5">
        <f t="shared" si="14"/>
        <v>45992</v>
      </c>
      <c r="C93" s="218" t="s">
        <v>533</v>
      </c>
      <c r="D93" s="195">
        <v>12638</v>
      </c>
      <c r="E93" s="186"/>
      <c r="F93" s="2">
        <v>2097.2199999999998</v>
      </c>
      <c r="G93" s="3">
        <f t="shared" si="13"/>
        <v>1674.839892</v>
      </c>
      <c r="H93" s="187"/>
      <c r="I93" s="7">
        <v>0.12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251.66639999999995</v>
      </c>
      <c r="N93" s="11">
        <f t="shared" si="3"/>
        <v>30.451634399999996</v>
      </c>
      <c r="O93" s="11">
        <f t="shared" si="4"/>
        <v>140.26207359999998</v>
      </c>
      <c r="P93" s="11">
        <f t="shared" si="16"/>
        <v>0</v>
      </c>
    </row>
    <row r="94" spans="1:16" ht="15" customHeight="1">
      <c r="A94" s="44"/>
      <c r="B94" s="5">
        <f t="shared" si="14"/>
        <v>45992</v>
      </c>
      <c r="C94" s="218" t="s">
        <v>533</v>
      </c>
      <c r="D94" s="195">
        <v>12639</v>
      </c>
      <c r="E94" s="186"/>
      <c r="F94" s="2">
        <v>1701.55</v>
      </c>
      <c r="G94" s="3">
        <f t="shared" si="13"/>
        <v>1358.8578299999999</v>
      </c>
      <c r="H94" s="187"/>
      <c r="I94" s="7">
        <v>0.12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204.18599999999998</v>
      </c>
      <c r="N94" s="11">
        <f t="shared" si="3"/>
        <v>24.706506000000001</v>
      </c>
      <c r="O94" s="11">
        <f t="shared" si="4"/>
        <v>113.79966399999999</v>
      </c>
      <c r="P94" s="11">
        <f t="shared" si="16"/>
        <v>0</v>
      </c>
    </row>
    <row r="95" spans="1:16" ht="15" customHeight="1">
      <c r="A95" s="44"/>
      <c r="B95" s="5">
        <f t="shared" si="14"/>
        <v>45992</v>
      </c>
      <c r="C95" s="218" t="s">
        <v>533</v>
      </c>
      <c r="D95" s="195">
        <v>30038</v>
      </c>
      <c r="E95" s="186"/>
      <c r="F95" s="2">
        <v>490.17</v>
      </c>
      <c r="G95" s="3">
        <f t="shared" si="13"/>
        <v>413.69122575</v>
      </c>
      <c r="H95" s="187"/>
      <c r="I95" s="7">
        <v>7.0000000000000007E-2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34.311900000000001</v>
      </c>
      <c r="N95" s="11">
        <f t="shared" si="3"/>
        <v>7.5216586500000009</v>
      </c>
      <c r="O95" s="11">
        <f t="shared" si="4"/>
        <v>34.6452156</v>
      </c>
      <c r="P95" s="11">
        <f t="shared" si="16"/>
        <v>0</v>
      </c>
    </row>
    <row r="96" spans="1:16" ht="15" customHeight="1">
      <c r="A96" s="44"/>
      <c r="B96" s="5">
        <f t="shared" si="14"/>
        <v>45992</v>
      </c>
      <c r="C96" s="218" t="s">
        <v>533</v>
      </c>
      <c r="D96" s="195">
        <v>7340</v>
      </c>
      <c r="E96" s="186"/>
      <c r="F96" s="2">
        <v>6126.14</v>
      </c>
      <c r="G96" s="3">
        <f t="shared" si="13"/>
        <v>4892.3354040000004</v>
      </c>
      <c r="H96" s="187"/>
      <c r="I96" s="7">
        <v>0.12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735.13679999999999</v>
      </c>
      <c r="N96" s="11">
        <f t="shared" si="3"/>
        <v>88.951552800000002</v>
      </c>
      <c r="O96" s="11">
        <f t="shared" si="4"/>
        <v>409.71624320000001</v>
      </c>
      <c r="P96" s="11">
        <f t="shared" si="16"/>
        <v>0</v>
      </c>
    </row>
    <row r="97" spans="1:16" ht="15" customHeight="1">
      <c r="A97" s="44"/>
      <c r="B97" s="5">
        <f t="shared" si="14"/>
        <v>45992</v>
      </c>
      <c r="C97" s="218" t="s">
        <v>533</v>
      </c>
      <c r="D97" s="195">
        <v>12640</v>
      </c>
      <c r="E97" s="186"/>
      <c r="F97" s="2">
        <v>6838.16</v>
      </c>
      <c r="G97" s="3">
        <f t="shared" si="13"/>
        <v>5460.9545760000001</v>
      </c>
      <c r="H97" s="187"/>
      <c r="I97" s="7">
        <v>0.12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820.5791999999999</v>
      </c>
      <c r="N97" s="11">
        <f t="shared" si="3"/>
        <v>99.290083199999998</v>
      </c>
      <c r="O97" s="11">
        <f t="shared" si="4"/>
        <v>457.33614079999995</v>
      </c>
      <c r="P97" s="11">
        <f t="shared" si="16"/>
        <v>0</v>
      </c>
    </row>
    <row r="98" spans="1:16" ht="15" customHeight="1">
      <c r="A98" s="44"/>
      <c r="B98" s="5">
        <f t="shared" si="14"/>
        <v>45992</v>
      </c>
      <c r="C98" s="218" t="s">
        <v>533</v>
      </c>
      <c r="D98" s="195">
        <v>30039</v>
      </c>
      <c r="E98" s="186"/>
      <c r="F98" s="2">
        <v>363.69</v>
      </c>
      <c r="G98" s="3">
        <f t="shared" si="13"/>
        <v>306.94526774999997</v>
      </c>
      <c r="H98" s="187"/>
      <c r="I98" s="7">
        <v>7.0000000000000007E-2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25.458300000000001</v>
      </c>
      <c r="N98" s="11">
        <f t="shared" si="3"/>
        <v>5.5808230500000002</v>
      </c>
      <c r="O98" s="11">
        <f t="shared" si="4"/>
        <v>25.705609199999998</v>
      </c>
      <c r="P98" s="11">
        <f t="shared" si="16"/>
        <v>0</v>
      </c>
    </row>
    <row r="99" spans="1:16" ht="15" customHeight="1">
      <c r="A99" s="44"/>
      <c r="B99" s="5">
        <f t="shared" si="14"/>
        <v>45992</v>
      </c>
      <c r="C99" s="218" t="s">
        <v>533</v>
      </c>
      <c r="D99" s="195">
        <v>7341</v>
      </c>
      <c r="E99" s="186"/>
      <c r="F99" s="2">
        <v>4646.67</v>
      </c>
      <c r="G99" s="3">
        <f t="shared" si="13"/>
        <v>3710.8306620000003</v>
      </c>
      <c r="H99" s="187"/>
      <c r="I99" s="7">
        <v>0.12</v>
      </c>
      <c r="J99" s="7">
        <v>1.6500000000000001E-2</v>
      </c>
      <c r="K99" s="7">
        <v>7.5999999999999998E-2</v>
      </c>
      <c r="L99" s="7">
        <v>0</v>
      </c>
      <c r="M99" s="11">
        <f t="shared" si="2"/>
        <v>557.60040000000004</v>
      </c>
      <c r="N99" s="11">
        <f t="shared" si="3"/>
        <v>67.469648399999997</v>
      </c>
      <c r="O99" s="11">
        <f t="shared" si="4"/>
        <v>310.76928959999998</v>
      </c>
      <c r="P99" s="11">
        <f t="shared" si="16"/>
        <v>0</v>
      </c>
    </row>
    <row r="100" spans="1:16" ht="15" customHeight="1">
      <c r="A100" s="44"/>
      <c r="B100" s="5">
        <f t="shared" si="14"/>
        <v>45992</v>
      </c>
      <c r="C100" s="218" t="s">
        <v>533</v>
      </c>
      <c r="D100" s="195">
        <v>12644</v>
      </c>
      <c r="E100" s="186"/>
      <c r="F100" s="2">
        <v>5077.67</v>
      </c>
      <c r="G100" s="3">
        <f t="shared" si="13"/>
        <v>4055.0272620000001</v>
      </c>
      <c r="H100" s="187"/>
      <c r="I100" s="7">
        <v>0.12</v>
      </c>
      <c r="J100" s="7">
        <v>1.6500000000000001E-2</v>
      </c>
      <c r="K100" s="7">
        <v>7.5999999999999998E-2</v>
      </c>
      <c r="L100" s="7">
        <v>0</v>
      </c>
      <c r="M100" s="11">
        <f t="shared" si="2"/>
        <v>609.32039999999995</v>
      </c>
      <c r="N100" s="11">
        <f t="shared" si="3"/>
        <v>73.727768400000016</v>
      </c>
      <c r="O100" s="11">
        <f t="shared" si="4"/>
        <v>339.5945696</v>
      </c>
      <c r="P100" s="11">
        <f t="shared" si="16"/>
        <v>0</v>
      </c>
    </row>
    <row r="101" spans="1:16" ht="15" customHeight="1">
      <c r="A101" s="44"/>
      <c r="B101" s="5">
        <f t="shared" si="14"/>
        <v>45992</v>
      </c>
      <c r="C101" s="218" t="s">
        <v>533</v>
      </c>
      <c r="D101" s="195">
        <v>30059</v>
      </c>
      <c r="E101" s="186"/>
      <c r="F101" s="2">
        <v>150.19</v>
      </c>
      <c r="G101" s="3">
        <f t="shared" si="13"/>
        <v>126.75660525000001</v>
      </c>
      <c r="H101" s="187"/>
      <c r="I101" s="7">
        <v>7.0000000000000007E-2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10.513300000000001</v>
      </c>
      <c r="N101" s="11">
        <f t="shared" si="3"/>
        <v>2.3046655499999997</v>
      </c>
      <c r="O101" s="11">
        <f t="shared" si="4"/>
        <v>10.615429199999998</v>
      </c>
      <c r="P101" s="11">
        <f t="shared" si="16"/>
        <v>0</v>
      </c>
    </row>
    <row r="102" spans="1:16" ht="15" customHeight="1">
      <c r="A102" s="44"/>
      <c r="B102" s="5">
        <f t="shared" si="14"/>
        <v>45992</v>
      </c>
      <c r="C102" s="218" t="s">
        <v>533</v>
      </c>
      <c r="D102" s="195">
        <v>7342</v>
      </c>
      <c r="E102" s="186"/>
      <c r="F102" s="2">
        <v>715.56</v>
      </c>
      <c r="G102" s="3">
        <f t="shared" si="13"/>
        <v>571.44621599999994</v>
      </c>
      <c r="H102" s="187"/>
      <c r="I102" s="7">
        <v>0.12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85.867199999999997</v>
      </c>
      <c r="N102" s="11">
        <f t="shared" si="3"/>
        <v>10.389931199999999</v>
      </c>
      <c r="O102" s="11">
        <f t="shared" si="4"/>
        <v>47.856652799999992</v>
      </c>
      <c r="P102" s="11">
        <f t="shared" si="16"/>
        <v>0</v>
      </c>
    </row>
    <row r="103" spans="1:16" ht="15" customHeight="1">
      <c r="A103" s="44"/>
      <c r="B103" s="5">
        <f t="shared" si="14"/>
        <v>45992</v>
      </c>
      <c r="C103" s="218" t="s">
        <v>533</v>
      </c>
      <c r="D103" s="195">
        <v>12645</v>
      </c>
      <c r="E103" s="186"/>
      <c r="F103" s="2">
        <v>1089.94</v>
      </c>
      <c r="G103" s="3">
        <f t="shared" si="13"/>
        <v>870.42608400000006</v>
      </c>
      <c r="H103" s="187"/>
      <c r="I103" s="7">
        <v>0.12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130.7928</v>
      </c>
      <c r="N103" s="11">
        <f t="shared" si="3"/>
        <v>15.825928800000003</v>
      </c>
      <c r="O103" s="11">
        <f t="shared" si="4"/>
        <v>72.895187200000009</v>
      </c>
      <c r="P103" s="11">
        <f t="shared" si="16"/>
        <v>0</v>
      </c>
    </row>
    <row r="104" spans="1:16" ht="15" customHeight="1">
      <c r="A104" s="44"/>
      <c r="B104" s="5">
        <f t="shared" si="14"/>
        <v>45992</v>
      </c>
      <c r="C104" s="218" t="s">
        <v>533</v>
      </c>
      <c r="D104" s="195">
        <v>23370</v>
      </c>
      <c r="E104" s="186"/>
      <c r="F104" s="2">
        <v>6315.98</v>
      </c>
      <c r="G104" s="3">
        <f t="shared" si="13"/>
        <v>5043.9416279999996</v>
      </c>
      <c r="H104" s="187"/>
      <c r="I104" s="7">
        <v>0.12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757.91759999999988</v>
      </c>
      <c r="N104" s="11">
        <f t="shared" si="3"/>
        <v>91.708029600000003</v>
      </c>
      <c r="O104" s="11">
        <f t="shared" si="4"/>
        <v>422.41274239999996</v>
      </c>
      <c r="P104" s="11">
        <f t="shared" si="16"/>
        <v>0</v>
      </c>
    </row>
    <row r="105" spans="1:16" ht="15" customHeight="1">
      <c r="A105" s="44"/>
      <c r="B105" s="5">
        <f t="shared" si="14"/>
        <v>45992</v>
      </c>
      <c r="C105" s="218" t="s">
        <v>533</v>
      </c>
      <c r="D105" s="195">
        <v>12646</v>
      </c>
      <c r="E105" s="186"/>
      <c r="F105" s="2">
        <v>165073.03</v>
      </c>
      <c r="G105" s="3">
        <f t="shared" si="13"/>
        <v>131827.32175800001</v>
      </c>
      <c r="H105" s="187"/>
      <c r="I105" s="7">
        <v>0.12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19808.763599999998</v>
      </c>
      <c r="N105" s="11">
        <f t="shared" si="3"/>
        <v>2396.8603956000002</v>
      </c>
      <c r="O105" s="11">
        <f t="shared" si="4"/>
        <v>11040.0842464</v>
      </c>
      <c r="P105" s="11">
        <f t="shared" si="16"/>
        <v>0</v>
      </c>
    </row>
    <row r="106" spans="1:16" ht="15" customHeight="1">
      <c r="A106" s="44"/>
      <c r="B106" s="5">
        <f t="shared" si="14"/>
        <v>45992</v>
      </c>
      <c r="C106" s="218" t="s">
        <v>533</v>
      </c>
      <c r="D106" s="195">
        <v>7343</v>
      </c>
      <c r="E106" s="186"/>
      <c r="F106" s="2">
        <v>125765.79</v>
      </c>
      <c r="G106" s="3">
        <f t="shared" si="13"/>
        <v>100436.55989399999</v>
      </c>
      <c r="H106" s="187"/>
      <c r="I106" s="7">
        <v>0.12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15091.894799999998</v>
      </c>
      <c r="N106" s="11">
        <f t="shared" si="3"/>
        <v>1826.1192708000001</v>
      </c>
      <c r="O106" s="11">
        <f t="shared" si="4"/>
        <v>8411.2160351999992</v>
      </c>
      <c r="P106" s="11">
        <f t="shared" si="16"/>
        <v>0</v>
      </c>
    </row>
    <row r="107" spans="1:16" ht="15" customHeight="1">
      <c r="A107" s="44"/>
      <c r="B107" s="5">
        <f t="shared" si="14"/>
        <v>45992</v>
      </c>
      <c r="C107" s="218" t="s">
        <v>533</v>
      </c>
      <c r="D107" s="195">
        <v>30060</v>
      </c>
      <c r="E107" s="186"/>
      <c r="F107" s="2">
        <v>14243.7</v>
      </c>
      <c r="G107" s="3">
        <f t="shared" si="13"/>
        <v>12021.3267075</v>
      </c>
      <c r="H107" s="187"/>
      <c r="I107" s="7">
        <v>7.0000000000000007E-2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997.0590000000002</v>
      </c>
      <c r="N107" s="11">
        <f t="shared" si="3"/>
        <v>218.56957650000001</v>
      </c>
      <c r="O107" s="11">
        <f t="shared" si="4"/>
        <v>1006.7447159999999</v>
      </c>
      <c r="P107" s="11">
        <f t="shared" si="16"/>
        <v>0</v>
      </c>
    </row>
    <row r="108" spans="1:16" ht="15" customHeight="1">
      <c r="A108" s="44"/>
      <c r="B108" s="5">
        <f t="shared" si="14"/>
        <v>45992</v>
      </c>
      <c r="C108" s="218" t="s">
        <v>533</v>
      </c>
      <c r="D108" s="195">
        <v>12647</v>
      </c>
      <c r="E108" s="186"/>
      <c r="F108" s="2">
        <v>45803.62</v>
      </c>
      <c r="G108" s="3">
        <f t="shared" si="13"/>
        <v>36578.770931999999</v>
      </c>
      <c r="H108" s="187"/>
      <c r="I108" s="7">
        <v>0.12</v>
      </c>
      <c r="J108" s="7">
        <v>1.6500000000000001E-2</v>
      </c>
      <c r="K108" s="7">
        <v>7.5999999999999998E-2</v>
      </c>
      <c r="L108" s="7">
        <v>0</v>
      </c>
      <c r="M108" s="11">
        <f t="shared" si="2"/>
        <v>5496.4344000000001</v>
      </c>
      <c r="N108" s="11">
        <f t="shared" si="3"/>
        <v>665.06856240000013</v>
      </c>
      <c r="O108" s="11">
        <f t="shared" si="4"/>
        <v>3063.3461056000001</v>
      </c>
      <c r="P108" s="11">
        <f t="shared" si="16"/>
        <v>0</v>
      </c>
    </row>
    <row r="109" spans="1:16" ht="15" customHeight="1">
      <c r="A109" s="44"/>
      <c r="B109" s="5">
        <f t="shared" si="14"/>
        <v>45992</v>
      </c>
      <c r="C109" s="218" t="s">
        <v>533</v>
      </c>
      <c r="D109" s="195">
        <v>7345</v>
      </c>
      <c r="E109" s="186"/>
      <c r="F109" s="2">
        <v>36679.589999999997</v>
      </c>
      <c r="G109" s="3">
        <f t="shared" si="13"/>
        <v>29292.320573999998</v>
      </c>
      <c r="H109" s="187"/>
      <c r="I109" s="7">
        <v>0.12</v>
      </c>
      <c r="J109" s="7">
        <v>1.6500000000000001E-2</v>
      </c>
      <c r="K109" s="7">
        <v>7.5999999999999998E-2</v>
      </c>
      <c r="L109" s="7">
        <v>0</v>
      </c>
      <c r="M109" s="11">
        <f t="shared" si="2"/>
        <v>4401.5507999999991</v>
      </c>
      <c r="N109" s="11">
        <f t="shared" si="3"/>
        <v>532.58764680000002</v>
      </c>
      <c r="O109" s="11">
        <f t="shared" si="4"/>
        <v>2453.1309791999997</v>
      </c>
      <c r="P109" s="11">
        <f t="shared" si="16"/>
        <v>0</v>
      </c>
    </row>
    <row r="110" spans="1:16" ht="15" customHeight="1">
      <c r="A110" s="44"/>
      <c r="B110" s="5">
        <f t="shared" si="14"/>
        <v>45992</v>
      </c>
      <c r="C110" s="218" t="s">
        <v>533</v>
      </c>
      <c r="D110" s="195">
        <v>30079</v>
      </c>
      <c r="E110" s="186"/>
      <c r="F110" s="2">
        <v>3970.82</v>
      </c>
      <c r="G110" s="3">
        <f t="shared" si="13"/>
        <v>3351.2728095000002</v>
      </c>
      <c r="H110" s="187"/>
      <c r="I110" s="7">
        <v>7.0000000000000007E-2</v>
      </c>
      <c r="J110" s="7">
        <v>1.6500000000000001E-2</v>
      </c>
      <c r="K110" s="7">
        <v>7.5999999999999998E-2</v>
      </c>
      <c r="L110" s="7">
        <v>0</v>
      </c>
      <c r="M110" s="11">
        <f t="shared" si="2"/>
        <v>277.95740000000006</v>
      </c>
      <c r="N110" s="11">
        <f t="shared" si="3"/>
        <v>60.932232900000002</v>
      </c>
      <c r="O110" s="11">
        <f t="shared" si="4"/>
        <v>280.65755759999996</v>
      </c>
      <c r="P110" s="11">
        <f t="shared" si="16"/>
        <v>0</v>
      </c>
    </row>
    <row r="111" spans="1:16" ht="15" customHeight="1">
      <c r="A111" s="44"/>
      <c r="B111" s="5">
        <f t="shared" si="14"/>
        <v>45992</v>
      </c>
      <c r="C111" s="218" t="s">
        <v>533</v>
      </c>
      <c r="D111" s="195">
        <v>12648</v>
      </c>
      <c r="E111" s="186"/>
      <c r="F111" s="2">
        <v>28869.17</v>
      </c>
      <c r="G111" s="3">
        <f t="shared" si="13"/>
        <v>23054.919161999998</v>
      </c>
      <c r="H111" s="187"/>
      <c r="I111" s="7">
        <v>0.12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3464.3003999999996</v>
      </c>
      <c r="N111" s="11">
        <f t="shared" si="3"/>
        <v>419.18034840000001</v>
      </c>
      <c r="O111" s="11">
        <f t="shared" si="4"/>
        <v>1930.7700895999999</v>
      </c>
      <c r="P111" s="11">
        <f t="shared" si="16"/>
        <v>0</v>
      </c>
    </row>
    <row r="112" spans="1:16" ht="15" customHeight="1">
      <c r="A112" s="44"/>
      <c r="B112" s="5">
        <f t="shared" si="14"/>
        <v>45992</v>
      </c>
      <c r="C112" s="218" t="s">
        <v>533</v>
      </c>
      <c r="D112" s="195">
        <v>7346</v>
      </c>
      <c r="E112" s="186"/>
      <c r="F112" s="2">
        <v>22924.54</v>
      </c>
      <c r="G112" s="3">
        <f t="shared" si="13"/>
        <v>18307.537644</v>
      </c>
      <c r="H112" s="187"/>
      <c r="I112" s="7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2750.9448000000002</v>
      </c>
      <c r="N112" s="11">
        <f t="shared" si="3"/>
        <v>332.86432080000003</v>
      </c>
      <c r="O112" s="11">
        <f t="shared" si="4"/>
        <v>1533.1932351999999</v>
      </c>
      <c r="P112" s="11">
        <f t="shared" si="16"/>
        <v>0</v>
      </c>
    </row>
    <row r="113" spans="1:16" ht="15" customHeight="1">
      <c r="A113" s="44"/>
      <c r="B113" s="5">
        <f t="shared" si="14"/>
        <v>45992</v>
      </c>
      <c r="C113" s="218" t="s">
        <v>533</v>
      </c>
      <c r="D113" s="195">
        <v>30080</v>
      </c>
      <c r="E113" s="186"/>
      <c r="F113" s="2">
        <v>2501.64</v>
      </c>
      <c r="G113" s="3">
        <f t="shared" si="13"/>
        <v>2111.3216189999998</v>
      </c>
      <c r="H113" s="187"/>
      <c r="I113" s="7">
        <v>7.0000000000000007E-2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175.1148</v>
      </c>
      <c r="N113" s="11">
        <f t="shared" si="3"/>
        <v>38.387665800000001</v>
      </c>
      <c r="O113" s="11">
        <f t="shared" si="4"/>
        <v>176.81591520000001</v>
      </c>
      <c r="P113" s="11">
        <f t="shared" si="16"/>
        <v>0</v>
      </c>
    </row>
    <row r="114" spans="1:16" ht="15" customHeight="1">
      <c r="A114" s="44"/>
      <c r="B114" s="5">
        <f t="shared" si="14"/>
        <v>45992</v>
      </c>
      <c r="C114" s="218" t="s">
        <v>533</v>
      </c>
      <c r="D114" s="195">
        <v>12649</v>
      </c>
      <c r="E114" s="186"/>
      <c r="F114" s="2">
        <v>136200.82999999999</v>
      </c>
      <c r="G114" s="3">
        <f t="shared" si="13"/>
        <v>108769.982838</v>
      </c>
      <c r="H114" s="187"/>
      <c r="I114" s="7">
        <v>0.12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16344.099599999998</v>
      </c>
      <c r="N114" s="11">
        <f t="shared" si="3"/>
        <v>1977.6360515999997</v>
      </c>
      <c r="O114" s="11">
        <f t="shared" si="4"/>
        <v>9109.1115103999982</v>
      </c>
      <c r="P114" s="11">
        <f t="shared" si="16"/>
        <v>0</v>
      </c>
    </row>
    <row r="115" spans="1:16" ht="15" customHeight="1">
      <c r="A115" s="44"/>
      <c r="B115" s="5">
        <f t="shared" si="14"/>
        <v>45992</v>
      </c>
      <c r="C115" s="218" t="s">
        <v>533</v>
      </c>
      <c r="D115" s="195">
        <v>7347</v>
      </c>
      <c r="E115" s="186"/>
      <c r="F115" s="2">
        <v>108056.27</v>
      </c>
      <c r="G115" s="3">
        <f t="shared" si="13"/>
        <v>86293.737221999996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12966.752399999999</v>
      </c>
      <c r="N115" s="11">
        <f t="shared" si="3"/>
        <v>1568.9770404000001</v>
      </c>
      <c r="O115" s="11">
        <f t="shared" si="4"/>
        <v>7226.8033376000003</v>
      </c>
      <c r="P115" s="11">
        <f t="shared" si="16"/>
        <v>0</v>
      </c>
    </row>
    <row r="116" spans="1:16" ht="15" customHeight="1">
      <c r="A116" s="44"/>
      <c r="B116" s="5">
        <f t="shared" si="14"/>
        <v>45992</v>
      </c>
      <c r="C116" s="218" t="s">
        <v>533</v>
      </c>
      <c r="D116" s="195">
        <v>30101</v>
      </c>
      <c r="E116" s="186"/>
      <c r="F116" s="2">
        <v>11779.06</v>
      </c>
      <c r="G116" s="3">
        <f t="shared" si="13"/>
        <v>9941.2321634999989</v>
      </c>
      <c r="H116" s="187"/>
      <c r="I116" s="7">
        <v>7.0000000000000007E-2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824.53420000000006</v>
      </c>
      <c r="N116" s="11">
        <f t="shared" si="3"/>
        <v>180.74967570000001</v>
      </c>
      <c r="O116" s="11">
        <f t="shared" si="4"/>
        <v>832.54396079999992</v>
      </c>
      <c r="P116" s="11">
        <f t="shared" si="16"/>
        <v>0</v>
      </c>
    </row>
    <row r="117" spans="1:16" ht="15" customHeight="1">
      <c r="A117" s="44"/>
      <c r="B117" s="5">
        <f t="shared" si="14"/>
        <v>45992</v>
      </c>
      <c r="C117" s="218" t="s">
        <v>533</v>
      </c>
      <c r="D117" s="195">
        <v>12650</v>
      </c>
      <c r="E117" s="186"/>
      <c r="F117" s="2">
        <v>57204.22</v>
      </c>
      <c r="G117" s="3">
        <f t="shared" si="13"/>
        <v>45683.290092000003</v>
      </c>
      <c r="H117" s="187"/>
      <c r="I117" s="7">
        <v>0.12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6864.5064000000002</v>
      </c>
      <c r="N117" s="11">
        <f t="shared" si="3"/>
        <v>830.6052744000001</v>
      </c>
      <c r="O117" s="11">
        <f t="shared" si="4"/>
        <v>3825.8182336</v>
      </c>
      <c r="P117" s="11">
        <f t="shared" si="16"/>
        <v>0</v>
      </c>
    </row>
    <row r="118" spans="1:16" ht="15" customHeight="1">
      <c r="A118" s="44"/>
      <c r="B118" s="5">
        <f t="shared" si="14"/>
        <v>45992</v>
      </c>
      <c r="C118" s="218" t="s">
        <v>533</v>
      </c>
      <c r="D118" s="195">
        <v>7349</v>
      </c>
      <c r="E118" s="186"/>
      <c r="F118" s="2">
        <v>45552.91</v>
      </c>
      <c r="G118" s="3">
        <f t="shared" ref="G118:G182" si="17">F118-SUM(M118:P118)</f>
        <v>36378.553926000001</v>
      </c>
      <c r="H118" s="187"/>
      <c r="I118" s="7">
        <v>0.12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5466.3492000000006</v>
      </c>
      <c r="N118" s="11">
        <f t="shared" si="3"/>
        <v>661.42825320000009</v>
      </c>
      <c r="O118" s="11">
        <f t="shared" si="4"/>
        <v>3046.5786208000004</v>
      </c>
      <c r="P118" s="11">
        <f t="shared" si="16"/>
        <v>0</v>
      </c>
    </row>
    <row r="119" spans="1:16" ht="15" customHeight="1">
      <c r="A119" s="44"/>
      <c r="B119" s="5">
        <f t="shared" si="14"/>
        <v>45992</v>
      </c>
      <c r="C119" s="218" t="s">
        <v>533</v>
      </c>
      <c r="D119" s="195">
        <v>30102</v>
      </c>
      <c r="E119" s="186"/>
      <c r="F119" s="2">
        <v>4963.34</v>
      </c>
      <c r="G119" s="3">
        <f t="shared" si="17"/>
        <v>4188.9348765000004</v>
      </c>
      <c r="H119" s="187"/>
      <c r="I119" s="7">
        <v>7.0000000000000007E-2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347.43380000000002</v>
      </c>
      <c r="N119" s="11">
        <f t="shared" si="3"/>
        <v>76.162452300000012</v>
      </c>
      <c r="O119" s="11">
        <f t="shared" si="4"/>
        <v>350.8088712</v>
      </c>
      <c r="P119" s="11">
        <f t="shared" si="16"/>
        <v>0</v>
      </c>
    </row>
    <row r="120" spans="1:16" ht="15" customHeight="1">
      <c r="A120" s="44"/>
      <c r="B120" s="5">
        <f t="shared" ref="B120:B182" si="18">B119</f>
        <v>45992</v>
      </c>
      <c r="C120" s="218" t="s">
        <v>533</v>
      </c>
      <c r="D120" s="195">
        <v>12651</v>
      </c>
      <c r="E120" s="186"/>
      <c r="F120" s="2">
        <v>144243.78</v>
      </c>
      <c r="G120" s="3">
        <f t="shared" si="17"/>
        <v>115193.082708</v>
      </c>
      <c r="H120" s="187"/>
      <c r="I120" s="7">
        <v>0.12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17309.2536</v>
      </c>
      <c r="N120" s="11">
        <f t="shared" si="3"/>
        <v>2094.4196856000003</v>
      </c>
      <c r="O120" s="11">
        <f t="shared" si="4"/>
        <v>9647.0240063999991</v>
      </c>
      <c r="P120" s="11">
        <f t="shared" si="16"/>
        <v>0</v>
      </c>
    </row>
    <row r="121" spans="1:16" ht="15" customHeight="1">
      <c r="A121" s="44"/>
      <c r="B121" s="5">
        <f t="shared" si="18"/>
        <v>45992</v>
      </c>
      <c r="C121" s="218" t="s">
        <v>533</v>
      </c>
      <c r="D121" s="195">
        <v>7350</v>
      </c>
      <c r="E121" s="186"/>
      <c r="F121" s="2">
        <v>115257.29</v>
      </c>
      <c r="G121" s="3">
        <f t="shared" si="17"/>
        <v>92044.471793999997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13830.8748</v>
      </c>
      <c r="N121" s="11">
        <f t="shared" si="3"/>
        <v>1673.5358507999999</v>
      </c>
      <c r="O121" s="11">
        <f t="shared" si="4"/>
        <v>7708.4075551999986</v>
      </c>
      <c r="P121" s="11">
        <f t="shared" si="16"/>
        <v>0</v>
      </c>
    </row>
    <row r="122" spans="1:16" ht="15" customHeight="1">
      <c r="A122" s="44"/>
      <c r="B122" s="5">
        <f t="shared" si="18"/>
        <v>45992</v>
      </c>
      <c r="C122" s="218" t="s">
        <v>533</v>
      </c>
      <c r="D122" s="195">
        <v>30103</v>
      </c>
      <c r="E122" s="186"/>
      <c r="F122" s="2">
        <v>12575.29</v>
      </c>
      <c r="G122" s="3">
        <f t="shared" si="17"/>
        <v>10613.23037775</v>
      </c>
      <c r="H122" s="187"/>
      <c r="I122" s="7">
        <v>7.0000000000000007E-2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880.27030000000013</v>
      </c>
      <c r="N122" s="11">
        <f t="shared" si="3"/>
        <v>192.96782505000002</v>
      </c>
      <c r="O122" s="11">
        <f t="shared" si="4"/>
        <v>888.82149720000007</v>
      </c>
      <c r="P122" s="11">
        <f t="shared" si="16"/>
        <v>0</v>
      </c>
    </row>
    <row r="123" spans="1:16" ht="15" customHeight="1">
      <c r="A123" s="44"/>
      <c r="B123" s="5">
        <f t="shared" si="18"/>
        <v>45992</v>
      </c>
      <c r="C123" s="218" t="s">
        <v>533</v>
      </c>
      <c r="D123" s="195">
        <v>23372</v>
      </c>
      <c r="E123" s="186"/>
      <c r="F123" s="2">
        <v>22226.73</v>
      </c>
      <c r="G123" s="3">
        <f t="shared" si="17"/>
        <v>17750.266577999999</v>
      </c>
      <c r="H123" s="187"/>
      <c r="I123" s="7">
        <v>0.12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2667.2075999999997</v>
      </c>
      <c r="N123" s="11">
        <f t="shared" si="3"/>
        <v>322.73211960000003</v>
      </c>
      <c r="O123" s="11">
        <f t="shared" si="4"/>
        <v>1486.5237024</v>
      </c>
      <c r="P123" s="11">
        <f t="shared" si="16"/>
        <v>0</v>
      </c>
    </row>
    <row r="124" spans="1:16" ht="15" customHeight="1">
      <c r="A124" s="44"/>
      <c r="B124" s="5">
        <f t="shared" si="18"/>
        <v>45992</v>
      </c>
      <c r="C124" s="218" t="s">
        <v>533</v>
      </c>
      <c r="D124" s="195">
        <v>23315</v>
      </c>
      <c r="E124" s="186"/>
      <c r="F124" s="2">
        <v>3985.81</v>
      </c>
      <c r="G124" s="3">
        <f t="shared" si="17"/>
        <v>3183.0678659999999</v>
      </c>
      <c r="H124" s="187"/>
      <c r="I124" s="7">
        <v>0.12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478.29719999999998</v>
      </c>
      <c r="N124" s="11">
        <f t="shared" si="3"/>
        <v>57.873961200000004</v>
      </c>
      <c r="O124" s="11">
        <f t="shared" si="4"/>
        <v>266.57097279999999</v>
      </c>
      <c r="P124" s="11">
        <f t="shared" si="16"/>
        <v>0</v>
      </c>
    </row>
    <row r="125" spans="1:16" ht="15" customHeight="1">
      <c r="A125" s="44"/>
      <c r="B125" s="5">
        <f t="shared" si="18"/>
        <v>45992</v>
      </c>
      <c r="C125" s="218" t="s">
        <v>533</v>
      </c>
      <c r="D125" s="195">
        <v>23316</v>
      </c>
      <c r="E125" s="186"/>
      <c r="F125" s="2">
        <v>18559.169999999998</v>
      </c>
      <c r="G125" s="3">
        <f t="shared" si="17"/>
        <v>14821.353161999999</v>
      </c>
      <c r="H125" s="187"/>
      <c r="I125" s="7">
        <v>0.12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2227.1003999999998</v>
      </c>
      <c r="N125" s="11">
        <f t="shared" si="3"/>
        <v>269.47914839999999</v>
      </c>
      <c r="O125" s="11">
        <f t="shared" si="4"/>
        <v>1241.2372895999999</v>
      </c>
      <c r="P125" s="11">
        <f t="shared" si="16"/>
        <v>0</v>
      </c>
    </row>
    <row r="126" spans="1:16" ht="15" customHeight="1">
      <c r="A126" s="44"/>
      <c r="B126" s="5">
        <f t="shared" si="18"/>
        <v>45992</v>
      </c>
      <c r="C126" s="218" t="s">
        <v>533</v>
      </c>
      <c r="D126" s="195">
        <v>23317</v>
      </c>
      <c r="E126" s="186"/>
      <c r="F126" s="2">
        <v>7971.62</v>
      </c>
      <c r="G126" s="3">
        <f t="shared" si="17"/>
        <v>6366.1357319999997</v>
      </c>
      <c r="H126" s="187"/>
      <c r="I126" s="7">
        <v>0.12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956.59439999999995</v>
      </c>
      <c r="N126" s="11">
        <f t="shared" si="3"/>
        <v>115.74792240000001</v>
      </c>
      <c r="O126" s="11">
        <f t="shared" si="4"/>
        <v>533.14194559999999</v>
      </c>
      <c r="P126" s="11">
        <f t="shared" si="16"/>
        <v>0</v>
      </c>
    </row>
    <row r="127" spans="1:16" ht="15" customHeight="1">
      <c r="A127" s="44"/>
      <c r="B127" s="5">
        <f t="shared" si="18"/>
        <v>45992</v>
      </c>
      <c r="C127" s="218" t="s">
        <v>533</v>
      </c>
      <c r="D127" s="195">
        <v>23318</v>
      </c>
      <c r="E127" s="186"/>
      <c r="F127" s="2">
        <v>20656.93</v>
      </c>
      <c r="G127" s="3">
        <f t="shared" si="17"/>
        <v>16496.624298000002</v>
      </c>
      <c r="H127" s="187"/>
      <c r="I127" s="7">
        <v>0.12</v>
      </c>
      <c r="J127" s="7">
        <v>1.6500000000000001E-2</v>
      </c>
      <c r="K127" s="7">
        <v>7.5999999999999998E-2</v>
      </c>
      <c r="L127" s="7">
        <v>0</v>
      </c>
      <c r="M127" s="11">
        <f t="shared" si="2"/>
        <v>2478.8316</v>
      </c>
      <c r="N127" s="11">
        <f t="shared" si="3"/>
        <v>299.93862359999997</v>
      </c>
      <c r="O127" s="11">
        <f t="shared" si="4"/>
        <v>1381.5354783999999</v>
      </c>
      <c r="P127" s="11">
        <f t="shared" si="16"/>
        <v>0</v>
      </c>
    </row>
    <row r="128" spans="1:16" ht="15" customHeight="1">
      <c r="A128" s="44"/>
      <c r="B128" s="5">
        <f t="shared" si="18"/>
        <v>45992</v>
      </c>
      <c r="C128" s="218" t="s">
        <v>533</v>
      </c>
      <c r="D128" s="195">
        <v>7316</v>
      </c>
      <c r="E128" s="186"/>
      <c r="F128" s="2">
        <v>55017.09</v>
      </c>
      <c r="G128" s="3">
        <f t="shared" si="17"/>
        <v>43936.648073999997</v>
      </c>
      <c r="H128" s="187"/>
      <c r="I128" s="7">
        <v>0.12</v>
      </c>
      <c r="J128" s="7">
        <v>1.6500000000000001E-2</v>
      </c>
      <c r="K128" s="7">
        <v>7.5999999999999998E-2</v>
      </c>
      <c r="L128" s="7">
        <v>0</v>
      </c>
      <c r="M128" s="11">
        <f t="shared" si="2"/>
        <v>6602.0507999999991</v>
      </c>
      <c r="N128" s="11">
        <f t="shared" si="3"/>
        <v>798.84814679999999</v>
      </c>
      <c r="O128" s="11">
        <f t="shared" si="4"/>
        <v>3679.5429792</v>
      </c>
      <c r="P128" s="11">
        <f t="shared" si="16"/>
        <v>0</v>
      </c>
    </row>
    <row r="129" spans="1:16" ht="15" customHeight="1">
      <c r="A129" s="44"/>
      <c r="B129" s="5">
        <f t="shared" si="18"/>
        <v>45992</v>
      </c>
      <c r="C129" s="218" t="s">
        <v>533</v>
      </c>
      <c r="D129" s="195">
        <v>7317</v>
      </c>
      <c r="E129" s="186"/>
      <c r="F129" s="2">
        <v>15207.13</v>
      </c>
      <c r="G129" s="3">
        <f t="shared" si="17"/>
        <v>12144.414017999999</v>
      </c>
      <c r="H129" s="187"/>
      <c r="I129" s="7">
        <v>0.12</v>
      </c>
      <c r="J129" s="7">
        <v>1.6500000000000001E-2</v>
      </c>
      <c r="K129" s="7">
        <v>7.5999999999999998E-2</v>
      </c>
      <c r="L129" s="7">
        <v>0</v>
      </c>
      <c r="M129" s="11">
        <f t="shared" si="2"/>
        <v>1824.8555999999999</v>
      </c>
      <c r="N129" s="11">
        <f t="shared" si="3"/>
        <v>220.80752759999999</v>
      </c>
      <c r="O129" s="11">
        <f t="shared" si="4"/>
        <v>1017.0528543999999</v>
      </c>
      <c r="P129" s="11">
        <f t="shared" si="16"/>
        <v>0</v>
      </c>
    </row>
    <row r="130" spans="1:16" ht="15" customHeight="1">
      <c r="A130" s="44"/>
      <c r="B130" s="5">
        <f t="shared" si="18"/>
        <v>45992</v>
      </c>
      <c r="C130" s="218" t="s">
        <v>533</v>
      </c>
      <c r="D130" s="195">
        <v>7314</v>
      </c>
      <c r="E130" s="186"/>
      <c r="F130" s="2">
        <v>9663.1</v>
      </c>
      <c r="G130" s="3">
        <f t="shared" si="17"/>
        <v>7716.9516600000006</v>
      </c>
      <c r="H130" s="187"/>
      <c r="I130" s="7">
        <v>0.12</v>
      </c>
      <c r="J130" s="7">
        <v>1.6500000000000001E-2</v>
      </c>
      <c r="K130" s="7">
        <v>7.5999999999999998E-2</v>
      </c>
      <c r="L130" s="7">
        <v>0</v>
      </c>
      <c r="M130" s="11">
        <f t="shared" si="2"/>
        <v>1159.5719999999999</v>
      </c>
      <c r="N130" s="11">
        <f t="shared" si="3"/>
        <v>140.308212</v>
      </c>
      <c r="O130" s="11">
        <f t="shared" si="4"/>
        <v>646.26812800000005</v>
      </c>
      <c r="P130" s="11">
        <f t="shared" si="16"/>
        <v>0</v>
      </c>
    </row>
    <row r="131" spans="1:16" ht="15" customHeight="1">
      <c r="A131" s="44"/>
      <c r="B131" s="5">
        <f t="shared" si="18"/>
        <v>45992</v>
      </c>
      <c r="C131" s="218" t="s">
        <v>533</v>
      </c>
      <c r="D131" s="195">
        <v>7315</v>
      </c>
      <c r="E131" s="186"/>
      <c r="F131" s="2">
        <v>45091.24</v>
      </c>
      <c r="G131" s="3">
        <f t="shared" si="17"/>
        <v>36009.864264000003</v>
      </c>
      <c r="H131" s="187"/>
      <c r="I131" s="7">
        <v>0.12</v>
      </c>
      <c r="J131" s="7">
        <v>1.6500000000000001E-2</v>
      </c>
      <c r="K131" s="7">
        <v>7.5999999999999998E-2</v>
      </c>
      <c r="L131" s="7">
        <v>0</v>
      </c>
      <c r="M131" s="11">
        <f t="shared" si="2"/>
        <v>5410.9487999999992</v>
      </c>
      <c r="N131" s="11">
        <f t="shared" si="3"/>
        <v>654.72480480000002</v>
      </c>
      <c r="O131" s="11">
        <f t="shared" si="4"/>
        <v>3015.7021311999997</v>
      </c>
      <c r="P131" s="11">
        <f t="shared" si="16"/>
        <v>0</v>
      </c>
    </row>
    <row r="132" spans="1:16" ht="15" customHeight="1">
      <c r="A132" s="44"/>
      <c r="B132" s="5">
        <f t="shared" si="18"/>
        <v>45992</v>
      </c>
      <c r="C132" s="218" t="s">
        <v>533</v>
      </c>
      <c r="D132" s="195">
        <v>7318</v>
      </c>
      <c r="E132" s="186"/>
      <c r="F132" s="2">
        <v>18786.07</v>
      </c>
      <c r="G132" s="3">
        <f t="shared" si="17"/>
        <v>15002.555501999999</v>
      </c>
      <c r="H132" s="187"/>
      <c r="I132" s="7">
        <v>0.12</v>
      </c>
      <c r="J132" s="7">
        <v>1.6500000000000001E-2</v>
      </c>
      <c r="K132" s="7">
        <v>7.5999999999999998E-2</v>
      </c>
      <c r="L132" s="7">
        <v>0</v>
      </c>
      <c r="M132" s="11">
        <f t="shared" si="2"/>
        <v>2254.3283999999999</v>
      </c>
      <c r="N132" s="11">
        <f t="shared" si="3"/>
        <v>272.77373640000002</v>
      </c>
      <c r="O132" s="11">
        <f t="shared" si="4"/>
        <v>1256.4123616000002</v>
      </c>
      <c r="P132" s="11">
        <f t="shared" si="16"/>
        <v>0</v>
      </c>
    </row>
    <row r="133" spans="1:16" ht="15" customHeight="1">
      <c r="A133" s="44"/>
      <c r="B133" s="5">
        <f t="shared" si="18"/>
        <v>45992</v>
      </c>
      <c r="C133" s="218" t="s">
        <v>533</v>
      </c>
      <c r="D133" s="195">
        <v>7319</v>
      </c>
      <c r="E133" s="186"/>
      <c r="F133" s="2">
        <v>48005.13</v>
      </c>
      <c r="G133" s="3">
        <f t="shared" si="17"/>
        <v>38336.896817999994</v>
      </c>
      <c r="H133" s="187"/>
      <c r="I133" s="7">
        <v>0.12</v>
      </c>
      <c r="J133" s="7">
        <v>1.6500000000000001E-2</v>
      </c>
      <c r="K133" s="7">
        <v>7.5999999999999998E-2</v>
      </c>
      <c r="L133" s="7">
        <v>0</v>
      </c>
      <c r="M133" s="11">
        <f t="shared" si="2"/>
        <v>5760.6155999999992</v>
      </c>
      <c r="N133" s="11">
        <f t="shared" si="3"/>
        <v>697.03448760000003</v>
      </c>
      <c r="O133" s="11">
        <f t="shared" si="4"/>
        <v>3210.5830943999999</v>
      </c>
      <c r="P133" s="11">
        <f t="shared" si="16"/>
        <v>0</v>
      </c>
    </row>
    <row r="134" spans="1:16" ht="15" customHeight="1">
      <c r="A134" s="44"/>
      <c r="B134" s="5">
        <f t="shared" si="18"/>
        <v>45992</v>
      </c>
      <c r="C134" s="218" t="s">
        <v>533</v>
      </c>
      <c r="D134" s="195">
        <v>23321</v>
      </c>
      <c r="E134" s="186"/>
      <c r="F134" s="2">
        <v>6675.72</v>
      </c>
      <c r="G134" s="3">
        <f t="shared" si="17"/>
        <v>5331.2299920000005</v>
      </c>
      <c r="H134" s="187"/>
      <c r="I134" s="7">
        <v>0.12</v>
      </c>
      <c r="J134" s="7">
        <v>1.6500000000000001E-2</v>
      </c>
      <c r="K134" s="7">
        <v>7.5999999999999998E-2</v>
      </c>
      <c r="L134" s="7">
        <v>0</v>
      </c>
      <c r="M134" s="11">
        <f t="shared" si="2"/>
        <v>801.08640000000003</v>
      </c>
      <c r="N134" s="11">
        <f t="shared" si="3"/>
        <v>96.931454400000007</v>
      </c>
      <c r="O134" s="11">
        <f t="shared" si="4"/>
        <v>446.47215360000001</v>
      </c>
      <c r="P134" s="11">
        <f t="shared" si="16"/>
        <v>0</v>
      </c>
    </row>
    <row r="135" spans="1:16" ht="15" customHeight="1">
      <c r="A135" s="44"/>
      <c r="B135" s="5">
        <f t="shared" si="18"/>
        <v>45992</v>
      </c>
      <c r="C135" s="218" t="s">
        <v>533</v>
      </c>
      <c r="D135" s="195">
        <v>23326</v>
      </c>
      <c r="E135" s="186"/>
      <c r="F135" s="2">
        <v>1459.42</v>
      </c>
      <c r="G135" s="3">
        <f t="shared" si="17"/>
        <v>1165.492812</v>
      </c>
      <c r="H135" s="187"/>
      <c r="I135" s="7">
        <v>0.12</v>
      </c>
      <c r="J135" s="7">
        <v>1.6500000000000001E-2</v>
      </c>
      <c r="K135" s="7">
        <v>7.5999999999999998E-2</v>
      </c>
      <c r="L135" s="7">
        <v>0</v>
      </c>
      <c r="M135" s="11">
        <f t="shared" si="2"/>
        <v>175.13040000000001</v>
      </c>
      <c r="N135" s="11">
        <f t="shared" si="3"/>
        <v>21.190778400000003</v>
      </c>
      <c r="O135" s="11">
        <f t="shared" si="4"/>
        <v>97.606009600000007</v>
      </c>
      <c r="P135" s="11">
        <f t="shared" si="16"/>
        <v>0</v>
      </c>
    </row>
    <row r="136" spans="1:16" ht="15" customHeight="1">
      <c r="A136" s="44"/>
      <c r="B136" s="5">
        <f t="shared" si="18"/>
        <v>45992</v>
      </c>
      <c r="C136" s="218" t="s">
        <v>533</v>
      </c>
      <c r="D136" s="195">
        <v>23327</v>
      </c>
      <c r="E136" s="186"/>
      <c r="F136" s="2">
        <v>1042.44</v>
      </c>
      <c r="G136" s="3">
        <f t="shared" si="17"/>
        <v>832.49258400000008</v>
      </c>
      <c r="H136" s="187"/>
      <c r="I136" s="7">
        <v>0.12</v>
      </c>
      <c r="J136" s="7">
        <v>1.6500000000000001E-2</v>
      </c>
      <c r="K136" s="7">
        <v>7.5999999999999998E-2</v>
      </c>
      <c r="L136" s="7">
        <v>0</v>
      </c>
      <c r="M136" s="11">
        <f t="shared" si="2"/>
        <v>125.0928</v>
      </c>
      <c r="N136" s="11">
        <f t="shared" si="3"/>
        <v>15.136228800000001</v>
      </c>
      <c r="O136" s="11">
        <f t="shared" si="4"/>
        <v>69.718387199999995</v>
      </c>
      <c r="P136" s="11">
        <f t="shared" si="16"/>
        <v>0</v>
      </c>
    </row>
    <row r="137" spans="1:16" ht="15" customHeight="1">
      <c r="A137" s="44"/>
      <c r="B137" s="5">
        <f t="shared" si="18"/>
        <v>45992</v>
      </c>
      <c r="C137" s="218" t="s">
        <v>533</v>
      </c>
      <c r="D137" s="195">
        <v>23328</v>
      </c>
      <c r="E137" s="186"/>
      <c r="F137" s="2">
        <v>4795.24</v>
      </c>
      <c r="G137" s="3">
        <f t="shared" si="17"/>
        <v>3829.4786640000002</v>
      </c>
      <c r="H137" s="187"/>
      <c r="I137" s="7">
        <v>0.12</v>
      </c>
      <c r="J137" s="7">
        <v>1.6500000000000001E-2</v>
      </c>
      <c r="K137" s="7">
        <v>7.5999999999999998E-2</v>
      </c>
      <c r="L137" s="7">
        <v>0</v>
      </c>
      <c r="M137" s="11">
        <f t="shared" si="2"/>
        <v>575.42879999999991</v>
      </c>
      <c r="N137" s="11">
        <f t="shared" si="3"/>
        <v>69.626884799999999</v>
      </c>
      <c r="O137" s="11">
        <f t="shared" si="4"/>
        <v>320.70565119999998</v>
      </c>
      <c r="P137" s="11">
        <f t="shared" si="16"/>
        <v>0</v>
      </c>
    </row>
    <row r="138" spans="1:16" ht="15" customHeight="1">
      <c r="A138" s="44"/>
      <c r="B138" s="5">
        <f t="shared" si="18"/>
        <v>45992</v>
      </c>
      <c r="C138" s="218" t="s">
        <v>533</v>
      </c>
      <c r="D138" s="195">
        <v>23329</v>
      </c>
      <c r="E138" s="186"/>
      <c r="F138" s="2">
        <v>2084.89</v>
      </c>
      <c r="G138" s="3">
        <f t="shared" si="17"/>
        <v>1664.9931539999998</v>
      </c>
      <c r="H138" s="187"/>
      <c r="I138" s="7">
        <v>0.12</v>
      </c>
      <c r="J138" s="7">
        <v>1.6500000000000001E-2</v>
      </c>
      <c r="K138" s="7">
        <v>7.5999999999999998E-2</v>
      </c>
      <c r="L138" s="7">
        <v>0</v>
      </c>
      <c r="M138" s="11">
        <f t="shared" si="2"/>
        <v>250.18679999999998</v>
      </c>
      <c r="N138" s="11">
        <f t="shared" si="3"/>
        <v>30.272602800000001</v>
      </c>
      <c r="O138" s="11">
        <f t="shared" si="4"/>
        <v>139.43744319999999</v>
      </c>
      <c r="P138" s="11">
        <f t="shared" si="16"/>
        <v>0</v>
      </c>
    </row>
    <row r="139" spans="1:16" ht="15" customHeight="1">
      <c r="A139" s="44"/>
      <c r="B139" s="5">
        <f t="shared" si="18"/>
        <v>45992</v>
      </c>
      <c r="C139" s="218" t="s">
        <v>533</v>
      </c>
      <c r="D139" s="195">
        <v>23330</v>
      </c>
      <c r="E139" s="186"/>
      <c r="F139" s="2">
        <v>4586.75</v>
      </c>
      <c r="G139" s="3">
        <f t="shared" si="17"/>
        <v>3662.9785499999998</v>
      </c>
      <c r="H139" s="187"/>
      <c r="I139" s="7">
        <v>0.12</v>
      </c>
      <c r="J139" s="7">
        <v>1.6500000000000001E-2</v>
      </c>
      <c r="K139" s="7">
        <v>7.5999999999999998E-2</v>
      </c>
      <c r="L139" s="7">
        <v>0</v>
      </c>
      <c r="M139" s="11">
        <f t="shared" si="2"/>
        <v>550.41</v>
      </c>
      <c r="N139" s="11">
        <f t="shared" si="3"/>
        <v>66.599610000000013</v>
      </c>
      <c r="O139" s="11">
        <f t="shared" si="4"/>
        <v>306.76184000000001</v>
      </c>
      <c r="P139" s="11">
        <f t="shared" si="16"/>
        <v>0</v>
      </c>
    </row>
    <row r="140" spans="1:16" ht="15" hidden="1" customHeight="1">
      <c r="A140" s="44"/>
      <c r="B140" s="5">
        <f t="shared" si="18"/>
        <v>45992</v>
      </c>
      <c r="C140" s="218" t="s">
        <v>533</v>
      </c>
      <c r="D140" s="195"/>
      <c r="E140" s="186"/>
      <c r="F140" s="2"/>
      <c r="G140" s="3">
        <f t="shared" si="17"/>
        <v>0</v>
      </c>
      <c r="H140" s="187"/>
      <c r="I140" s="7"/>
      <c r="J140" s="7">
        <v>1.6500000000000001E-2</v>
      </c>
      <c r="K140" s="7">
        <v>7.5999999999999998E-2</v>
      </c>
      <c r="L140" s="7">
        <v>0</v>
      </c>
      <c r="M140" s="11">
        <f t="shared" si="2"/>
        <v>0</v>
      </c>
      <c r="N140" s="11">
        <f t="shared" si="3"/>
        <v>0</v>
      </c>
      <c r="O140" s="11">
        <f t="shared" si="4"/>
        <v>0</v>
      </c>
      <c r="P140" s="11">
        <f t="shared" si="16"/>
        <v>0</v>
      </c>
    </row>
    <row r="141" spans="1:16" ht="15" hidden="1" customHeight="1">
      <c r="A141" s="44"/>
      <c r="B141" s="5">
        <f t="shared" si="18"/>
        <v>45992</v>
      </c>
      <c r="C141" s="218" t="s">
        <v>533</v>
      </c>
      <c r="D141" s="195"/>
      <c r="E141" s="186"/>
      <c r="F141" s="2"/>
      <c r="G141" s="3">
        <f t="shared" si="17"/>
        <v>0</v>
      </c>
      <c r="H141" s="187"/>
      <c r="I141" s="7"/>
      <c r="J141" s="7">
        <v>1.6500000000000001E-2</v>
      </c>
      <c r="K141" s="7">
        <v>7.5999999999999998E-2</v>
      </c>
      <c r="L141" s="7">
        <v>0</v>
      </c>
      <c r="M141" s="11">
        <f t="shared" si="2"/>
        <v>0</v>
      </c>
      <c r="N141" s="11">
        <f t="shared" si="3"/>
        <v>0</v>
      </c>
      <c r="O141" s="11">
        <f t="shared" si="4"/>
        <v>0</v>
      </c>
      <c r="P141" s="11">
        <f t="shared" si="16"/>
        <v>0</v>
      </c>
    </row>
    <row r="142" spans="1:16" ht="15" hidden="1" customHeight="1">
      <c r="A142" s="44"/>
      <c r="B142" s="5">
        <f t="shared" si="18"/>
        <v>45992</v>
      </c>
      <c r="C142" s="218" t="s">
        <v>533</v>
      </c>
      <c r="D142" s="195"/>
      <c r="E142" s="186"/>
      <c r="F142" s="2"/>
      <c r="G142" s="3">
        <f t="shared" si="17"/>
        <v>0</v>
      </c>
      <c r="H142" s="187"/>
      <c r="I142" s="7"/>
      <c r="J142" s="7">
        <v>1.6500000000000001E-2</v>
      </c>
      <c r="K142" s="7">
        <v>7.5999999999999998E-2</v>
      </c>
      <c r="L142" s="7">
        <v>0</v>
      </c>
      <c r="M142" s="11">
        <f t="shared" si="2"/>
        <v>0</v>
      </c>
      <c r="N142" s="11">
        <f t="shared" si="3"/>
        <v>0</v>
      </c>
      <c r="O142" s="11">
        <f t="shared" si="4"/>
        <v>0</v>
      </c>
      <c r="P142" s="11">
        <f t="shared" si="16"/>
        <v>0</v>
      </c>
    </row>
    <row r="143" spans="1:16" ht="15" hidden="1" customHeight="1">
      <c r="A143" s="44"/>
      <c r="B143" s="5">
        <f t="shared" si="18"/>
        <v>45992</v>
      </c>
      <c r="C143" s="218" t="s">
        <v>533</v>
      </c>
      <c r="D143" s="195"/>
      <c r="E143" s="186"/>
      <c r="F143" s="2"/>
      <c r="G143" s="3">
        <f t="shared" si="17"/>
        <v>0</v>
      </c>
      <c r="H143" s="187"/>
      <c r="I143" s="7"/>
      <c r="J143" s="7">
        <v>1.6500000000000001E-2</v>
      </c>
      <c r="K143" s="7">
        <v>7.5999999999999998E-2</v>
      </c>
      <c r="L143" s="7">
        <v>0</v>
      </c>
      <c r="M143" s="11">
        <f t="shared" si="2"/>
        <v>0</v>
      </c>
      <c r="N143" s="11">
        <f t="shared" si="3"/>
        <v>0</v>
      </c>
      <c r="O143" s="11">
        <f t="shared" si="4"/>
        <v>0</v>
      </c>
      <c r="P143" s="11">
        <f t="shared" si="16"/>
        <v>0</v>
      </c>
    </row>
    <row r="144" spans="1:16" ht="15" hidden="1" customHeight="1">
      <c r="A144" s="44"/>
      <c r="B144" s="5">
        <f t="shared" si="18"/>
        <v>45992</v>
      </c>
      <c r="C144" s="218" t="s">
        <v>533</v>
      </c>
      <c r="D144" s="195"/>
      <c r="E144" s="186"/>
      <c r="F144" s="2"/>
      <c r="G144" s="3">
        <f t="shared" si="17"/>
        <v>0</v>
      </c>
      <c r="H144" s="187"/>
      <c r="I144" s="7"/>
      <c r="J144" s="7">
        <v>1.6500000000000001E-2</v>
      </c>
      <c r="K144" s="7">
        <v>7.5999999999999998E-2</v>
      </c>
      <c r="L144" s="7">
        <v>0</v>
      </c>
      <c r="M144" s="11">
        <f t="shared" si="2"/>
        <v>0</v>
      </c>
      <c r="N144" s="11">
        <f t="shared" si="3"/>
        <v>0</v>
      </c>
      <c r="O144" s="11">
        <f t="shared" si="4"/>
        <v>0</v>
      </c>
      <c r="P144" s="11">
        <f t="shared" si="16"/>
        <v>0</v>
      </c>
    </row>
    <row r="145" spans="1:16" ht="15" hidden="1" customHeight="1">
      <c r="A145" s="44"/>
      <c r="B145" s="5">
        <f t="shared" si="18"/>
        <v>45992</v>
      </c>
      <c r="C145" s="218" t="s">
        <v>533</v>
      </c>
      <c r="D145" s="195"/>
      <c r="E145" s="186"/>
      <c r="F145" s="2"/>
      <c r="G145" s="3">
        <f t="shared" si="17"/>
        <v>0</v>
      </c>
      <c r="H145" s="187"/>
      <c r="I145" s="7"/>
      <c r="J145" s="7">
        <v>1.6500000000000001E-2</v>
      </c>
      <c r="K145" s="7">
        <v>7.5999999999999998E-2</v>
      </c>
      <c r="L145" s="7">
        <v>0</v>
      </c>
      <c r="M145" s="11">
        <f t="shared" si="2"/>
        <v>0</v>
      </c>
      <c r="N145" s="11">
        <f t="shared" si="3"/>
        <v>0</v>
      </c>
      <c r="O145" s="11">
        <f t="shared" si="4"/>
        <v>0</v>
      </c>
      <c r="P145" s="11">
        <f t="shared" si="16"/>
        <v>0</v>
      </c>
    </row>
    <row r="146" spans="1:16" ht="15" hidden="1" customHeight="1">
      <c r="A146" s="44"/>
      <c r="B146" s="5">
        <f t="shared" si="18"/>
        <v>45992</v>
      </c>
      <c r="C146" s="218" t="s">
        <v>533</v>
      </c>
      <c r="D146" s="195"/>
      <c r="E146" s="186"/>
      <c r="F146" s="2"/>
      <c r="G146" s="3">
        <f t="shared" si="17"/>
        <v>0</v>
      </c>
      <c r="H146" s="187"/>
      <c r="I146" s="7"/>
      <c r="J146" s="7">
        <v>1.6500000000000001E-2</v>
      </c>
      <c r="K146" s="7">
        <v>7.5999999999999998E-2</v>
      </c>
      <c r="L146" s="7">
        <v>0</v>
      </c>
      <c r="M146" s="11">
        <f t="shared" si="2"/>
        <v>0</v>
      </c>
      <c r="N146" s="11">
        <f t="shared" si="3"/>
        <v>0</v>
      </c>
      <c r="O146" s="11">
        <f t="shared" si="4"/>
        <v>0</v>
      </c>
      <c r="P146" s="11">
        <f t="shared" si="16"/>
        <v>0</v>
      </c>
    </row>
    <row r="147" spans="1:16" ht="15" hidden="1" customHeight="1">
      <c r="A147" s="44"/>
      <c r="B147" s="5">
        <f t="shared" si="18"/>
        <v>45992</v>
      </c>
      <c r="C147" s="218" t="s">
        <v>533</v>
      </c>
      <c r="D147" s="195"/>
      <c r="E147" s="186"/>
      <c r="F147" s="2"/>
      <c r="G147" s="3">
        <f t="shared" si="17"/>
        <v>0</v>
      </c>
      <c r="H147" s="187"/>
      <c r="I147" s="7"/>
      <c r="J147" s="7">
        <v>1.6500000000000001E-2</v>
      </c>
      <c r="K147" s="7">
        <v>7.5999999999999998E-2</v>
      </c>
      <c r="L147" s="7">
        <v>0</v>
      </c>
      <c r="M147" s="11">
        <f t="shared" si="2"/>
        <v>0</v>
      </c>
      <c r="N147" s="11">
        <f t="shared" si="3"/>
        <v>0</v>
      </c>
      <c r="O147" s="11">
        <f t="shared" si="4"/>
        <v>0</v>
      </c>
      <c r="P147" s="11">
        <f t="shared" si="16"/>
        <v>0</v>
      </c>
    </row>
    <row r="148" spans="1:16" ht="15" hidden="1" customHeight="1">
      <c r="A148" s="44"/>
      <c r="B148" s="5">
        <f t="shared" si="18"/>
        <v>45992</v>
      </c>
      <c r="C148" s="218" t="s">
        <v>533</v>
      </c>
      <c r="D148" s="195"/>
      <c r="E148" s="186"/>
      <c r="F148" s="2"/>
      <c r="G148" s="3">
        <f t="shared" si="17"/>
        <v>0</v>
      </c>
      <c r="H148" s="187"/>
      <c r="I148" s="7"/>
      <c r="J148" s="7">
        <v>1.6500000000000001E-2</v>
      </c>
      <c r="K148" s="7">
        <v>7.5999999999999998E-2</v>
      </c>
      <c r="L148" s="7">
        <v>0</v>
      </c>
      <c r="M148" s="11">
        <f t="shared" si="2"/>
        <v>0</v>
      </c>
      <c r="N148" s="11">
        <f t="shared" si="3"/>
        <v>0</v>
      </c>
      <c r="O148" s="11">
        <f t="shared" si="4"/>
        <v>0</v>
      </c>
      <c r="P148" s="11">
        <f t="shared" si="16"/>
        <v>0</v>
      </c>
    </row>
    <row r="149" spans="1:16" ht="15" hidden="1" customHeight="1">
      <c r="A149" s="44"/>
      <c r="B149" s="5">
        <f t="shared" si="18"/>
        <v>45992</v>
      </c>
      <c r="C149" s="218" t="s">
        <v>533</v>
      </c>
      <c r="D149" s="195"/>
      <c r="E149" s="186"/>
      <c r="F149" s="2"/>
      <c r="G149" s="3">
        <f t="shared" si="17"/>
        <v>0</v>
      </c>
      <c r="H149" s="187"/>
      <c r="I149" s="7"/>
      <c r="J149" s="7">
        <v>1.6500000000000001E-2</v>
      </c>
      <c r="K149" s="7">
        <v>7.5999999999999998E-2</v>
      </c>
      <c r="L149" s="7">
        <v>0</v>
      </c>
      <c r="M149" s="11">
        <f t="shared" si="2"/>
        <v>0</v>
      </c>
      <c r="N149" s="11">
        <f t="shared" si="3"/>
        <v>0</v>
      </c>
      <c r="O149" s="11">
        <f t="shared" si="4"/>
        <v>0</v>
      </c>
      <c r="P149" s="11">
        <f t="shared" si="16"/>
        <v>0</v>
      </c>
    </row>
    <row r="150" spans="1:16" ht="15" hidden="1" customHeight="1">
      <c r="A150" s="44"/>
      <c r="B150" s="5">
        <f t="shared" si="18"/>
        <v>45992</v>
      </c>
      <c r="C150" s="218" t="s">
        <v>533</v>
      </c>
      <c r="D150" s="195"/>
      <c r="E150" s="186"/>
      <c r="F150" s="2"/>
      <c r="G150" s="3">
        <f t="shared" si="17"/>
        <v>0</v>
      </c>
      <c r="H150" s="187"/>
      <c r="I150" s="7"/>
      <c r="J150" s="7">
        <v>1.6500000000000001E-2</v>
      </c>
      <c r="K150" s="7">
        <v>7.5999999999999998E-2</v>
      </c>
      <c r="L150" s="7">
        <v>0</v>
      </c>
      <c r="M150" s="11">
        <f t="shared" si="2"/>
        <v>0</v>
      </c>
      <c r="N150" s="11">
        <f t="shared" si="3"/>
        <v>0</v>
      </c>
      <c r="O150" s="11">
        <f t="shared" si="4"/>
        <v>0</v>
      </c>
      <c r="P150" s="11">
        <f t="shared" si="16"/>
        <v>0</v>
      </c>
    </row>
    <row r="151" spans="1:16" ht="15" hidden="1" customHeight="1">
      <c r="A151" s="44"/>
      <c r="B151" s="5">
        <f t="shared" si="18"/>
        <v>45992</v>
      </c>
      <c r="C151" s="218" t="s">
        <v>533</v>
      </c>
      <c r="D151" s="195"/>
      <c r="E151" s="186"/>
      <c r="F151" s="2"/>
      <c r="G151" s="3">
        <f t="shared" si="17"/>
        <v>0</v>
      </c>
      <c r="H151" s="187"/>
      <c r="I151" s="7"/>
      <c r="J151" s="7">
        <v>1.6500000000000001E-2</v>
      </c>
      <c r="K151" s="7">
        <v>7.5999999999999998E-2</v>
      </c>
      <c r="L151" s="7">
        <v>0</v>
      </c>
      <c r="M151" s="11">
        <f t="shared" si="2"/>
        <v>0</v>
      </c>
      <c r="N151" s="11">
        <f t="shared" si="3"/>
        <v>0</v>
      </c>
      <c r="O151" s="11">
        <f t="shared" si="4"/>
        <v>0</v>
      </c>
      <c r="P151" s="11">
        <f t="shared" si="16"/>
        <v>0</v>
      </c>
    </row>
    <row r="152" spans="1:16" ht="15" hidden="1" customHeight="1">
      <c r="A152" s="44"/>
      <c r="B152" s="5">
        <f t="shared" si="18"/>
        <v>45992</v>
      </c>
      <c r="C152" s="218" t="s">
        <v>533</v>
      </c>
      <c r="D152" s="195"/>
      <c r="E152" s="186"/>
      <c r="F152" s="2"/>
      <c r="G152" s="3">
        <f t="shared" si="17"/>
        <v>0</v>
      </c>
      <c r="H152" s="187"/>
      <c r="I152" s="7"/>
      <c r="J152" s="7">
        <v>1.6500000000000001E-2</v>
      </c>
      <c r="K152" s="7">
        <v>7.5999999999999998E-2</v>
      </c>
      <c r="L152" s="7">
        <v>0</v>
      </c>
      <c r="M152" s="11">
        <f t="shared" si="2"/>
        <v>0</v>
      </c>
      <c r="N152" s="11">
        <f t="shared" si="3"/>
        <v>0</v>
      </c>
      <c r="O152" s="11">
        <f t="shared" si="4"/>
        <v>0</v>
      </c>
      <c r="P152" s="11">
        <f t="shared" si="16"/>
        <v>0</v>
      </c>
    </row>
    <row r="153" spans="1:16" ht="15" hidden="1" customHeight="1">
      <c r="A153" s="44"/>
      <c r="B153" s="5">
        <f t="shared" si="18"/>
        <v>45992</v>
      </c>
      <c r="C153" s="218" t="s">
        <v>533</v>
      </c>
      <c r="D153" s="195"/>
      <c r="E153" s="186"/>
      <c r="F153" s="2"/>
      <c r="G153" s="3">
        <f t="shared" si="17"/>
        <v>0</v>
      </c>
      <c r="H153" s="187"/>
      <c r="I153" s="7"/>
      <c r="J153" s="7">
        <v>1.6500000000000001E-2</v>
      </c>
      <c r="K153" s="7">
        <v>7.5999999999999998E-2</v>
      </c>
      <c r="L153" s="7">
        <v>0</v>
      </c>
      <c r="M153" s="11">
        <f t="shared" si="2"/>
        <v>0</v>
      </c>
      <c r="N153" s="11">
        <f t="shared" si="3"/>
        <v>0</v>
      </c>
      <c r="O153" s="11">
        <f t="shared" si="4"/>
        <v>0</v>
      </c>
      <c r="P153" s="11">
        <f t="shared" si="16"/>
        <v>0</v>
      </c>
    </row>
    <row r="154" spans="1:16" ht="15" hidden="1" customHeight="1">
      <c r="A154" s="44"/>
      <c r="B154" s="5">
        <f t="shared" si="18"/>
        <v>45992</v>
      </c>
      <c r="C154" s="218" t="s">
        <v>533</v>
      </c>
      <c r="D154" s="195"/>
      <c r="E154" s="186"/>
      <c r="F154" s="2"/>
      <c r="G154" s="3">
        <f t="shared" si="17"/>
        <v>0</v>
      </c>
      <c r="H154" s="187"/>
      <c r="I154" s="7"/>
      <c r="J154" s="7">
        <v>1.6500000000000001E-2</v>
      </c>
      <c r="K154" s="7">
        <v>7.5999999999999998E-2</v>
      </c>
      <c r="L154" s="7">
        <v>0</v>
      </c>
      <c r="M154" s="11">
        <f t="shared" si="2"/>
        <v>0</v>
      </c>
      <c r="N154" s="11">
        <f t="shared" si="3"/>
        <v>0</v>
      </c>
      <c r="O154" s="11">
        <f t="shared" si="4"/>
        <v>0</v>
      </c>
      <c r="P154" s="11">
        <f t="shared" si="16"/>
        <v>0</v>
      </c>
    </row>
    <row r="155" spans="1:16" ht="15" hidden="1" customHeight="1">
      <c r="A155" s="44"/>
      <c r="B155" s="5">
        <f t="shared" si="18"/>
        <v>45992</v>
      </c>
      <c r="C155" s="218" t="s">
        <v>533</v>
      </c>
      <c r="D155" s="195"/>
      <c r="E155" s="186"/>
      <c r="F155" s="2"/>
      <c r="G155" s="3">
        <f t="shared" si="17"/>
        <v>0</v>
      </c>
      <c r="H155" s="187"/>
      <c r="I155" s="7"/>
      <c r="J155" s="7">
        <v>1.6500000000000001E-2</v>
      </c>
      <c r="K155" s="7">
        <v>7.5999999999999998E-2</v>
      </c>
      <c r="L155" s="7">
        <v>0</v>
      </c>
      <c r="M155" s="11">
        <f t="shared" si="2"/>
        <v>0</v>
      </c>
      <c r="N155" s="11">
        <f t="shared" si="3"/>
        <v>0</v>
      </c>
      <c r="O155" s="11">
        <f t="shared" si="4"/>
        <v>0</v>
      </c>
      <c r="P155" s="11">
        <f t="shared" si="16"/>
        <v>0</v>
      </c>
    </row>
    <row r="156" spans="1:16" ht="15" hidden="1" customHeight="1">
      <c r="A156" s="44"/>
      <c r="B156" s="5">
        <f t="shared" si="18"/>
        <v>45992</v>
      </c>
      <c r="C156" s="218" t="s">
        <v>533</v>
      </c>
      <c r="D156" s="195"/>
      <c r="E156" s="186"/>
      <c r="F156" s="2"/>
      <c r="G156" s="3">
        <f t="shared" si="17"/>
        <v>0</v>
      </c>
      <c r="H156" s="187"/>
      <c r="I156" s="7"/>
      <c r="J156" s="7">
        <v>1.6500000000000001E-2</v>
      </c>
      <c r="K156" s="7">
        <v>7.5999999999999998E-2</v>
      </c>
      <c r="L156" s="7">
        <v>0</v>
      </c>
      <c r="M156" s="11">
        <f t="shared" si="2"/>
        <v>0</v>
      </c>
      <c r="N156" s="11">
        <f t="shared" si="3"/>
        <v>0</v>
      </c>
      <c r="O156" s="11">
        <f t="shared" si="4"/>
        <v>0</v>
      </c>
      <c r="P156" s="11">
        <f t="shared" si="16"/>
        <v>0</v>
      </c>
    </row>
    <row r="157" spans="1:16" ht="15" hidden="1" customHeight="1">
      <c r="A157" s="44"/>
      <c r="B157" s="5">
        <f t="shared" si="18"/>
        <v>45992</v>
      </c>
      <c r="C157" s="218" t="s">
        <v>533</v>
      </c>
      <c r="D157" s="195"/>
      <c r="E157" s="186"/>
      <c r="F157" s="2"/>
      <c r="G157" s="3">
        <f t="shared" si="17"/>
        <v>0</v>
      </c>
      <c r="H157" s="187"/>
      <c r="I157" s="7"/>
      <c r="J157" s="7">
        <v>1.6500000000000001E-2</v>
      </c>
      <c r="K157" s="7">
        <v>7.5999999999999998E-2</v>
      </c>
      <c r="L157" s="7">
        <v>0</v>
      </c>
      <c r="M157" s="11">
        <f t="shared" si="2"/>
        <v>0</v>
      </c>
      <c r="N157" s="11">
        <f t="shared" si="3"/>
        <v>0</v>
      </c>
      <c r="O157" s="11">
        <f t="shared" si="4"/>
        <v>0</v>
      </c>
      <c r="P157" s="11">
        <f t="shared" si="16"/>
        <v>0</v>
      </c>
    </row>
    <row r="158" spans="1:16" ht="15" hidden="1" customHeight="1">
      <c r="A158" s="44"/>
      <c r="B158" s="5">
        <f t="shared" si="18"/>
        <v>45992</v>
      </c>
      <c r="C158" s="218" t="s">
        <v>533</v>
      </c>
      <c r="D158" s="195"/>
      <c r="E158" s="186"/>
      <c r="F158" s="2"/>
      <c r="G158" s="3">
        <f t="shared" si="17"/>
        <v>0</v>
      </c>
      <c r="H158" s="187"/>
      <c r="I158" s="7"/>
      <c r="J158" s="7">
        <v>1.6500000000000001E-2</v>
      </c>
      <c r="K158" s="7">
        <v>7.5999999999999998E-2</v>
      </c>
      <c r="L158" s="7">
        <v>0</v>
      </c>
      <c r="M158" s="11">
        <f t="shared" si="2"/>
        <v>0</v>
      </c>
      <c r="N158" s="11">
        <f t="shared" si="3"/>
        <v>0</v>
      </c>
      <c r="O158" s="11">
        <f t="shared" si="4"/>
        <v>0</v>
      </c>
      <c r="P158" s="11">
        <f t="shared" si="16"/>
        <v>0</v>
      </c>
    </row>
    <row r="159" spans="1:16" ht="15" hidden="1" customHeight="1">
      <c r="A159" s="44"/>
      <c r="B159" s="5">
        <f t="shared" si="18"/>
        <v>45992</v>
      </c>
      <c r="C159" s="218" t="s">
        <v>533</v>
      </c>
      <c r="D159" s="195"/>
      <c r="E159" s="186"/>
      <c r="F159" s="2"/>
      <c r="G159" s="3">
        <f t="shared" si="17"/>
        <v>0</v>
      </c>
      <c r="H159" s="187"/>
      <c r="I159" s="7"/>
      <c r="J159" s="7">
        <v>1.6500000000000001E-2</v>
      </c>
      <c r="K159" s="7">
        <v>7.5999999999999998E-2</v>
      </c>
      <c r="L159" s="7">
        <v>0</v>
      </c>
      <c r="M159" s="11">
        <f t="shared" si="2"/>
        <v>0</v>
      </c>
      <c r="N159" s="11">
        <f t="shared" si="3"/>
        <v>0</v>
      </c>
      <c r="O159" s="11">
        <f t="shared" si="4"/>
        <v>0</v>
      </c>
      <c r="P159" s="11">
        <f t="shared" si="16"/>
        <v>0</v>
      </c>
    </row>
    <row r="160" spans="1:16" ht="15" hidden="1" customHeight="1">
      <c r="A160" s="44"/>
      <c r="B160" s="5">
        <f t="shared" si="18"/>
        <v>45992</v>
      </c>
      <c r="C160" s="218" t="s">
        <v>533</v>
      </c>
      <c r="D160" s="195"/>
      <c r="E160" s="186"/>
      <c r="F160" s="2"/>
      <c r="G160" s="3">
        <f t="shared" si="17"/>
        <v>0</v>
      </c>
      <c r="H160" s="187"/>
      <c r="I160" s="7"/>
      <c r="J160" s="7">
        <v>1.6500000000000001E-2</v>
      </c>
      <c r="K160" s="7">
        <v>7.5999999999999998E-2</v>
      </c>
      <c r="L160" s="7">
        <v>0</v>
      </c>
      <c r="M160" s="11">
        <f t="shared" si="2"/>
        <v>0</v>
      </c>
      <c r="N160" s="11">
        <f t="shared" si="3"/>
        <v>0</v>
      </c>
      <c r="O160" s="11">
        <f t="shared" si="4"/>
        <v>0</v>
      </c>
      <c r="P160" s="11">
        <f t="shared" si="16"/>
        <v>0</v>
      </c>
    </row>
    <row r="161" spans="1:16" ht="15" hidden="1" customHeight="1">
      <c r="A161" s="44"/>
      <c r="B161" s="5">
        <f t="shared" si="18"/>
        <v>45992</v>
      </c>
      <c r="C161" s="218" t="s">
        <v>533</v>
      </c>
      <c r="D161" s="195"/>
      <c r="E161" s="186"/>
      <c r="F161" s="2"/>
      <c r="G161" s="3">
        <f t="shared" si="17"/>
        <v>0</v>
      </c>
      <c r="H161" s="187"/>
      <c r="I161" s="7"/>
      <c r="J161" s="7">
        <v>1.6500000000000001E-2</v>
      </c>
      <c r="K161" s="7">
        <v>7.5999999999999998E-2</v>
      </c>
      <c r="L161" s="7">
        <v>0</v>
      </c>
      <c r="M161" s="11">
        <f t="shared" si="2"/>
        <v>0</v>
      </c>
      <c r="N161" s="11">
        <f t="shared" si="3"/>
        <v>0</v>
      </c>
      <c r="O161" s="11">
        <f t="shared" si="4"/>
        <v>0</v>
      </c>
      <c r="P161" s="11">
        <f t="shared" si="16"/>
        <v>0</v>
      </c>
    </row>
    <row r="162" spans="1:16" ht="15" hidden="1" customHeight="1">
      <c r="A162" s="44"/>
      <c r="B162" s="5">
        <f t="shared" si="18"/>
        <v>45992</v>
      </c>
      <c r="C162" s="218" t="s">
        <v>533</v>
      </c>
      <c r="D162" s="195"/>
      <c r="E162" s="186"/>
      <c r="F162" s="2"/>
      <c r="G162" s="3">
        <f t="shared" si="17"/>
        <v>0</v>
      </c>
      <c r="H162" s="187"/>
      <c r="I162" s="7"/>
      <c r="J162" s="7">
        <v>1.6500000000000001E-2</v>
      </c>
      <c r="K162" s="7">
        <v>7.5999999999999998E-2</v>
      </c>
      <c r="L162" s="7">
        <v>0</v>
      </c>
      <c r="M162" s="11">
        <f t="shared" si="2"/>
        <v>0</v>
      </c>
      <c r="N162" s="11">
        <f t="shared" si="3"/>
        <v>0</v>
      </c>
      <c r="O162" s="11">
        <f t="shared" si="4"/>
        <v>0</v>
      </c>
      <c r="P162" s="11">
        <f t="shared" si="16"/>
        <v>0</v>
      </c>
    </row>
    <row r="163" spans="1:16" ht="15" hidden="1" customHeight="1">
      <c r="A163" s="44"/>
      <c r="B163" s="5">
        <f t="shared" si="18"/>
        <v>45992</v>
      </c>
      <c r="C163" s="218" t="s">
        <v>533</v>
      </c>
      <c r="D163" s="195"/>
      <c r="E163" s="186"/>
      <c r="F163" s="2"/>
      <c r="G163" s="3">
        <f t="shared" si="17"/>
        <v>0</v>
      </c>
      <c r="H163" s="187"/>
      <c r="I163" s="7"/>
      <c r="J163" s="7">
        <v>1.6500000000000001E-2</v>
      </c>
      <c r="K163" s="7">
        <v>7.5999999999999998E-2</v>
      </c>
      <c r="L163" s="7">
        <v>0</v>
      </c>
      <c r="M163" s="11">
        <f t="shared" si="2"/>
        <v>0</v>
      </c>
      <c r="N163" s="11">
        <f t="shared" si="3"/>
        <v>0</v>
      </c>
      <c r="O163" s="11">
        <f t="shared" si="4"/>
        <v>0</v>
      </c>
      <c r="P163" s="11">
        <f t="shared" si="16"/>
        <v>0</v>
      </c>
    </row>
    <row r="164" spans="1:16" ht="15" hidden="1" customHeight="1">
      <c r="A164" s="44"/>
      <c r="B164" s="5">
        <f t="shared" si="18"/>
        <v>45992</v>
      </c>
      <c r="C164" s="218" t="s">
        <v>533</v>
      </c>
      <c r="D164" s="195"/>
      <c r="E164" s="186"/>
      <c r="F164" s="2"/>
      <c r="G164" s="3">
        <f t="shared" si="17"/>
        <v>0</v>
      </c>
      <c r="H164" s="187"/>
      <c r="I164" s="7"/>
      <c r="J164" s="7">
        <v>1.6500000000000001E-2</v>
      </c>
      <c r="K164" s="7">
        <v>7.5999999999999998E-2</v>
      </c>
      <c r="L164" s="7">
        <v>0</v>
      </c>
      <c r="M164" s="11">
        <f t="shared" si="2"/>
        <v>0</v>
      </c>
      <c r="N164" s="11">
        <f t="shared" si="3"/>
        <v>0</v>
      </c>
      <c r="O164" s="11">
        <f t="shared" si="4"/>
        <v>0</v>
      </c>
      <c r="P164" s="11">
        <f t="shared" si="16"/>
        <v>0</v>
      </c>
    </row>
    <row r="165" spans="1:16" ht="15" hidden="1" customHeight="1">
      <c r="A165" s="44"/>
      <c r="B165" s="5">
        <f t="shared" si="18"/>
        <v>45992</v>
      </c>
      <c r="C165" s="218" t="s">
        <v>533</v>
      </c>
      <c r="D165" s="195"/>
      <c r="E165" s="186"/>
      <c r="F165" s="2"/>
      <c r="G165" s="3">
        <f t="shared" si="17"/>
        <v>0</v>
      </c>
      <c r="H165" s="187"/>
      <c r="I165" s="7"/>
      <c r="J165" s="7">
        <v>1.6500000000000001E-2</v>
      </c>
      <c r="K165" s="7">
        <v>7.5999999999999998E-2</v>
      </c>
      <c r="L165" s="7">
        <v>0</v>
      </c>
      <c r="M165" s="11">
        <f t="shared" si="2"/>
        <v>0</v>
      </c>
      <c r="N165" s="11">
        <f t="shared" si="3"/>
        <v>0</v>
      </c>
      <c r="O165" s="11">
        <f t="shared" si="4"/>
        <v>0</v>
      </c>
      <c r="P165" s="11">
        <f t="shared" si="16"/>
        <v>0</v>
      </c>
    </row>
    <row r="166" spans="1:16" ht="15" hidden="1" customHeight="1">
      <c r="A166" s="44"/>
      <c r="B166" s="5">
        <f t="shared" si="18"/>
        <v>45992</v>
      </c>
      <c r="C166" s="218" t="s">
        <v>533</v>
      </c>
      <c r="D166" s="195"/>
      <c r="E166" s="186"/>
      <c r="F166" s="2"/>
      <c r="G166" s="3">
        <f t="shared" si="17"/>
        <v>0</v>
      </c>
      <c r="H166" s="187"/>
      <c r="I166" s="7"/>
      <c r="J166" s="7">
        <v>1.6500000000000001E-2</v>
      </c>
      <c r="K166" s="7">
        <v>7.5999999999999998E-2</v>
      </c>
      <c r="L166" s="7">
        <v>0</v>
      </c>
      <c r="M166" s="11">
        <f t="shared" si="2"/>
        <v>0</v>
      </c>
      <c r="N166" s="11">
        <f t="shared" si="3"/>
        <v>0</v>
      </c>
      <c r="O166" s="11">
        <f t="shared" si="4"/>
        <v>0</v>
      </c>
      <c r="P166" s="11">
        <f t="shared" si="16"/>
        <v>0</v>
      </c>
    </row>
    <row r="167" spans="1:16" ht="15" hidden="1" customHeight="1">
      <c r="A167" s="44"/>
      <c r="B167" s="5">
        <f t="shared" si="18"/>
        <v>45992</v>
      </c>
      <c r="C167" s="218" t="s">
        <v>533</v>
      </c>
      <c r="D167" s="195"/>
      <c r="E167" s="186"/>
      <c r="F167" s="2"/>
      <c r="G167" s="3">
        <f t="shared" si="17"/>
        <v>0</v>
      </c>
      <c r="H167" s="187"/>
      <c r="I167" s="7"/>
      <c r="J167" s="7">
        <v>1.6500000000000001E-2</v>
      </c>
      <c r="K167" s="7">
        <v>7.5999999999999998E-2</v>
      </c>
      <c r="L167" s="7">
        <v>0</v>
      </c>
      <c r="M167" s="11">
        <f t="shared" si="2"/>
        <v>0</v>
      </c>
      <c r="N167" s="11">
        <f t="shared" si="3"/>
        <v>0</v>
      </c>
      <c r="O167" s="11">
        <f t="shared" si="4"/>
        <v>0</v>
      </c>
      <c r="P167" s="11">
        <f t="shared" si="16"/>
        <v>0</v>
      </c>
    </row>
    <row r="168" spans="1:16" ht="15" hidden="1" customHeight="1">
      <c r="A168" s="44"/>
      <c r="B168" s="5">
        <f t="shared" si="18"/>
        <v>45992</v>
      </c>
      <c r="C168" s="218" t="s">
        <v>533</v>
      </c>
      <c r="D168" s="195"/>
      <c r="E168" s="186"/>
      <c r="F168" s="2"/>
      <c r="G168" s="3">
        <f t="shared" si="17"/>
        <v>0</v>
      </c>
      <c r="H168" s="187"/>
      <c r="I168" s="7"/>
      <c r="J168" s="7">
        <v>1.6500000000000001E-2</v>
      </c>
      <c r="K168" s="7">
        <v>7.5999999999999998E-2</v>
      </c>
      <c r="L168" s="7">
        <v>0</v>
      </c>
      <c r="M168" s="11">
        <f t="shared" si="2"/>
        <v>0</v>
      </c>
      <c r="N168" s="11">
        <f t="shared" si="3"/>
        <v>0</v>
      </c>
      <c r="O168" s="11">
        <f t="shared" si="4"/>
        <v>0</v>
      </c>
      <c r="P168" s="11">
        <f t="shared" si="16"/>
        <v>0</v>
      </c>
    </row>
    <row r="169" spans="1:16" ht="15" hidden="1" customHeight="1">
      <c r="A169" s="44"/>
      <c r="B169" s="5">
        <f t="shared" si="18"/>
        <v>45992</v>
      </c>
      <c r="C169" s="218" t="s">
        <v>533</v>
      </c>
      <c r="D169" s="195"/>
      <c r="E169" s="186"/>
      <c r="F169" s="2"/>
      <c r="G169" s="3">
        <f t="shared" si="17"/>
        <v>0</v>
      </c>
      <c r="H169" s="187"/>
      <c r="I169" s="7"/>
      <c r="J169" s="7">
        <v>1.6500000000000001E-2</v>
      </c>
      <c r="K169" s="7">
        <v>7.5999999999999998E-2</v>
      </c>
      <c r="L169" s="7">
        <v>0</v>
      </c>
      <c r="M169" s="11">
        <f t="shared" si="2"/>
        <v>0</v>
      </c>
      <c r="N169" s="11">
        <f t="shared" si="3"/>
        <v>0</v>
      </c>
      <c r="O169" s="11">
        <f t="shared" si="4"/>
        <v>0</v>
      </c>
      <c r="P169" s="11">
        <f t="shared" si="16"/>
        <v>0</v>
      </c>
    </row>
    <row r="170" spans="1:16" ht="15" hidden="1" customHeight="1">
      <c r="A170" s="44"/>
      <c r="B170" s="5">
        <f t="shared" si="18"/>
        <v>45992</v>
      </c>
      <c r="C170" s="218" t="s">
        <v>533</v>
      </c>
      <c r="D170" s="195"/>
      <c r="E170" s="186"/>
      <c r="F170" s="2"/>
      <c r="G170" s="3">
        <f t="shared" si="17"/>
        <v>0</v>
      </c>
      <c r="H170" s="187"/>
      <c r="I170" s="7"/>
      <c r="J170" s="7">
        <v>1.6500000000000001E-2</v>
      </c>
      <c r="K170" s="7">
        <v>7.5999999999999998E-2</v>
      </c>
      <c r="L170" s="7">
        <v>0</v>
      </c>
      <c r="M170" s="11">
        <f t="shared" si="2"/>
        <v>0</v>
      </c>
      <c r="N170" s="11">
        <f t="shared" si="3"/>
        <v>0</v>
      </c>
      <c r="O170" s="11">
        <f t="shared" si="4"/>
        <v>0</v>
      </c>
      <c r="P170" s="11">
        <f t="shared" si="16"/>
        <v>0</v>
      </c>
    </row>
    <row r="171" spans="1:16" ht="15" hidden="1" customHeight="1">
      <c r="A171" s="44"/>
      <c r="B171" s="5">
        <f t="shared" si="18"/>
        <v>45992</v>
      </c>
      <c r="C171" s="218" t="s">
        <v>533</v>
      </c>
      <c r="D171" s="195"/>
      <c r="E171" s="186"/>
      <c r="F171" s="2"/>
      <c r="G171" s="3">
        <f t="shared" si="17"/>
        <v>0</v>
      </c>
      <c r="H171" s="187"/>
      <c r="I171" s="7"/>
      <c r="J171" s="7">
        <v>1.6500000000000001E-2</v>
      </c>
      <c r="K171" s="7">
        <v>7.5999999999999998E-2</v>
      </c>
      <c r="L171" s="7">
        <v>0</v>
      </c>
      <c r="M171" s="11">
        <f t="shared" si="2"/>
        <v>0</v>
      </c>
      <c r="N171" s="11">
        <f t="shared" si="3"/>
        <v>0</v>
      </c>
      <c r="O171" s="11">
        <f t="shared" si="4"/>
        <v>0</v>
      </c>
      <c r="P171" s="11">
        <f t="shared" si="16"/>
        <v>0</v>
      </c>
    </row>
    <row r="172" spans="1:16" ht="15" hidden="1" customHeight="1">
      <c r="A172" s="44"/>
      <c r="B172" s="5">
        <f t="shared" si="18"/>
        <v>45992</v>
      </c>
      <c r="C172" s="218" t="s">
        <v>533</v>
      </c>
      <c r="D172" s="195"/>
      <c r="E172" s="186"/>
      <c r="F172" s="2"/>
      <c r="G172" s="3">
        <f t="shared" si="17"/>
        <v>0</v>
      </c>
      <c r="H172" s="187"/>
      <c r="I172" s="7"/>
      <c r="J172" s="7">
        <v>1.6500000000000001E-2</v>
      </c>
      <c r="K172" s="7">
        <v>7.5999999999999998E-2</v>
      </c>
      <c r="L172" s="7">
        <v>0</v>
      </c>
      <c r="M172" s="11">
        <f t="shared" si="2"/>
        <v>0</v>
      </c>
      <c r="N172" s="11">
        <f t="shared" si="3"/>
        <v>0</v>
      </c>
      <c r="O172" s="11">
        <f t="shared" si="4"/>
        <v>0</v>
      </c>
      <c r="P172" s="11">
        <f t="shared" si="16"/>
        <v>0</v>
      </c>
    </row>
    <row r="173" spans="1:16" ht="15" hidden="1" customHeight="1">
      <c r="A173" s="44"/>
      <c r="B173" s="5">
        <f t="shared" si="18"/>
        <v>45992</v>
      </c>
      <c r="C173" s="218" t="s">
        <v>533</v>
      </c>
      <c r="D173" s="195"/>
      <c r="E173" s="186"/>
      <c r="F173" s="2"/>
      <c r="G173" s="3">
        <f t="shared" si="17"/>
        <v>0</v>
      </c>
      <c r="H173" s="187"/>
      <c r="I173" s="7"/>
      <c r="J173" s="7">
        <v>1.6500000000000001E-2</v>
      </c>
      <c r="K173" s="7">
        <v>7.5999999999999998E-2</v>
      </c>
      <c r="L173" s="7">
        <v>0</v>
      </c>
      <c r="M173" s="11">
        <f t="shared" si="2"/>
        <v>0</v>
      </c>
      <c r="N173" s="11">
        <f t="shared" si="3"/>
        <v>0</v>
      </c>
      <c r="O173" s="11">
        <f t="shared" si="4"/>
        <v>0</v>
      </c>
      <c r="P173" s="11">
        <f t="shared" si="16"/>
        <v>0</v>
      </c>
    </row>
    <row r="174" spans="1:16" ht="15" hidden="1" customHeight="1">
      <c r="A174" s="44"/>
      <c r="B174" s="5">
        <f t="shared" si="18"/>
        <v>45992</v>
      </c>
      <c r="C174" s="218" t="s">
        <v>533</v>
      </c>
      <c r="D174" s="195"/>
      <c r="E174" s="186"/>
      <c r="F174" s="2"/>
      <c r="G174" s="3">
        <f t="shared" si="17"/>
        <v>0</v>
      </c>
      <c r="H174" s="187"/>
      <c r="I174" s="7"/>
      <c r="J174" s="7">
        <v>1.6500000000000001E-2</v>
      </c>
      <c r="K174" s="7">
        <v>7.5999999999999998E-2</v>
      </c>
      <c r="L174" s="7">
        <v>0</v>
      </c>
      <c r="M174" s="11">
        <f t="shared" si="2"/>
        <v>0</v>
      </c>
      <c r="N174" s="11">
        <f t="shared" si="3"/>
        <v>0</v>
      </c>
      <c r="O174" s="11">
        <f t="shared" si="4"/>
        <v>0</v>
      </c>
      <c r="P174" s="11">
        <f t="shared" si="16"/>
        <v>0</v>
      </c>
    </row>
    <row r="175" spans="1:16" ht="15" hidden="1" customHeight="1">
      <c r="A175" s="44"/>
      <c r="B175" s="5">
        <f t="shared" si="18"/>
        <v>45992</v>
      </c>
      <c r="C175" s="218" t="s">
        <v>533</v>
      </c>
      <c r="D175" s="195"/>
      <c r="E175" s="186"/>
      <c r="F175" s="2"/>
      <c r="G175" s="3">
        <f t="shared" si="17"/>
        <v>0</v>
      </c>
      <c r="H175" s="187"/>
      <c r="I175" s="7"/>
      <c r="J175" s="7">
        <v>1.6500000000000001E-2</v>
      </c>
      <c r="K175" s="7">
        <v>7.5999999999999998E-2</v>
      </c>
      <c r="L175" s="7">
        <v>0</v>
      </c>
      <c r="M175" s="11">
        <f t="shared" si="2"/>
        <v>0</v>
      </c>
      <c r="N175" s="11">
        <f t="shared" si="3"/>
        <v>0</v>
      </c>
      <c r="O175" s="11">
        <f t="shared" si="4"/>
        <v>0</v>
      </c>
      <c r="P175" s="11">
        <f t="shared" si="16"/>
        <v>0</v>
      </c>
    </row>
    <row r="176" spans="1:16" ht="15" hidden="1" customHeight="1">
      <c r="A176" s="44"/>
      <c r="B176" s="5">
        <f t="shared" si="18"/>
        <v>45992</v>
      </c>
      <c r="C176" s="218" t="s">
        <v>533</v>
      </c>
      <c r="D176" s="195"/>
      <c r="E176" s="186"/>
      <c r="F176" s="2"/>
      <c r="G176" s="3">
        <f t="shared" si="17"/>
        <v>0</v>
      </c>
      <c r="H176" s="187"/>
      <c r="I176" s="7"/>
      <c r="J176" s="7">
        <v>1.6500000000000001E-2</v>
      </c>
      <c r="K176" s="7">
        <v>7.5999999999999998E-2</v>
      </c>
      <c r="L176" s="7">
        <v>0</v>
      </c>
      <c r="M176" s="11">
        <f t="shared" si="2"/>
        <v>0</v>
      </c>
      <c r="N176" s="11">
        <f t="shared" si="3"/>
        <v>0</v>
      </c>
      <c r="O176" s="11">
        <f t="shared" si="4"/>
        <v>0</v>
      </c>
      <c r="P176" s="11">
        <f t="shared" si="16"/>
        <v>0</v>
      </c>
    </row>
    <row r="177" spans="1:16" ht="15" hidden="1" customHeight="1">
      <c r="A177" s="44"/>
      <c r="B177" s="5">
        <f t="shared" si="18"/>
        <v>45992</v>
      </c>
      <c r="C177" s="218" t="s">
        <v>533</v>
      </c>
      <c r="D177" s="195"/>
      <c r="E177" s="186"/>
      <c r="F177" s="2"/>
      <c r="G177" s="3">
        <f t="shared" si="17"/>
        <v>0</v>
      </c>
      <c r="H177" s="187"/>
      <c r="I177" s="7"/>
      <c r="J177" s="7">
        <v>1.6500000000000001E-2</v>
      </c>
      <c r="K177" s="7">
        <v>7.5999999999999998E-2</v>
      </c>
      <c r="L177" s="7">
        <v>0</v>
      </c>
      <c r="M177" s="11">
        <f t="shared" si="2"/>
        <v>0</v>
      </c>
      <c r="N177" s="11">
        <f t="shared" si="3"/>
        <v>0</v>
      </c>
      <c r="O177" s="11">
        <f t="shared" si="4"/>
        <v>0</v>
      </c>
      <c r="P177" s="11">
        <f t="shared" si="16"/>
        <v>0</v>
      </c>
    </row>
    <row r="178" spans="1:16" ht="15" hidden="1" customHeight="1">
      <c r="A178" s="44"/>
      <c r="B178" s="5">
        <f t="shared" si="18"/>
        <v>45992</v>
      </c>
      <c r="C178" s="218" t="s">
        <v>533</v>
      </c>
      <c r="D178" s="195"/>
      <c r="E178" s="186"/>
      <c r="F178" s="2"/>
      <c r="G178" s="3">
        <f t="shared" si="17"/>
        <v>0</v>
      </c>
      <c r="H178" s="187"/>
      <c r="I178" s="7"/>
      <c r="J178" s="7">
        <v>1.6500000000000001E-2</v>
      </c>
      <c r="K178" s="7">
        <v>7.5999999999999998E-2</v>
      </c>
      <c r="L178" s="7">
        <v>0</v>
      </c>
      <c r="M178" s="11">
        <f t="shared" si="2"/>
        <v>0</v>
      </c>
      <c r="N178" s="11">
        <f t="shared" si="3"/>
        <v>0</v>
      </c>
      <c r="O178" s="11">
        <f t="shared" si="4"/>
        <v>0</v>
      </c>
      <c r="P178" s="11">
        <f t="shared" si="16"/>
        <v>0</v>
      </c>
    </row>
    <row r="179" spans="1:16" ht="15" hidden="1" customHeight="1">
      <c r="A179" s="44"/>
      <c r="B179" s="5">
        <f t="shared" si="18"/>
        <v>45992</v>
      </c>
      <c r="C179" s="218" t="s">
        <v>533</v>
      </c>
      <c r="D179" s="195"/>
      <c r="E179" s="186"/>
      <c r="F179" s="2"/>
      <c r="G179" s="3">
        <f t="shared" si="17"/>
        <v>0</v>
      </c>
      <c r="H179" s="187"/>
      <c r="I179" s="7"/>
      <c r="J179" s="7">
        <v>1.6500000000000001E-2</v>
      </c>
      <c r="K179" s="7">
        <v>7.5999999999999998E-2</v>
      </c>
      <c r="L179" s="7">
        <v>0</v>
      </c>
      <c r="M179" s="11">
        <f t="shared" si="2"/>
        <v>0</v>
      </c>
      <c r="N179" s="11">
        <f t="shared" si="3"/>
        <v>0</v>
      </c>
      <c r="O179" s="11">
        <f t="shared" si="4"/>
        <v>0</v>
      </c>
      <c r="P179" s="11">
        <f t="shared" si="16"/>
        <v>0</v>
      </c>
    </row>
    <row r="180" spans="1:16" ht="15" hidden="1" customHeight="1">
      <c r="A180" s="44"/>
      <c r="B180" s="5">
        <f t="shared" si="18"/>
        <v>45992</v>
      </c>
      <c r="C180" s="218" t="s">
        <v>533</v>
      </c>
      <c r="D180" s="195"/>
      <c r="E180" s="186"/>
      <c r="F180" s="2"/>
      <c r="G180" s="3">
        <f t="shared" si="17"/>
        <v>0</v>
      </c>
      <c r="H180" s="187"/>
      <c r="I180" s="7"/>
      <c r="J180" s="7">
        <v>1.6500000000000001E-2</v>
      </c>
      <c r="K180" s="7">
        <v>7.5999999999999998E-2</v>
      </c>
      <c r="L180" s="7">
        <v>0</v>
      </c>
      <c r="M180" s="11">
        <f t="shared" si="2"/>
        <v>0</v>
      </c>
      <c r="N180" s="11">
        <f t="shared" si="3"/>
        <v>0</v>
      </c>
      <c r="O180" s="11">
        <f t="shared" si="4"/>
        <v>0</v>
      </c>
      <c r="P180" s="11">
        <f t="shared" si="16"/>
        <v>0</v>
      </c>
    </row>
    <row r="181" spans="1:16" ht="15" hidden="1" customHeight="1">
      <c r="A181" s="44"/>
      <c r="B181" s="5">
        <f t="shared" si="18"/>
        <v>45992</v>
      </c>
      <c r="C181" s="218" t="s">
        <v>533</v>
      </c>
      <c r="D181" s="195"/>
      <c r="E181" s="186"/>
      <c r="F181" s="2"/>
      <c r="G181" s="3">
        <f t="shared" si="17"/>
        <v>0</v>
      </c>
      <c r="H181" s="187"/>
      <c r="I181" s="7"/>
      <c r="J181" s="7">
        <v>1.6500000000000001E-2</v>
      </c>
      <c r="K181" s="7">
        <v>7.5999999999999998E-2</v>
      </c>
      <c r="L181" s="7">
        <v>0</v>
      </c>
      <c r="M181" s="11">
        <f t="shared" si="2"/>
        <v>0</v>
      </c>
      <c r="N181" s="11">
        <f t="shared" si="3"/>
        <v>0</v>
      </c>
      <c r="O181" s="11">
        <f t="shared" si="4"/>
        <v>0</v>
      </c>
      <c r="P181" s="11">
        <f t="shared" si="16"/>
        <v>0</v>
      </c>
    </row>
    <row r="182" spans="1:16" ht="15" hidden="1" customHeight="1">
      <c r="A182" s="44"/>
      <c r="B182" s="5">
        <f t="shared" si="18"/>
        <v>45992</v>
      </c>
      <c r="C182" s="218" t="s">
        <v>533</v>
      </c>
      <c r="D182" s="195"/>
      <c r="E182" s="186"/>
      <c r="F182" s="2"/>
      <c r="G182" s="3">
        <f t="shared" si="17"/>
        <v>0</v>
      </c>
      <c r="H182" s="187"/>
      <c r="I182" s="7"/>
      <c r="J182" s="7">
        <v>1.6500000000000001E-2</v>
      </c>
      <c r="K182" s="7">
        <v>7.5999999999999998E-2</v>
      </c>
      <c r="L182" s="7">
        <v>0</v>
      </c>
      <c r="M182" s="11">
        <f t="shared" si="2"/>
        <v>0</v>
      </c>
      <c r="N182" s="11">
        <f t="shared" si="3"/>
        <v>0</v>
      </c>
      <c r="O182" s="11">
        <f t="shared" si="4"/>
        <v>0</v>
      </c>
      <c r="P182" s="11">
        <f t="shared" si="16"/>
        <v>0</v>
      </c>
    </row>
    <row r="183" spans="1:16">
      <c r="B183" s="5"/>
      <c r="C183" s="1"/>
      <c r="E183" s="1"/>
      <c r="F183" s="2"/>
      <c r="G183" s="4"/>
      <c r="H183" s="4"/>
      <c r="I183" s="7"/>
      <c r="J183" s="7"/>
      <c r="K183" s="7"/>
      <c r="L183" s="7"/>
    </row>
    <row r="184" spans="1:16">
      <c r="E184" s="28">
        <f>SUM(E18:E182)</f>
        <v>42441219.93</v>
      </c>
      <c r="F184" s="133"/>
      <c r="G184" s="29">
        <f>SUM(G18:G182)</f>
        <v>90750924.963204041</v>
      </c>
    </row>
    <row r="185" spans="1:16">
      <c r="E185" s="137"/>
      <c r="F185" s="41"/>
    </row>
    <row r="186" spans="1:16" ht="15.75" thickBot="1"/>
    <row r="187" spans="1:16">
      <c r="B187" s="391" t="s">
        <v>1083</v>
      </c>
      <c r="C187" s="383"/>
      <c r="D187" s="383"/>
      <c r="E187" s="383"/>
      <c r="F187" s="383"/>
      <c r="G187" s="383"/>
      <c r="H187" s="383"/>
      <c r="I187" s="383"/>
      <c r="J187" s="383"/>
      <c r="K187" s="383"/>
      <c r="L187" s="383"/>
      <c r="M187" s="383"/>
      <c r="N187" s="383"/>
      <c r="O187" s="384"/>
    </row>
    <row r="188" spans="1:16">
      <c r="B188" s="385"/>
      <c r="C188" s="386"/>
      <c r="D188" s="386"/>
      <c r="E188" s="386"/>
      <c r="F188" s="386"/>
      <c r="G188" s="386"/>
      <c r="H188" s="386"/>
      <c r="I188" s="386"/>
      <c r="J188" s="386"/>
      <c r="K188" s="386"/>
      <c r="L188" s="386"/>
      <c r="M188" s="386"/>
      <c r="N188" s="386"/>
      <c r="O188" s="387"/>
    </row>
    <row r="189" spans="1:16">
      <c r="B189" s="385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7"/>
    </row>
    <row r="190" spans="1:16">
      <c r="B190" s="385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7"/>
    </row>
    <row r="191" spans="1:16" ht="27" customHeight="1">
      <c r="B191" s="385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7"/>
    </row>
    <row r="192" spans="1:16" ht="44.25" customHeight="1" thickBot="1">
      <c r="B192" s="388"/>
      <c r="C192" s="389"/>
      <c r="D192" s="389"/>
      <c r="E192" s="389"/>
      <c r="F192" s="389"/>
      <c r="G192" s="389"/>
      <c r="H192" s="389"/>
      <c r="I192" s="389"/>
      <c r="J192" s="389"/>
      <c r="K192" s="389"/>
      <c r="L192" s="389"/>
      <c r="M192" s="389"/>
      <c r="N192" s="389"/>
      <c r="O192" s="390"/>
    </row>
    <row r="203" spans="5:5">
      <c r="E203" s="19"/>
    </row>
    <row r="204" spans="5:5">
      <c r="E204" s="19"/>
    </row>
  </sheetData>
  <mergeCells count="3">
    <mergeCell ref="C2:M2"/>
    <mergeCell ref="M16:P16"/>
    <mergeCell ref="B187:O192"/>
  </mergeCells>
  <conditionalFormatting sqref="D1:D1048576">
    <cfRule type="duplicateValues" dxfId="21" priority="1"/>
    <cfRule type="duplicateValues" dxfId="20" priority="2"/>
  </conditionalFormatting>
  <conditionalFormatting sqref="D7">
    <cfRule type="duplicateValues" dxfId="19" priority="5"/>
  </conditionalFormatting>
  <conditionalFormatting sqref="D18:D54">
    <cfRule type="duplicateValues" dxfId="18" priority="4"/>
  </conditionalFormatting>
  <conditionalFormatting sqref="D186:D1048576 D1:D184">
    <cfRule type="duplicateValues" dxfId="17" priority="3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6AD5-6117-4DA7-85B1-68B4852A5453}">
  <sheetPr>
    <pageSetUpPr fitToPage="1"/>
  </sheetPr>
  <dimension ref="A2:P204"/>
  <sheetViews>
    <sheetView showGridLines="0" zoomScale="90" zoomScaleNormal="90" workbookViewId="0">
      <selection activeCell="F197" sqref="F197"/>
    </sheetView>
  </sheetViews>
  <sheetFormatPr defaultColWidth="8.7109375" defaultRowHeight="15"/>
  <cols>
    <col min="1" max="1" width="10.85546875" bestFit="1" customWidth="1"/>
    <col min="2" max="2" width="8.28515625" bestFit="1" customWidth="1"/>
    <col min="3" max="3" width="39.5703125" bestFit="1" customWidth="1"/>
    <col min="4" max="4" width="19.5703125" bestFit="1" customWidth="1"/>
    <col min="5" max="5" width="17.42578125" bestFit="1" customWidth="1"/>
    <col min="6" max="6" width="28.140625" bestFit="1" customWidth="1"/>
    <col min="7" max="7" width="27.85546875" bestFit="1" customWidth="1"/>
    <col min="8" max="8" width="17.28515625" bestFit="1" customWidth="1"/>
    <col min="9" max="9" width="9.5703125" bestFit="1" customWidth="1"/>
    <col min="10" max="10" width="7.7109375" bestFit="1" customWidth="1"/>
    <col min="11" max="11" width="12.5703125" bestFit="1" customWidth="1"/>
    <col min="12" max="12" width="10" bestFit="1" customWidth="1"/>
    <col min="13" max="13" width="23.5703125" bestFit="1" customWidth="1"/>
    <col min="14" max="15" width="20" bestFit="1" customWidth="1"/>
    <col min="16" max="16" width="23.42578125" bestFit="1" customWidth="1"/>
    <col min="17" max="17" width="13.5703125" bestFit="1" customWidth="1"/>
    <col min="18" max="19" width="12.28515625" bestFit="1" customWidth="1"/>
  </cols>
  <sheetData>
    <row r="2" spans="2:16" ht="23.25">
      <c r="C2" s="380" t="s">
        <v>125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2:16" ht="23.25">
      <c r="C3" s="13">
        <v>46023</v>
      </c>
    </row>
    <row r="5" spans="2:16">
      <c r="C5" t="s">
        <v>17</v>
      </c>
      <c r="D5" s="14" t="e">
        <f t="shared" ref="D5:D10" ca="1" si="0">SUMIF($C$18:$G$182,$C$5:$C$10,$G$18:$G$182)/SUMIF($C$18:$G$182,$C$5:$C$10,$E$18:$E$182)</f>
        <v>#DIV/0!</v>
      </c>
    </row>
    <row r="6" spans="2:16">
      <c r="C6" t="s">
        <v>440</v>
      </c>
      <c r="D6" s="14" t="e">
        <f t="shared" ca="1" si="0"/>
        <v>#DIV/0!</v>
      </c>
    </row>
    <row r="7" spans="2:16">
      <c r="C7" t="s">
        <v>491</v>
      </c>
      <c r="D7" s="14" t="e">
        <f t="shared" ca="1" si="0"/>
        <v>#DIV/0!</v>
      </c>
    </row>
    <row r="8" spans="2:16">
      <c r="C8" t="s">
        <v>756</v>
      </c>
      <c r="D8" s="14" t="e">
        <f t="shared" ca="1" si="0"/>
        <v>#DIV/0!</v>
      </c>
      <c r="I8" s="19"/>
    </row>
    <row r="9" spans="2:16">
      <c r="C9" t="s">
        <v>757</v>
      </c>
      <c r="D9" s="14" t="e">
        <f t="shared" ca="1" si="0"/>
        <v>#DIV/0!</v>
      </c>
      <c r="E9" s="14"/>
      <c r="F9" s="32"/>
      <c r="H9" s="137"/>
      <c r="I9" s="19"/>
    </row>
    <row r="10" spans="2:16">
      <c r="C10" t="s">
        <v>533</v>
      </c>
      <c r="D10" s="14" t="e">
        <f t="shared" ca="1" si="0"/>
        <v>#DIV/0!</v>
      </c>
    </row>
    <row r="11" spans="2:16">
      <c r="C11" s="30" t="s">
        <v>129</v>
      </c>
      <c r="D11" s="31">
        <f>+G184/E184</f>
        <v>109.80151291310055</v>
      </c>
    </row>
    <row r="12" spans="2:16">
      <c r="D12" s="19"/>
    </row>
    <row r="13" spans="2:16">
      <c r="D13" s="22"/>
    </row>
    <row r="15" spans="2:16">
      <c r="E15" s="137"/>
    </row>
    <row r="16" spans="2:16" ht="15" customHeight="1">
      <c r="B16" s="23"/>
      <c r="C16" s="23"/>
      <c r="D16" s="23"/>
      <c r="E16" s="23"/>
      <c r="F16" s="23"/>
      <c r="G16" s="23"/>
      <c r="H16" s="365"/>
      <c r="I16" s="24"/>
      <c r="J16" s="24"/>
      <c r="K16" s="24"/>
      <c r="L16" s="24"/>
      <c r="M16" s="381" t="s">
        <v>100</v>
      </c>
      <c r="N16" s="381"/>
      <c r="O16" s="381"/>
      <c r="P16" s="381"/>
    </row>
    <row r="17" spans="1:16" ht="28.5" customHeight="1">
      <c r="B17" s="25" t="s">
        <v>16</v>
      </c>
      <c r="C17" s="25" t="s">
        <v>15</v>
      </c>
      <c r="D17" s="25" t="s">
        <v>99</v>
      </c>
      <c r="E17" s="25" t="s">
        <v>0</v>
      </c>
      <c r="F17" s="25" t="s">
        <v>1</v>
      </c>
      <c r="G17" s="25" t="s">
        <v>2</v>
      </c>
      <c r="H17" s="25" t="s">
        <v>4</v>
      </c>
      <c r="I17" s="26" t="s">
        <v>3</v>
      </c>
      <c r="J17" s="26" t="s">
        <v>97</v>
      </c>
      <c r="K17" s="26" t="s">
        <v>98</v>
      </c>
      <c r="L17" s="26" t="s">
        <v>537</v>
      </c>
      <c r="M17" s="27" t="s">
        <v>3</v>
      </c>
      <c r="N17" s="27" t="s">
        <v>97</v>
      </c>
      <c r="O17" s="27" t="s">
        <v>98</v>
      </c>
      <c r="P17" s="27" t="s">
        <v>537</v>
      </c>
    </row>
    <row r="18" spans="1:16">
      <c r="A18" s="44"/>
      <c r="B18" s="5">
        <f>C3</f>
        <v>46023</v>
      </c>
      <c r="C18" s="217" t="s">
        <v>17</v>
      </c>
      <c r="D18" s="216"/>
      <c r="E18" s="1"/>
      <c r="F18" s="2"/>
      <c r="G18" s="3">
        <f>F18-SUM(M18:P18)</f>
        <v>0</v>
      </c>
      <c r="H18" s="202">
        <f t="shared" ref="H18:H44" si="1">+IF(G18=0,0,G18/E18)</f>
        <v>0</v>
      </c>
      <c r="I18" s="200"/>
      <c r="J18" s="7">
        <v>1.6500000000000001E-2</v>
      </c>
      <c r="K18" s="7">
        <v>7.5999999999999998E-2</v>
      </c>
      <c r="L18" s="7">
        <v>0</v>
      </c>
      <c r="M18" s="11">
        <f t="shared" ref="M18:M182" si="2">+I18*F18</f>
        <v>0</v>
      </c>
      <c r="N18" s="11">
        <f t="shared" ref="N18:N182" si="3">J18*(F18-M18)</f>
        <v>0</v>
      </c>
      <c r="O18" s="11">
        <f t="shared" ref="O18:O182" si="4">K18*(F18-M18)</f>
        <v>0</v>
      </c>
      <c r="P18" s="11">
        <f t="shared" ref="P18:P81" si="5">L18*(F18)</f>
        <v>0</v>
      </c>
    </row>
    <row r="19" spans="1:16">
      <c r="A19" s="44"/>
      <c r="B19" s="5">
        <f>B18</f>
        <v>46023</v>
      </c>
      <c r="C19" s="217" t="s">
        <v>17</v>
      </c>
      <c r="D19" s="216"/>
      <c r="E19" s="1"/>
      <c r="F19" s="2"/>
      <c r="G19" s="3">
        <f t="shared" ref="G19:G52" si="6">F19-SUM(M19:P19)</f>
        <v>0</v>
      </c>
      <c r="H19" s="202">
        <f t="shared" si="1"/>
        <v>0</v>
      </c>
      <c r="I19" s="200"/>
      <c r="J19" s="7">
        <v>1.6500000000000001E-2</v>
      </c>
      <c r="K19" s="7">
        <v>7.5999999999999998E-2</v>
      </c>
      <c r="L19" s="7">
        <v>0</v>
      </c>
      <c r="M19" s="11">
        <f t="shared" si="2"/>
        <v>0</v>
      </c>
      <c r="N19" s="11">
        <f t="shared" si="3"/>
        <v>0</v>
      </c>
      <c r="O19" s="11">
        <f t="shared" si="4"/>
        <v>0</v>
      </c>
      <c r="P19" s="11">
        <f t="shared" si="5"/>
        <v>0</v>
      </c>
    </row>
    <row r="20" spans="1:16">
      <c r="A20" s="44"/>
      <c r="B20" s="5">
        <f t="shared" ref="B20:B53" si="7">B19</f>
        <v>46023</v>
      </c>
      <c r="C20" s="217" t="s">
        <v>17</v>
      </c>
      <c r="D20" s="216"/>
      <c r="E20" s="1"/>
      <c r="F20" s="2"/>
      <c r="G20" s="3">
        <f t="shared" si="6"/>
        <v>0</v>
      </c>
      <c r="H20" s="202">
        <f t="shared" si="1"/>
        <v>0</v>
      </c>
      <c r="I20" s="200"/>
      <c r="J20" s="7">
        <v>1.6500000000000001E-2</v>
      </c>
      <c r="K20" s="7">
        <v>7.5999999999999998E-2</v>
      </c>
      <c r="L20" s="7">
        <v>0</v>
      </c>
      <c r="M20" s="11">
        <f t="shared" si="2"/>
        <v>0</v>
      </c>
      <c r="N20" s="11">
        <f t="shared" si="3"/>
        <v>0</v>
      </c>
      <c r="O20" s="11">
        <f t="shared" si="4"/>
        <v>0</v>
      </c>
      <c r="P20" s="11">
        <f t="shared" si="5"/>
        <v>0</v>
      </c>
    </row>
    <row r="21" spans="1:16">
      <c r="A21" s="44"/>
      <c r="B21" s="5">
        <f t="shared" si="7"/>
        <v>46023</v>
      </c>
      <c r="C21" s="217" t="s">
        <v>17</v>
      </c>
      <c r="D21" s="214"/>
      <c r="E21" s="1"/>
      <c r="F21" s="2"/>
      <c r="G21" s="3">
        <f t="shared" si="6"/>
        <v>0</v>
      </c>
      <c r="H21" s="202">
        <f t="shared" si="1"/>
        <v>0</v>
      </c>
      <c r="I21" s="200"/>
      <c r="J21" s="7">
        <v>1.6500000000000001E-2</v>
      </c>
      <c r="K21" s="7">
        <v>7.5999999999999998E-2</v>
      </c>
      <c r="L21" s="7">
        <v>0</v>
      </c>
      <c r="M21" s="11">
        <f t="shared" si="2"/>
        <v>0</v>
      </c>
      <c r="N21" s="11">
        <f t="shared" si="3"/>
        <v>0</v>
      </c>
      <c r="O21" s="11">
        <f t="shared" si="4"/>
        <v>0</v>
      </c>
      <c r="P21" s="11">
        <f t="shared" si="5"/>
        <v>0</v>
      </c>
    </row>
    <row r="22" spans="1:16">
      <c r="A22" s="44"/>
      <c r="B22" s="5">
        <f t="shared" si="7"/>
        <v>46023</v>
      </c>
      <c r="C22" s="217" t="s">
        <v>17</v>
      </c>
      <c r="D22" s="214"/>
      <c r="E22" s="1"/>
      <c r="F22" s="2"/>
      <c r="G22" s="3">
        <f t="shared" si="6"/>
        <v>0</v>
      </c>
      <c r="H22" s="202">
        <f t="shared" si="1"/>
        <v>0</v>
      </c>
      <c r="I22" s="200"/>
      <c r="J22" s="7">
        <v>1.6500000000000001E-2</v>
      </c>
      <c r="K22" s="7">
        <v>7.5999999999999998E-2</v>
      </c>
      <c r="L22" s="7">
        <v>0</v>
      </c>
      <c r="M22" s="11">
        <f t="shared" si="2"/>
        <v>0</v>
      </c>
      <c r="N22" s="11">
        <f t="shared" si="3"/>
        <v>0</v>
      </c>
      <c r="O22" s="11">
        <f t="shared" si="4"/>
        <v>0</v>
      </c>
      <c r="P22" s="11">
        <f t="shared" si="5"/>
        <v>0</v>
      </c>
    </row>
    <row r="23" spans="1:16">
      <c r="A23" s="44"/>
      <c r="B23" s="5">
        <f t="shared" si="7"/>
        <v>46023</v>
      </c>
      <c r="C23" s="217" t="s">
        <v>17</v>
      </c>
      <c r="D23" s="214"/>
      <c r="E23" s="1"/>
      <c r="F23" s="2"/>
      <c r="G23" s="3">
        <f t="shared" si="6"/>
        <v>0</v>
      </c>
      <c r="H23" s="202">
        <f t="shared" si="1"/>
        <v>0</v>
      </c>
      <c r="I23" s="200"/>
      <c r="J23" s="7">
        <v>1.6500000000000001E-2</v>
      </c>
      <c r="K23" s="7">
        <v>7.5999999999999998E-2</v>
      </c>
      <c r="L23" s="7">
        <v>0</v>
      </c>
      <c r="M23" s="11">
        <f t="shared" si="2"/>
        <v>0</v>
      </c>
      <c r="N23" s="11">
        <f t="shared" si="3"/>
        <v>0</v>
      </c>
      <c r="O23" s="11">
        <f t="shared" si="4"/>
        <v>0</v>
      </c>
      <c r="P23" s="11">
        <f t="shared" si="5"/>
        <v>0</v>
      </c>
    </row>
    <row r="24" spans="1:16">
      <c r="A24" s="44"/>
      <c r="B24" s="5">
        <f t="shared" si="7"/>
        <v>46023</v>
      </c>
      <c r="C24" s="217" t="s">
        <v>17</v>
      </c>
      <c r="D24" s="194"/>
      <c r="E24" s="1"/>
      <c r="F24" s="2"/>
      <c r="G24" s="3">
        <f t="shared" si="6"/>
        <v>0</v>
      </c>
      <c r="H24" s="202">
        <f t="shared" si="1"/>
        <v>0</v>
      </c>
      <c r="I24" s="200"/>
      <c r="J24" s="7">
        <v>1.6500000000000001E-2</v>
      </c>
      <c r="K24" s="7">
        <v>7.5999999999999998E-2</v>
      </c>
      <c r="L24" s="7">
        <v>0</v>
      </c>
      <c r="M24" s="11">
        <f t="shared" si="2"/>
        <v>0</v>
      </c>
      <c r="N24" s="11">
        <f t="shared" si="3"/>
        <v>0</v>
      </c>
      <c r="O24" s="11">
        <f t="shared" si="4"/>
        <v>0</v>
      </c>
      <c r="P24" s="11">
        <f t="shared" si="5"/>
        <v>0</v>
      </c>
    </row>
    <row r="25" spans="1:16">
      <c r="A25" s="44"/>
      <c r="B25" s="5">
        <f t="shared" si="7"/>
        <v>46023</v>
      </c>
      <c r="C25" s="217" t="s">
        <v>17</v>
      </c>
      <c r="D25" s="196"/>
      <c r="E25" s="1"/>
      <c r="F25" s="2"/>
      <c r="G25" s="3">
        <f t="shared" si="6"/>
        <v>0</v>
      </c>
      <c r="H25" s="202">
        <f t="shared" si="1"/>
        <v>0</v>
      </c>
      <c r="I25" s="200"/>
      <c r="J25" s="7">
        <v>1.6500000000000001E-2</v>
      </c>
      <c r="K25" s="7">
        <v>7.5999999999999998E-2</v>
      </c>
      <c r="L25" s="7">
        <v>0</v>
      </c>
      <c r="M25" s="11">
        <f t="shared" si="2"/>
        <v>0</v>
      </c>
      <c r="N25" s="11">
        <f t="shared" si="3"/>
        <v>0</v>
      </c>
      <c r="O25" s="11">
        <f t="shared" si="4"/>
        <v>0</v>
      </c>
      <c r="P25" s="11">
        <f t="shared" si="5"/>
        <v>0</v>
      </c>
    </row>
    <row r="26" spans="1:16">
      <c r="A26" s="44"/>
      <c r="B26" s="5">
        <f t="shared" si="7"/>
        <v>46023</v>
      </c>
      <c r="C26" s="217" t="s">
        <v>17</v>
      </c>
      <c r="D26" s="194"/>
      <c r="E26" s="1"/>
      <c r="F26" s="2"/>
      <c r="G26" s="3">
        <f t="shared" si="6"/>
        <v>0</v>
      </c>
      <c r="H26" s="202">
        <f t="shared" si="1"/>
        <v>0</v>
      </c>
      <c r="I26" s="200"/>
      <c r="J26" s="7">
        <v>1.6500000000000001E-2</v>
      </c>
      <c r="K26" s="7">
        <v>7.5999999999999998E-2</v>
      </c>
      <c r="L26" s="7">
        <v>0</v>
      </c>
      <c r="M26" s="11">
        <f t="shared" si="2"/>
        <v>0</v>
      </c>
      <c r="N26" s="11">
        <f t="shared" si="3"/>
        <v>0</v>
      </c>
      <c r="O26" s="11">
        <f t="shared" si="4"/>
        <v>0</v>
      </c>
      <c r="P26" s="11">
        <f t="shared" si="5"/>
        <v>0</v>
      </c>
    </row>
    <row r="27" spans="1:16">
      <c r="A27" s="44"/>
      <c r="B27" s="5">
        <f t="shared" si="7"/>
        <v>46023</v>
      </c>
      <c r="C27" s="217" t="s">
        <v>17</v>
      </c>
      <c r="D27" s="194"/>
      <c r="E27" s="1"/>
      <c r="F27" s="2"/>
      <c r="G27" s="3">
        <f t="shared" si="6"/>
        <v>0</v>
      </c>
      <c r="H27" s="202">
        <f t="shared" si="1"/>
        <v>0</v>
      </c>
      <c r="I27" s="200"/>
      <c r="J27" s="7">
        <v>1.6500000000000001E-2</v>
      </c>
      <c r="K27" s="7">
        <v>7.5999999999999998E-2</v>
      </c>
      <c r="L27" s="7">
        <v>0</v>
      </c>
      <c r="M27" s="11">
        <f t="shared" si="2"/>
        <v>0</v>
      </c>
      <c r="N27" s="11">
        <f t="shared" si="3"/>
        <v>0</v>
      </c>
      <c r="O27" s="11">
        <f t="shared" si="4"/>
        <v>0</v>
      </c>
      <c r="P27" s="11">
        <f t="shared" si="5"/>
        <v>0</v>
      </c>
    </row>
    <row r="28" spans="1:16">
      <c r="A28" s="44"/>
      <c r="B28" s="5">
        <f t="shared" si="7"/>
        <v>46023</v>
      </c>
      <c r="C28" s="217" t="s">
        <v>17</v>
      </c>
      <c r="D28" s="194"/>
      <c r="E28" s="1"/>
      <c r="F28" s="2"/>
      <c r="G28" s="3">
        <f t="shared" si="6"/>
        <v>0</v>
      </c>
      <c r="H28" s="202">
        <f t="shared" si="1"/>
        <v>0</v>
      </c>
      <c r="I28" s="200"/>
      <c r="J28" s="7">
        <v>1.6500000000000001E-2</v>
      </c>
      <c r="K28" s="7">
        <v>7.5999999999999998E-2</v>
      </c>
      <c r="L28" s="7">
        <v>0</v>
      </c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spans="1:16">
      <c r="A29" s="44"/>
      <c r="B29" s="5">
        <f t="shared" si="7"/>
        <v>46023</v>
      </c>
      <c r="C29" s="217" t="s">
        <v>17</v>
      </c>
      <c r="D29" s="194"/>
      <c r="E29" s="1"/>
      <c r="F29" s="2"/>
      <c r="G29" s="3">
        <f t="shared" si="6"/>
        <v>0</v>
      </c>
      <c r="H29" s="202">
        <f t="shared" si="1"/>
        <v>0</v>
      </c>
      <c r="I29" s="200"/>
      <c r="J29" s="7">
        <v>1.6500000000000001E-2</v>
      </c>
      <c r="K29" s="7">
        <v>7.5999999999999998E-2</v>
      </c>
      <c r="L29" s="7">
        <v>0</v>
      </c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spans="1:16">
      <c r="A30" s="44"/>
      <c r="B30" s="5">
        <f t="shared" si="7"/>
        <v>46023</v>
      </c>
      <c r="C30" s="217" t="s">
        <v>17</v>
      </c>
      <c r="D30" s="194"/>
      <c r="E30" s="1"/>
      <c r="F30" s="2"/>
      <c r="G30" s="3">
        <f t="shared" ref="G30:G44" si="8">F30-SUM(M30:P30)</f>
        <v>0</v>
      </c>
      <c r="H30" s="202">
        <f t="shared" si="1"/>
        <v>0</v>
      </c>
      <c r="I30" s="200"/>
      <c r="J30" s="7">
        <v>1.6500000000000001E-2</v>
      </c>
      <c r="K30" s="7">
        <v>7.5999999999999998E-2</v>
      </c>
      <c r="L30" s="7">
        <v>0</v>
      </c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spans="1:16">
      <c r="A31" s="44"/>
      <c r="B31" s="5">
        <f t="shared" si="7"/>
        <v>46023</v>
      </c>
      <c r="C31" s="217" t="s">
        <v>17</v>
      </c>
      <c r="D31" s="194"/>
      <c r="E31" s="1"/>
      <c r="F31" s="2"/>
      <c r="G31" s="3">
        <f t="shared" si="8"/>
        <v>0</v>
      </c>
      <c r="H31" s="202">
        <f t="shared" si="1"/>
        <v>0</v>
      </c>
      <c r="I31" s="200"/>
      <c r="J31" s="7">
        <v>1.6500000000000001E-2</v>
      </c>
      <c r="K31" s="7">
        <v>7.5999999999999998E-2</v>
      </c>
      <c r="L31" s="7">
        <v>0</v>
      </c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spans="1:16">
      <c r="A32" s="44"/>
      <c r="B32" s="5">
        <f t="shared" si="7"/>
        <v>46023</v>
      </c>
      <c r="C32" s="217" t="s">
        <v>17</v>
      </c>
      <c r="D32" s="194"/>
      <c r="E32" s="1"/>
      <c r="F32" s="2"/>
      <c r="G32" s="3">
        <f t="shared" si="8"/>
        <v>0</v>
      </c>
      <c r="H32" s="202">
        <f t="shared" si="1"/>
        <v>0</v>
      </c>
      <c r="I32" s="200"/>
      <c r="J32" s="7">
        <v>1.6500000000000001E-2</v>
      </c>
      <c r="K32" s="7">
        <v>7.5999999999999998E-2</v>
      </c>
      <c r="L32" s="7">
        <v>0</v>
      </c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spans="1:16">
      <c r="A33" s="44"/>
      <c r="B33" s="5">
        <f t="shared" si="7"/>
        <v>46023</v>
      </c>
      <c r="C33" s="217" t="s">
        <v>17</v>
      </c>
      <c r="D33" s="194"/>
      <c r="E33" s="1"/>
      <c r="F33" s="2"/>
      <c r="G33" s="3">
        <f t="shared" si="8"/>
        <v>0</v>
      </c>
      <c r="H33" s="202">
        <f t="shared" si="1"/>
        <v>0</v>
      </c>
      <c r="I33" s="200"/>
      <c r="J33" s="7">
        <v>1.6500000000000001E-2</v>
      </c>
      <c r="K33" s="7">
        <v>7.5999999999999998E-2</v>
      </c>
      <c r="L33" s="7">
        <v>0</v>
      </c>
      <c r="M33" s="11">
        <f t="shared" si="2"/>
        <v>0</v>
      </c>
      <c r="N33" s="11">
        <f t="shared" si="3"/>
        <v>0</v>
      </c>
      <c r="O33" s="11">
        <f t="shared" si="4"/>
        <v>0</v>
      </c>
      <c r="P33" s="11">
        <f t="shared" si="5"/>
        <v>0</v>
      </c>
    </row>
    <row r="34" spans="1:16">
      <c r="A34" s="44"/>
      <c r="B34" s="5">
        <f t="shared" si="7"/>
        <v>46023</v>
      </c>
      <c r="C34" s="217" t="s">
        <v>17</v>
      </c>
      <c r="D34" s="194"/>
      <c r="E34" s="1"/>
      <c r="F34" s="2"/>
      <c r="G34" s="3">
        <f t="shared" si="8"/>
        <v>0</v>
      </c>
      <c r="H34" s="202">
        <f t="shared" si="1"/>
        <v>0</v>
      </c>
      <c r="I34" s="200"/>
      <c r="J34" s="7">
        <v>1.6500000000000001E-2</v>
      </c>
      <c r="K34" s="7">
        <v>7.5999999999999998E-2</v>
      </c>
      <c r="L34" s="7">
        <v>0</v>
      </c>
      <c r="M34" s="11">
        <f t="shared" si="2"/>
        <v>0</v>
      </c>
      <c r="N34" s="11">
        <f t="shared" si="3"/>
        <v>0</v>
      </c>
      <c r="O34" s="11">
        <f t="shared" si="4"/>
        <v>0</v>
      </c>
      <c r="P34" s="11">
        <f t="shared" si="5"/>
        <v>0</v>
      </c>
    </row>
    <row r="35" spans="1:16">
      <c r="A35" s="44"/>
      <c r="B35" s="5">
        <f t="shared" si="7"/>
        <v>46023</v>
      </c>
      <c r="C35" s="217" t="s">
        <v>17</v>
      </c>
      <c r="D35" s="194"/>
      <c r="E35" s="1"/>
      <c r="F35" s="2"/>
      <c r="G35" s="3">
        <f t="shared" si="8"/>
        <v>0</v>
      </c>
      <c r="H35" s="202">
        <f t="shared" si="1"/>
        <v>0</v>
      </c>
      <c r="I35" s="200"/>
      <c r="J35" s="7">
        <v>1.6500000000000001E-2</v>
      </c>
      <c r="K35" s="7">
        <v>7.5999999999999998E-2</v>
      </c>
      <c r="L35" s="7">
        <v>0</v>
      </c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spans="1:16">
      <c r="A36" s="44"/>
      <c r="B36" s="5">
        <f t="shared" si="7"/>
        <v>46023</v>
      </c>
      <c r="C36" s="217" t="s">
        <v>17</v>
      </c>
      <c r="D36" s="194"/>
      <c r="E36" s="1"/>
      <c r="F36" s="2"/>
      <c r="G36" s="3">
        <f t="shared" si="8"/>
        <v>0</v>
      </c>
      <c r="H36" s="202">
        <f t="shared" si="1"/>
        <v>0</v>
      </c>
      <c r="I36" s="200"/>
      <c r="J36" s="7">
        <v>1.6500000000000001E-2</v>
      </c>
      <c r="K36" s="7">
        <v>7.5999999999999998E-2</v>
      </c>
      <c r="L36" s="7">
        <v>0</v>
      </c>
      <c r="M36" s="11">
        <f t="shared" si="2"/>
        <v>0</v>
      </c>
      <c r="N36" s="11">
        <f t="shared" si="3"/>
        <v>0</v>
      </c>
      <c r="O36" s="11">
        <f t="shared" si="4"/>
        <v>0</v>
      </c>
      <c r="P36" s="11">
        <f t="shared" si="5"/>
        <v>0</v>
      </c>
    </row>
    <row r="37" spans="1:16">
      <c r="A37" s="44"/>
      <c r="B37" s="5">
        <f t="shared" si="7"/>
        <v>46023</v>
      </c>
      <c r="C37" s="217" t="s">
        <v>17</v>
      </c>
      <c r="D37" s="194"/>
      <c r="E37" s="1"/>
      <c r="F37" s="2"/>
      <c r="G37" s="3">
        <f t="shared" si="8"/>
        <v>0</v>
      </c>
      <c r="H37" s="202">
        <f t="shared" si="1"/>
        <v>0</v>
      </c>
      <c r="I37" s="200"/>
      <c r="J37" s="7">
        <v>1.6500000000000001E-2</v>
      </c>
      <c r="K37" s="7">
        <v>7.5999999999999998E-2</v>
      </c>
      <c r="L37" s="7">
        <v>0</v>
      </c>
      <c r="M37" s="11">
        <f t="shared" si="2"/>
        <v>0</v>
      </c>
      <c r="N37" s="11">
        <f t="shared" si="3"/>
        <v>0</v>
      </c>
      <c r="O37" s="11">
        <f t="shared" si="4"/>
        <v>0</v>
      </c>
      <c r="P37" s="11">
        <f t="shared" si="5"/>
        <v>0</v>
      </c>
    </row>
    <row r="38" spans="1:16">
      <c r="A38" s="44"/>
      <c r="B38" s="5">
        <f t="shared" si="7"/>
        <v>46023</v>
      </c>
      <c r="C38" s="217" t="s">
        <v>17</v>
      </c>
      <c r="D38" s="194"/>
      <c r="E38" s="1"/>
      <c r="F38" s="2"/>
      <c r="G38" s="3">
        <f t="shared" si="8"/>
        <v>0</v>
      </c>
      <c r="H38" s="202">
        <f t="shared" si="1"/>
        <v>0</v>
      </c>
      <c r="I38" s="200"/>
      <c r="J38" s="7">
        <v>1.6500000000000001E-2</v>
      </c>
      <c r="K38" s="7">
        <v>7.5999999999999998E-2</v>
      </c>
      <c r="L38" s="7">
        <v>0</v>
      </c>
      <c r="M38" s="11">
        <f t="shared" si="2"/>
        <v>0</v>
      </c>
      <c r="N38" s="11">
        <f t="shared" si="3"/>
        <v>0</v>
      </c>
      <c r="O38" s="11">
        <f t="shared" si="4"/>
        <v>0</v>
      </c>
      <c r="P38" s="11">
        <f t="shared" si="5"/>
        <v>0</v>
      </c>
    </row>
    <row r="39" spans="1:16">
      <c r="A39" s="44"/>
      <c r="B39" s="5">
        <f t="shared" si="7"/>
        <v>46023</v>
      </c>
      <c r="C39" s="217" t="s">
        <v>17</v>
      </c>
      <c r="D39" s="194"/>
      <c r="E39" s="1"/>
      <c r="F39" s="2"/>
      <c r="G39" s="3">
        <f t="shared" si="8"/>
        <v>0</v>
      </c>
      <c r="H39" s="202">
        <f t="shared" si="1"/>
        <v>0</v>
      </c>
      <c r="I39" s="200"/>
      <c r="J39" s="7">
        <v>1.6500000000000001E-2</v>
      </c>
      <c r="K39" s="7">
        <v>7.5999999999999998E-2</v>
      </c>
      <c r="L39" s="7">
        <v>0</v>
      </c>
      <c r="M39" s="11">
        <f t="shared" si="2"/>
        <v>0</v>
      </c>
      <c r="N39" s="11">
        <f t="shared" si="3"/>
        <v>0</v>
      </c>
      <c r="O39" s="11">
        <f t="shared" si="4"/>
        <v>0</v>
      </c>
      <c r="P39" s="11">
        <f t="shared" si="5"/>
        <v>0</v>
      </c>
    </row>
    <row r="40" spans="1:16">
      <c r="A40" s="44"/>
      <c r="B40" s="5">
        <f t="shared" si="7"/>
        <v>46023</v>
      </c>
      <c r="C40" s="217" t="s">
        <v>17</v>
      </c>
      <c r="D40" s="194"/>
      <c r="E40" s="1"/>
      <c r="F40" s="2"/>
      <c r="G40" s="3">
        <f t="shared" si="8"/>
        <v>0</v>
      </c>
      <c r="H40" s="202">
        <f t="shared" si="1"/>
        <v>0</v>
      </c>
      <c r="I40" s="200"/>
      <c r="J40" s="7">
        <v>1.6500000000000001E-2</v>
      </c>
      <c r="K40" s="7">
        <v>7.5999999999999998E-2</v>
      </c>
      <c r="L40" s="7">
        <v>0</v>
      </c>
      <c r="M40" s="11">
        <f t="shared" si="2"/>
        <v>0</v>
      </c>
      <c r="N40" s="11">
        <f t="shared" si="3"/>
        <v>0</v>
      </c>
      <c r="O40" s="11">
        <f t="shared" si="4"/>
        <v>0</v>
      </c>
      <c r="P40" s="11">
        <f t="shared" si="5"/>
        <v>0</v>
      </c>
    </row>
    <row r="41" spans="1:16">
      <c r="A41" s="44"/>
      <c r="B41" s="5">
        <f t="shared" si="7"/>
        <v>46023</v>
      </c>
      <c r="C41" s="217" t="s">
        <v>17</v>
      </c>
      <c r="D41" s="194"/>
      <c r="E41" s="1"/>
      <c r="F41" s="2"/>
      <c r="G41" s="3">
        <f t="shared" si="8"/>
        <v>0</v>
      </c>
      <c r="H41" s="202">
        <f t="shared" si="1"/>
        <v>0</v>
      </c>
      <c r="I41" s="200"/>
      <c r="J41" s="7">
        <v>1.6500000000000001E-2</v>
      </c>
      <c r="K41" s="7">
        <v>7.5999999999999998E-2</v>
      </c>
      <c r="L41" s="7">
        <v>0</v>
      </c>
      <c r="M41" s="11">
        <f t="shared" si="2"/>
        <v>0</v>
      </c>
      <c r="N41" s="11">
        <f t="shared" si="3"/>
        <v>0</v>
      </c>
      <c r="O41" s="11">
        <f t="shared" si="4"/>
        <v>0</v>
      </c>
      <c r="P41" s="11">
        <f t="shared" si="5"/>
        <v>0</v>
      </c>
    </row>
    <row r="42" spans="1:16">
      <c r="A42" s="44"/>
      <c r="B42" s="5">
        <f t="shared" si="7"/>
        <v>46023</v>
      </c>
      <c r="C42" s="217" t="s">
        <v>17</v>
      </c>
      <c r="D42" s="194"/>
      <c r="E42" s="1"/>
      <c r="F42" s="2"/>
      <c r="G42" s="3">
        <f t="shared" si="8"/>
        <v>0</v>
      </c>
      <c r="H42" s="202">
        <f t="shared" si="1"/>
        <v>0</v>
      </c>
      <c r="I42" s="200"/>
      <c r="J42" s="7">
        <v>1.6500000000000001E-2</v>
      </c>
      <c r="K42" s="7">
        <v>7.5999999999999998E-2</v>
      </c>
      <c r="L42" s="7">
        <v>0</v>
      </c>
      <c r="M42" s="11">
        <f t="shared" si="2"/>
        <v>0</v>
      </c>
      <c r="N42" s="11">
        <f t="shared" si="3"/>
        <v>0</v>
      </c>
      <c r="O42" s="11">
        <f t="shared" si="4"/>
        <v>0</v>
      </c>
      <c r="P42" s="11">
        <f t="shared" si="5"/>
        <v>0</v>
      </c>
    </row>
    <row r="43" spans="1:16">
      <c r="A43" s="44"/>
      <c r="B43" s="5">
        <f t="shared" si="7"/>
        <v>46023</v>
      </c>
      <c r="C43" s="217" t="s">
        <v>17</v>
      </c>
      <c r="D43" s="194"/>
      <c r="E43" s="1"/>
      <c r="F43" s="2"/>
      <c r="G43" s="3">
        <f t="shared" si="8"/>
        <v>0</v>
      </c>
      <c r="H43" s="202">
        <f t="shared" si="1"/>
        <v>0</v>
      </c>
      <c r="I43" s="200"/>
      <c r="J43" s="7">
        <v>1.6500000000000001E-2</v>
      </c>
      <c r="K43" s="7">
        <v>7.5999999999999998E-2</v>
      </c>
      <c r="L43" s="7">
        <v>0</v>
      </c>
      <c r="M43" s="11">
        <f t="shared" si="2"/>
        <v>0</v>
      </c>
      <c r="N43" s="11">
        <f t="shared" si="3"/>
        <v>0</v>
      </c>
      <c r="O43" s="11">
        <f t="shared" si="4"/>
        <v>0</v>
      </c>
      <c r="P43" s="11">
        <f t="shared" si="5"/>
        <v>0</v>
      </c>
    </row>
    <row r="44" spans="1:16">
      <c r="A44" s="44"/>
      <c r="B44" s="5">
        <f t="shared" si="7"/>
        <v>46023</v>
      </c>
      <c r="C44" s="218" t="s">
        <v>830</v>
      </c>
      <c r="D44" s="194"/>
      <c r="E44" s="1"/>
      <c r="F44" s="2"/>
      <c r="G44" s="3">
        <f t="shared" si="8"/>
        <v>0</v>
      </c>
      <c r="H44" s="202">
        <f t="shared" si="1"/>
        <v>0</v>
      </c>
      <c r="I44" s="200"/>
      <c r="J44" s="7">
        <v>1.6500000000000001E-2</v>
      </c>
      <c r="K44" s="7">
        <v>7.5999999999999998E-2</v>
      </c>
      <c r="L44" s="7">
        <v>0</v>
      </c>
      <c r="M44" s="11">
        <f t="shared" si="2"/>
        <v>0</v>
      </c>
      <c r="N44" s="11">
        <f t="shared" si="3"/>
        <v>0</v>
      </c>
      <c r="O44" s="11">
        <f t="shared" si="4"/>
        <v>0</v>
      </c>
      <c r="P44" s="11">
        <f t="shared" si="5"/>
        <v>0</v>
      </c>
    </row>
    <row r="45" spans="1:16">
      <c r="A45" s="44"/>
      <c r="B45" s="5">
        <f>B44</f>
        <v>46023</v>
      </c>
      <c r="C45" s="218" t="s">
        <v>830</v>
      </c>
      <c r="D45" s="194"/>
      <c r="E45" s="1"/>
      <c r="F45" s="2"/>
      <c r="G45" s="3">
        <f t="shared" si="6"/>
        <v>0</v>
      </c>
      <c r="H45" s="202">
        <f>+IF(G45=0,0,G45/E45)</f>
        <v>0</v>
      </c>
      <c r="I45" s="200"/>
      <c r="J45" s="7">
        <v>1.6500000000000001E-2</v>
      </c>
      <c r="K45" s="7">
        <v>7.5999999999999998E-2</v>
      </c>
      <c r="L45" s="7">
        <v>0</v>
      </c>
      <c r="M45" s="11">
        <f t="shared" si="2"/>
        <v>0</v>
      </c>
      <c r="N45" s="11">
        <f t="shared" si="3"/>
        <v>0</v>
      </c>
      <c r="O45" s="11">
        <f t="shared" si="4"/>
        <v>0</v>
      </c>
      <c r="P45" s="11">
        <f t="shared" si="5"/>
        <v>0</v>
      </c>
    </row>
    <row r="46" spans="1:16">
      <c r="A46" s="44"/>
      <c r="B46" s="5">
        <f t="shared" si="7"/>
        <v>46023</v>
      </c>
      <c r="C46" s="218" t="s">
        <v>830</v>
      </c>
      <c r="D46" s="194"/>
      <c r="E46" s="1"/>
      <c r="F46" s="2"/>
      <c r="G46" s="3">
        <f t="shared" si="6"/>
        <v>0</v>
      </c>
      <c r="H46" s="202">
        <f t="shared" ref="H46:H55" si="9">+IF(G46=0,0,G46/E46)</f>
        <v>0</v>
      </c>
      <c r="I46" s="200"/>
      <c r="J46" s="7">
        <v>1.6500000000000001E-2</v>
      </c>
      <c r="K46" s="7">
        <v>7.5999999999999998E-2</v>
      </c>
      <c r="L46" s="7">
        <v>0</v>
      </c>
      <c r="M46" s="11">
        <f t="shared" si="2"/>
        <v>0</v>
      </c>
      <c r="N46" s="11">
        <f t="shared" si="3"/>
        <v>0</v>
      </c>
      <c r="O46" s="11">
        <f t="shared" si="4"/>
        <v>0</v>
      </c>
      <c r="P46" s="11">
        <f t="shared" si="5"/>
        <v>0</v>
      </c>
    </row>
    <row r="47" spans="1:16">
      <c r="A47" s="44"/>
      <c r="B47" s="5">
        <f t="shared" si="7"/>
        <v>46023</v>
      </c>
      <c r="C47" s="219" t="s">
        <v>440</v>
      </c>
      <c r="D47" s="194"/>
      <c r="E47" s="1"/>
      <c r="F47" s="2"/>
      <c r="G47" s="3">
        <f t="shared" si="6"/>
        <v>0</v>
      </c>
      <c r="H47" s="202">
        <f t="shared" si="9"/>
        <v>0</v>
      </c>
      <c r="I47" s="7"/>
      <c r="J47" s="7">
        <v>1.6500000000000001E-2</v>
      </c>
      <c r="K47" s="7">
        <v>7.5999999999999998E-2</v>
      </c>
      <c r="L47" s="7">
        <v>0</v>
      </c>
      <c r="M47" s="11">
        <f t="shared" si="2"/>
        <v>0</v>
      </c>
      <c r="N47" s="11">
        <f t="shared" si="3"/>
        <v>0</v>
      </c>
      <c r="O47" s="11">
        <f t="shared" si="4"/>
        <v>0</v>
      </c>
      <c r="P47" s="11">
        <f t="shared" si="5"/>
        <v>0</v>
      </c>
    </row>
    <row r="48" spans="1:16">
      <c r="A48" s="44"/>
      <c r="B48" s="5">
        <f t="shared" si="7"/>
        <v>46023</v>
      </c>
      <c r="C48" s="217" t="s">
        <v>491</v>
      </c>
      <c r="D48" s="194"/>
      <c r="E48" s="1"/>
      <c r="F48" s="2"/>
      <c r="G48" s="3">
        <f>F48-SUM(M48:P48)</f>
        <v>0</v>
      </c>
      <c r="H48" s="202">
        <f>+IF(G48=0,0,G48/E48)</f>
        <v>0</v>
      </c>
      <c r="I48" s="7"/>
      <c r="J48" s="7">
        <v>1.6500000000000001E-2</v>
      </c>
      <c r="K48" s="7">
        <v>7.5999999999999998E-2</v>
      </c>
      <c r="L48" s="7">
        <v>0</v>
      </c>
      <c r="M48" s="11">
        <f t="shared" si="2"/>
        <v>0</v>
      </c>
      <c r="N48" s="11">
        <f t="shared" si="3"/>
        <v>0</v>
      </c>
      <c r="O48" s="11">
        <f t="shared" si="4"/>
        <v>0</v>
      </c>
      <c r="P48" s="11">
        <f t="shared" si="5"/>
        <v>0</v>
      </c>
    </row>
    <row r="49" spans="1:16">
      <c r="A49" s="44"/>
      <c r="B49" s="5">
        <f t="shared" si="7"/>
        <v>46023</v>
      </c>
      <c r="C49" s="217" t="s">
        <v>491</v>
      </c>
      <c r="D49" s="194"/>
      <c r="E49" s="185"/>
      <c r="F49" s="2"/>
      <c r="G49" s="3">
        <f t="shared" ref="G49" si="10">F49-SUM(M49:P49)</f>
        <v>0</v>
      </c>
      <c r="H49" s="202">
        <f>+IF(G49=0,0,G49/E49)</f>
        <v>0</v>
      </c>
      <c r="I49" s="7"/>
      <c r="J49" s="7">
        <v>1.6500000000000001E-2</v>
      </c>
      <c r="K49" s="7">
        <v>7.5999999999999998E-2</v>
      </c>
      <c r="L49" s="7">
        <v>0</v>
      </c>
      <c r="M49" s="11">
        <f t="shared" si="2"/>
        <v>0</v>
      </c>
      <c r="N49" s="11">
        <f t="shared" si="3"/>
        <v>0</v>
      </c>
      <c r="O49" s="11">
        <f t="shared" si="4"/>
        <v>0</v>
      </c>
      <c r="P49" s="11">
        <f t="shared" si="5"/>
        <v>0</v>
      </c>
    </row>
    <row r="50" spans="1:16">
      <c r="A50" s="44"/>
      <c r="B50" s="5">
        <f>B46</f>
        <v>46023</v>
      </c>
      <c r="C50" s="217" t="s">
        <v>491</v>
      </c>
      <c r="D50" s="194"/>
      <c r="E50" s="1"/>
      <c r="F50" s="2"/>
      <c r="G50" s="3">
        <f t="shared" ref="G50:G51" si="11">F50-SUM(M50:P50)</f>
        <v>0</v>
      </c>
      <c r="H50" s="202">
        <f t="shared" si="9"/>
        <v>0</v>
      </c>
      <c r="I50" s="7"/>
      <c r="J50" s="7">
        <v>1.6500000000000001E-2</v>
      </c>
      <c r="K50" s="7">
        <v>7.5999999999999998E-2</v>
      </c>
      <c r="L50" s="7">
        <v>0</v>
      </c>
      <c r="M50" s="11">
        <f t="shared" si="2"/>
        <v>0</v>
      </c>
      <c r="N50" s="11">
        <f t="shared" si="3"/>
        <v>0</v>
      </c>
      <c r="O50" s="11">
        <f t="shared" si="4"/>
        <v>0</v>
      </c>
      <c r="P50" s="11">
        <f t="shared" si="5"/>
        <v>0</v>
      </c>
    </row>
    <row r="51" spans="1:16">
      <c r="A51" s="44"/>
      <c r="B51" s="5">
        <f>B47</f>
        <v>46023</v>
      </c>
      <c r="C51" s="217" t="s">
        <v>1082</v>
      </c>
      <c r="D51" s="195"/>
      <c r="E51" s="118"/>
      <c r="F51" s="2"/>
      <c r="G51" s="3">
        <f t="shared" si="11"/>
        <v>0</v>
      </c>
      <c r="H51" s="202">
        <f t="shared" si="9"/>
        <v>0</v>
      </c>
      <c r="I51" s="7"/>
      <c r="J51" s="7">
        <v>1.6500000000000001E-2</v>
      </c>
      <c r="K51" s="7">
        <v>7.5999999999999998E-2</v>
      </c>
      <c r="L51" s="7">
        <v>0</v>
      </c>
      <c r="M51" s="11">
        <f t="shared" si="2"/>
        <v>0</v>
      </c>
      <c r="N51" s="11">
        <f t="shared" si="3"/>
        <v>0</v>
      </c>
      <c r="O51" s="11">
        <f t="shared" si="4"/>
        <v>0</v>
      </c>
      <c r="P51" s="11">
        <f t="shared" si="5"/>
        <v>0</v>
      </c>
    </row>
    <row r="52" spans="1:16">
      <c r="A52" s="44"/>
      <c r="B52" s="5">
        <f>B48</f>
        <v>46023</v>
      </c>
      <c r="C52" s="220" t="s">
        <v>756</v>
      </c>
      <c r="D52" s="195"/>
      <c r="E52" s="118"/>
      <c r="F52" s="2"/>
      <c r="G52" s="3">
        <f t="shared" si="6"/>
        <v>0</v>
      </c>
      <c r="H52" s="202">
        <f t="shared" si="9"/>
        <v>0</v>
      </c>
      <c r="I52" s="7"/>
      <c r="J52" s="200">
        <v>1.6500000000000001E-2</v>
      </c>
      <c r="K52" s="200">
        <v>7.5999999999999998E-2</v>
      </c>
      <c r="L52" s="200">
        <v>0</v>
      </c>
      <c r="M52" s="11">
        <f t="shared" si="2"/>
        <v>0</v>
      </c>
      <c r="N52" s="11">
        <f t="shared" si="3"/>
        <v>0</v>
      </c>
      <c r="O52" s="11">
        <f t="shared" si="4"/>
        <v>0</v>
      </c>
      <c r="P52" s="11">
        <f t="shared" si="5"/>
        <v>0</v>
      </c>
    </row>
    <row r="53" spans="1:16">
      <c r="A53" s="44"/>
      <c r="B53" s="5">
        <f t="shared" si="7"/>
        <v>46023</v>
      </c>
      <c r="C53" s="220" t="s">
        <v>756</v>
      </c>
      <c r="D53" s="212"/>
      <c r="E53" s="118"/>
      <c r="F53" s="2"/>
      <c r="G53" s="3">
        <f t="shared" ref="G53" si="12">F53-SUM(M53:P53)</f>
        <v>0</v>
      </c>
      <c r="H53" s="202">
        <f t="shared" si="9"/>
        <v>0</v>
      </c>
      <c r="I53" s="7"/>
      <c r="J53" s="200">
        <v>1.6500000000000001E-2</v>
      </c>
      <c r="K53" s="200">
        <v>7.5999999999999998E-2</v>
      </c>
      <c r="L53" s="200">
        <v>0</v>
      </c>
      <c r="M53" s="11">
        <f t="shared" si="2"/>
        <v>0</v>
      </c>
      <c r="N53" s="11">
        <f t="shared" si="3"/>
        <v>0</v>
      </c>
      <c r="O53" s="11">
        <f t="shared" si="4"/>
        <v>0</v>
      </c>
      <c r="P53" s="11">
        <f t="shared" si="5"/>
        <v>0</v>
      </c>
    </row>
    <row r="54" spans="1:16">
      <c r="A54" s="44"/>
      <c r="B54" s="5">
        <f>B53</f>
        <v>46023</v>
      </c>
      <c r="C54" s="220" t="s">
        <v>757</v>
      </c>
      <c r="D54" s="212"/>
      <c r="E54" s="118"/>
      <c r="F54" s="2"/>
      <c r="G54" s="3">
        <f t="shared" ref="G54:G117" si="13">F54-SUM(M54:P54)</f>
        <v>0</v>
      </c>
      <c r="H54" s="202">
        <f t="shared" si="9"/>
        <v>0</v>
      </c>
      <c r="I54" s="7"/>
      <c r="J54" s="7">
        <v>1.6500000000000001E-2</v>
      </c>
      <c r="K54" s="7">
        <v>7.5999999999999998E-2</v>
      </c>
      <c r="L54" s="7">
        <v>0</v>
      </c>
      <c r="M54" s="11">
        <f t="shared" si="2"/>
        <v>0</v>
      </c>
      <c r="N54" s="11">
        <f t="shared" si="3"/>
        <v>0</v>
      </c>
      <c r="O54" s="11">
        <f t="shared" si="4"/>
        <v>0</v>
      </c>
      <c r="P54" s="11">
        <f t="shared" si="5"/>
        <v>0</v>
      </c>
    </row>
    <row r="55" spans="1:16" ht="15" customHeight="1">
      <c r="A55" s="44"/>
      <c r="B55" s="5">
        <f>B54</f>
        <v>46023</v>
      </c>
      <c r="C55" s="220" t="s">
        <v>757</v>
      </c>
      <c r="D55" s="195"/>
      <c r="E55" s="118"/>
      <c r="F55" s="2"/>
      <c r="G55" s="3">
        <f t="shared" si="13"/>
        <v>0</v>
      </c>
      <c r="H55" s="202">
        <f t="shared" si="9"/>
        <v>0</v>
      </c>
      <c r="I55" s="7"/>
      <c r="J55" s="7">
        <v>1.6500000000000001E-2</v>
      </c>
      <c r="K55" s="7">
        <v>7.5999999999999998E-2</v>
      </c>
      <c r="L55" s="7">
        <v>0</v>
      </c>
      <c r="M55" s="11">
        <f t="shared" si="2"/>
        <v>0</v>
      </c>
      <c r="N55" s="11">
        <f t="shared" si="3"/>
        <v>0</v>
      </c>
      <c r="O55" s="11">
        <f t="shared" si="4"/>
        <v>0</v>
      </c>
      <c r="P55" s="11">
        <f t="shared" si="5"/>
        <v>0</v>
      </c>
    </row>
    <row r="56" spans="1:16" ht="15" customHeight="1">
      <c r="A56" s="44"/>
      <c r="B56" s="5">
        <f t="shared" ref="B56:B119" si="14">B55</f>
        <v>46023</v>
      </c>
      <c r="C56" s="221" t="s">
        <v>792</v>
      </c>
      <c r="D56" s="195"/>
      <c r="E56" s="186"/>
      <c r="F56" s="2"/>
      <c r="G56" s="3">
        <f>F56-SUM(M56:P56)</f>
        <v>0</v>
      </c>
      <c r="H56" s="187"/>
      <c r="I56" s="193"/>
      <c r="J56" s="7">
        <v>1.6500000000000001E-2</v>
      </c>
      <c r="K56" s="7">
        <v>7.5999999999999998E-2</v>
      </c>
      <c r="L56" s="7">
        <v>0</v>
      </c>
      <c r="M56" s="11">
        <f t="shared" si="2"/>
        <v>0</v>
      </c>
      <c r="N56" s="11">
        <f t="shared" si="3"/>
        <v>0</v>
      </c>
      <c r="O56" s="11">
        <f t="shared" si="4"/>
        <v>0</v>
      </c>
      <c r="P56" s="11">
        <f t="shared" si="5"/>
        <v>0</v>
      </c>
    </row>
    <row r="57" spans="1:16">
      <c r="A57" s="44"/>
      <c r="B57" s="5">
        <f t="shared" si="14"/>
        <v>46023</v>
      </c>
      <c r="C57" s="221" t="s">
        <v>792</v>
      </c>
      <c r="D57" s="361"/>
      <c r="E57" s="186"/>
      <c r="F57" s="2"/>
      <c r="G57" s="3">
        <f t="shared" si="13"/>
        <v>0</v>
      </c>
      <c r="H57" s="187"/>
      <c r="I57" s="193"/>
      <c r="J57" s="7">
        <v>1.6500000000000001E-2</v>
      </c>
      <c r="K57" s="7">
        <v>7.5999999999999998E-2</v>
      </c>
      <c r="L57" s="7">
        <v>0</v>
      </c>
      <c r="M57" s="11">
        <f t="shared" si="2"/>
        <v>0</v>
      </c>
      <c r="N57" s="11">
        <f t="shared" si="3"/>
        <v>0</v>
      </c>
      <c r="O57" s="11">
        <f t="shared" si="4"/>
        <v>0</v>
      </c>
      <c r="P57" s="11">
        <f t="shared" si="5"/>
        <v>0</v>
      </c>
    </row>
    <row r="58" spans="1:16">
      <c r="A58" s="44"/>
      <c r="B58" s="5">
        <f t="shared" si="14"/>
        <v>46023</v>
      </c>
      <c r="C58" s="1" t="s">
        <v>690</v>
      </c>
      <c r="D58" s="195" t="s">
        <v>1115</v>
      </c>
      <c r="E58" s="118">
        <v>9166</v>
      </c>
      <c r="F58" s="2">
        <v>23069.91</v>
      </c>
      <c r="G58" s="3">
        <f t="shared" si="13"/>
        <v>18423.630126</v>
      </c>
      <c r="H58" s="202">
        <f t="shared" ref="H58:H59" si="15">+IF(G58=0,0,G58/E58)</f>
        <v>2.0099967407811477</v>
      </c>
      <c r="I58" s="7">
        <v>0.12</v>
      </c>
      <c r="J58" s="7">
        <v>1.6500000000000001E-2</v>
      </c>
      <c r="K58" s="7">
        <v>7.5999999999999998E-2</v>
      </c>
      <c r="L58" s="7">
        <v>0</v>
      </c>
      <c r="M58" s="11">
        <f>+I58*F58</f>
        <v>2768.3892000000001</v>
      </c>
      <c r="N58" s="11">
        <f>J58*(F58-M58)</f>
        <v>334.9750932</v>
      </c>
      <c r="O58" s="11">
        <f>K58*(F58-M58)</f>
        <v>1542.9155807999998</v>
      </c>
      <c r="P58" s="11">
        <f t="shared" si="5"/>
        <v>0</v>
      </c>
    </row>
    <row r="59" spans="1:16">
      <c r="A59" s="44"/>
      <c r="B59" s="5">
        <f t="shared" si="14"/>
        <v>46023</v>
      </c>
      <c r="C59" s="1" t="s">
        <v>689</v>
      </c>
      <c r="D59" s="195" t="s">
        <v>1116</v>
      </c>
      <c r="E59" s="118">
        <v>8547</v>
      </c>
      <c r="F59" s="2">
        <v>20976.9</v>
      </c>
      <c r="G59" s="3">
        <f t="shared" si="13"/>
        <v>16752.152340000001</v>
      </c>
      <c r="H59" s="202">
        <f t="shared" si="15"/>
        <v>1.9600037837837838</v>
      </c>
      <c r="I59" s="7">
        <v>0.12</v>
      </c>
      <c r="J59" s="7">
        <v>1.6500000000000001E-2</v>
      </c>
      <c r="K59" s="7">
        <v>7.5999999999999998E-2</v>
      </c>
      <c r="L59" s="7">
        <v>0</v>
      </c>
      <c r="M59" s="11">
        <f t="shared" si="2"/>
        <v>2517.2280000000001</v>
      </c>
      <c r="N59" s="11">
        <f t="shared" si="3"/>
        <v>304.58458800000005</v>
      </c>
      <c r="O59" s="11">
        <f t="shared" si="4"/>
        <v>1402.9350720000002</v>
      </c>
      <c r="P59" s="11">
        <f t="shared" si="5"/>
        <v>0</v>
      </c>
    </row>
    <row r="60" spans="1:16" ht="15" customHeight="1">
      <c r="A60" s="44"/>
      <c r="B60" s="5">
        <f t="shared" si="14"/>
        <v>46023</v>
      </c>
      <c r="C60" s="218" t="s">
        <v>533</v>
      </c>
      <c r="D60" s="195">
        <v>12853</v>
      </c>
      <c r="E60" s="186"/>
      <c r="F60" s="2">
        <v>7462.74</v>
      </c>
      <c r="G60" s="3">
        <f>F60-SUM(M60:P60)</f>
        <v>5959.7441639999997</v>
      </c>
      <c r="H60" s="187"/>
      <c r="I60" s="7">
        <v>0.12</v>
      </c>
      <c r="J60" s="7">
        <v>1.6500000000000001E-2</v>
      </c>
      <c r="K60" s="7">
        <v>7.5999999999999998E-2</v>
      </c>
      <c r="L60" s="7">
        <v>0</v>
      </c>
      <c r="M60" s="11">
        <f t="shared" si="2"/>
        <v>895.52879999999993</v>
      </c>
      <c r="N60" s="11">
        <f t="shared" si="3"/>
        <v>108.3589848</v>
      </c>
      <c r="O60" s="11">
        <f t="shared" si="4"/>
        <v>499.10805119999998</v>
      </c>
      <c r="P60" s="11">
        <f t="shared" si="5"/>
        <v>0</v>
      </c>
    </row>
    <row r="61" spans="1:16" ht="15" customHeight="1">
      <c r="A61" s="44"/>
      <c r="B61" s="5">
        <f t="shared" si="14"/>
        <v>46023</v>
      </c>
      <c r="C61" s="218" t="s">
        <v>533</v>
      </c>
      <c r="D61" s="195">
        <v>7665</v>
      </c>
      <c r="E61" s="186"/>
      <c r="F61" s="2">
        <v>9813.09</v>
      </c>
      <c r="G61" s="3">
        <f>F61-SUM(M61:P61)</f>
        <v>7836.7336740000001</v>
      </c>
      <c r="H61" s="187"/>
      <c r="I61" s="7">
        <v>0.12</v>
      </c>
      <c r="J61" s="7">
        <v>1.6500000000000001E-2</v>
      </c>
      <c r="K61" s="7">
        <v>7.5999999999999998E-2</v>
      </c>
      <c r="L61" s="7">
        <v>0</v>
      </c>
      <c r="M61" s="11">
        <f t="shared" si="2"/>
        <v>1177.5708</v>
      </c>
      <c r="N61" s="11">
        <f t="shared" si="3"/>
        <v>142.4860668</v>
      </c>
      <c r="O61" s="11">
        <f t="shared" si="4"/>
        <v>656.2994592</v>
      </c>
      <c r="P61" s="11">
        <f t="shared" si="5"/>
        <v>0</v>
      </c>
    </row>
    <row r="62" spans="1:16" ht="15" customHeight="1">
      <c r="A62" s="44"/>
      <c r="B62" s="5">
        <f t="shared" si="14"/>
        <v>46023</v>
      </c>
      <c r="C62" s="218" t="s">
        <v>533</v>
      </c>
      <c r="D62" s="195">
        <v>30841</v>
      </c>
      <c r="E62" s="186"/>
      <c r="F62" s="2">
        <v>91.97</v>
      </c>
      <c r="G62" s="3">
        <f t="shared" si="13"/>
        <v>77.620380749999995</v>
      </c>
      <c r="H62" s="187"/>
      <c r="I62" s="7">
        <v>7.0000000000000007E-2</v>
      </c>
      <c r="J62" s="7">
        <v>1.6500000000000001E-2</v>
      </c>
      <c r="K62" s="7">
        <v>7.5999999999999998E-2</v>
      </c>
      <c r="L62" s="7">
        <v>0</v>
      </c>
      <c r="M62" s="11">
        <f t="shared" si="2"/>
        <v>6.4379000000000008</v>
      </c>
      <c r="N62" s="11">
        <f t="shared" si="3"/>
        <v>1.41127965</v>
      </c>
      <c r="O62" s="11">
        <f t="shared" si="4"/>
        <v>6.5004396</v>
      </c>
      <c r="P62" s="11">
        <f t="shared" si="5"/>
        <v>0</v>
      </c>
    </row>
    <row r="63" spans="1:16" ht="15" customHeight="1">
      <c r="A63" s="44"/>
      <c r="B63" s="5">
        <f t="shared" si="14"/>
        <v>46023</v>
      </c>
      <c r="C63" s="218" t="s">
        <v>533</v>
      </c>
      <c r="D63" s="195">
        <v>12854</v>
      </c>
      <c r="E63" s="186"/>
      <c r="F63" s="2">
        <v>6810.27</v>
      </c>
      <c r="G63" s="3">
        <f t="shared" si="13"/>
        <v>5438.6816220000001</v>
      </c>
      <c r="H63" s="187"/>
      <c r="I63" s="7">
        <v>0.12</v>
      </c>
      <c r="J63" s="7">
        <v>1.6500000000000001E-2</v>
      </c>
      <c r="K63" s="7">
        <v>7.5999999999999998E-2</v>
      </c>
      <c r="L63" s="7">
        <v>0</v>
      </c>
      <c r="M63" s="11">
        <f t="shared" si="2"/>
        <v>817.23239999999998</v>
      </c>
      <c r="N63" s="11">
        <f t="shared" si="3"/>
        <v>98.885120400000019</v>
      </c>
      <c r="O63" s="11">
        <f t="shared" si="4"/>
        <v>455.47085760000004</v>
      </c>
      <c r="P63" s="11">
        <f t="shared" si="5"/>
        <v>0</v>
      </c>
    </row>
    <row r="64" spans="1:16" ht="15" customHeight="1">
      <c r="A64" s="44"/>
      <c r="B64" s="5">
        <f t="shared" si="14"/>
        <v>46023</v>
      </c>
      <c r="C64" s="218" t="s">
        <v>533</v>
      </c>
      <c r="D64" s="195">
        <v>7666</v>
      </c>
      <c r="E64" s="186"/>
      <c r="F64" s="2">
        <v>9015.2099999999991</v>
      </c>
      <c r="G64" s="3">
        <f t="shared" si="13"/>
        <v>7199.5467059999992</v>
      </c>
      <c r="H64" s="187"/>
      <c r="I64" s="7">
        <v>0.12</v>
      </c>
      <c r="J64" s="7">
        <v>1.6500000000000001E-2</v>
      </c>
      <c r="K64" s="7">
        <v>7.5999999999999998E-2</v>
      </c>
      <c r="L64" s="7">
        <v>0</v>
      </c>
      <c r="M64" s="11">
        <f t="shared" si="2"/>
        <v>1081.8251999999998</v>
      </c>
      <c r="N64" s="11">
        <f t="shared" si="3"/>
        <v>130.90084920000001</v>
      </c>
      <c r="O64" s="11">
        <f t="shared" si="4"/>
        <v>602.93724479999992</v>
      </c>
      <c r="P64" s="11">
        <f t="shared" si="5"/>
        <v>0</v>
      </c>
    </row>
    <row r="65" spans="1:16" ht="15" customHeight="1">
      <c r="A65" s="44"/>
      <c r="B65" s="5">
        <f t="shared" si="14"/>
        <v>46023</v>
      </c>
      <c r="C65" s="218" t="s">
        <v>533</v>
      </c>
      <c r="D65" s="195">
        <v>30842</v>
      </c>
      <c r="E65" s="186"/>
      <c r="F65" s="2">
        <v>84.44</v>
      </c>
      <c r="G65" s="3">
        <f t="shared" si="13"/>
        <v>71.265248999999997</v>
      </c>
      <c r="H65" s="187"/>
      <c r="I65" s="7">
        <v>7.0000000000000007E-2</v>
      </c>
      <c r="J65" s="7">
        <v>1.6500000000000001E-2</v>
      </c>
      <c r="K65" s="7">
        <v>7.5999999999999998E-2</v>
      </c>
      <c r="L65" s="7">
        <v>0</v>
      </c>
      <c r="M65" s="11">
        <f t="shared" si="2"/>
        <v>5.9108000000000001</v>
      </c>
      <c r="N65" s="11">
        <f t="shared" si="3"/>
        <v>1.2957318000000002</v>
      </c>
      <c r="O65" s="11">
        <f t="shared" si="4"/>
        <v>5.9682192000000001</v>
      </c>
      <c r="P65" s="11">
        <f t="shared" si="5"/>
        <v>0</v>
      </c>
    </row>
    <row r="66" spans="1:16" ht="15" customHeight="1">
      <c r="A66" s="44"/>
      <c r="B66" s="5">
        <f t="shared" si="14"/>
        <v>46023</v>
      </c>
      <c r="C66" s="218" t="s">
        <v>533</v>
      </c>
      <c r="D66" s="195">
        <v>7667</v>
      </c>
      <c r="E66" s="186"/>
      <c r="F66" s="2">
        <v>1.54</v>
      </c>
      <c r="G66" s="3">
        <f t="shared" si="13"/>
        <v>1.2298439999999999</v>
      </c>
      <c r="H66" s="187"/>
      <c r="I66" s="7">
        <v>0.12</v>
      </c>
      <c r="J66" s="7">
        <v>1.6500000000000001E-2</v>
      </c>
      <c r="K66" s="7">
        <v>7.5999999999999998E-2</v>
      </c>
      <c r="L66" s="7">
        <v>0</v>
      </c>
      <c r="M66" s="11">
        <f t="shared" si="2"/>
        <v>0.18479999999999999</v>
      </c>
      <c r="N66" s="11">
        <f t="shared" si="3"/>
        <v>2.23608E-2</v>
      </c>
      <c r="O66" s="11">
        <f t="shared" si="4"/>
        <v>0.1029952</v>
      </c>
      <c r="P66" s="11">
        <f t="shared" si="5"/>
        <v>0</v>
      </c>
    </row>
    <row r="67" spans="1:16" ht="15" customHeight="1">
      <c r="A67" s="44"/>
      <c r="B67" s="5">
        <f t="shared" si="14"/>
        <v>46023</v>
      </c>
      <c r="C67" s="218" t="s">
        <v>533</v>
      </c>
      <c r="D67" s="195">
        <v>7669</v>
      </c>
      <c r="E67" s="186"/>
      <c r="F67" s="2">
        <v>264073.28999999998</v>
      </c>
      <c r="G67" s="3">
        <f t="shared" si="13"/>
        <v>210888.92939399998</v>
      </c>
      <c r="H67" s="187"/>
      <c r="I67" s="7">
        <v>0.12</v>
      </c>
      <c r="J67" s="7">
        <v>1.6500000000000001E-2</v>
      </c>
      <c r="K67" s="7">
        <v>7.5999999999999998E-2</v>
      </c>
      <c r="L67" s="7">
        <v>0</v>
      </c>
      <c r="M67" s="11">
        <f t="shared" si="2"/>
        <v>31688.794799999996</v>
      </c>
      <c r="N67" s="11">
        <f t="shared" si="3"/>
        <v>3834.3441707999996</v>
      </c>
      <c r="O67" s="11">
        <f t="shared" si="4"/>
        <v>17661.221635199996</v>
      </c>
      <c r="P67" s="11">
        <f t="shared" si="5"/>
        <v>0</v>
      </c>
    </row>
    <row r="68" spans="1:16" ht="15" customHeight="1">
      <c r="A68" s="44"/>
      <c r="B68" s="5">
        <f t="shared" si="14"/>
        <v>46023</v>
      </c>
      <c r="C68" s="218" t="s">
        <v>533</v>
      </c>
      <c r="D68" s="195">
        <v>12855</v>
      </c>
      <c r="E68" s="186"/>
      <c r="F68" s="2">
        <v>209167.49</v>
      </c>
      <c r="G68" s="3">
        <f t="shared" si="13"/>
        <v>167041.15751399999</v>
      </c>
      <c r="H68" s="187"/>
      <c r="I68" s="7">
        <v>0.12</v>
      </c>
      <c r="J68" s="7">
        <v>1.6500000000000001E-2</v>
      </c>
      <c r="K68" s="7">
        <v>7.5999999999999998E-2</v>
      </c>
      <c r="L68" s="7">
        <v>0</v>
      </c>
      <c r="M68" s="11">
        <f t="shared" si="2"/>
        <v>25100.0988</v>
      </c>
      <c r="N68" s="11">
        <f t="shared" si="3"/>
        <v>3037.1119547999997</v>
      </c>
      <c r="O68" s="11">
        <f t="shared" si="4"/>
        <v>13989.121731199999</v>
      </c>
      <c r="P68" s="11">
        <f t="shared" si="5"/>
        <v>0</v>
      </c>
    </row>
    <row r="69" spans="1:16" ht="15" customHeight="1">
      <c r="A69" s="44"/>
      <c r="B69" s="5">
        <f t="shared" si="14"/>
        <v>46023</v>
      </c>
      <c r="C69" s="218" t="s">
        <v>533</v>
      </c>
      <c r="D69" s="195">
        <v>30851</v>
      </c>
      <c r="E69" s="186"/>
      <c r="F69" s="2">
        <v>3143.87</v>
      </c>
      <c r="G69" s="3">
        <f t="shared" si="13"/>
        <v>2653.34768325</v>
      </c>
      <c r="H69" s="187"/>
      <c r="I69" s="7">
        <v>7.0000000000000007E-2</v>
      </c>
      <c r="J69" s="7">
        <v>1.6500000000000001E-2</v>
      </c>
      <c r="K69" s="7">
        <v>7.5999999999999998E-2</v>
      </c>
      <c r="L69" s="7">
        <v>0</v>
      </c>
      <c r="M69" s="11">
        <f t="shared" si="2"/>
        <v>220.07090000000002</v>
      </c>
      <c r="N69" s="11">
        <f t="shared" si="3"/>
        <v>48.24268515</v>
      </c>
      <c r="O69" s="11">
        <f t="shared" si="4"/>
        <v>222.20873159999996</v>
      </c>
      <c r="P69" s="11">
        <f t="shared" si="5"/>
        <v>0</v>
      </c>
    </row>
    <row r="70" spans="1:16" ht="15" customHeight="1">
      <c r="A70" s="44"/>
      <c r="B70" s="5">
        <f t="shared" si="14"/>
        <v>46023</v>
      </c>
      <c r="C70" s="218" t="s">
        <v>533</v>
      </c>
      <c r="D70" s="195">
        <v>7668</v>
      </c>
      <c r="E70" s="186"/>
      <c r="F70" s="2">
        <v>1905.38</v>
      </c>
      <c r="G70" s="3">
        <f t="shared" si="13"/>
        <v>1521.6364680000001</v>
      </c>
      <c r="H70" s="187"/>
      <c r="I70" s="7">
        <v>0.12</v>
      </c>
      <c r="J70" s="7">
        <v>1.6500000000000001E-2</v>
      </c>
      <c r="K70" s="7">
        <v>7.5999999999999998E-2</v>
      </c>
      <c r="L70" s="7">
        <v>0</v>
      </c>
      <c r="M70" s="11">
        <f t="shared" si="2"/>
        <v>228.6456</v>
      </c>
      <c r="N70" s="11">
        <f t="shared" si="3"/>
        <v>27.666117600000003</v>
      </c>
      <c r="O70" s="11">
        <f t="shared" si="4"/>
        <v>127.43181440000001</v>
      </c>
      <c r="P70" s="11">
        <f t="shared" si="5"/>
        <v>0</v>
      </c>
    </row>
    <row r="71" spans="1:16" ht="15" customHeight="1">
      <c r="A71" s="44"/>
      <c r="B71" s="5">
        <f t="shared" si="14"/>
        <v>46023</v>
      </c>
      <c r="C71" s="218" t="s">
        <v>533</v>
      </c>
      <c r="D71" s="195">
        <v>12856</v>
      </c>
      <c r="E71" s="186"/>
      <c r="F71" s="2">
        <v>1778.21</v>
      </c>
      <c r="G71" s="3">
        <f t="shared" si="13"/>
        <v>1420.0785060000001</v>
      </c>
      <c r="H71" s="187"/>
      <c r="I71" s="7">
        <v>0.12</v>
      </c>
      <c r="J71" s="7">
        <v>1.6500000000000001E-2</v>
      </c>
      <c r="K71" s="7">
        <v>7.5999999999999998E-2</v>
      </c>
      <c r="L71" s="7">
        <v>0</v>
      </c>
      <c r="M71" s="11">
        <f t="shared" si="2"/>
        <v>213.3852</v>
      </c>
      <c r="N71" s="11">
        <f t="shared" si="3"/>
        <v>25.819609200000002</v>
      </c>
      <c r="O71" s="11">
        <f t="shared" si="4"/>
        <v>118.9266848</v>
      </c>
      <c r="P71" s="11">
        <f t="shared" si="5"/>
        <v>0</v>
      </c>
    </row>
    <row r="72" spans="1:16" ht="15" customHeight="1">
      <c r="A72" s="44"/>
      <c r="B72" s="5">
        <f t="shared" si="14"/>
        <v>46023</v>
      </c>
      <c r="C72" s="218" t="s">
        <v>533</v>
      </c>
      <c r="D72" s="195">
        <v>30852</v>
      </c>
      <c r="E72" s="186"/>
      <c r="F72" s="2">
        <v>2782.75</v>
      </c>
      <c r="G72" s="3">
        <f t="shared" si="13"/>
        <v>2348.5714312499999</v>
      </c>
      <c r="H72" s="187"/>
      <c r="I72" s="7">
        <v>7.0000000000000007E-2</v>
      </c>
      <c r="J72" s="7">
        <v>1.6500000000000001E-2</v>
      </c>
      <c r="K72" s="7">
        <v>7.5999999999999998E-2</v>
      </c>
      <c r="L72" s="7">
        <v>0</v>
      </c>
      <c r="M72" s="11">
        <f t="shared" si="2"/>
        <v>194.79250000000002</v>
      </c>
      <c r="N72" s="11">
        <f t="shared" si="3"/>
        <v>42.701298749999999</v>
      </c>
      <c r="O72" s="11">
        <f t="shared" si="4"/>
        <v>196.68476999999999</v>
      </c>
      <c r="P72" s="11">
        <f t="shared" si="5"/>
        <v>0</v>
      </c>
    </row>
    <row r="73" spans="1:16" ht="15" customHeight="1">
      <c r="A73" s="44"/>
      <c r="B73" s="5">
        <f t="shared" si="14"/>
        <v>46023</v>
      </c>
      <c r="C73" s="218" t="s">
        <v>533</v>
      </c>
      <c r="D73" s="195">
        <v>7670</v>
      </c>
      <c r="E73" s="186"/>
      <c r="F73" s="2">
        <v>237625.17</v>
      </c>
      <c r="G73" s="3">
        <f t="shared" si="13"/>
        <v>189767.460762</v>
      </c>
      <c r="H73" s="187"/>
      <c r="I73" s="7">
        <v>0.12</v>
      </c>
      <c r="J73" s="7">
        <v>1.6500000000000001E-2</v>
      </c>
      <c r="K73" s="7">
        <v>7.5999999999999998E-2</v>
      </c>
      <c r="L73" s="7">
        <v>0</v>
      </c>
      <c r="M73" s="11">
        <f t="shared" si="2"/>
        <v>28515.020400000001</v>
      </c>
      <c r="N73" s="11">
        <f t="shared" si="3"/>
        <v>3450.3174684000001</v>
      </c>
      <c r="O73" s="11">
        <f t="shared" si="4"/>
        <v>15892.3713696</v>
      </c>
      <c r="P73" s="11">
        <f t="shared" si="5"/>
        <v>0</v>
      </c>
    </row>
    <row r="74" spans="1:16" ht="15" customHeight="1">
      <c r="A74" s="44"/>
      <c r="B74" s="5">
        <f t="shared" si="14"/>
        <v>46023</v>
      </c>
      <c r="C74" s="218" t="s">
        <v>533</v>
      </c>
      <c r="D74" s="195">
        <v>12857</v>
      </c>
      <c r="E74" s="186"/>
      <c r="F74" s="2">
        <v>187568.4</v>
      </c>
      <c r="G74" s="3">
        <f t="shared" si="13"/>
        <v>149792.12424</v>
      </c>
      <c r="H74" s="187"/>
      <c r="I74" s="7">
        <v>0.12</v>
      </c>
      <c r="J74" s="7">
        <v>1.6500000000000001E-2</v>
      </c>
      <c r="K74" s="7">
        <v>7.5999999999999998E-2</v>
      </c>
      <c r="L74" s="7">
        <v>0</v>
      </c>
      <c r="M74" s="11">
        <f t="shared" si="2"/>
        <v>22508.207999999999</v>
      </c>
      <c r="N74" s="11">
        <f t="shared" si="3"/>
        <v>2723.493168</v>
      </c>
      <c r="O74" s="11">
        <f t="shared" si="4"/>
        <v>12544.574591999999</v>
      </c>
      <c r="P74" s="11">
        <f t="shared" si="5"/>
        <v>0</v>
      </c>
    </row>
    <row r="75" spans="1:16" ht="15" customHeight="1">
      <c r="A75" s="44"/>
      <c r="B75" s="5">
        <f t="shared" si="14"/>
        <v>46023</v>
      </c>
      <c r="C75" s="218" t="s">
        <v>533</v>
      </c>
      <c r="D75" s="195">
        <v>12858</v>
      </c>
      <c r="E75" s="186"/>
      <c r="F75" s="2">
        <v>1553.94</v>
      </c>
      <c r="G75" s="3">
        <f t="shared" si="13"/>
        <v>1240.976484</v>
      </c>
      <c r="H75" s="187"/>
      <c r="I75" s="7">
        <v>0.12</v>
      </c>
      <c r="J75" s="7">
        <v>1.6500000000000001E-2</v>
      </c>
      <c r="K75" s="7">
        <v>7.5999999999999998E-2</v>
      </c>
      <c r="L75" s="7">
        <v>0</v>
      </c>
      <c r="M75" s="11">
        <f t="shared" si="2"/>
        <v>186.47280000000001</v>
      </c>
      <c r="N75" s="11">
        <f t="shared" si="3"/>
        <v>22.563208800000002</v>
      </c>
      <c r="O75" s="11">
        <f t="shared" si="4"/>
        <v>103.92750720000001</v>
      </c>
      <c r="P75" s="11">
        <f t="shared" si="5"/>
        <v>0</v>
      </c>
    </row>
    <row r="76" spans="1:16" ht="15" customHeight="1">
      <c r="A76" s="44"/>
      <c r="B76" s="5">
        <f t="shared" si="14"/>
        <v>46023</v>
      </c>
      <c r="C76" s="218" t="s">
        <v>533</v>
      </c>
      <c r="D76" s="195">
        <v>30860</v>
      </c>
      <c r="E76" s="186"/>
      <c r="F76" s="2">
        <v>77.84</v>
      </c>
      <c r="G76" s="3">
        <f t="shared" si="13"/>
        <v>65.695014</v>
      </c>
      <c r="H76" s="187"/>
      <c r="I76" s="7">
        <v>7.0000000000000007E-2</v>
      </c>
      <c r="J76" s="7">
        <v>1.6500000000000001E-2</v>
      </c>
      <c r="K76" s="7">
        <v>7.5999999999999998E-2</v>
      </c>
      <c r="L76" s="7">
        <v>0</v>
      </c>
      <c r="M76" s="11">
        <f t="shared" si="2"/>
        <v>5.4488000000000012</v>
      </c>
      <c r="N76" s="11">
        <f t="shared" si="3"/>
        <v>1.1944547999999999</v>
      </c>
      <c r="O76" s="11">
        <f t="shared" si="4"/>
        <v>5.5017312</v>
      </c>
      <c r="P76" s="11">
        <f t="shared" si="5"/>
        <v>0</v>
      </c>
    </row>
    <row r="77" spans="1:16" ht="15" customHeight="1">
      <c r="A77" s="44"/>
      <c r="B77" s="5">
        <f t="shared" si="14"/>
        <v>46023</v>
      </c>
      <c r="C77" s="218" t="s">
        <v>533</v>
      </c>
      <c r="D77" s="195">
        <v>7671</v>
      </c>
      <c r="E77" s="186"/>
      <c r="F77" s="2">
        <v>2688.26</v>
      </c>
      <c r="G77" s="3">
        <f t="shared" si="13"/>
        <v>2146.8444360000003</v>
      </c>
      <c r="H77" s="187"/>
      <c r="I77" s="7">
        <v>0.12</v>
      </c>
      <c r="J77" s="7">
        <v>1.6500000000000001E-2</v>
      </c>
      <c r="K77" s="7">
        <v>7.5999999999999998E-2</v>
      </c>
      <c r="L77" s="7">
        <v>0</v>
      </c>
      <c r="M77" s="11">
        <f t="shared" si="2"/>
        <v>322.59120000000001</v>
      </c>
      <c r="N77" s="11">
        <f t="shared" si="3"/>
        <v>39.03353520000001</v>
      </c>
      <c r="O77" s="11">
        <f t="shared" si="4"/>
        <v>179.79082880000001</v>
      </c>
      <c r="P77" s="11">
        <f t="shared" si="5"/>
        <v>0</v>
      </c>
    </row>
    <row r="78" spans="1:16" ht="15" customHeight="1">
      <c r="A78" s="44"/>
      <c r="B78" s="5">
        <f t="shared" si="14"/>
        <v>46023</v>
      </c>
      <c r="C78" s="218" t="s">
        <v>533</v>
      </c>
      <c r="D78" s="195">
        <v>7672</v>
      </c>
      <c r="E78" s="186"/>
      <c r="F78" s="2">
        <v>2028.47</v>
      </c>
      <c r="G78" s="3">
        <f t="shared" si="13"/>
        <v>1619.936142</v>
      </c>
      <c r="H78" s="187"/>
      <c r="I78" s="7">
        <v>0.12</v>
      </c>
      <c r="J78" s="7">
        <v>1.6500000000000001E-2</v>
      </c>
      <c r="K78" s="7">
        <v>7.5999999999999998E-2</v>
      </c>
      <c r="L78" s="7">
        <v>0</v>
      </c>
      <c r="M78" s="11">
        <f t="shared" si="2"/>
        <v>243.41639999999998</v>
      </c>
      <c r="N78" s="11">
        <f t="shared" si="3"/>
        <v>29.453384400000001</v>
      </c>
      <c r="O78" s="11">
        <f t="shared" si="4"/>
        <v>135.66407359999999</v>
      </c>
      <c r="P78" s="11">
        <f t="shared" si="5"/>
        <v>0</v>
      </c>
    </row>
    <row r="79" spans="1:16" ht="15" customHeight="1">
      <c r="A79" s="44"/>
      <c r="B79" s="5">
        <f t="shared" si="14"/>
        <v>46023</v>
      </c>
      <c r="C79" s="218" t="s">
        <v>533</v>
      </c>
      <c r="D79" s="195">
        <v>30861</v>
      </c>
      <c r="E79" s="186"/>
      <c r="F79" s="2">
        <v>152.62</v>
      </c>
      <c r="G79" s="3">
        <f t="shared" si="13"/>
        <v>128.80746450000001</v>
      </c>
      <c r="H79" s="187"/>
      <c r="I79" s="7">
        <v>7.0000000000000007E-2</v>
      </c>
      <c r="J79" s="7">
        <v>1.6500000000000001E-2</v>
      </c>
      <c r="K79" s="7">
        <v>7.5999999999999998E-2</v>
      </c>
      <c r="L79" s="7">
        <v>0</v>
      </c>
      <c r="M79" s="11">
        <f t="shared" si="2"/>
        <v>10.683400000000001</v>
      </c>
      <c r="N79" s="11">
        <f t="shared" si="3"/>
        <v>2.3419539</v>
      </c>
      <c r="O79" s="11">
        <f t="shared" si="4"/>
        <v>10.7871816</v>
      </c>
      <c r="P79" s="11">
        <f t="shared" si="5"/>
        <v>0</v>
      </c>
    </row>
    <row r="80" spans="1:16" ht="15" customHeight="1">
      <c r="A80" s="44"/>
      <c r="B80" s="5">
        <f t="shared" si="14"/>
        <v>46023</v>
      </c>
      <c r="C80" s="218" t="s">
        <v>533</v>
      </c>
      <c r="D80" s="195">
        <v>12859</v>
      </c>
      <c r="E80" s="186"/>
      <c r="F80" s="2">
        <v>2056.2399999999998</v>
      </c>
      <c r="G80" s="3">
        <f t="shared" si="13"/>
        <v>1642.1132639999998</v>
      </c>
      <c r="H80" s="187"/>
      <c r="I80" s="7">
        <v>0.12</v>
      </c>
      <c r="J80" s="7">
        <v>1.6500000000000001E-2</v>
      </c>
      <c r="K80" s="7">
        <v>7.5999999999999998E-2</v>
      </c>
      <c r="L80" s="7">
        <v>0</v>
      </c>
      <c r="M80" s="11">
        <f t="shared" si="2"/>
        <v>246.74879999999996</v>
      </c>
      <c r="N80" s="11">
        <f t="shared" si="3"/>
        <v>29.856604799999999</v>
      </c>
      <c r="O80" s="11">
        <f t="shared" si="4"/>
        <v>137.52133119999999</v>
      </c>
      <c r="P80" s="11">
        <f t="shared" si="5"/>
        <v>0</v>
      </c>
    </row>
    <row r="81" spans="1:16" ht="15" customHeight="1">
      <c r="A81" s="44"/>
      <c r="B81" s="5">
        <f t="shared" si="14"/>
        <v>46023</v>
      </c>
      <c r="C81" s="218" t="s">
        <v>533</v>
      </c>
      <c r="D81" s="195">
        <v>30862</v>
      </c>
      <c r="E81" s="186"/>
      <c r="F81" s="2">
        <v>115.14</v>
      </c>
      <c r="G81" s="3">
        <f t="shared" si="13"/>
        <v>97.175281499999997</v>
      </c>
      <c r="H81" s="187"/>
      <c r="I81" s="7">
        <v>7.0000000000000007E-2</v>
      </c>
      <c r="J81" s="7">
        <v>1.6500000000000001E-2</v>
      </c>
      <c r="K81" s="7">
        <v>7.5999999999999998E-2</v>
      </c>
      <c r="L81" s="7">
        <v>0</v>
      </c>
      <c r="M81" s="11">
        <f t="shared" si="2"/>
        <v>8.059800000000001</v>
      </c>
      <c r="N81" s="11">
        <f t="shared" si="3"/>
        <v>1.7668233000000002</v>
      </c>
      <c r="O81" s="11">
        <f t="shared" si="4"/>
        <v>8.1380952000000004</v>
      </c>
      <c r="P81" s="11">
        <f t="shared" si="5"/>
        <v>0</v>
      </c>
    </row>
    <row r="82" spans="1:16" ht="15" customHeight="1">
      <c r="A82" s="44"/>
      <c r="B82" s="5">
        <f t="shared" si="14"/>
        <v>46023</v>
      </c>
      <c r="C82" s="218" t="s">
        <v>533</v>
      </c>
      <c r="D82" s="195">
        <v>7673</v>
      </c>
      <c r="E82" s="186"/>
      <c r="F82" s="2">
        <v>5585.68</v>
      </c>
      <c r="G82" s="3">
        <f t="shared" si="13"/>
        <v>4460.724048</v>
      </c>
      <c r="H82" s="187"/>
      <c r="I82" s="7">
        <v>0.12</v>
      </c>
      <c r="J82" s="7">
        <v>1.6500000000000001E-2</v>
      </c>
      <c r="K82" s="7">
        <v>7.5999999999999998E-2</v>
      </c>
      <c r="L82" s="7">
        <v>0</v>
      </c>
      <c r="M82" s="11">
        <f t="shared" si="2"/>
        <v>670.28160000000003</v>
      </c>
      <c r="N82" s="11">
        <f t="shared" si="3"/>
        <v>81.104073600000007</v>
      </c>
      <c r="O82" s="11">
        <f t="shared" si="4"/>
        <v>373.57027840000001</v>
      </c>
      <c r="P82" s="11">
        <f t="shared" ref="P82:P182" si="16">L82*(F82)</f>
        <v>0</v>
      </c>
    </row>
    <row r="83" spans="1:16" ht="15" customHeight="1">
      <c r="A83" s="44"/>
      <c r="B83" s="5">
        <f t="shared" si="14"/>
        <v>46023</v>
      </c>
      <c r="C83" s="218" t="s">
        <v>533</v>
      </c>
      <c r="D83" s="195">
        <v>12860</v>
      </c>
      <c r="E83" s="186"/>
      <c r="F83" s="2">
        <v>1049.68</v>
      </c>
      <c r="G83" s="3">
        <f t="shared" si="13"/>
        <v>838.27444800000012</v>
      </c>
      <c r="H83" s="187"/>
      <c r="I83" s="7">
        <v>0.12</v>
      </c>
      <c r="J83" s="7">
        <v>1.6500000000000001E-2</v>
      </c>
      <c r="K83" s="7">
        <v>7.5999999999999998E-2</v>
      </c>
      <c r="L83" s="7">
        <v>0</v>
      </c>
      <c r="M83" s="11">
        <f t="shared" si="2"/>
        <v>125.9616</v>
      </c>
      <c r="N83" s="11">
        <f t="shared" si="3"/>
        <v>15.241353600000002</v>
      </c>
      <c r="O83" s="11">
        <f t="shared" si="4"/>
        <v>70.202598399999999</v>
      </c>
      <c r="P83" s="11">
        <f t="shared" si="16"/>
        <v>0</v>
      </c>
    </row>
    <row r="84" spans="1:16" ht="15" customHeight="1">
      <c r="A84" s="44"/>
      <c r="B84" s="5">
        <f t="shared" si="14"/>
        <v>46023</v>
      </c>
      <c r="C84" s="218" t="s">
        <v>533</v>
      </c>
      <c r="D84" s="195">
        <v>12864</v>
      </c>
      <c r="E84" s="186"/>
      <c r="F84" s="2">
        <v>4516.83</v>
      </c>
      <c r="G84" s="3">
        <f t="shared" si="13"/>
        <v>3607.1404379999999</v>
      </c>
      <c r="H84" s="187"/>
      <c r="I84" s="7">
        <v>0.12</v>
      </c>
      <c r="J84" s="7">
        <v>1.6500000000000001E-2</v>
      </c>
      <c r="K84" s="7">
        <v>7.5999999999999998E-2</v>
      </c>
      <c r="L84" s="7">
        <v>0</v>
      </c>
      <c r="M84" s="11">
        <f t="shared" si="2"/>
        <v>542.01959999999997</v>
      </c>
      <c r="N84" s="11">
        <f t="shared" si="3"/>
        <v>65.584371599999997</v>
      </c>
      <c r="O84" s="11">
        <f t="shared" si="4"/>
        <v>302.0855904</v>
      </c>
      <c r="P84" s="11">
        <f t="shared" si="16"/>
        <v>0</v>
      </c>
    </row>
    <row r="85" spans="1:16" ht="15" customHeight="1">
      <c r="A85" s="44"/>
      <c r="B85" s="5">
        <f t="shared" si="14"/>
        <v>46023</v>
      </c>
      <c r="C85" s="218" t="s">
        <v>533</v>
      </c>
      <c r="D85" s="195">
        <v>30869</v>
      </c>
      <c r="E85" s="186"/>
      <c r="F85" s="2">
        <v>317.10000000000002</v>
      </c>
      <c r="G85" s="3">
        <f t="shared" si="13"/>
        <v>267.62447250000002</v>
      </c>
      <c r="H85" s="187"/>
      <c r="I85" s="7">
        <v>7.0000000000000007E-2</v>
      </c>
      <c r="J85" s="7">
        <v>1.6500000000000001E-2</v>
      </c>
      <c r="K85" s="7">
        <v>7.5999999999999998E-2</v>
      </c>
      <c r="L85" s="7">
        <v>0</v>
      </c>
      <c r="M85" s="11">
        <f t="shared" si="2"/>
        <v>22.197000000000003</v>
      </c>
      <c r="N85" s="11">
        <f t="shared" si="3"/>
        <v>4.8658995000000003</v>
      </c>
      <c r="O85" s="11">
        <f t="shared" si="4"/>
        <v>22.412628000000002</v>
      </c>
      <c r="P85" s="11">
        <f t="shared" si="16"/>
        <v>0</v>
      </c>
    </row>
    <row r="86" spans="1:16" ht="15" customHeight="1">
      <c r="A86" s="44"/>
      <c r="B86" s="5">
        <f t="shared" si="14"/>
        <v>46023</v>
      </c>
      <c r="C86" s="218" t="s">
        <v>533</v>
      </c>
      <c r="D86" s="195">
        <v>7674</v>
      </c>
      <c r="E86" s="186"/>
      <c r="F86" s="2">
        <v>1371.07</v>
      </c>
      <c r="G86" s="3">
        <f t="shared" si="13"/>
        <v>1094.936502</v>
      </c>
      <c r="H86" s="187"/>
      <c r="I86" s="7">
        <v>0.12</v>
      </c>
      <c r="J86" s="7">
        <v>1.6500000000000001E-2</v>
      </c>
      <c r="K86" s="7">
        <v>7.5999999999999998E-2</v>
      </c>
      <c r="L86" s="7">
        <v>0</v>
      </c>
      <c r="M86" s="11">
        <f t="shared" si="2"/>
        <v>164.52839999999998</v>
      </c>
      <c r="N86" s="11">
        <f t="shared" si="3"/>
        <v>19.907936400000001</v>
      </c>
      <c r="O86" s="11">
        <f t="shared" si="4"/>
        <v>91.697161600000001</v>
      </c>
      <c r="P86" s="11">
        <f t="shared" si="16"/>
        <v>0</v>
      </c>
    </row>
    <row r="87" spans="1:16" ht="15" customHeight="1">
      <c r="A87" s="44"/>
      <c r="B87" s="5">
        <f t="shared" si="14"/>
        <v>46023</v>
      </c>
      <c r="C87" s="218" t="s">
        <v>533</v>
      </c>
      <c r="D87" s="195">
        <v>7675</v>
      </c>
      <c r="E87" s="186"/>
      <c r="F87" s="2">
        <v>5904.66</v>
      </c>
      <c r="G87" s="3">
        <f t="shared" si="13"/>
        <v>4715.4614760000004</v>
      </c>
      <c r="H87" s="187"/>
      <c r="I87" s="7">
        <v>0.12</v>
      </c>
      <c r="J87" s="7">
        <v>1.6500000000000001E-2</v>
      </c>
      <c r="K87" s="7">
        <v>7.5999999999999998E-2</v>
      </c>
      <c r="L87" s="7">
        <v>0</v>
      </c>
      <c r="M87" s="11">
        <f t="shared" si="2"/>
        <v>708.55919999999992</v>
      </c>
      <c r="N87" s="11">
        <f t="shared" si="3"/>
        <v>85.735663200000005</v>
      </c>
      <c r="O87" s="11">
        <f t="shared" si="4"/>
        <v>394.90366080000001</v>
      </c>
      <c r="P87" s="11">
        <f t="shared" si="16"/>
        <v>0</v>
      </c>
    </row>
    <row r="88" spans="1:16" ht="15" customHeight="1">
      <c r="A88" s="44"/>
      <c r="B88" s="5">
        <f t="shared" si="14"/>
        <v>46023</v>
      </c>
      <c r="C88" s="218" t="s">
        <v>533</v>
      </c>
      <c r="D88" s="195">
        <v>7676</v>
      </c>
      <c r="E88" s="186"/>
      <c r="F88" s="2">
        <v>9661.98</v>
      </c>
      <c r="G88" s="3">
        <f t="shared" si="13"/>
        <v>7716.0572279999997</v>
      </c>
      <c r="H88" s="187"/>
      <c r="I88" s="7">
        <v>0.12</v>
      </c>
      <c r="J88" s="7">
        <v>1.6500000000000001E-2</v>
      </c>
      <c r="K88" s="7">
        <v>7.5999999999999998E-2</v>
      </c>
      <c r="L88" s="7">
        <v>0</v>
      </c>
      <c r="M88" s="11">
        <f t="shared" si="2"/>
        <v>1159.4376</v>
      </c>
      <c r="N88" s="11">
        <f t="shared" si="3"/>
        <v>140.29194960000001</v>
      </c>
      <c r="O88" s="11">
        <f t="shared" si="4"/>
        <v>646.19322239999997</v>
      </c>
      <c r="P88" s="11">
        <f t="shared" si="16"/>
        <v>0</v>
      </c>
    </row>
    <row r="89" spans="1:16" ht="15" customHeight="1">
      <c r="A89" s="44"/>
      <c r="B89" s="5">
        <f t="shared" si="14"/>
        <v>46023</v>
      </c>
      <c r="C89" s="218" t="s">
        <v>533</v>
      </c>
      <c r="D89" s="195">
        <v>12865</v>
      </c>
      <c r="E89" s="186"/>
      <c r="F89" s="2">
        <v>7563.72</v>
      </c>
      <c r="G89" s="3">
        <f t="shared" si="13"/>
        <v>6040.3867920000002</v>
      </c>
      <c r="H89" s="187"/>
      <c r="I89" s="7">
        <v>0.12</v>
      </c>
      <c r="J89" s="7">
        <v>1.6500000000000001E-2</v>
      </c>
      <c r="K89" s="7">
        <v>7.5999999999999998E-2</v>
      </c>
      <c r="L89" s="7">
        <v>0</v>
      </c>
      <c r="M89" s="11">
        <f t="shared" si="2"/>
        <v>907.64639999999997</v>
      </c>
      <c r="N89" s="11">
        <f t="shared" si="3"/>
        <v>109.82521440000002</v>
      </c>
      <c r="O89" s="11">
        <f t="shared" si="4"/>
        <v>505.86159360000005</v>
      </c>
      <c r="P89" s="11">
        <f t="shared" si="16"/>
        <v>0</v>
      </c>
    </row>
    <row r="90" spans="1:16" ht="15" customHeight="1">
      <c r="A90" s="44"/>
      <c r="B90" s="5">
        <f t="shared" si="14"/>
        <v>46023</v>
      </c>
      <c r="C90" s="218" t="s">
        <v>533</v>
      </c>
      <c r="D90" s="195">
        <v>30870</v>
      </c>
      <c r="E90" s="186"/>
      <c r="F90" s="2">
        <v>558.94000000000005</v>
      </c>
      <c r="G90" s="3">
        <f t="shared" si="13"/>
        <v>471.73138650000004</v>
      </c>
      <c r="H90" s="187"/>
      <c r="I90" s="7">
        <v>7.0000000000000007E-2</v>
      </c>
      <c r="J90" s="7">
        <v>1.6500000000000001E-2</v>
      </c>
      <c r="K90" s="7">
        <v>7.5999999999999998E-2</v>
      </c>
      <c r="L90" s="7">
        <v>0</v>
      </c>
      <c r="M90" s="11">
        <f t="shared" si="2"/>
        <v>39.125800000000005</v>
      </c>
      <c r="N90" s="11">
        <f t="shared" si="3"/>
        <v>8.5769343000000013</v>
      </c>
      <c r="O90" s="11">
        <f t="shared" si="4"/>
        <v>39.505879200000003</v>
      </c>
      <c r="P90" s="11">
        <f t="shared" si="16"/>
        <v>0</v>
      </c>
    </row>
    <row r="91" spans="1:16" ht="15" customHeight="1">
      <c r="A91" s="44"/>
      <c r="B91" s="5">
        <f t="shared" si="14"/>
        <v>46023</v>
      </c>
      <c r="C91" s="218" t="s">
        <v>533</v>
      </c>
      <c r="D91" s="195">
        <v>30871</v>
      </c>
      <c r="E91" s="186"/>
      <c r="F91" s="2">
        <v>335.24</v>
      </c>
      <c r="G91" s="3">
        <f t="shared" si="13"/>
        <v>282.93417899999997</v>
      </c>
      <c r="H91" s="187"/>
      <c r="I91" s="7">
        <v>7.0000000000000007E-2</v>
      </c>
      <c r="J91" s="7">
        <v>1.6500000000000001E-2</v>
      </c>
      <c r="K91" s="7">
        <v>7.5999999999999998E-2</v>
      </c>
      <c r="L91" s="7">
        <v>0</v>
      </c>
      <c r="M91" s="11">
        <f t="shared" si="2"/>
        <v>23.466800000000003</v>
      </c>
      <c r="N91" s="11">
        <f t="shared" si="3"/>
        <v>5.144257800000001</v>
      </c>
      <c r="O91" s="11">
        <f t="shared" si="4"/>
        <v>23.694763200000001</v>
      </c>
      <c r="P91" s="11">
        <f t="shared" si="16"/>
        <v>0</v>
      </c>
    </row>
    <row r="92" spans="1:16" ht="15" customHeight="1">
      <c r="A92" s="44"/>
      <c r="B92" s="5">
        <f t="shared" si="14"/>
        <v>46023</v>
      </c>
      <c r="C92" s="218" t="s">
        <v>533</v>
      </c>
      <c r="D92" s="195">
        <v>12867</v>
      </c>
      <c r="E92" s="186"/>
      <c r="F92" s="2">
        <v>4251.51</v>
      </c>
      <c r="G92" s="3">
        <f t="shared" si="13"/>
        <v>3395.2558860000004</v>
      </c>
      <c r="H92" s="187"/>
      <c r="I92" s="7">
        <v>0.12</v>
      </c>
      <c r="J92" s="7">
        <v>1.6500000000000001E-2</v>
      </c>
      <c r="K92" s="7">
        <v>7.5999999999999998E-2</v>
      </c>
      <c r="L92" s="7">
        <v>0</v>
      </c>
      <c r="M92" s="11">
        <f t="shared" si="2"/>
        <v>510.18119999999999</v>
      </c>
      <c r="N92" s="11">
        <f t="shared" si="3"/>
        <v>61.731925200000006</v>
      </c>
      <c r="O92" s="11">
        <f t="shared" si="4"/>
        <v>284.34098879999999</v>
      </c>
      <c r="P92" s="11">
        <f t="shared" si="16"/>
        <v>0</v>
      </c>
    </row>
    <row r="93" spans="1:16" ht="15" customHeight="1">
      <c r="A93" s="44"/>
      <c r="B93" s="5">
        <f t="shared" si="14"/>
        <v>46023</v>
      </c>
      <c r="C93" s="218" t="s">
        <v>533</v>
      </c>
      <c r="D93" s="195">
        <v>7677</v>
      </c>
      <c r="E93" s="186"/>
      <c r="F93" s="2">
        <v>269.33999999999997</v>
      </c>
      <c r="G93" s="3">
        <f t="shared" si="13"/>
        <v>215.09492399999999</v>
      </c>
      <c r="H93" s="187"/>
      <c r="I93" s="7">
        <v>0.12</v>
      </c>
      <c r="J93" s="7">
        <v>1.6500000000000001E-2</v>
      </c>
      <c r="K93" s="7">
        <v>7.5999999999999998E-2</v>
      </c>
      <c r="L93" s="7">
        <v>0</v>
      </c>
      <c r="M93" s="11">
        <f t="shared" si="2"/>
        <v>32.320799999999998</v>
      </c>
      <c r="N93" s="11">
        <f t="shared" si="3"/>
        <v>3.9108168000000001</v>
      </c>
      <c r="O93" s="11">
        <f t="shared" si="4"/>
        <v>18.0134592</v>
      </c>
      <c r="P93" s="11">
        <f t="shared" si="16"/>
        <v>0</v>
      </c>
    </row>
    <row r="94" spans="1:16" ht="15" customHeight="1">
      <c r="A94" s="44"/>
      <c r="B94" s="5">
        <f t="shared" si="14"/>
        <v>46023</v>
      </c>
      <c r="C94" s="218" t="s">
        <v>533</v>
      </c>
      <c r="D94" s="195">
        <v>12868</v>
      </c>
      <c r="E94" s="186"/>
      <c r="F94" s="2">
        <v>214.65</v>
      </c>
      <c r="G94" s="3">
        <f t="shared" si="13"/>
        <v>171.41949</v>
      </c>
      <c r="H94" s="187"/>
      <c r="I94" s="7">
        <v>0.12</v>
      </c>
      <c r="J94" s="7">
        <v>1.6500000000000001E-2</v>
      </c>
      <c r="K94" s="7">
        <v>7.5999999999999998E-2</v>
      </c>
      <c r="L94" s="7">
        <v>0</v>
      </c>
      <c r="M94" s="11">
        <f t="shared" si="2"/>
        <v>25.757999999999999</v>
      </c>
      <c r="N94" s="11">
        <f t="shared" si="3"/>
        <v>3.1167180000000001</v>
      </c>
      <c r="O94" s="11">
        <f t="shared" si="4"/>
        <v>14.355791999999999</v>
      </c>
      <c r="P94" s="11">
        <f t="shared" si="16"/>
        <v>0</v>
      </c>
    </row>
    <row r="95" spans="1:16" ht="15" customHeight="1">
      <c r="A95" s="44"/>
      <c r="B95" s="5">
        <f t="shared" si="14"/>
        <v>46023</v>
      </c>
      <c r="C95" s="218" t="s">
        <v>533</v>
      </c>
      <c r="D95" s="195">
        <v>7679</v>
      </c>
      <c r="E95" s="186"/>
      <c r="F95" s="2">
        <v>248.42</v>
      </c>
      <c r="G95" s="3">
        <f t="shared" si="13"/>
        <v>198.38821199999998</v>
      </c>
      <c r="H95" s="187"/>
      <c r="I95" s="7">
        <v>0.12</v>
      </c>
      <c r="J95" s="7">
        <v>1.6500000000000001E-2</v>
      </c>
      <c r="K95" s="7">
        <v>7.5999999999999998E-2</v>
      </c>
      <c r="L95" s="7">
        <v>0</v>
      </c>
      <c r="M95" s="11">
        <f t="shared" si="2"/>
        <v>29.810399999999998</v>
      </c>
      <c r="N95" s="11">
        <f t="shared" si="3"/>
        <v>3.6070584000000001</v>
      </c>
      <c r="O95" s="11">
        <f t="shared" si="4"/>
        <v>16.614329600000001</v>
      </c>
      <c r="P95" s="11">
        <f t="shared" si="16"/>
        <v>0</v>
      </c>
    </row>
    <row r="96" spans="1:16" ht="15" customHeight="1">
      <c r="A96" s="44"/>
      <c r="B96" s="5">
        <f t="shared" si="14"/>
        <v>46023</v>
      </c>
      <c r="C96" s="218" t="s">
        <v>533</v>
      </c>
      <c r="D96" s="195">
        <v>30877</v>
      </c>
      <c r="E96" s="186"/>
      <c r="F96" s="2">
        <v>18.739999999999998</v>
      </c>
      <c r="G96" s="3">
        <f t="shared" si="13"/>
        <v>15.816091499999999</v>
      </c>
      <c r="H96" s="187"/>
      <c r="I96" s="7">
        <v>7.0000000000000007E-2</v>
      </c>
      <c r="J96" s="7">
        <v>1.6500000000000001E-2</v>
      </c>
      <c r="K96" s="7">
        <v>7.5999999999999998E-2</v>
      </c>
      <c r="L96" s="7">
        <v>0</v>
      </c>
      <c r="M96" s="11">
        <f t="shared" si="2"/>
        <v>1.3118000000000001</v>
      </c>
      <c r="N96" s="11">
        <f t="shared" si="3"/>
        <v>0.28756529999999997</v>
      </c>
      <c r="O96" s="11">
        <f t="shared" si="4"/>
        <v>1.3245431999999997</v>
      </c>
      <c r="P96" s="11">
        <f t="shared" si="16"/>
        <v>0</v>
      </c>
    </row>
    <row r="97" spans="1:16" ht="15" customHeight="1">
      <c r="A97" s="44"/>
      <c r="B97" s="5">
        <f t="shared" si="14"/>
        <v>46023</v>
      </c>
      <c r="C97" s="218" t="s">
        <v>533</v>
      </c>
      <c r="D97" s="195">
        <v>12869</v>
      </c>
      <c r="E97" s="186"/>
      <c r="F97" s="2">
        <v>58.52</v>
      </c>
      <c r="G97" s="3">
        <f t="shared" si="13"/>
        <v>46.734072000000005</v>
      </c>
      <c r="H97" s="187"/>
      <c r="I97" s="7">
        <v>0.12</v>
      </c>
      <c r="J97" s="7">
        <v>1.6500000000000001E-2</v>
      </c>
      <c r="K97" s="7">
        <v>7.5999999999999998E-2</v>
      </c>
      <c r="L97" s="7">
        <v>0</v>
      </c>
      <c r="M97" s="11">
        <f t="shared" si="2"/>
        <v>7.0224000000000002</v>
      </c>
      <c r="N97" s="11">
        <f t="shared" si="3"/>
        <v>0.84971040000000009</v>
      </c>
      <c r="O97" s="11">
        <f t="shared" si="4"/>
        <v>3.9138176000000002</v>
      </c>
      <c r="P97" s="11">
        <f t="shared" si="16"/>
        <v>0</v>
      </c>
    </row>
    <row r="98" spans="1:16" ht="15" customHeight="1">
      <c r="A98" s="44"/>
      <c r="B98" s="5">
        <f t="shared" si="14"/>
        <v>46023</v>
      </c>
      <c r="C98" s="218" t="s">
        <v>533</v>
      </c>
      <c r="D98" s="195">
        <v>7678</v>
      </c>
      <c r="E98" s="186"/>
      <c r="F98" s="2">
        <v>69.760000000000005</v>
      </c>
      <c r="G98" s="3">
        <f t="shared" si="13"/>
        <v>55.710336000000005</v>
      </c>
      <c r="H98" s="187"/>
      <c r="I98" s="7">
        <v>0.12</v>
      </c>
      <c r="J98" s="7">
        <v>1.6500000000000001E-2</v>
      </c>
      <c r="K98" s="7">
        <v>7.5999999999999998E-2</v>
      </c>
      <c r="L98" s="7">
        <v>0</v>
      </c>
      <c r="M98" s="11">
        <f t="shared" si="2"/>
        <v>8.3712</v>
      </c>
      <c r="N98" s="11">
        <f t="shared" si="3"/>
        <v>1.0129152000000001</v>
      </c>
      <c r="O98" s="11">
        <f t="shared" si="4"/>
        <v>4.6655487999999998</v>
      </c>
      <c r="P98" s="11">
        <f t="shared" si="16"/>
        <v>0</v>
      </c>
    </row>
    <row r="99" spans="1:16" ht="15" customHeight="1">
      <c r="A99" s="44"/>
      <c r="B99" s="5">
        <f t="shared" si="14"/>
        <v>46023</v>
      </c>
      <c r="C99" s="218" t="s">
        <v>533</v>
      </c>
      <c r="D99" s="195">
        <v>30878</v>
      </c>
      <c r="E99" s="186"/>
      <c r="F99" s="2">
        <v>5.13</v>
      </c>
      <c r="G99" s="3">
        <f t="shared" si="13"/>
        <v>4.3295917499999996</v>
      </c>
      <c r="H99" s="187"/>
      <c r="I99" s="7">
        <v>7.0000000000000007E-2</v>
      </c>
      <c r="J99" s="7">
        <v>1.6500000000000001E-2</v>
      </c>
      <c r="K99" s="7">
        <v>7.5999999999999998E-2</v>
      </c>
      <c r="L99" s="7">
        <v>0</v>
      </c>
      <c r="M99" s="11">
        <f t="shared" si="2"/>
        <v>0.35910000000000003</v>
      </c>
      <c r="N99" s="11">
        <f t="shared" si="3"/>
        <v>7.8719850000000008E-2</v>
      </c>
      <c r="O99" s="11">
        <f t="shared" si="4"/>
        <v>0.36258839999999998</v>
      </c>
      <c r="P99" s="11">
        <f t="shared" si="16"/>
        <v>0</v>
      </c>
    </row>
    <row r="100" spans="1:16" ht="15" customHeight="1">
      <c r="A100" s="44"/>
      <c r="B100" s="5">
        <f t="shared" si="14"/>
        <v>46023</v>
      </c>
      <c r="C100" s="218" t="s">
        <v>533</v>
      </c>
      <c r="D100" s="195">
        <v>12870</v>
      </c>
      <c r="E100" s="186"/>
      <c r="F100" s="2">
        <v>38.14</v>
      </c>
      <c r="G100" s="3">
        <f t="shared" si="13"/>
        <v>30.458604000000001</v>
      </c>
      <c r="H100" s="187"/>
      <c r="I100" s="7">
        <v>0.12</v>
      </c>
      <c r="J100" s="7">
        <v>1.6500000000000001E-2</v>
      </c>
      <c r="K100" s="7">
        <v>7.5999999999999998E-2</v>
      </c>
      <c r="L100" s="7">
        <v>0</v>
      </c>
      <c r="M100" s="11">
        <f t="shared" si="2"/>
        <v>4.5767999999999995</v>
      </c>
      <c r="N100" s="11">
        <f t="shared" si="3"/>
        <v>0.55379280000000008</v>
      </c>
      <c r="O100" s="11">
        <f t="shared" si="4"/>
        <v>2.5508032000000003</v>
      </c>
      <c r="P100" s="11">
        <f t="shared" si="16"/>
        <v>0</v>
      </c>
    </row>
    <row r="101" spans="1:16" ht="15" customHeight="1">
      <c r="A101" s="44"/>
      <c r="B101" s="5">
        <f t="shared" si="14"/>
        <v>46023</v>
      </c>
      <c r="C101" s="218" t="s">
        <v>533</v>
      </c>
      <c r="D101" s="195">
        <v>7680</v>
      </c>
      <c r="E101" s="186"/>
      <c r="F101" s="2">
        <v>45.44</v>
      </c>
      <c r="G101" s="3">
        <f t="shared" si="13"/>
        <v>36.288383999999994</v>
      </c>
      <c r="H101" s="187"/>
      <c r="I101" s="7">
        <v>0.12</v>
      </c>
      <c r="J101" s="7">
        <v>1.6500000000000001E-2</v>
      </c>
      <c r="K101" s="7">
        <v>7.5999999999999998E-2</v>
      </c>
      <c r="L101" s="7">
        <v>0</v>
      </c>
      <c r="M101" s="11">
        <f t="shared" si="2"/>
        <v>5.4527999999999999</v>
      </c>
      <c r="N101" s="11">
        <f t="shared" si="3"/>
        <v>0.65978880000000006</v>
      </c>
      <c r="O101" s="11">
        <f t="shared" si="4"/>
        <v>3.0390272</v>
      </c>
      <c r="P101" s="11">
        <f t="shared" si="16"/>
        <v>0</v>
      </c>
    </row>
    <row r="102" spans="1:16" ht="15" customHeight="1">
      <c r="A102" s="44"/>
      <c r="B102" s="5">
        <f t="shared" si="14"/>
        <v>46023</v>
      </c>
      <c r="C102" s="218" t="s">
        <v>533</v>
      </c>
      <c r="D102" s="195">
        <v>30886</v>
      </c>
      <c r="E102" s="186"/>
      <c r="F102" s="2">
        <v>3.34</v>
      </c>
      <c r="G102" s="3">
        <f t="shared" si="13"/>
        <v>2.8188765</v>
      </c>
      <c r="H102" s="187"/>
      <c r="I102" s="7">
        <v>7.0000000000000007E-2</v>
      </c>
      <c r="J102" s="7">
        <v>1.6500000000000001E-2</v>
      </c>
      <c r="K102" s="7">
        <v>7.5999999999999998E-2</v>
      </c>
      <c r="L102" s="7">
        <v>0</v>
      </c>
      <c r="M102" s="11">
        <f t="shared" si="2"/>
        <v>0.23380000000000001</v>
      </c>
      <c r="N102" s="11">
        <f t="shared" si="3"/>
        <v>5.1252300000000001E-2</v>
      </c>
      <c r="O102" s="11">
        <f t="shared" si="4"/>
        <v>0.23607119999999998</v>
      </c>
      <c r="P102" s="11">
        <f t="shared" si="16"/>
        <v>0</v>
      </c>
    </row>
    <row r="103" spans="1:16" ht="15" customHeight="1">
      <c r="A103" s="44"/>
      <c r="B103" s="5">
        <f t="shared" si="14"/>
        <v>46023</v>
      </c>
      <c r="C103" s="218" t="s">
        <v>533</v>
      </c>
      <c r="D103" s="195">
        <v>12871</v>
      </c>
      <c r="E103" s="186"/>
      <c r="F103" s="2">
        <v>226.31</v>
      </c>
      <c r="G103" s="3">
        <f t="shared" si="13"/>
        <v>180.731166</v>
      </c>
      <c r="H103" s="187"/>
      <c r="I103" s="7">
        <v>0.12</v>
      </c>
      <c r="J103" s="7">
        <v>1.6500000000000001E-2</v>
      </c>
      <c r="K103" s="7">
        <v>7.5999999999999998E-2</v>
      </c>
      <c r="L103" s="7">
        <v>0</v>
      </c>
      <c r="M103" s="11">
        <f t="shared" si="2"/>
        <v>27.1572</v>
      </c>
      <c r="N103" s="11">
        <f t="shared" si="3"/>
        <v>3.2860212000000004</v>
      </c>
      <c r="O103" s="11">
        <f t="shared" si="4"/>
        <v>15.135612800000001</v>
      </c>
      <c r="P103" s="11">
        <f t="shared" si="16"/>
        <v>0</v>
      </c>
    </row>
    <row r="104" spans="1:16" ht="15" customHeight="1">
      <c r="A104" s="44"/>
      <c r="B104" s="5">
        <f t="shared" si="14"/>
        <v>46023</v>
      </c>
      <c r="C104" s="218" t="s">
        <v>533</v>
      </c>
      <c r="D104" s="195">
        <v>30887</v>
      </c>
      <c r="E104" s="186"/>
      <c r="F104" s="2">
        <v>19.91</v>
      </c>
      <c r="G104" s="3">
        <f t="shared" si="13"/>
        <v>16.80354225</v>
      </c>
      <c r="H104" s="187"/>
      <c r="I104" s="7">
        <v>7.0000000000000007E-2</v>
      </c>
      <c r="J104" s="7">
        <v>1.6500000000000001E-2</v>
      </c>
      <c r="K104" s="7">
        <v>7.5999999999999998E-2</v>
      </c>
      <c r="L104" s="7">
        <v>0</v>
      </c>
      <c r="M104" s="11">
        <f t="shared" si="2"/>
        <v>1.3937000000000002</v>
      </c>
      <c r="N104" s="11">
        <f t="shared" si="3"/>
        <v>0.30551895000000001</v>
      </c>
      <c r="O104" s="11">
        <f t="shared" si="4"/>
        <v>1.4072388</v>
      </c>
      <c r="P104" s="11">
        <f t="shared" si="16"/>
        <v>0</v>
      </c>
    </row>
    <row r="105" spans="1:16" ht="15" customHeight="1">
      <c r="A105" s="44"/>
      <c r="B105" s="5">
        <f t="shared" si="14"/>
        <v>46023</v>
      </c>
      <c r="C105" s="218" t="s">
        <v>533</v>
      </c>
      <c r="D105" s="195">
        <v>12872</v>
      </c>
      <c r="E105" s="186"/>
      <c r="F105" s="2">
        <v>69.75</v>
      </c>
      <c r="G105" s="3">
        <f t="shared" si="13"/>
        <v>55.702350000000003</v>
      </c>
      <c r="H105" s="187"/>
      <c r="I105" s="7">
        <v>0.12</v>
      </c>
      <c r="J105" s="7">
        <v>1.6500000000000001E-2</v>
      </c>
      <c r="K105" s="7">
        <v>7.5999999999999998E-2</v>
      </c>
      <c r="L105" s="7">
        <v>0</v>
      </c>
      <c r="M105" s="11">
        <f t="shared" si="2"/>
        <v>8.3699999999999992</v>
      </c>
      <c r="N105" s="11">
        <f t="shared" si="3"/>
        <v>1.0127700000000002</v>
      </c>
      <c r="O105" s="11">
        <f t="shared" si="4"/>
        <v>4.6648800000000001</v>
      </c>
      <c r="P105" s="11">
        <f t="shared" si="16"/>
        <v>0</v>
      </c>
    </row>
    <row r="106" spans="1:16" ht="15" customHeight="1">
      <c r="A106" s="44"/>
      <c r="B106" s="5">
        <f t="shared" si="14"/>
        <v>46023</v>
      </c>
      <c r="C106" s="218" t="s">
        <v>533</v>
      </c>
      <c r="D106" s="195">
        <v>7681</v>
      </c>
      <c r="E106" s="186"/>
      <c r="F106" s="2">
        <v>83.12</v>
      </c>
      <c r="G106" s="3">
        <f t="shared" si="13"/>
        <v>66.379632000000001</v>
      </c>
      <c r="H106" s="187"/>
      <c r="I106" s="7">
        <v>0.12</v>
      </c>
      <c r="J106" s="7">
        <v>1.6500000000000001E-2</v>
      </c>
      <c r="K106" s="7">
        <v>7.5999999999999998E-2</v>
      </c>
      <c r="L106" s="7">
        <v>0</v>
      </c>
      <c r="M106" s="11">
        <f t="shared" si="2"/>
        <v>9.974400000000001</v>
      </c>
      <c r="N106" s="11">
        <f t="shared" si="3"/>
        <v>1.2069024000000002</v>
      </c>
      <c r="O106" s="11">
        <f t="shared" si="4"/>
        <v>5.5590656000000003</v>
      </c>
      <c r="P106" s="11">
        <f t="shared" si="16"/>
        <v>0</v>
      </c>
    </row>
    <row r="107" spans="1:16" ht="15" customHeight="1">
      <c r="A107" s="44"/>
      <c r="B107" s="5">
        <f t="shared" si="14"/>
        <v>46023</v>
      </c>
      <c r="C107" s="218" t="s">
        <v>533</v>
      </c>
      <c r="D107" s="195">
        <v>30898</v>
      </c>
      <c r="E107" s="186"/>
      <c r="F107" s="2">
        <v>6.1</v>
      </c>
      <c r="G107" s="3">
        <f t="shared" si="13"/>
        <v>5.1482475000000001</v>
      </c>
      <c r="H107" s="187"/>
      <c r="I107" s="7">
        <v>7.0000000000000007E-2</v>
      </c>
      <c r="J107" s="7">
        <v>1.6500000000000001E-2</v>
      </c>
      <c r="K107" s="7">
        <v>7.5999999999999998E-2</v>
      </c>
      <c r="L107" s="7">
        <v>0</v>
      </c>
      <c r="M107" s="11">
        <f t="shared" si="2"/>
        <v>0.42699999999999999</v>
      </c>
      <c r="N107" s="11">
        <f t="shared" si="3"/>
        <v>9.3604500000000007E-2</v>
      </c>
      <c r="O107" s="11">
        <f t="shared" si="4"/>
        <v>0.43114799999999998</v>
      </c>
      <c r="P107" s="11">
        <f t="shared" si="16"/>
        <v>0</v>
      </c>
    </row>
    <row r="108" spans="1:16" ht="15" customHeight="1">
      <c r="A108" s="44"/>
      <c r="B108" s="5">
        <f t="shared" si="14"/>
        <v>46023</v>
      </c>
      <c r="C108" s="218" t="s">
        <v>533</v>
      </c>
      <c r="D108" s="195">
        <v>12873</v>
      </c>
      <c r="E108" s="186"/>
      <c r="F108" s="2">
        <v>174.88</v>
      </c>
      <c r="G108" s="3">
        <f t="shared" si="13"/>
        <v>139.65916799999999</v>
      </c>
      <c r="H108" s="187"/>
      <c r="I108" s="7">
        <v>0.12</v>
      </c>
      <c r="J108" s="7">
        <v>1.6500000000000001E-2</v>
      </c>
      <c r="K108" s="7">
        <v>7.5999999999999998E-2</v>
      </c>
      <c r="L108" s="7">
        <v>0</v>
      </c>
      <c r="M108" s="11">
        <f t="shared" si="2"/>
        <v>20.985599999999998</v>
      </c>
      <c r="N108" s="11">
        <f t="shared" si="3"/>
        <v>2.5392576</v>
      </c>
      <c r="O108" s="11">
        <f t="shared" si="4"/>
        <v>11.695974399999999</v>
      </c>
      <c r="P108" s="11">
        <f t="shared" si="16"/>
        <v>0</v>
      </c>
    </row>
    <row r="109" spans="1:16" ht="15" customHeight="1">
      <c r="A109" s="44"/>
      <c r="B109" s="5">
        <f t="shared" si="14"/>
        <v>46023</v>
      </c>
      <c r="C109" s="218" t="s">
        <v>533</v>
      </c>
      <c r="D109" s="195">
        <v>7682</v>
      </c>
      <c r="E109" s="186"/>
      <c r="F109" s="2">
        <v>208.3</v>
      </c>
      <c r="G109" s="3">
        <f t="shared" si="13"/>
        <v>166.34838000000002</v>
      </c>
      <c r="H109" s="187"/>
      <c r="I109" s="7">
        <v>0.12</v>
      </c>
      <c r="J109" s="7">
        <v>1.6500000000000001E-2</v>
      </c>
      <c r="K109" s="7">
        <v>7.5999999999999998E-2</v>
      </c>
      <c r="L109" s="7">
        <v>0</v>
      </c>
      <c r="M109" s="11">
        <f t="shared" si="2"/>
        <v>24.995999999999999</v>
      </c>
      <c r="N109" s="11">
        <f t="shared" si="3"/>
        <v>3.0245160000000002</v>
      </c>
      <c r="O109" s="11">
        <f t="shared" si="4"/>
        <v>13.931103999999999</v>
      </c>
      <c r="P109" s="11">
        <f t="shared" si="16"/>
        <v>0</v>
      </c>
    </row>
    <row r="110" spans="1:16" ht="15" customHeight="1">
      <c r="A110" s="44"/>
      <c r="B110" s="5">
        <f t="shared" si="14"/>
        <v>46023</v>
      </c>
      <c r="C110" s="218" t="s">
        <v>533</v>
      </c>
      <c r="D110" s="195">
        <v>30899</v>
      </c>
      <c r="E110" s="186"/>
      <c r="F110" s="2">
        <v>15.34</v>
      </c>
      <c r="G110" s="3">
        <f t="shared" si="13"/>
        <v>12.946576499999999</v>
      </c>
      <c r="H110" s="187"/>
      <c r="I110" s="7">
        <v>7.0000000000000007E-2</v>
      </c>
      <c r="J110" s="7">
        <v>1.6500000000000001E-2</v>
      </c>
      <c r="K110" s="7">
        <v>7.5999999999999998E-2</v>
      </c>
      <c r="L110" s="7">
        <v>0</v>
      </c>
      <c r="M110" s="11">
        <f t="shared" si="2"/>
        <v>1.0738000000000001</v>
      </c>
      <c r="N110" s="11">
        <f t="shared" si="3"/>
        <v>0.2353923</v>
      </c>
      <c r="O110" s="11">
        <f t="shared" si="4"/>
        <v>1.0842311999999998</v>
      </c>
      <c r="P110" s="11">
        <f t="shared" si="16"/>
        <v>0</v>
      </c>
    </row>
    <row r="111" spans="1:16" ht="15" customHeight="1">
      <c r="A111" s="44"/>
      <c r="B111" s="5">
        <f t="shared" si="14"/>
        <v>46023</v>
      </c>
      <c r="C111" s="218" t="s">
        <v>533</v>
      </c>
      <c r="D111" s="195">
        <v>30900</v>
      </c>
      <c r="E111" s="186"/>
      <c r="F111" s="2">
        <v>5482.23</v>
      </c>
      <c r="G111" s="3">
        <f t="shared" si="13"/>
        <v>4626.8650642499997</v>
      </c>
      <c r="H111" s="187"/>
      <c r="I111" s="7">
        <v>7.0000000000000007E-2</v>
      </c>
      <c r="J111" s="7">
        <v>1.6500000000000001E-2</v>
      </c>
      <c r="K111" s="7">
        <v>7.5999999999999998E-2</v>
      </c>
      <c r="L111" s="7">
        <v>0</v>
      </c>
      <c r="M111" s="11">
        <f t="shared" si="2"/>
        <v>383.7561</v>
      </c>
      <c r="N111" s="11">
        <f t="shared" si="3"/>
        <v>84.12481935000001</v>
      </c>
      <c r="O111" s="11">
        <f t="shared" si="4"/>
        <v>387.48401639999997</v>
      </c>
      <c r="P111" s="11">
        <f t="shared" si="16"/>
        <v>0</v>
      </c>
    </row>
    <row r="112" spans="1:16" ht="15" customHeight="1">
      <c r="A112" s="44"/>
      <c r="B112" s="5">
        <f t="shared" si="14"/>
        <v>46023</v>
      </c>
      <c r="C112" s="218" t="s">
        <v>533</v>
      </c>
      <c r="D112" s="195">
        <v>7683</v>
      </c>
      <c r="E112" s="186"/>
      <c r="F112" s="2">
        <v>222218.31</v>
      </c>
      <c r="G112" s="3">
        <f t="shared" si="13"/>
        <v>177463.54236600001</v>
      </c>
      <c r="H112" s="187"/>
      <c r="I112" s="7">
        <v>0.12</v>
      </c>
      <c r="J112" s="7">
        <v>1.6500000000000001E-2</v>
      </c>
      <c r="K112" s="7">
        <v>7.5999999999999998E-2</v>
      </c>
      <c r="L112" s="7">
        <v>0</v>
      </c>
      <c r="M112" s="11">
        <f t="shared" si="2"/>
        <v>26666.197199999999</v>
      </c>
      <c r="N112" s="11">
        <f t="shared" si="3"/>
        <v>3226.6098612000001</v>
      </c>
      <c r="O112" s="11">
        <f t="shared" si="4"/>
        <v>14861.960572800001</v>
      </c>
      <c r="P112" s="11">
        <f t="shared" si="16"/>
        <v>0</v>
      </c>
    </row>
    <row r="113" spans="1:16" ht="15" customHeight="1">
      <c r="A113" s="44"/>
      <c r="B113" s="5">
        <f t="shared" si="14"/>
        <v>46023</v>
      </c>
      <c r="C113" s="218" t="s">
        <v>533</v>
      </c>
      <c r="D113" s="195">
        <v>12874</v>
      </c>
      <c r="E113" s="186"/>
      <c r="F113" s="2">
        <v>146885.43</v>
      </c>
      <c r="G113" s="3">
        <f t="shared" si="13"/>
        <v>117302.704398</v>
      </c>
      <c r="H113" s="187"/>
      <c r="I113" s="7">
        <v>0.12</v>
      </c>
      <c r="J113" s="7">
        <v>1.6500000000000001E-2</v>
      </c>
      <c r="K113" s="7">
        <v>7.5999999999999998E-2</v>
      </c>
      <c r="L113" s="7">
        <v>0</v>
      </c>
      <c r="M113" s="11">
        <f t="shared" si="2"/>
        <v>17626.2516</v>
      </c>
      <c r="N113" s="11">
        <f t="shared" si="3"/>
        <v>2132.7764435999998</v>
      </c>
      <c r="O113" s="11">
        <f t="shared" si="4"/>
        <v>9823.6975583999993</v>
      </c>
      <c r="P113" s="11">
        <f t="shared" si="16"/>
        <v>0</v>
      </c>
    </row>
    <row r="114" spans="1:16" ht="15" customHeight="1">
      <c r="A114" s="44"/>
      <c r="B114" s="5">
        <f t="shared" si="14"/>
        <v>46023</v>
      </c>
      <c r="C114" s="218" t="s">
        <v>533</v>
      </c>
      <c r="D114" s="195">
        <v>7684</v>
      </c>
      <c r="E114" s="186"/>
      <c r="F114" s="2">
        <v>165439.82999999999</v>
      </c>
      <c r="G114" s="3">
        <f t="shared" si="13"/>
        <v>132120.248238</v>
      </c>
      <c r="H114" s="187"/>
      <c r="I114" s="7">
        <v>0.12</v>
      </c>
      <c r="J114" s="7">
        <v>1.6500000000000001E-2</v>
      </c>
      <c r="K114" s="7">
        <v>7.5999999999999998E-2</v>
      </c>
      <c r="L114" s="7">
        <v>0</v>
      </c>
      <c r="M114" s="11">
        <f t="shared" si="2"/>
        <v>19852.779599999998</v>
      </c>
      <c r="N114" s="11">
        <f t="shared" si="3"/>
        <v>2402.1863315999999</v>
      </c>
      <c r="O114" s="11">
        <f t="shared" si="4"/>
        <v>11064.615830399998</v>
      </c>
      <c r="P114" s="11">
        <f t="shared" si="16"/>
        <v>0</v>
      </c>
    </row>
    <row r="115" spans="1:16" ht="15" customHeight="1">
      <c r="A115" s="44"/>
      <c r="B115" s="5">
        <f t="shared" si="14"/>
        <v>46023</v>
      </c>
      <c r="C115" s="218" t="s">
        <v>533</v>
      </c>
      <c r="D115" s="195">
        <v>12875</v>
      </c>
      <c r="E115" s="186"/>
      <c r="F115" s="2">
        <v>182639.09</v>
      </c>
      <c r="G115" s="3">
        <f t="shared" si="13"/>
        <v>145855.57727399998</v>
      </c>
      <c r="H115" s="187"/>
      <c r="I115" s="7">
        <v>0.12</v>
      </c>
      <c r="J115" s="7">
        <v>1.6500000000000001E-2</v>
      </c>
      <c r="K115" s="7">
        <v>7.5999999999999998E-2</v>
      </c>
      <c r="L115" s="7">
        <v>0</v>
      </c>
      <c r="M115" s="11">
        <f t="shared" si="2"/>
        <v>21916.6908</v>
      </c>
      <c r="N115" s="11">
        <f t="shared" si="3"/>
        <v>2651.9195867999997</v>
      </c>
      <c r="O115" s="11">
        <f t="shared" si="4"/>
        <v>12214.902339199998</v>
      </c>
      <c r="P115" s="11">
        <f t="shared" si="16"/>
        <v>0</v>
      </c>
    </row>
    <row r="116" spans="1:16" ht="15" customHeight="1">
      <c r="A116" s="44"/>
      <c r="B116" s="5">
        <f t="shared" si="14"/>
        <v>46023</v>
      </c>
      <c r="C116" s="218" t="s">
        <v>533</v>
      </c>
      <c r="D116" s="195">
        <v>7685</v>
      </c>
      <c r="E116" s="186"/>
      <c r="F116" s="2">
        <v>182897.16</v>
      </c>
      <c r="G116" s="3">
        <f t="shared" si="13"/>
        <v>146061.67197600001</v>
      </c>
      <c r="H116" s="187"/>
      <c r="I116" s="7">
        <v>0.12</v>
      </c>
      <c r="J116" s="7">
        <v>1.6500000000000001E-2</v>
      </c>
      <c r="K116" s="7">
        <v>7.5999999999999998E-2</v>
      </c>
      <c r="L116" s="7">
        <v>0</v>
      </c>
      <c r="M116" s="11">
        <f t="shared" si="2"/>
        <v>21947.659199999998</v>
      </c>
      <c r="N116" s="11">
        <f t="shared" si="3"/>
        <v>2655.6667632000003</v>
      </c>
      <c r="O116" s="11">
        <f t="shared" si="4"/>
        <v>12232.162060800001</v>
      </c>
      <c r="P116" s="11">
        <f t="shared" si="16"/>
        <v>0</v>
      </c>
    </row>
    <row r="117" spans="1:16" ht="15" customHeight="1">
      <c r="A117" s="44"/>
      <c r="B117" s="5">
        <f t="shared" si="14"/>
        <v>46023</v>
      </c>
      <c r="C117" s="218" t="s">
        <v>533</v>
      </c>
      <c r="D117" s="195">
        <v>12876</v>
      </c>
      <c r="E117" s="186"/>
      <c r="F117" s="2">
        <v>132615.29999999999</v>
      </c>
      <c r="G117" s="3">
        <f t="shared" si="13"/>
        <v>105906.57857999999</v>
      </c>
      <c r="H117" s="187"/>
      <c r="I117" s="7">
        <v>0.12</v>
      </c>
      <c r="J117" s="7">
        <v>1.6500000000000001E-2</v>
      </c>
      <c r="K117" s="7">
        <v>7.5999999999999998E-2</v>
      </c>
      <c r="L117" s="7">
        <v>0</v>
      </c>
      <c r="M117" s="11">
        <f t="shared" si="2"/>
        <v>15913.835999999998</v>
      </c>
      <c r="N117" s="11">
        <f t="shared" si="3"/>
        <v>1925.5741559999999</v>
      </c>
      <c r="O117" s="11">
        <f t="shared" si="4"/>
        <v>8869.3112639999999</v>
      </c>
      <c r="P117" s="11">
        <f t="shared" si="16"/>
        <v>0</v>
      </c>
    </row>
    <row r="118" spans="1:16" ht="15" customHeight="1">
      <c r="A118" s="44"/>
      <c r="B118" s="5">
        <f t="shared" si="14"/>
        <v>46023</v>
      </c>
      <c r="C118" s="218" t="s">
        <v>533</v>
      </c>
      <c r="D118" s="195">
        <v>30910</v>
      </c>
      <c r="E118" s="186"/>
      <c r="F118" s="2">
        <v>11853.84</v>
      </c>
      <c r="G118" s="3">
        <f t="shared" ref="G118:G182" si="17">F118-SUM(M118:P118)</f>
        <v>10004.344614</v>
      </c>
      <c r="H118" s="187"/>
      <c r="I118" s="7">
        <v>7.0000000000000007E-2</v>
      </c>
      <c r="J118" s="7">
        <v>1.6500000000000001E-2</v>
      </c>
      <c r="K118" s="7">
        <v>7.5999999999999998E-2</v>
      </c>
      <c r="L118" s="7">
        <v>0</v>
      </c>
      <c r="M118" s="11">
        <f t="shared" si="2"/>
        <v>829.76880000000006</v>
      </c>
      <c r="N118" s="11">
        <f t="shared" si="3"/>
        <v>181.89717480000002</v>
      </c>
      <c r="O118" s="11">
        <f t="shared" si="4"/>
        <v>837.82941119999998</v>
      </c>
      <c r="P118" s="11">
        <f t="shared" si="16"/>
        <v>0</v>
      </c>
    </row>
    <row r="119" spans="1:16" ht="15" customHeight="1">
      <c r="A119" s="44"/>
      <c r="B119" s="5">
        <f t="shared" si="14"/>
        <v>46023</v>
      </c>
      <c r="C119" s="218" t="s">
        <v>533</v>
      </c>
      <c r="D119" s="195">
        <v>30918</v>
      </c>
      <c r="E119" s="186"/>
      <c r="F119" s="2">
        <v>13162.2</v>
      </c>
      <c r="G119" s="3">
        <f t="shared" si="17"/>
        <v>11108.567745</v>
      </c>
      <c r="H119" s="187"/>
      <c r="I119" s="7">
        <v>7.0000000000000007E-2</v>
      </c>
      <c r="J119" s="7">
        <v>1.6500000000000001E-2</v>
      </c>
      <c r="K119" s="7">
        <v>7.5999999999999998E-2</v>
      </c>
      <c r="L119" s="7">
        <v>0</v>
      </c>
      <c r="M119" s="11">
        <f t="shared" si="2"/>
        <v>921.35400000000016</v>
      </c>
      <c r="N119" s="11">
        <f t="shared" si="3"/>
        <v>201.97395900000004</v>
      </c>
      <c r="O119" s="11">
        <f t="shared" si="4"/>
        <v>930.30429600000014</v>
      </c>
      <c r="P119" s="11">
        <f t="shared" si="16"/>
        <v>0</v>
      </c>
    </row>
    <row r="120" spans="1:16" ht="15" customHeight="1">
      <c r="A120" s="44"/>
      <c r="B120" s="5">
        <f t="shared" ref="B120:B182" si="18">B119</f>
        <v>46023</v>
      </c>
      <c r="C120" s="218" t="s">
        <v>533</v>
      </c>
      <c r="D120" s="195">
        <v>30919</v>
      </c>
      <c r="E120" s="186"/>
      <c r="F120" s="2">
        <v>2685.01</v>
      </c>
      <c r="G120" s="3">
        <f t="shared" si="17"/>
        <v>2266.0813147500003</v>
      </c>
      <c r="H120" s="187"/>
      <c r="I120" s="7">
        <v>7.0000000000000007E-2</v>
      </c>
      <c r="J120" s="7">
        <v>1.6500000000000001E-2</v>
      </c>
      <c r="K120" s="7">
        <v>7.5999999999999998E-2</v>
      </c>
      <c r="L120" s="7">
        <v>0</v>
      </c>
      <c r="M120" s="11">
        <f t="shared" si="2"/>
        <v>187.95070000000004</v>
      </c>
      <c r="N120" s="11">
        <f t="shared" si="3"/>
        <v>41.20147845000001</v>
      </c>
      <c r="O120" s="11">
        <f t="shared" si="4"/>
        <v>189.77650680000002</v>
      </c>
      <c r="P120" s="11">
        <f t="shared" si="16"/>
        <v>0</v>
      </c>
    </row>
    <row r="121" spans="1:16" ht="15" customHeight="1">
      <c r="A121" s="44"/>
      <c r="B121" s="5">
        <f t="shared" si="18"/>
        <v>46023</v>
      </c>
      <c r="C121" s="218" t="s">
        <v>533</v>
      </c>
      <c r="D121" s="195">
        <v>7686</v>
      </c>
      <c r="E121" s="186"/>
      <c r="F121" s="2">
        <v>37548</v>
      </c>
      <c r="G121" s="3">
        <f t="shared" si="17"/>
        <v>29985.8328</v>
      </c>
      <c r="H121" s="187"/>
      <c r="I121" s="7">
        <v>0.12</v>
      </c>
      <c r="J121" s="7">
        <v>1.6500000000000001E-2</v>
      </c>
      <c r="K121" s="7">
        <v>7.5999999999999998E-2</v>
      </c>
      <c r="L121" s="7">
        <v>0</v>
      </c>
      <c r="M121" s="11">
        <f t="shared" si="2"/>
        <v>4505.76</v>
      </c>
      <c r="N121" s="11">
        <f t="shared" si="3"/>
        <v>545.19695999999999</v>
      </c>
      <c r="O121" s="11">
        <f t="shared" si="4"/>
        <v>2511.2102399999999</v>
      </c>
      <c r="P121" s="11">
        <f t="shared" si="16"/>
        <v>0</v>
      </c>
    </row>
    <row r="122" spans="1:16" ht="15" customHeight="1">
      <c r="A122" s="44"/>
      <c r="B122" s="5">
        <f t="shared" si="18"/>
        <v>46023</v>
      </c>
      <c r="C122" s="218" t="s">
        <v>533</v>
      </c>
      <c r="D122" s="195">
        <v>12877</v>
      </c>
      <c r="E122" s="186"/>
      <c r="F122" s="2">
        <v>30094.92</v>
      </c>
      <c r="G122" s="3">
        <f t="shared" si="17"/>
        <v>24033.803111999998</v>
      </c>
      <c r="H122" s="187"/>
      <c r="I122" s="7">
        <v>0.12</v>
      </c>
      <c r="J122" s="7">
        <v>1.6500000000000001E-2</v>
      </c>
      <c r="K122" s="7">
        <v>7.5999999999999998E-2</v>
      </c>
      <c r="L122" s="7">
        <v>0</v>
      </c>
      <c r="M122" s="11">
        <f t="shared" si="2"/>
        <v>3611.3903999999998</v>
      </c>
      <c r="N122" s="11">
        <f t="shared" si="3"/>
        <v>436.97823840000001</v>
      </c>
      <c r="O122" s="11">
        <f t="shared" si="4"/>
        <v>2012.7482495999998</v>
      </c>
      <c r="P122" s="11">
        <f t="shared" si="16"/>
        <v>0</v>
      </c>
    </row>
    <row r="123" spans="1:16" ht="15" customHeight="1">
      <c r="A123" s="44"/>
      <c r="B123" s="5">
        <f t="shared" si="18"/>
        <v>46023</v>
      </c>
      <c r="C123" s="218" t="s">
        <v>533</v>
      </c>
      <c r="D123" s="195">
        <v>30920</v>
      </c>
      <c r="E123" s="186"/>
      <c r="F123" s="2">
        <v>4103.09</v>
      </c>
      <c r="G123" s="3">
        <f t="shared" si="17"/>
        <v>3462.9053827500002</v>
      </c>
      <c r="H123" s="187"/>
      <c r="I123" s="7">
        <v>7.0000000000000007E-2</v>
      </c>
      <c r="J123" s="7">
        <v>1.6500000000000001E-2</v>
      </c>
      <c r="K123" s="7">
        <v>7.5999999999999998E-2</v>
      </c>
      <c r="L123" s="7">
        <v>0</v>
      </c>
      <c r="M123" s="11">
        <f t="shared" si="2"/>
        <v>287.21630000000005</v>
      </c>
      <c r="N123" s="11">
        <f t="shared" si="3"/>
        <v>62.961916050000006</v>
      </c>
      <c r="O123" s="11">
        <f t="shared" si="4"/>
        <v>290.00640120000003</v>
      </c>
      <c r="P123" s="11">
        <f t="shared" si="16"/>
        <v>0</v>
      </c>
    </row>
    <row r="124" spans="1:16" ht="15" customHeight="1">
      <c r="A124" s="44"/>
      <c r="B124" s="5">
        <f t="shared" si="18"/>
        <v>46023</v>
      </c>
      <c r="C124" s="218" t="s">
        <v>533</v>
      </c>
      <c r="D124" s="195">
        <v>7687</v>
      </c>
      <c r="E124" s="186"/>
      <c r="F124" s="2">
        <v>57285.24</v>
      </c>
      <c r="G124" s="3">
        <f t="shared" si="17"/>
        <v>45747.992663999998</v>
      </c>
      <c r="H124" s="187"/>
      <c r="I124" s="7">
        <v>0.12</v>
      </c>
      <c r="J124" s="7">
        <v>1.6500000000000001E-2</v>
      </c>
      <c r="K124" s="7">
        <v>7.5999999999999998E-2</v>
      </c>
      <c r="L124" s="7">
        <v>0</v>
      </c>
      <c r="M124" s="11">
        <f t="shared" si="2"/>
        <v>6874.2287999999999</v>
      </c>
      <c r="N124" s="11">
        <f t="shared" si="3"/>
        <v>831.78168480000011</v>
      </c>
      <c r="O124" s="11">
        <f t="shared" si="4"/>
        <v>3831.2368511999998</v>
      </c>
      <c r="P124" s="11">
        <f t="shared" si="16"/>
        <v>0</v>
      </c>
    </row>
    <row r="125" spans="1:16" ht="15" customHeight="1">
      <c r="A125" s="44"/>
      <c r="B125" s="5">
        <f t="shared" si="18"/>
        <v>46023</v>
      </c>
      <c r="C125" s="218" t="s">
        <v>533</v>
      </c>
      <c r="D125" s="195">
        <v>12878</v>
      </c>
      <c r="E125" s="186"/>
      <c r="F125" s="2">
        <v>45968.3</v>
      </c>
      <c r="G125" s="3">
        <f t="shared" si="17"/>
        <v>36710.284380000005</v>
      </c>
      <c r="H125" s="187"/>
      <c r="I125" s="7">
        <v>0.12</v>
      </c>
      <c r="J125" s="7">
        <v>1.6500000000000001E-2</v>
      </c>
      <c r="K125" s="7">
        <v>7.5999999999999998E-2</v>
      </c>
      <c r="L125" s="7">
        <v>0</v>
      </c>
      <c r="M125" s="11">
        <f t="shared" si="2"/>
        <v>5516.1959999999999</v>
      </c>
      <c r="N125" s="11">
        <f t="shared" si="3"/>
        <v>667.45971600000018</v>
      </c>
      <c r="O125" s="11">
        <f t="shared" si="4"/>
        <v>3074.3599040000004</v>
      </c>
      <c r="P125" s="11">
        <f t="shared" si="16"/>
        <v>0</v>
      </c>
    </row>
    <row r="126" spans="1:16" ht="15" customHeight="1">
      <c r="A126" s="44"/>
      <c r="B126" s="5">
        <f t="shared" si="18"/>
        <v>46023</v>
      </c>
      <c r="C126" s="218" t="s">
        <v>533</v>
      </c>
      <c r="D126" s="195">
        <v>7688</v>
      </c>
      <c r="E126" s="186"/>
      <c r="F126" s="2">
        <v>76548.62</v>
      </c>
      <c r="G126" s="3">
        <f t="shared" si="17"/>
        <v>61131.727931999994</v>
      </c>
      <c r="H126" s="187"/>
      <c r="I126" s="7">
        <v>0.12</v>
      </c>
      <c r="J126" s="7">
        <v>1.6500000000000001E-2</v>
      </c>
      <c r="K126" s="7">
        <v>7.5999999999999998E-2</v>
      </c>
      <c r="L126" s="7">
        <v>0</v>
      </c>
      <c r="M126" s="11">
        <f t="shared" si="2"/>
        <v>9185.8343999999997</v>
      </c>
      <c r="N126" s="11">
        <f t="shared" si="3"/>
        <v>1111.4859624000001</v>
      </c>
      <c r="O126" s="11">
        <f t="shared" si="4"/>
        <v>5119.5717056000003</v>
      </c>
      <c r="P126" s="11">
        <f t="shared" si="16"/>
        <v>0</v>
      </c>
    </row>
    <row r="127" spans="1:16" ht="15" customHeight="1">
      <c r="A127" s="44"/>
      <c r="B127" s="5">
        <f t="shared" si="18"/>
        <v>46023</v>
      </c>
      <c r="C127" s="218" t="s">
        <v>533</v>
      </c>
      <c r="D127" s="195">
        <v>12879</v>
      </c>
      <c r="E127" s="186"/>
      <c r="F127" s="2">
        <v>61357.279999999999</v>
      </c>
      <c r="G127" s="3">
        <f t="shared" si="17"/>
        <v>48999.923808</v>
      </c>
      <c r="H127" s="187"/>
      <c r="I127" s="7">
        <v>0.12</v>
      </c>
      <c r="J127" s="7">
        <v>1.6500000000000001E-2</v>
      </c>
      <c r="K127" s="7">
        <v>7.5999999999999998E-2</v>
      </c>
      <c r="L127" s="7">
        <v>0</v>
      </c>
      <c r="M127" s="11">
        <f t="shared" si="2"/>
        <v>7362.8735999999999</v>
      </c>
      <c r="N127" s="11">
        <f t="shared" si="3"/>
        <v>890.90770559999999</v>
      </c>
      <c r="O127" s="11">
        <f t="shared" si="4"/>
        <v>4103.5748863999997</v>
      </c>
      <c r="P127" s="11">
        <f t="shared" si="16"/>
        <v>0</v>
      </c>
    </row>
    <row r="128" spans="1:16" ht="15" customHeight="1">
      <c r="A128" s="44"/>
      <c r="B128" s="5">
        <f t="shared" si="18"/>
        <v>46023</v>
      </c>
      <c r="C128" s="218" t="s">
        <v>533</v>
      </c>
      <c r="D128" s="195">
        <v>30927</v>
      </c>
      <c r="E128" s="186"/>
      <c r="F128" s="2">
        <v>16207.57</v>
      </c>
      <c r="G128" s="3">
        <f t="shared" si="17"/>
        <v>13678.783890750001</v>
      </c>
      <c r="H128" s="187"/>
      <c r="I128" s="7">
        <v>7.0000000000000007E-2</v>
      </c>
      <c r="J128" s="7">
        <v>1.6500000000000001E-2</v>
      </c>
      <c r="K128" s="7">
        <v>7.5999999999999998E-2</v>
      </c>
      <c r="L128" s="7">
        <v>0</v>
      </c>
      <c r="M128" s="11">
        <f t="shared" si="2"/>
        <v>1134.5299</v>
      </c>
      <c r="N128" s="11">
        <f t="shared" si="3"/>
        <v>248.70516165000001</v>
      </c>
      <c r="O128" s="11">
        <f t="shared" si="4"/>
        <v>1145.5510475999999</v>
      </c>
      <c r="P128" s="11">
        <f t="shared" si="16"/>
        <v>0</v>
      </c>
    </row>
    <row r="129" spans="1:16" ht="15" customHeight="1">
      <c r="A129" s="44"/>
      <c r="B129" s="5">
        <f t="shared" si="18"/>
        <v>46023</v>
      </c>
      <c r="C129" s="218" t="s">
        <v>533</v>
      </c>
      <c r="D129" s="195"/>
      <c r="E129" s="186"/>
      <c r="F129" s="2"/>
      <c r="G129" s="3">
        <f t="shared" si="17"/>
        <v>0</v>
      </c>
      <c r="H129" s="187"/>
      <c r="I129" s="7"/>
      <c r="J129" s="7">
        <v>1.6500000000000001E-2</v>
      </c>
      <c r="K129" s="7">
        <v>7.5999999999999998E-2</v>
      </c>
      <c r="L129" s="7">
        <v>0</v>
      </c>
      <c r="M129" s="11">
        <f t="shared" si="2"/>
        <v>0</v>
      </c>
      <c r="N129" s="11">
        <f t="shared" si="3"/>
        <v>0</v>
      </c>
      <c r="O129" s="11">
        <f t="shared" si="4"/>
        <v>0</v>
      </c>
      <c r="P129" s="11">
        <f t="shared" si="16"/>
        <v>0</v>
      </c>
    </row>
    <row r="130" spans="1:16" ht="15" customHeight="1">
      <c r="A130" s="44"/>
      <c r="B130" s="5">
        <f t="shared" si="18"/>
        <v>46023</v>
      </c>
      <c r="C130" s="218" t="s">
        <v>533</v>
      </c>
      <c r="D130" s="195"/>
      <c r="E130" s="186"/>
      <c r="F130" s="2"/>
      <c r="G130" s="3">
        <f t="shared" si="17"/>
        <v>0</v>
      </c>
      <c r="H130" s="187"/>
      <c r="I130" s="7"/>
      <c r="J130" s="7">
        <v>1.6500000000000001E-2</v>
      </c>
      <c r="K130" s="7">
        <v>7.5999999999999998E-2</v>
      </c>
      <c r="L130" s="7">
        <v>0</v>
      </c>
      <c r="M130" s="11">
        <f t="shared" si="2"/>
        <v>0</v>
      </c>
      <c r="N130" s="11">
        <f t="shared" si="3"/>
        <v>0</v>
      </c>
      <c r="O130" s="11">
        <f t="shared" si="4"/>
        <v>0</v>
      </c>
      <c r="P130" s="11">
        <f t="shared" si="16"/>
        <v>0</v>
      </c>
    </row>
    <row r="131" spans="1:16" ht="15" customHeight="1">
      <c r="A131" s="44"/>
      <c r="B131" s="5">
        <f t="shared" si="18"/>
        <v>46023</v>
      </c>
      <c r="C131" s="218" t="s">
        <v>533</v>
      </c>
      <c r="D131" s="195"/>
      <c r="E131" s="186"/>
      <c r="F131" s="2"/>
      <c r="G131" s="3">
        <f t="shared" si="17"/>
        <v>0</v>
      </c>
      <c r="H131" s="187"/>
      <c r="I131" s="7"/>
      <c r="J131" s="7">
        <v>1.6500000000000001E-2</v>
      </c>
      <c r="K131" s="7">
        <v>7.5999999999999998E-2</v>
      </c>
      <c r="L131" s="7">
        <v>0</v>
      </c>
      <c r="M131" s="11">
        <f t="shared" si="2"/>
        <v>0</v>
      </c>
      <c r="N131" s="11">
        <f t="shared" si="3"/>
        <v>0</v>
      </c>
      <c r="O131" s="11">
        <f t="shared" si="4"/>
        <v>0</v>
      </c>
      <c r="P131" s="11">
        <f t="shared" si="16"/>
        <v>0</v>
      </c>
    </row>
    <row r="132" spans="1:16" ht="15" customHeight="1">
      <c r="A132" s="44"/>
      <c r="B132" s="5">
        <f t="shared" si="18"/>
        <v>46023</v>
      </c>
      <c r="C132" s="218" t="s">
        <v>533</v>
      </c>
      <c r="D132" s="195"/>
      <c r="E132" s="186"/>
      <c r="F132" s="2"/>
      <c r="G132" s="3">
        <f t="shared" si="17"/>
        <v>0</v>
      </c>
      <c r="H132" s="187"/>
      <c r="I132" s="7"/>
      <c r="J132" s="7">
        <v>1.6500000000000001E-2</v>
      </c>
      <c r="K132" s="7">
        <v>7.5999999999999998E-2</v>
      </c>
      <c r="L132" s="7">
        <v>0</v>
      </c>
      <c r="M132" s="11">
        <f t="shared" si="2"/>
        <v>0</v>
      </c>
      <c r="N132" s="11">
        <f t="shared" si="3"/>
        <v>0</v>
      </c>
      <c r="O132" s="11">
        <f t="shared" si="4"/>
        <v>0</v>
      </c>
      <c r="P132" s="11">
        <f t="shared" si="16"/>
        <v>0</v>
      </c>
    </row>
    <row r="133" spans="1:16" ht="15" customHeight="1">
      <c r="A133" s="44"/>
      <c r="B133" s="5">
        <f t="shared" si="18"/>
        <v>46023</v>
      </c>
      <c r="C133" s="218" t="s">
        <v>533</v>
      </c>
      <c r="D133" s="195"/>
      <c r="E133" s="186"/>
      <c r="F133" s="2"/>
      <c r="G133" s="3">
        <f t="shared" si="17"/>
        <v>0</v>
      </c>
      <c r="H133" s="187"/>
      <c r="I133" s="7"/>
      <c r="J133" s="7">
        <v>1.6500000000000001E-2</v>
      </c>
      <c r="K133" s="7">
        <v>7.5999999999999998E-2</v>
      </c>
      <c r="L133" s="7">
        <v>0</v>
      </c>
      <c r="M133" s="11">
        <f t="shared" si="2"/>
        <v>0</v>
      </c>
      <c r="N133" s="11">
        <f t="shared" si="3"/>
        <v>0</v>
      </c>
      <c r="O133" s="11">
        <f t="shared" si="4"/>
        <v>0</v>
      </c>
      <c r="P133" s="11">
        <f t="shared" si="16"/>
        <v>0</v>
      </c>
    </row>
    <row r="134" spans="1:16" ht="15" customHeight="1">
      <c r="A134" s="44"/>
      <c r="B134" s="5">
        <f t="shared" si="18"/>
        <v>46023</v>
      </c>
      <c r="C134" s="218" t="s">
        <v>533</v>
      </c>
      <c r="D134" s="195"/>
      <c r="E134" s="186"/>
      <c r="F134" s="2"/>
      <c r="G134" s="3">
        <f t="shared" si="17"/>
        <v>0</v>
      </c>
      <c r="H134" s="187"/>
      <c r="I134" s="7"/>
      <c r="J134" s="7">
        <v>1.6500000000000001E-2</v>
      </c>
      <c r="K134" s="7">
        <v>7.5999999999999998E-2</v>
      </c>
      <c r="L134" s="7">
        <v>0</v>
      </c>
      <c r="M134" s="11">
        <f t="shared" si="2"/>
        <v>0</v>
      </c>
      <c r="N134" s="11">
        <f t="shared" si="3"/>
        <v>0</v>
      </c>
      <c r="O134" s="11">
        <f t="shared" si="4"/>
        <v>0</v>
      </c>
      <c r="P134" s="11">
        <f t="shared" si="16"/>
        <v>0</v>
      </c>
    </row>
    <row r="135" spans="1:16" ht="15" customHeight="1">
      <c r="A135" s="44"/>
      <c r="B135" s="5">
        <f t="shared" si="18"/>
        <v>46023</v>
      </c>
      <c r="C135" s="218" t="s">
        <v>533</v>
      </c>
      <c r="D135" s="195"/>
      <c r="E135" s="186"/>
      <c r="F135" s="2"/>
      <c r="G135" s="3">
        <f t="shared" si="17"/>
        <v>0</v>
      </c>
      <c r="H135" s="187"/>
      <c r="I135" s="7"/>
      <c r="J135" s="7">
        <v>1.6500000000000001E-2</v>
      </c>
      <c r="K135" s="7">
        <v>7.5999999999999998E-2</v>
      </c>
      <c r="L135" s="7">
        <v>0</v>
      </c>
      <c r="M135" s="11">
        <f t="shared" si="2"/>
        <v>0</v>
      </c>
      <c r="N135" s="11">
        <f t="shared" si="3"/>
        <v>0</v>
      </c>
      <c r="O135" s="11">
        <f t="shared" si="4"/>
        <v>0</v>
      </c>
      <c r="P135" s="11">
        <f t="shared" si="16"/>
        <v>0</v>
      </c>
    </row>
    <row r="136" spans="1:16" ht="15" customHeight="1">
      <c r="A136" s="44"/>
      <c r="B136" s="5">
        <f t="shared" si="18"/>
        <v>46023</v>
      </c>
      <c r="C136" s="218" t="s">
        <v>533</v>
      </c>
      <c r="D136" s="195"/>
      <c r="E136" s="186"/>
      <c r="F136" s="2"/>
      <c r="G136" s="3">
        <f t="shared" si="17"/>
        <v>0</v>
      </c>
      <c r="H136" s="187"/>
      <c r="I136" s="7"/>
      <c r="J136" s="7">
        <v>1.6500000000000001E-2</v>
      </c>
      <c r="K136" s="7">
        <v>7.5999999999999998E-2</v>
      </c>
      <c r="L136" s="7">
        <v>0</v>
      </c>
      <c r="M136" s="11">
        <f t="shared" si="2"/>
        <v>0</v>
      </c>
      <c r="N136" s="11">
        <f t="shared" si="3"/>
        <v>0</v>
      </c>
      <c r="O136" s="11">
        <f t="shared" si="4"/>
        <v>0</v>
      </c>
      <c r="P136" s="11">
        <f t="shared" si="16"/>
        <v>0</v>
      </c>
    </row>
    <row r="137" spans="1:16" ht="15" customHeight="1">
      <c r="A137" s="44"/>
      <c r="B137" s="5">
        <f t="shared" si="18"/>
        <v>46023</v>
      </c>
      <c r="C137" s="218" t="s">
        <v>533</v>
      </c>
      <c r="D137" s="195"/>
      <c r="E137" s="186"/>
      <c r="F137" s="2"/>
      <c r="G137" s="3">
        <f t="shared" si="17"/>
        <v>0</v>
      </c>
      <c r="H137" s="187"/>
      <c r="I137" s="7"/>
      <c r="J137" s="7">
        <v>1.6500000000000001E-2</v>
      </c>
      <c r="K137" s="7">
        <v>7.5999999999999998E-2</v>
      </c>
      <c r="L137" s="7">
        <v>0</v>
      </c>
      <c r="M137" s="11">
        <f t="shared" si="2"/>
        <v>0</v>
      </c>
      <c r="N137" s="11">
        <f t="shared" si="3"/>
        <v>0</v>
      </c>
      <c r="O137" s="11">
        <f t="shared" si="4"/>
        <v>0</v>
      </c>
      <c r="P137" s="11">
        <f t="shared" si="16"/>
        <v>0</v>
      </c>
    </row>
    <row r="138" spans="1:16" ht="15" customHeight="1">
      <c r="A138" s="44"/>
      <c r="B138" s="5">
        <f t="shared" si="18"/>
        <v>46023</v>
      </c>
      <c r="C138" s="218" t="s">
        <v>533</v>
      </c>
      <c r="D138" s="195"/>
      <c r="E138" s="186"/>
      <c r="F138" s="2"/>
      <c r="G138" s="3">
        <f t="shared" si="17"/>
        <v>0</v>
      </c>
      <c r="H138" s="187"/>
      <c r="I138" s="7"/>
      <c r="J138" s="7">
        <v>1.6500000000000001E-2</v>
      </c>
      <c r="K138" s="7">
        <v>7.5999999999999998E-2</v>
      </c>
      <c r="L138" s="7">
        <v>0</v>
      </c>
      <c r="M138" s="11">
        <f t="shared" si="2"/>
        <v>0</v>
      </c>
      <c r="N138" s="11">
        <f t="shared" si="3"/>
        <v>0</v>
      </c>
      <c r="O138" s="11">
        <f t="shared" si="4"/>
        <v>0</v>
      </c>
      <c r="P138" s="11">
        <f t="shared" si="16"/>
        <v>0</v>
      </c>
    </row>
    <row r="139" spans="1:16" ht="15" customHeight="1">
      <c r="A139" s="44"/>
      <c r="B139" s="5">
        <f t="shared" si="18"/>
        <v>46023</v>
      </c>
      <c r="C139" s="218" t="s">
        <v>533</v>
      </c>
      <c r="D139" s="195"/>
      <c r="E139" s="186"/>
      <c r="F139" s="2"/>
      <c r="G139" s="3">
        <f t="shared" si="17"/>
        <v>0</v>
      </c>
      <c r="H139" s="187"/>
      <c r="I139" s="7"/>
      <c r="J139" s="7">
        <v>1.6500000000000001E-2</v>
      </c>
      <c r="K139" s="7">
        <v>7.5999999999999998E-2</v>
      </c>
      <c r="L139" s="7">
        <v>0</v>
      </c>
      <c r="M139" s="11">
        <f t="shared" si="2"/>
        <v>0</v>
      </c>
      <c r="N139" s="11">
        <f t="shared" si="3"/>
        <v>0</v>
      </c>
      <c r="O139" s="11">
        <f t="shared" si="4"/>
        <v>0</v>
      </c>
      <c r="P139" s="11">
        <f t="shared" si="16"/>
        <v>0</v>
      </c>
    </row>
    <row r="140" spans="1:16" ht="15" customHeight="1">
      <c r="A140" s="44"/>
      <c r="B140" s="5">
        <f t="shared" si="18"/>
        <v>46023</v>
      </c>
      <c r="C140" s="218" t="s">
        <v>533</v>
      </c>
      <c r="D140" s="195"/>
      <c r="E140" s="186"/>
      <c r="F140" s="2"/>
      <c r="G140" s="3">
        <f t="shared" si="17"/>
        <v>0</v>
      </c>
      <c r="H140" s="187"/>
      <c r="I140" s="7"/>
      <c r="J140" s="7">
        <v>1.6500000000000001E-2</v>
      </c>
      <c r="K140" s="7">
        <v>7.5999999999999998E-2</v>
      </c>
      <c r="L140" s="7">
        <v>0</v>
      </c>
      <c r="M140" s="11">
        <f t="shared" si="2"/>
        <v>0</v>
      </c>
      <c r="N140" s="11">
        <f t="shared" si="3"/>
        <v>0</v>
      </c>
      <c r="O140" s="11">
        <f t="shared" si="4"/>
        <v>0</v>
      </c>
      <c r="P140" s="11">
        <f t="shared" si="16"/>
        <v>0</v>
      </c>
    </row>
    <row r="141" spans="1:16" ht="15" customHeight="1">
      <c r="A141" s="44"/>
      <c r="B141" s="5">
        <f t="shared" si="18"/>
        <v>46023</v>
      </c>
      <c r="C141" s="218" t="s">
        <v>533</v>
      </c>
      <c r="D141" s="195"/>
      <c r="E141" s="186"/>
      <c r="F141" s="2"/>
      <c r="G141" s="3">
        <f t="shared" si="17"/>
        <v>0</v>
      </c>
      <c r="H141" s="187"/>
      <c r="I141" s="7"/>
      <c r="J141" s="7">
        <v>1.6500000000000001E-2</v>
      </c>
      <c r="K141" s="7">
        <v>7.5999999999999998E-2</v>
      </c>
      <c r="L141" s="7">
        <v>0</v>
      </c>
      <c r="M141" s="11">
        <f t="shared" si="2"/>
        <v>0</v>
      </c>
      <c r="N141" s="11">
        <f t="shared" si="3"/>
        <v>0</v>
      </c>
      <c r="O141" s="11">
        <f t="shared" si="4"/>
        <v>0</v>
      </c>
      <c r="P141" s="11">
        <f t="shared" si="16"/>
        <v>0</v>
      </c>
    </row>
    <row r="142" spans="1:16" ht="15" customHeight="1">
      <c r="A142" s="44"/>
      <c r="B142" s="5">
        <f t="shared" si="18"/>
        <v>46023</v>
      </c>
      <c r="C142" s="218" t="s">
        <v>533</v>
      </c>
      <c r="D142" s="195"/>
      <c r="E142" s="186"/>
      <c r="F142" s="2"/>
      <c r="G142" s="3">
        <f t="shared" si="17"/>
        <v>0</v>
      </c>
      <c r="H142" s="187"/>
      <c r="I142" s="7"/>
      <c r="J142" s="7">
        <v>1.6500000000000001E-2</v>
      </c>
      <c r="K142" s="7">
        <v>7.5999999999999998E-2</v>
      </c>
      <c r="L142" s="7">
        <v>0</v>
      </c>
      <c r="M142" s="11">
        <f t="shared" si="2"/>
        <v>0</v>
      </c>
      <c r="N142" s="11">
        <f t="shared" si="3"/>
        <v>0</v>
      </c>
      <c r="O142" s="11">
        <f t="shared" si="4"/>
        <v>0</v>
      </c>
      <c r="P142" s="11">
        <f t="shared" si="16"/>
        <v>0</v>
      </c>
    </row>
    <row r="143" spans="1:16" ht="15" customHeight="1">
      <c r="A143" s="44"/>
      <c r="B143" s="5">
        <f t="shared" si="18"/>
        <v>46023</v>
      </c>
      <c r="C143" s="218" t="s">
        <v>533</v>
      </c>
      <c r="D143" s="195"/>
      <c r="E143" s="186"/>
      <c r="F143" s="2"/>
      <c r="G143" s="3">
        <f t="shared" si="17"/>
        <v>0</v>
      </c>
      <c r="H143" s="187"/>
      <c r="I143" s="7"/>
      <c r="J143" s="7">
        <v>1.6500000000000001E-2</v>
      </c>
      <c r="K143" s="7">
        <v>7.5999999999999998E-2</v>
      </c>
      <c r="L143" s="7">
        <v>0</v>
      </c>
      <c r="M143" s="11">
        <f t="shared" si="2"/>
        <v>0</v>
      </c>
      <c r="N143" s="11">
        <f t="shared" si="3"/>
        <v>0</v>
      </c>
      <c r="O143" s="11">
        <f t="shared" si="4"/>
        <v>0</v>
      </c>
      <c r="P143" s="11">
        <f t="shared" si="16"/>
        <v>0</v>
      </c>
    </row>
    <row r="144" spans="1:16" ht="15" customHeight="1">
      <c r="A144" s="44"/>
      <c r="B144" s="5">
        <f t="shared" si="18"/>
        <v>46023</v>
      </c>
      <c r="C144" s="218" t="s">
        <v>533</v>
      </c>
      <c r="D144" s="195"/>
      <c r="E144" s="186"/>
      <c r="F144" s="2"/>
      <c r="G144" s="3">
        <f t="shared" si="17"/>
        <v>0</v>
      </c>
      <c r="H144" s="187"/>
      <c r="I144" s="7"/>
      <c r="J144" s="7">
        <v>1.6500000000000001E-2</v>
      </c>
      <c r="K144" s="7">
        <v>7.5999999999999998E-2</v>
      </c>
      <c r="L144" s="7">
        <v>0</v>
      </c>
      <c r="M144" s="11">
        <f t="shared" si="2"/>
        <v>0</v>
      </c>
      <c r="N144" s="11">
        <f t="shared" si="3"/>
        <v>0</v>
      </c>
      <c r="O144" s="11">
        <f t="shared" si="4"/>
        <v>0</v>
      </c>
      <c r="P144" s="11">
        <f t="shared" si="16"/>
        <v>0</v>
      </c>
    </row>
    <row r="145" spans="1:16" ht="15" customHeight="1">
      <c r="A145" s="44"/>
      <c r="B145" s="5">
        <f t="shared" si="18"/>
        <v>46023</v>
      </c>
      <c r="C145" s="218" t="s">
        <v>533</v>
      </c>
      <c r="D145" s="195"/>
      <c r="E145" s="186"/>
      <c r="F145" s="2"/>
      <c r="G145" s="3">
        <f t="shared" si="17"/>
        <v>0</v>
      </c>
      <c r="H145" s="187"/>
      <c r="I145" s="7"/>
      <c r="J145" s="7">
        <v>1.6500000000000001E-2</v>
      </c>
      <c r="K145" s="7">
        <v>7.5999999999999998E-2</v>
      </c>
      <c r="L145" s="7">
        <v>0</v>
      </c>
      <c r="M145" s="11">
        <f t="shared" si="2"/>
        <v>0</v>
      </c>
      <c r="N145" s="11">
        <f t="shared" si="3"/>
        <v>0</v>
      </c>
      <c r="O145" s="11">
        <f t="shared" si="4"/>
        <v>0</v>
      </c>
      <c r="P145" s="11">
        <f t="shared" si="16"/>
        <v>0</v>
      </c>
    </row>
    <row r="146" spans="1:16" ht="15" customHeight="1">
      <c r="A146" s="44"/>
      <c r="B146" s="5">
        <f t="shared" si="18"/>
        <v>46023</v>
      </c>
      <c r="C146" s="218" t="s">
        <v>533</v>
      </c>
      <c r="D146" s="195"/>
      <c r="E146" s="186"/>
      <c r="F146" s="2"/>
      <c r="G146" s="3">
        <f t="shared" si="17"/>
        <v>0</v>
      </c>
      <c r="H146" s="187"/>
      <c r="I146" s="7"/>
      <c r="J146" s="7">
        <v>1.6500000000000001E-2</v>
      </c>
      <c r="K146" s="7">
        <v>7.5999999999999998E-2</v>
      </c>
      <c r="L146" s="7">
        <v>0</v>
      </c>
      <c r="M146" s="11">
        <f t="shared" si="2"/>
        <v>0</v>
      </c>
      <c r="N146" s="11">
        <f t="shared" si="3"/>
        <v>0</v>
      </c>
      <c r="O146" s="11">
        <f t="shared" si="4"/>
        <v>0</v>
      </c>
      <c r="P146" s="11">
        <f t="shared" si="16"/>
        <v>0</v>
      </c>
    </row>
    <row r="147" spans="1:16" ht="15" customHeight="1">
      <c r="A147" s="44"/>
      <c r="B147" s="5">
        <f t="shared" si="18"/>
        <v>46023</v>
      </c>
      <c r="C147" s="218" t="s">
        <v>533</v>
      </c>
      <c r="D147" s="195"/>
      <c r="E147" s="186"/>
      <c r="F147" s="2"/>
      <c r="G147" s="3">
        <f t="shared" si="17"/>
        <v>0</v>
      </c>
      <c r="H147" s="187"/>
      <c r="I147" s="7"/>
      <c r="J147" s="7">
        <v>1.6500000000000001E-2</v>
      </c>
      <c r="K147" s="7">
        <v>7.5999999999999998E-2</v>
      </c>
      <c r="L147" s="7">
        <v>0</v>
      </c>
      <c r="M147" s="11">
        <f t="shared" si="2"/>
        <v>0</v>
      </c>
      <c r="N147" s="11">
        <f t="shared" si="3"/>
        <v>0</v>
      </c>
      <c r="O147" s="11">
        <f t="shared" si="4"/>
        <v>0</v>
      </c>
      <c r="P147" s="11">
        <f t="shared" si="16"/>
        <v>0</v>
      </c>
    </row>
    <row r="148" spans="1:16" ht="15" customHeight="1">
      <c r="A148" s="44"/>
      <c r="B148" s="5">
        <f t="shared" si="18"/>
        <v>46023</v>
      </c>
      <c r="C148" s="218" t="s">
        <v>533</v>
      </c>
      <c r="D148" s="195"/>
      <c r="E148" s="186"/>
      <c r="F148" s="2"/>
      <c r="G148" s="3">
        <f t="shared" si="17"/>
        <v>0</v>
      </c>
      <c r="H148" s="187"/>
      <c r="I148" s="7"/>
      <c r="J148" s="7">
        <v>1.6500000000000001E-2</v>
      </c>
      <c r="K148" s="7">
        <v>7.5999999999999998E-2</v>
      </c>
      <c r="L148" s="7">
        <v>0</v>
      </c>
      <c r="M148" s="11">
        <f t="shared" si="2"/>
        <v>0</v>
      </c>
      <c r="N148" s="11">
        <f t="shared" si="3"/>
        <v>0</v>
      </c>
      <c r="O148" s="11">
        <f t="shared" si="4"/>
        <v>0</v>
      </c>
      <c r="P148" s="11">
        <f t="shared" si="16"/>
        <v>0</v>
      </c>
    </row>
    <row r="149" spans="1:16" ht="15" customHeight="1">
      <c r="A149" s="44"/>
      <c r="B149" s="5">
        <f t="shared" si="18"/>
        <v>46023</v>
      </c>
      <c r="C149" s="218" t="s">
        <v>533</v>
      </c>
      <c r="D149" s="195"/>
      <c r="E149" s="186"/>
      <c r="F149" s="2"/>
      <c r="G149" s="3">
        <f t="shared" si="17"/>
        <v>0</v>
      </c>
      <c r="H149" s="187"/>
      <c r="I149" s="7"/>
      <c r="J149" s="7">
        <v>1.6500000000000001E-2</v>
      </c>
      <c r="K149" s="7">
        <v>7.5999999999999998E-2</v>
      </c>
      <c r="L149" s="7">
        <v>0</v>
      </c>
      <c r="M149" s="11">
        <f t="shared" si="2"/>
        <v>0</v>
      </c>
      <c r="N149" s="11">
        <f t="shared" si="3"/>
        <v>0</v>
      </c>
      <c r="O149" s="11">
        <f t="shared" si="4"/>
        <v>0</v>
      </c>
      <c r="P149" s="11">
        <f t="shared" si="16"/>
        <v>0</v>
      </c>
    </row>
    <row r="150" spans="1:16" ht="15" customHeight="1">
      <c r="A150" s="44"/>
      <c r="B150" s="5">
        <f t="shared" si="18"/>
        <v>46023</v>
      </c>
      <c r="C150" s="218" t="s">
        <v>533</v>
      </c>
      <c r="D150" s="195"/>
      <c r="E150" s="186"/>
      <c r="F150" s="2"/>
      <c r="G150" s="3">
        <f t="shared" si="17"/>
        <v>0</v>
      </c>
      <c r="H150" s="187"/>
      <c r="I150" s="7"/>
      <c r="J150" s="7">
        <v>1.6500000000000001E-2</v>
      </c>
      <c r="K150" s="7">
        <v>7.5999999999999998E-2</v>
      </c>
      <c r="L150" s="7">
        <v>0</v>
      </c>
      <c r="M150" s="11">
        <f t="shared" si="2"/>
        <v>0</v>
      </c>
      <c r="N150" s="11">
        <f t="shared" si="3"/>
        <v>0</v>
      </c>
      <c r="O150" s="11">
        <f t="shared" si="4"/>
        <v>0</v>
      </c>
      <c r="P150" s="11">
        <f t="shared" si="16"/>
        <v>0</v>
      </c>
    </row>
    <row r="151" spans="1:16" ht="15" customHeight="1">
      <c r="A151" s="44"/>
      <c r="B151" s="5">
        <f t="shared" si="18"/>
        <v>46023</v>
      </c>
      <c r="C151" s="218" t="s">
        <v>533</v>
      </c>
      <c r="D151" s="195"/>
      <c r="E151" s="186"/>
      <c r="F151" s="2"/>
      <c r="G151" s="3">
        <f t="shared" si="17"/>
        <v>0</v>
      </c>
      <c r="H151" s="187"/>
      <c r="I151" s="7"/>
      <c r="J151" s="7">
        <v>1.6500000000000001E-2</v>
      </c>
      <c r="K151" s="7">
        <v>7.5999999999999998E-2</v>
      </c>
      <c r="L151" s="7">
        <v>0</v>
      </c>
      <c r="M151" s="11">
        <f t="shared" si="2"/>
        <v>0</v>
      </c>
      <c r="N151" s="11">
        <f t="shared" si="3"/>
        <v>0</v>
      </c>
      <c r="O151" s="11">
        <f t="shared" si="4"/>
        <v>0</v>
      </c>
      <c r="P151" s="11">
        <f t="shared" si="16"/>
        <v>0</v>
      </c>
    </row>
    <row r="152" spans="1:16" ht="15" customHeight="1">
      <c r="A152" s="44"/>
      <c r="B152" s="5">
        <f t="shared" si="18"/>
        <v>46023</v>
      </c>
      <c r="C152" s="218" t="s">
        <v>533</v>
      </c>
      <c r="D152" s="195"/>
      <c r="E152" s="186"/>
      <c r="F152" s="2"/>
      <c r="G152" s="3">
        <f t="shared" si="17"/>
        <v>0</v>
      </c>
      <c r="H152" s="187"/>
      <c r="I152" s="7"/>
      <c r="J152" s="7">
        <v>1.6500000000000001E-2</v>
      </c>
      <c r="K152" s="7">
        <v>7.5999999999999998E-2</v>
      </c>
      <c r="L152" s="7">
        <v>0</v>
      </c>
      <c r="M152" s="11">
        <f t="shared" si="2"/>
        <v>0</v>
      </c>
      <c r="N152" s="11">
        <f t="shared" si="3"/>
        <v>0</v>
      </c>
      <c r="O152" s="11">
        <f t="shared" si="4"/>
        <v>0</v>
      </c>
      <c r="P152" s="11">
        <f t="shared" si="16"/>
        <v>0</v>
      </c>
    </row>
    <row r="153" spans="1:16" ht="15" customHeight="1">
      <c r="A153" s="44"/>
      <c r="B153" s="5">
        <f t="shared" si="18"/>
        <v>46023</v>
      </c>
      <c r="C153" s="218" t="s">
        <v>533</v>
      </c>
      <c r="D153" s="195"/>
      <c r="E153" s="186"/>
      <c r="F153" s="2"/>
      <c r="G153" s="3">
        <f t="shared" si="17"/>
        <v>0</v>
      </c>
      <c r="H153" s="187"/>
      <c r="I153" s="7"/>
      <c r="J153" s="7">
        <v>1.6500000000000001E-2</v>
      </c>
      <c r="K153" s="7">
        <v>7.5999999999999998E-2</v>
      </c>
      <c r="L153" s="7">
        <v>0</v>
      </c>
      <c r="M153" s="11">
        <f t="shared" si="2"/>
        <v>0</v>
      </c>
      <c r="N153" s="11">
        <f t="shared" si="3"/>
        <v>0</v>
      </c>
      <c r="O153" s="11">
        <f t="shared" si="4"/>
        <v>0</v>
      </c>
      <c r="P153" s="11">
        <f t="shared" si="16"/>
        <v>0</v>
      </c>
    </row>
    <row r="154" spans="1:16" ht="15" customHeight="1">
      <c r="A154" s="44"/>
      <c r="B154" s="5">
        <f t="shared" si="18"/>
        <v>46023</v>
      </c>
      <c r="C154" s="218" t="s">
        <v>533</v>
      </c>
      <c r="D154" s="195"/>
      <c r="E154" s="186"/>
      <c r="F154" s="2"/>
      <c r="G154" s="3">
        <f t="shared" si="17"/>
        <v>0</v>
      </c>
      <c r="H154" s="187"/>
      <c r="I154" s="7"/>
      <c r="J154" s="7">
        <v>1.6500000000000001E-2</v>
      </c>
      <c r="K154" s="7">
        <v>7.5999999999999998E-2</v>
      </c>
      <c r="L154" s="7">
        <v>0</v>
      </c>
      <c r="M154" s="11">
        <f t="shared" si="2"/>
        <v>0</v>
      </c>
      <c r="N154" s="11">
        <f t="shared" si="3"/>
        <v>0</v>
      </c>
      <c r="O154" s="11">
        <f t="shared" si="4"/>
        <v>0</v>
      </c>
      <c r="P154" s="11">
        <f t="shared" si="16"/>
        <v>0</v>
      </c>
    </row>
    <row r="155" spans="1:16" ht="15" customHeight="1">
      <c r="A155" s="44"/>
      <c r="B155" s="5">
        <f t="shared" si="18"/>
        <v>46023</v>
      </c>
      <c r="C155" s="218" t="s">
        <v>533</v>
      </c>
      <c r="D155" s="195"/>
      <c r="E155" s="186"/>
      <c r="F155" s="2"/>
      <c r="G155" s="3">
        <f t="shared" si="17"/>
        <v>0</v>
      </c>
      <c r="H155" s="187"/>
      <c r="I155" s="7"/>
      <c r="J155" s="7">
        <v>1.6500000000000001E-2</v>
      </c>
      <c r="K155" s="7">
        <v>7.5999999999999998E-2</v>
      </c>
      <c r="L155" s="7">
        <v>0</v>
      </c>
      <c r="M155" s="11">
        <f t="shared" si="2"/>
        <v>0</v>
      </c>
      <c r="N155" s="11">
        <f t="shared" si="3"/>
        <v>0</v>
      </c>
      <c r="O155" s="11">
        <f t="shared" si="4"/>
        <v>0</v>
      </c>
      <c r="P155" s="11">
        <f t="shared" si="16"/>
        <v>0</v>
      </c>
    </row>
    <row r="156" spans="1:16" ht="15" customHeight="1">
      <c r="A156" s="44"/>
      <c r="B156" s="5">
        <f t="shared" si="18"/>
        <v>46023</v>
      </c>
      <c r="C156" s="218" t="s">
        <v>533</v>
      </c>
      <c r="D156" s="195"/>
      <c r="E156" s="186"/>
      <c r="F156" s="2"/>
      <c r="G156" s="3">
        <f t="shared" si="17"/>
        <v>0</v>
      </c>
      <c r="H156" s="187"/>
      <c r="I156" s="7"/>
      <c r="J156" s="7">
        <v>1.6500000000000001E-2</v>
      </c>
      <c r="K156" s="7">
        <v>7.5999999999999998E-2</v>
      </c>
      <c r="L156" s="7">
        <v>0</v>
      </c>
      <c r="M156" s="11">
        <f t="shared" si="2"/>
        <v>0</v>
      </c>
      <c r="N156" s="11">
        <f t="shared" si="3"/>
        <v>0</v>
      </c>
      <c r="O156" s="11">
        <f t="shared" si="4"/>
        <v>0</v>
      </c>
      <c r="P156" s="11">
        <f t="shared" si="16"/>
        <v>0</v>
      </c>
    </row>
    <row r="157" spans="1:16" ht="15" customHeight="1">
      <c r="A157" s="44"/>
      <c r="B157" s="5">
        <f t="shared" si="18"/>
        <v>46023</v>
      </c>
      <c r="C157" s="218" t="s">
        <v>533</v>
      </c>
      <c r="D157" s="195"/>
      <c r="E157" s="186"/>
      <c r="F157" s="2"/>
      <c r="G157" s="3">
        <f t="shared" si="17"/>
        <v>0</v>
      </c>
      <c r="H157" s="187"/>
      <c r="I157" s="7"/>
      <c r="J157" s="7">
        <v>1.6500000000000001E-2</v>
      </c>
      <c r="K157" s="7">
        <v>7.5999999999999998E-2</v>
      </c>
      <c r="L157" s="7">
        <v>0</v>
      </c>
      <c r="M157" s="11">
        <f t="shared" si="2"/>
        <v>0</v>
      </c>
      <c r="N157" s="11">
        <f t="shared" si="3"/>
        <v>0</v>
      </c>
      <c r="O157" s="11">
        <f t="shared" si="4"/>
        <v>0</v>
      </c>
      <c r="P157" s="11">
        <f t="shared" si="16"/>
        <v>0</v>
      </c>
    </row>
    <row r="158" spans="1:16" ht="15" customHeight="1">
      <c r="A158" s="44"/>
      <c r="B158" s="5">
        <f t="shared" si="18"/>
        <v>46023</v>
      </c>
      <c r="C158" s="218" t="s">
        <v>533</v>
      </c>
      <c r="D158" s="195"/>
      <c r="E158" s="186"/>
      <c r="F158" s="2"/>
      <c r="G158" s="3">
        <f t="shared" si="17"/>
        <v>0</v>
      </c>
      <c r="H158" s="187"/>
      <c r="I158" s="7"/>
      <c r="J158" s="7">
        <v>1.6500000000000001E-2</v>
      </c>
      <c r="K158" s="7">
        <v>7.5999999999999998E-2</v>
      </c>
      <c r="L158" s="7">
        <v>0</v>
      </c>
      <c r="M158" s="11">
        <f t="shared" si="2"/>
        <v>0</v>
      </c>
      <c r="N158" s="11">
        <f t="shared" si="3"/>
        <v>0</v>
      </c>
      <c r="O158" s="11">
        <f t="shared" si="4"/>
        <v>0</v>
      </c>
      <c r="P158" s="11">
        <f t="shared" si="16"/>
        <v>0</v>
      </c>
    </row>
    <row r="159" spans="1:16" ht="15" customHeight="1">
      <c r="A159" s="44"/>
      <c r="B159" s="5">
        <f t="shared" si="18"/>
        <v>46023</v>
      </c>
      <c r="C159" s="218" t="s">
        <v>533</v>
      </c>
      <c r="D159" s="195"/>
      <c r="E159" s="186"/>
      <c r="F159" s="2"/>
      <c r="G159" s="3">
        <f t="shared" si="17"/>
        <v>0</v>
      </c>
      <c r="H159" s="187"/>
      <c r="I159" s="7"/>
      <c r="J159" s="7">
        <v>1.6500000000000001E-2</v>
      </c>
      <c r="K159" s="7">
        <v>7.5999999999999998E-2</v>
      </c>
      <c r="L159" s="7">
        <v>0</v>
      </c>
      <c r="M159" s="11">
        <f t="shared" si="2"/>
        <v>0</v>
      </c>
      <c r="N159" s="11">
        <f t="shared" si="3"/>
        <v>0</v>
      </c>
      <c r="O159" s="11">
        <f t="shared" si="4"/>
        <v>0</v>
      </c>
      <c r="P159" s="11">
        <f t="shared" si="16"/>
        <v>0</v>
      </c>
    </row>
    <row r="160" spans="1:16" ht="15" customHeight="1">
      <c r="A160" s="44"/>
      <c r="B160" s="5">
        <f t="shared" si="18"/>
        <v>46023</v>
      </c>
      <c r="C160" s="218" t="s">
        <v>533</v>
      </c>
      <c r="D160" s="195"/>
      <c r="E160" s="186"/>
      <c r="F160" s="2"/>
      <c r="G160" s="3">
        <f t="shared" si="17"/>
        <v>0</v>
      </c>
      <c r="H160" s="187"/>
      <c r="I160" s="7"/>
      <c r="J160" s="7">
        <v>1.6500000000000001E-2</v>
      </c>
      <c r="K160" s="7">
        <v>7.5999999999999998E-2</v>
      </c>
      <c r="L160" s="7">
        <v>0</v>
      </c>
      <c r="M160" s="11">
        <f t="shared" si="2"/>
        <v>0</v>
      </c>
      <c r="N160" s="11">
        <f t="shared" si="3"/>
        <v>0</v>
      </c>
      <c r="O160" s="11">
        <f t="shared" si="4"/>
        <v>0</v>
      </c>
      <c r="P160" s="11">
        <f t="shared" si="16"/>
        <v>0</v>
      </c>
    </row>
    <row r="161" spans="1:16" ht="15" customHeight="1">
      <c r="A161" s="44"/>
      <c r="B161" s="5">
        <f t="shared" si="18"/>
        <v>46023</v>
      </c>
      <c r="C161" s="218" t="s">
        <v>533</v>
      </c>
      <c r="D161" s="195"/>
      <c r="E161" s="186"/>
      <c r="F161" s="2"/>
      <c r="G161" s="3">
        <f t="shared" si="17"/>
        <v>0</v>
      </c>
      <c r="H161" s="187"/>
      <c r="I161" s="7"/>
      <c r="J161" s="7">
        <v>1.6500000000000001E-2</v>
      </c>
      <c r="K161" s="7">
        <v>7.5999999999999998E-2</v>
      </c>
      <c r="L161" s="7">
        <v>0</v>
      </c>
      <c r="M161" s="11">
        <f t="shared" si="2"/>
        <v>0</v>
      </c>
      <c r="N161" s="11">
        <f t="shared" si="3"/>
        <v>0</v>
      </c>
      <c r="O161" s="11">
        <f t="shared" si="4"/>
        <v>0</v>
      </c>
      <c r="P161" s="11">
        <f t="shared" si="16"/>
        <v>0</v>
      </c>
    </row>
    <row r="162" spans="1:16" ht="15" customHeight="1">
      <c r="A162" s="44"/>
      <c r="B162" s="5">
        <f t="shared" si="18"/>
        <v>46023</v>
      </c>
      <c r="C162" s="218" t="s">
        <v>533</v>
      </c>
      <c r="D162" s="195"/>
      <c r="E162" s="186"/>
      <c r="F162" s="2"/>
      <c r="G162" s="3">
        <f t="shared" si="17"/>
        <v>0</v>
      </c>
      <c r="H162" s="187"/>
      <c r="I162" s="7"/>
      <c r="J162" s="7">
        <v>1.6500000000000001E-2</v>
      </c>
      <c r="K162" s="7">
        <v>7.5999999999999998E-2</v>
      </c>
      <c r="L162" s="7">
        <v>0</v>
      </c>
      <c r="M162" s="11">
        <f t="shared" si="2"/>
        <v>0</v>
      </c>
      <c r="N162" s="11">
        <f t="shared" si="3"/>
        <v>0</v>
      </c>
      <c r="O162" s="11">
        <f t="shared" si="4"/>
        <v>0</v>
      </c>
      <c r="P162" s="11">
        <f t="shared" si="16"/>
        <v>0</v>
      </c>
    </row>
    <row r="163" spans="1:16" ht="15" customHeight="1">
      <c r="A163" s="44"/>
      <c r="B163" s="5">
        <f t="shared" si="18"/>
        <v>46023</v>
      </c>
      <c r="C163" s="218" t="s">
        <v>533</v>
      </c>
      <c r="D163" s="195"/>
      <c r="E163" s="186"/>
      <c r="F163" s="2"/>
      <c r="G163" s="3">
        <f t="shared" si="17"/>
        <v>0</v>
      </c>
      <c r="H163" s="187"/>
      <c r="I163" s="7"/>
      <c r="J163" s="7">
        <v>1.6500000000000001E-2</v>
      </c>
      <c r="K163" s="7">
        <v>7.5999999999999998E-2</v>
      </c>
      <c r="L163" s="7">
        <v>0</v>
      </c>
      <c r="M163" s="11">
        <f t="shared" si="2"/>
        <v>0</v>
      </c>
      <c r="N163" s="11">
        <f t="shared" si="3"/>
        <v>0</v>
      </c>
      <c r="O163" s="11">
        <f t="shared" si="4"/>
        <v>0</v>
      </c>
      <c r="P163" s="11">
        <f t="shared" si="16"/>
        <v>0</v>
      </c>
    </row>
    <row r="164" spans="1:16" ht="15" customHeight="1">
      <c r="A164" s="44"/>
      <c r="B164" s="5">
        <f t="shared" si="18"/>
        <v>46023</v>
      </c>
      <c r="C164" s="218" t="s">
        <v>533</v>
      </c>
      <c r="D164" s="195"/>
      <c r="E164" s="186"/>
      <c r="F164" s="2"/>
      <c r="G164" s="3">
        <f t="shared" si="17"/>
        <v>0</v>
      </c>
      <c r="H164" s="187"/>
      <c r="I164" s="7"/>
      <c r="J164" s="7">
        <v>1.6500000000000001E-2</v>
      </c>
      <c r="K164" s="7">
        <v>7.5999999999999998E-2</v>
      </c>
      <c r="L164" s="7">
        <v>0</v>
      </c>
      <c r="M164" s="11">
        <f t="shared" si="2"/>
        <v>0</v>
      </c>
      <c r="N164" s="11">
        <f t="shared" si="3"/>
        <v>0</v>
      </c>
      <c r="O164" s="11">
        <f t="shared" si="4"/>
        <v>0</v>
      </c>
      <c r="P164" s="11">
        <f t="shared" si="16"/>
        <v>0</v>
      </c>
    </row>
    <row r="165" spans="1:16" ht="15" customHeight="1">
      <c r="A165" s="44"/>
      <c r="B165" s="5">
        <f t="shared" si="18"/>
        <v>46023</v>
      </c>
      <c r="C165" s="218" t="s">
        <v>533</v>
      </c>
      <c r="D165" s="195"/>
      <c r="E165" s="186"/>
      <c r="F165" s="2"/>
      <c r="G165" s="3">
        <f t="shared" si="17"/>
        <v>0</v>
      </c>
      <c r="H165" s="187"/>
      <c r="I165" s="7"/>
      <c r="J165" s="7">
        <v>1.6500000000000001E-2</v>
      </c>
      <c r="K165" s="7">
        <v>7.5999999999999998E-2</v>
      </c>
      <c r="L165" s="7">
        <v>0</v>
      </c>
      <c r="M165" s="11">
        <f t="shared" si="2"/>
        <v>0</v>
      </c>
      <c r="N165" s="11">
        <f t="shared" si="3"/>
        <v>0</v>
      </c>
      <c r="O165" s="11">
        <f t="shared" si="4"/>
        <v>0</v>
      </c>
      <c r="P165" s="11">
        <f t="shared" si="16"/>
        <v>0</v>
      </c>
    </row>
    <row r="166" spans="1:16" ht="15" customHeight="1">
      <c r="A166" s="44"/>
      <c r="B166" s="5">
        <f t="shared" si="18"/>
        <v>46023</v>
      </c>
      <c r="C166" s="218" t="s">
        <v>533</v>
      </c>
      <c r="D166" s="195"/>
      <c r="E166" s="186"/>
      <c r="F166" s="2"/>
      <c r="G166" s="3">
        <f t="shared" si="17"/>
        <v>0</v>
      </c>
      <c r="H166" s="187"/>
      <c r="I166" s="7"/>
      <c r="J166" s="7">
        <v>1.6500000000000001E-2</v>
      </c>
      <c r="K166" s="7">
        <v>7.5999999999999998E-2</v>
      </c>
      <c r="L166" s="7">
        <v>0</v>
      </c>
      <c r="M166" s="11">
        <f t="shared" si="2"/>
        <v>0</v>
      </c>
      <c r="N166" s="11">
        <f t="shared" si="3"/>
        <v>0</v>
      </c>
      <c r="O166" s="11">
        <f t="shared" si="4"/>
        <v>0</v>
      </c>
      <c r="P166" s="11">
        <f t="shared" si="16"/>
        <v>0</v>
      </c>
    </row>
    <row r="167" spans="1:16" ht="15" customHeight="1">
      <c r="A167" s="44"/>
      <c r="B167" s="5">
        <f t="shared" si="18"/>
        <v>46023</v>
      </c>
      <c r="C167" s="218" t="s">
        <v>533</v>
      </c>
      <c r="D167" s="195"/>
      <c r="E167" s="186"/>
      <c r="F167" s="2"/>
      <c r="G167" s="3">
        <f t="shared" si="17"/>
        <v>0</v>
      </c>
      <c r="H167" s="187"/>
      <c r="I167" s="7"/>
      <c r="J167" s="7">
        <v>1.6500000000000001E-2</v>
      </c>
      <c r="K167" s="7">
        <v>7.5999999999999998E-2</v>
      </c>
      <c r="L167" s="7">
        <v>0</v>
      </c>
      <c r="M167" s="11">
        <f t="shared" si="2"/>
        <v>0</v>
      </c>
      <c r="N167" s="11">
        <f t="shared" si="3"/>
        <v>0</v>
      </c>
      <c r="O167" s="11">
        <f t="shared" si="4"/>
        <v>0</v>
      </c>
      <c r="P167" s="11">
        <f t="shared" si="16"/>
        <v>0</v>
      </c>
    </row>
    <row r="168" spans="1:16" ht="15" customHeight="1">
      <c r="A168" s="44"/>
      <c r="B168" s="5">
        <f t="shared" si="18"/>
        <v>46023</v>
      </c>
      <c r="C168" s="218" t="s">
        <v>533</v>
      </c>
      <c r="D168" s="195"/>
      <c r="E168" s="186"/>
      <c r="F168" s="2"/>
      <c r="G168" s="3">
        <f t="shared" si="17"/>
        <v>0</v>
      </c>
      <c r="H168" s="187"/>
      <c r="I168" s="7"/>
      <c r="J168" s="7">
        <v>1.6500000000000001E-2</v>
      </c>
      <c r="K168" s="7">
        <v>7.5999999999999998E-2</v>
      </c>
      <c r="L168" s="7">
        <v>0</v>
      </c>
      <c r="M168" s="11">
        <f t="shared" si="2"/>
        <v>0</v>
      </c>
      <c r="N168" s="11">
        <f t="shared" si="3"/>
        <v>0</v>
      </c>
      <c r="O168" s="11">
        <f t="shared" si="4"/>
        <v>0</v>
      </c>
      <c r="P168" s="11">
        <f t="shared" si="16"/>
        <v>0</v>
      </c>
    </row>
    <row r="169" spans="1:16" ht="15" customHeight="1">
      <c r="A169" s="44"/>
      <c r="B169" s="5">
        <f t="shared" si="18"/>
        <v>46023</v>
      </c>
      <c r="C169" s="218" t="s">
        <v>533</v>
      </c>
      <c r="D169" s="195"/>
      <c r="E169" s="186"/>
      <c r="F169" s="2"/>
      <c r="G169" s="3">
        <f t="shared" si="17"/>
        <v>0</v>
      </c>
      <c r="H169" s="187"/>
      <c r="I169" s="7"/>
      <c r="J169" s="7">
        <v>1.6500000000000001E-2</v>
      </c>
      <c r="K169" s="7">
        <v>7.5999999999999998E-2</v>
      </c>
      <c r="L169" s="7">
        <v>0</v>
      </c>
      <c r="M169" s="11">
        <f t="shared" si="2"/>
        <v>0</v>
      </c>
      <c r="N169" s="11">
        <f t="shared" si="3"/>
        <v>0</v>
      </c>
      <c r="O169" s="11">
        <f t="shared" si="4"/>
        <v>0</v>
      </c>
      <c r="P169" s="11">
        <f t="shared" si="16"/>
        <v>0</v>
      </c>
    </row>
    <row r="170" spans="1:16" ht="15" customHeight="1">
      <c r="A170" s="44"/>
      <c r="B170" s="5">
        <f t="shared" si="18"/>
        <v>46023</v>
      </c>
      <c r="C170" s="218" t="s">
        <v>533</v>
      </c>
      <c r="D170" s="195"/>
      <c r="E170" s="186"/>
      <c r="F170" s="2"/>
      <c r="G170" s="3">
        <f t="shared" si="17"/>
        <v>0</v>
      </c>
      <c r="H170" s="187"/>
      <c r="I170" s="7"/>
      <c r="J170" s="7">
        <v>1.6500000000000001E-2</v>
      </c>
      <c r="K170" s="7">
        <v>7.5999999999999998E-2</v>
      </c>
      <c r="L170" s="7">
        <v>0</v>
      </c>
      <c r="M170" s="11">
        <f t="shared" si="2"/>
        <v>0</v>
      </c>
      <c r="N170" s="11">
        <f t="shared" si="3"/>
        <v>0</v>
      </c>
      <c r="O170" s="11">
        <f t="shared" si="4"/>
        <v>0</v>
      </c>
      <c r="P170" s="11">
        <f t="shared" si="16"/>
        <v>0</v>
      </c>
    </row>
    <row r="171" spans="1:16" ht="15" customHeight="1">
      <c r="A171" s="44"/>
      <c r="B171" s="5">
        <f t="shared" si="18"/>
        <v>46023</v>
      </c>
      <c r="C171" s="218" t="s">
        <v>533</v>
      </c>
      <c r="D171" s="195"/>
      <c r="E171" s="186"/>
      <c r="F171" s="2"/>
      <c r="G171" s="3">
        <f t="shared" si="17"/>
        <v>0</v>
      </c>
      <c r="H171" s="187"/>
      <c r="I171" s="7"/>
      <c r="J171" s="7">
        <v>1.6500000000000001E-2</v>
      </c>
      <c r="K171" s="7">
        <v>7.5999999999999998E-2</v>
      </c>
      <c r="L171" s="7">
        <v>0</v>
      </c>
      <c r="M171" s="11">
        <f t="shared" si="2"/>
        <v>0</v>
      </c>
      <c r="N171" s="11">
        <f t="shared" si="3"/>
        <v>0</v>
      </c>
      <c r="O171" s="11">
        <f t="shared" si="4"/>
        <v>0</v>
      </c>
      <c r="P171" s="11">
        <f t="shared" si="16"/>
        <v>0</v>
      </c>
    </row>
    <row r="172" spans="1:16" ht="15" customHeight="1">
      <c r="A172" s="44"/>
      <c r="B172" s="5">
        <f t="shared" si="18"/>
        <v>46023</v>
      </c>
      <c r="C172" s="218" t="s">
        <v>533</v>
      </c>
      <c r="D172" s="195"/>
      <c r="E172" s="186"/>
      <c r="F172" s="2"/>
      <c r="G172" s="3">
        <f t="shared" si="17"/>
        <v>0</v>
      </c>
      <c r="H172" s="187"/>
      <c r="I172" s="7"/>
      <c r="J172" s="7">
        <v>1.6500000000000001E-2</v>
      </c>
      <c r="K172" s="7">
        <v>7.5999999999999998E-2</v>
      </c>
      <c r="L172" s="7">
        <v>0</v>
      </c>
      <c r="M172" s="11">
        <f t="shared" si="2"/>
        <v>0</v>
      </c>
      <c r="N172" s="11">
        <f t="shared" si="3"/>
        <v>0</v>
      </c>
      <c r="O172" s="11">
        <f t="shared" si="4"/>
        <v>0</v>
      </c>
      <c r="P172" s="11">
        <f t="shared" si="16"/>
        <v>0</v>
      </c>
    </row>
    <row r="173" spans="1:16" ht="15" customHeight="1">
      <c r="A173" s="44"/>
      <c r="B173" s="5">
        <f t="shared" si="18"/>
        <v>46023</v>
      </c>
      <c r="C173" s="218" t="s">
        <v>533</v>
      </c>
      <c r="D173" s="195"/>
      <c r="E173" s="186"/>
      <c r="F173" s="2"/>
      <c r="G173" s="3">
        <f t="shared" si="17"/>
        <v>0</v>
      </c>
      <c r="H173" s="187"/>
      <c r="I173" s="7"/>
      <c r="J173" s="7">
        <v>1.6500000000000001E-2</v>
      </c>
      <c r="K173" s="7">
        <v>7.5999999999999998E-2</v>
      </c>
      <c r="L173" s="7">
        <v>0</v>
      </c>
      <c r="M173" s="11">
        <f t="shared" si="2"/>
        <v>0</v>
      </c>
      <c r="N173" s="11">
        <f t="shared" si="3"/>
        <v>0</v>
      </c>
      <c r="O173" s="11">
        <f t="shared" si="4"/>
        <v>0</v>
      </c>
      <c r="P173" s="11">
        <f t="shared" si="16"/>
        <v>0</v>
      </c>
    </row>
    <row r="174" spans="1:16" ht="15" customHeight="1">
      <c r="A174" s="44"/>
      <c r="B174" s="5">
        <f t="shared" si="18"/>
        <v>46023</v>
      </c>
      <c r="C174" s="218" t="s">
        <v>533</v>
      </c>
      <c r="D174" s="195"/>
      <c r="E174" s="186"/>
      <c r="F174" s="2"/>
      <c r="G174" s="3">
        <f t="shared" si="17"/>
        <v>0</v>
      </c>
      <c r="H174" s="187"/>
      <c r="I174" s="7"/>
      <c r="J174" s="7">
        <v>1.6500000000000001E-2</v>
      </c>
      <c r="K174" s="7">
        <v>7.5999999999999998E-2</v>
      </c>
      <c r="L174" s="7">
        <v>0</v>
      </c>
      <c r="M174" s="11">
        <f t="shared" si="2"/>
        <v>0</v>
      </c>
      <c r="N174" s="11">
        <f t="shared" si="3"/>
        <v>0</v>
      </c>
      <c r="O174" s="11">
        <f t="shared" si="4"/>
        <v>0</v>
      </c>
      <c r="P174" s="11">
        <f t="shared" si="16"/>
        <v>0</v>
      </c>
    </row>
    <row r="175" spans="1:16" ht="15" customHeight="1">
      <c r="A175" s="44"/>
      <c r="B175" s="5">
        <f t="shared" si="18"/>
        <v>46023</v>
      </c>
      <c r="C175" s="218" t="s">
        <v>533</v>
      </c>
      <c r="D175" s="195"/>
      <c r="E175" s="186"/>
      <c r="F175" s="2"/>
      <c r="G175" s="3">
        <f t="shared" si="17"/>
        <v>0</v>
      </c>
      <c r="H175" s="187"/>
      <c r="I175" s="7"/>
      <c r="J175" s="7">
        <v>1.6500000000000001E-2</v>
      </c>
      <c r="K175" s="7">
        <v>7.5999999999999998E-2</v>
      </c>
      <c r="L175" s="7">
        <v>0</v>
      </c>
      <c r="M175" s="11">
        <f t="shared" si="2"/>
        <v>0</v>
      </c>
      <c r="N175" s="11">
        <f t="shared" si="3"/>
        <v>0</v>
      </c>
      <c r="O175" s="11">
        <f t="shared" si="4"/>
        <v>0</v>
      </c>
      <c r="P175" s="11">
        <f t="shared" si="16"/>
        <v>0</v>
      </c>
    </row>
    <row r="176" spans="1:16" ht="15" customHeight="1">
      <c r="A176" s="44"/>
      <c r="B176" s="5">
        <f t="shared" si="18"/>
        <v>46023</v>
      </c>
      <c r="C176" s="218" t="s">
        <v>533</v>
      </c>
      <c r="D176" s="195"/>
      <c r="E176" s="186"/>
      <c r="F176" s="2"/>
      <c r="G176" s="3">
        <f t="shared" si="17"/>
        <v>0</v>
      </c>
      <c r="H176" s="187"/>
      <c r="I176" s="7"/>
      <c r="J176" s="7">
        <v>1.6500000000000001E-2</v>
      </c>
      <c r="K176" s="7">
        <v>7.5999999999999998E-2</v>
      </c>
      <c r="L176" s="7">
        <v>0</v>
      </c>
      <c r="M176" s="11">
        <f t="shared" si="2"/>
        <v>0</v>
      </c>
      <c r="N176" s="11">
        <f t="shared" si="3"/>
        <v>0</v>
      </c>
      <c r="O176" s="11">
        <f t="shared" si="4"/>
        <v>0</v>
      </c>
      <c r="P176" s="11">
        <f t="shared" si="16"/>
        <v>0</v>
      </c>
    </row>
    <row r="177" spans="1:16" ht="15" customHeight="1">
      <c r="A177" s="44"/>
      <c r="B177" s="5">
        <f t="shared" si="18"/>
        <v>46023</v>
      </c>
      <c r="C177" s="218" t="s">
        <v>533</v>
      </c>
      <c r="D177" s="195"/>
      <c r="E177" s="186"/>
      <c r="F177" s="2"/>
      <c r="G177" s="3">
        <f t="shared" si="17"/>
        <v>0</v>
      </c>
      <c r="H177" s="187"/>
      <c r="I177" s="7"/>
      <c r="J177" s="7">
        <v>1.6500000000000001E-2</v>
      </c>
      <c r="K177" s="7">
        <v>7.5999999999999998E-2</v>
      </c>
      <c r="L177" s="7">
        <v>0</v>
      </c>
      <c r="M177" s="11">
        <f t="shared" si="2"/>
        <v>0</v>
      </c>
      <c r="N177" s="11">
        <f t="shared" si="3"/>
        <v>0</v>
      </c>
      <c r="O177" s="11">
        <f t="shared" si="4"/>
        <v>0</v>
      </c>
      <c r="P177" s="11">
        <f t="shared" si="16"/>
        <v>0</v>
      </c>
    </row>
    <row r="178" spans="1:16" ht="15" customHeight="1">
      <c r="A178" s="44"/>
      <c r="B178" s="5">
        <f t="shared" si="18"/>
        <v>46023</v>
      </c>
      <c r="C178" s="218" t="s">
        <v>533</v>
      </c>
      <c r="D178" s="195"/>
      <c r="E178" s="186"/>
      <c r="F178" s="2"/>
      <c r="G178" s="3">
        <f t="shared" si="17"/>
        <v>0</v>
      </c>
      <c r="H178" s="187"/>
      <c r="I178" s="7"/>
      <c r="J178" s="7">
        <v>1.6500000000000001E-2</v>
      </c>
      <c r="K178" s="7">
        <v>7.5999999999999998E-2</v>
      </c>
      <c r="L178" s="7">
        <v>0</v>
      </c>
      <c r="M178" s="11">
        <f t="shared" si="2"/>
        <v>0</v>
      </c>
      <c r="N178" s="11">
        <f t="shared" si="3"/>
        <v>0</v>
      </c>
      <c r="O178" s="11">
        <f t="shared" si="4"/>
        <v>0</v>
      </c>
      <c r="P178" s="11">
        <f t="shared" si="16"/>
        <v>0</v>
      </c>
    </row>
    <row r="179" spans="1:16" ht="15" customHeight="1">
      <c r="A179" s="44"/>
      <c r="B179" s="5">
        <f t="shared" si="18"/>
        <v>46023</v>
      </c>
      <c r="C179" s="218" t="s">
        <v>533</v>
      </c>
      <c r="D179" s="195"/>
      <c r="E179" s="186"/>
      <c r="F179" s="2"/>
      <c r="G179" s="3">
        <f t="shared" si="17"/>
        <v>0</v>
      </c>
      <c r="H179" s="187"/>
      <c r="I179" s="7"/>
      <c r="J179" s="7">
        <v>1.6500000000000001E-2</v>
      </c>
      <c r="K179" s="7">
        <v>7.5999999999999998E-2</v>
      </c>
      <c r="L179" s="7">
        <v>0</v>
      </c>
      <c r="M179" s="11">
        <f t="shared" si="2"/>
        <v>0</v>
      </c>
      <c r="N179" s="11">
        <f t="shared" si="3"/>
        <v>0</v>
      </c>
      <c r="O179" s="11">
        <f t="shared" si="4"/>
        <v>0</v>
      </c>
      <c r="P179" s="11">
        <f t="shared" si="16"/>
        <v>0</v>
      </c>
    </row>
    <row r="180" spans="1:16" ht="15" customHeight="1">
      <c r="A180" s="44"/>
      <c r="B180" s="5">
        <f t="shared" si="18"/>
        <v>46023</v>
      </c>
      <c r="C180" s="218" t="s">
        <v>533</v>
      </c>
      <c r="D180" s="195"/>
      <c r="E180" s="186"/>
      <c r="F180" s="2"/>
      <c r="G180" s="3">
        <f t="shared" si="17"/>
        <v>0</v>
      </c>
      <c r="H180" s="187"/>
      <c r="I180" s="7"/>
      <c r="J180" s="7">
        <v>1.6500000000000001E-2</v>
      </c>
      <c r="K180" s="7">
        <v>7.5999999999999998E-2</v>
      </c>
      <c r="L180" s="7">
        <v>0</v>
      </c>
      <c r="M180" s="11">
        <f t="shared" si="2"/>
        <v>0</v>
      </c>
      <c r="N180" s="11">
        <f t="shared" si="3"/>
        <v>0</v>
      </c>
      <c r="O180" s="11">
        <f t="shared" si="4"/>
        <v>0</v>
      </c>
      <c r="P180" s="11">
        <f t="shared" si="16"/>
        <v>0</v>
      </c>
    </row>
    <row r="181" spans="1:16" ht="15" customHeight="1">
      <c r="A181" s="44"/>
      <c r="B181" s="5">
        <f t="shared" si="18"/>
        <v>46023</v>
      </c>
      <c r="C181" s="218" t="s">
        <v>533</v>
      </c>
      <c r="D181" s="195"/>
      <c r="E181" s="186"/>
      <c r="F181" s="2"/>
      <c r="G181" s="3">
        <f t="shared" si="17"/>
        <v>0</v>
      </c>
      <c r="H181" s="187"/>
      <c r="I181" s="7"/>
      <c r="J181" s="7">
        <v>1.6500000000000001E-2</v>
      </c>
      <c r="K181" s="7">
        <v>7.5999999999999998E-2</v>
      </c>
      <c r="L181" s="7">
        <v>0</v>
      </c>
      <c r="M181" s="11">
        <f t="shared" si="2"/>
        <v>0</v>
      </c>
      <c r="N181" s="11">
        <f t="shared" si="3"/>
        <v>0</v>
      </c>
      <c r="O181" s="11">
        <f t="shared" si="4"/>
        <v>0</v>
      </c>
      <c r="P181" s="11">
        <f t="shared" si="16"/>
        <v>0</v>
      </c>
    </row>
    <row r="182" spans="1:16" ht="15" customHeight="1">
      <c r="A182" s="44"/>
      <c r="B182" s="5">
        <f t="shared" si="18"/>
        <v>46023</v>
      </c>
      <c r="C182" s="218" t="s">
        <v>533</v>
      </c>
      <c r="D182" s="195"/>
      <c r="E182" s="186"/>
      <c r="F182" s="2"/>
      <c r="G182" s="3">
        <f t="shared" si="17"/>
        <v>0</v>
      </c>
      <c r="H182" s="187"/>
      <c r="I182" s="7"/>
      <c r="J182" s="7">
        <v>1.6500000000000001E-2</v>
      </c>
      <c r="K182" s="7">
        <v>7.5999999999999998E-2</v>
      </c>
      <c r="L182" s="7">
        <v>0</v>
      </c>
      <c r="M182" s="11">
        <f t="shared" si="2"/>
        <v>0</v>
      </c>
      <c r="N182" s="11">
        <f t="shared" si="3"/>
        <v>0</v>
      </c>
      <c r="O182" s="11">
        <f t="shared" si="4"/>
        <v>0</v>
      </c>
      <c r="P182" s="11">
        <f t="shared" si="16"/>
        <v>0</v>
      </c>
    </row>
    <row r="183" spans="1:16">
      <c r="B183" s="5"/>
      <c r="C183" s="1"/>
      <c r="E183" s="1"/>
      <c r="F183" s="2"/>
      <c r="G183" s="4"/>
      <c r="H183" s="4"/>
      <c r="I183" s="7"/>
      <c r="J183" s="7"/>
      <c r="K183" s="7"/>
      <c r="L183" s="7"/>
    </row>
    <row r="184" spans="1:16">
      <c r="E184" s="28">
        <f>SUM(E18:E182)</f>
        <v>17713</v>
      </c>
      <c r="F184" s="133"/>
      <c r="G184" s="29">
        <f>SUM(G18:G182)</f>
        <v>1944914.1982297502</v>
      </c>
    </row>
    <row r="185" spans="1:16">
      <c r="E185" s="137"/>
      <c r="F185" s="41"/>
    </row>
    <row r="186" spans="1:16" ht="15.75" thickBot="1"/>
    <row r="187" spans="1:16">
      <c r="B187" s="391" t="s">
        <v>1117</v>
      </c>
      <c r="C187" s="383"/>
      <c r="D187" s="383"/>
      <c r="E187" s="383"/>
      <c r="F187" s="383"/>
      <c r="G187" s="383"/>
      <c r="H187" s="383"/>
      <c r="I187" s="383"/>
      <c r="J187" s="383"/>
      <c r="K187" s="383"/>
      <c r="L187" s="383"/>
      <c r="M187" s="383"/>
      <c r="N187" s="383"/>
      <c r="O187" s="384"/>
    </row>
    <row r="188" spans="1:16">
      <c r="B188" s="385"/>
      <c r="C188" s="386"/>
      <c r="D188" s="386"/>
      <c r="E188" s="386"/>
      <c r="F188" s="386"/>
      <c r="G188" s="386"/>
      <c r="H188" s="386"/>
      <c r="I188" s="386"/>
      <c r="J188" s="386"/>
      <c r="K188" s="386"/>
      <c r="L188" s="386"/>
      <c r="M188" s="386"/>
      <c r="N188" s="386"/>
      <c r="O188" s="387"/>
    </row>
    <row r="189" spans="1:16">
      <c r="B189" s="385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7"/>
    </row>
    <row r="190" spans="1:16">
      <c r="B190" s="385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7"/>
    </row>
    <row r="191" spans="1:16" ht="27" customHeight="1">
      <c r="B191" s="385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7"/>
    </row>
    <row r="192" spans="1:16" ht="44.25" customHeight="1" thickBot="1">
      <c r="B192" s="388"/>
      <c r="C192" s="389"/>
      <c r="D192" s="389"/>
      <c r="E192" s="389"/>
      <c r="F192" s="389"/>
      <c r="G192" s="389"/>
      <c r="H192" s="389"/>
      <c r="I192" s="389"/>
      <c r="J192" s="389"/>
      <c r="K192" s="389"/>
      <c r="L192" s="389"/>
      <c r="M192" s="389"/>
      <c r="N192" s="389"/>
      <c r="O192" s="390"/>
    </row>
    <row r="203" spans="5:5">
      <c r="E203" s="19"/>
    </row>
    <row r="204" spans="5:5">
      <c r="E204" s="19"/>
    </row>
  </sheetData>
  <mergeCells count="3">
    <mergeCell ref="C2:M2"/>
    <mergeCell ref="M16:P16"/>
    <mergeCell ref="B187:O192"/>
  </mergeCells>
  <conditionalFormatting sqref="D1:D1048576">
    <cfRule type="duplicateValues" dxfId="16" priority="1"/>
    <cfRule type="duplicateValues" dxfId="15" priority="2"/>
  </conditionalFormatting>
  <conditionalFormatting sqref="D7">
    <cfRule type="duplicateValues" dxfId="14" priority="5"/>
  </conditionalFormatting>
  <conditionalFormatting sqref="D18:D54">
    <cfRule type="duplicateValues" dxfId="13" priority="4"/>
  </conditionalFormatting>
  <conditionalFormatting sqref="D186:D1048576 D1:D184">
    <cfRule type="duplicateValues" dxfId="12" priority="3"/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S81"/>
  <sheetViews>
    <sheetView showGridLines="0" zoomScaleNormal="100" workbookViewId="0">
      <pane xSplit="2" ySplit="4" topLeftCell="AV5" activePane="bottomRight" state="frozen"/>
      <selection activeCell="AQ10" sqref="AQ10"/>
      <selection pane="topRight" activeCell="AQ10" sqref="AQ10"/>
      <selection pane="bottomLeft" activeCell="AQ10" sqref="AQ10"/>
      <selection pane="bottomRight" activeCell="BC16" sqref="BC16"/>
    </sheetView>
  </sheetViews>
  <sheetFormatPr defaultColWidth="9.140625" defaultRowHeight="15"/>
  <cols>
    <col min="1" max="1" width="1.85546875" customWidth="1"/>
    <col min="2" max="2" width="61.5703125" customWidth="1"/>
    <col min="3" max="3" width="28.140625" customWidth="1"/>
    <col min="4" max="4" width="26.42578125" customWidth="1"/>
    <col min="5" max="5" width="25.5703125" customWidth="1"/>
    <col min="6" max="6" width="25.7109375" customWidth="1"/>
    <col min="7" max="7" width="25.140625" customWidth="1"/>
    <col min="8" max="8" width="23.85546875" customWidth="1"/>
    <col min="9" max="9" width="24.5703125" customWidth="1"/>
    <col min="10" max="10" width="24.42578125" customWidth="1"/>
    <col min="11" max="11" width="25.5703125" customWidth="1"/>
    <col min="12" max="12" width="25.28515625" customWidth="1"/>
    <col min="13" max="13" width="24.5703125" customWidth="1"/>
    <col min="14" max="14" width="23.85546875" customWidth="1"/>
    <col min="15" max="15" width="24.7109375" style="159" customWidth="1"/>
    <col min="16" max="16" width="23.28515625" style="159" customWidth="1"/>
    <col min="17" max="17" width="23" customWidth="1"/>
    <col min="18" max="18" width="23.28515625" customWidth="1"/>
    <col min="19" max="19" width="28.42578125" customWidth="1"/>
    <col min="20" max="20" width="22.85546875" customWidth="1"/>
    <col min="21" max="21" width="22.140625" customWidth="1"/>
    <col min="22" max="22" width="27.7109375" customWidth="1"/>
    <col min="23" max="23" width="22.42578125" customWidth="1"/>
    <col min="24" max="24" width="21.85546875" customWidth="1"/>
    <col min="25" max="25" width="24.28515625" customWidth="1"/>
    <col min="26" max="26" width="23" customWidth="1"/>
    <col min="27" max="27" width="23.42578125" customWidth="1"/>
    <col min="28" max="28" width="23.28515625" customWidth="1"/>
    <col min="29" max="29" width="24.7109375" customWidth="1"/>
    <col min="30" max="30" width="23.140625" customWidth="1"/>
    <col min="31" max="33" width="23.85546875" customWidth="1"/>
    <col min="34" max="34" width="22.85546875" bestFit="1" customWidth="1"/>
    <col min="35" max="35" width="23.28515625" bestFit="1" customWidth="1"/>
    <col min="36" max="36" width="22.85546875" bestFit="1" customWidth="1"/>
    <col min="37" max="37" width="22" bestFit="1" customWidth="1"/>
    <col min="38" max="38" width="24.5703125" bestFit="1" customWidth="1"/>
    <col min="39" max="39" width="22" bestFit="1" customWidth="1"/>
    <col min="40" max="40" width="20.5703125" bestFit="1" customWidth="1"/>
    <col min="41" max="41" width="21.7109375" bestFit="1" customWidth="1"/>
    <col min="42" max="42" width="23.5703125" bestFit="1" customWidth="1"/>
    <col min="43" max="43" width="21.7109375" bestFit="1" customWidth="1"/>
    <col min="44" max="44" width="22" bestFit="1" customWidth="1"/>
    <col min="45" max="46" width="17" bestFit="1" customWidth="1"/>
    <col min="47" max="50" width="16.85546875" bestFit="1" customWidth="1"/>
    <col min="51" max="51" width="15.85546875" bestFit="1" customWidth="1"/>
    <col min="52" max="71" width="11.85546875" bestFit="1" customWidth="1"/>
  </cols>
  <sheetData>
    <row r="1" spans="2:71">
      <c r="AP1" s="252"/>
      <c r="AQ1" s="252"/>
      <c r="AR1" s="252"/>
    </row>
    <row r="3" spans="2:71" ht="18.75">
      <c r="B3" s="253" t="s">
        <v>182</v>
      </c>
      <c r="C3" s="254">
        <v>44562</v>
      </c>
      <c r="D3" s="254">
        <v>44593</v>
      </c>
      <c r="E3" s="254">
        <v>44621</v>
      </c>
      <c r="F3" s="254">
        <v>44652</v>
      </c>
      <c r="G3" s="254">
        <v>44682</v>
      </c>
      <c r="H3" s="254">
        <v>44713</v>
      </c>
      <c r="I3" s="254">
        <v>44743</v>
      </c>
      <c r="J3" s="254">
        <v>44774</v>
      </c>
      <c r="K3" s="254">
        <v>44805</v>
      </c>
      <c r="L3" s="254">
        <v>44835</v>
      </c>
      <c r="M3" s="254">
        <v>44866</v>
      </c>
      <c r="N3" s="254">
        <v>44896</v>
      </c>
      <c r="O3" s="255">
        <v>44927</v>
      </c>
      <c r="P3" s="255">
        <v>44958</v>
      </c>
      <c r="Q3" s="255">
        <v>44986</v>
      </c>
      <c r="R3" s="255">
        <v>45017</v>
      </c>
      <c r="S3" s="255">
        <v>45047</v>
      </c>
      <c r="T3" s="255">
        <v>45078</v>
      </c>
      <c r="U3" s="254">
        <v>45108</v>
      </c>
      <c r="V3" s="254">
        <v>45139</v>
      </c>
      <c r="W3" s="254">
        <v>45170</v>
      </c>
      <c r="X3" s="254">
        <v>45200</v>
      </c>
      <c r="Y3" s="254">
        <v>45231</v>
      </c>
      <c r="Z3" s="254">
        <v>45261</v>
      </c>
      <c r="AA3" s="254">
        <v>45292</v>
      </c>
      <c r="AB3" s="254">
        <v>45323</v>
      </c>
      <c r="AC3" s="254">
        <v>45352</v>
      </c>
      <c r="AD3" s="254">
        <v>45383</v>
      </c>
      <c r="AE3" s="254">
        <v>45413</v>
      </c>
      <c r="AF3" s="254">
        <v>45444</v>
      </c>
      <c r="AG3" s="254">
        <v>45474</v>
      </c>
      <c r="AH3" s="254">
        <v>45505</v>
      </c>
      <c r="AI3" s="254">
        <v>45536</v>
      </c>
      <c r="AJ3" s="254">
        <v>45566</v>
      </c>
      <c r="AK3" s="254">
        <v>45597</v>
      </c>
      <c r="AL3" s="254">
        <v>45627</v>
      </c>
      <c r="AM3" s="254">
        <v>45658</v>
      </c>
      <c r="AN3" s="254">
        <v>45689</v>
      </c>
      <c r="AO3" s="254">
        <v>45717</v>
      </c>
      <c r="AP3" s="254">
        <v>45748</v>
      </c>
      <c r="AQ3" s="254">
        <v>45778</v>
      </c>
      <c r="AR3" s="254">
        <v>45809</v>
      </c>
      <c r="AS3" s="254">
        <v>45839</v>
      </c>
      <c r="AT3" s="254">
        <v>45870</v>
      </c>
      <c r="AU3" s="254">
        <v>45901</v>
      </c>
      <c r="AV3" s="254">
        <v>45931</v>
      </c>
      <c r="AW3" s="254">
        <v>45962</v>
      </c>
      <c r="AX3" s="254">
        <v>45992</v>
      </c>
      <c r="AY3" s="254">
        <v>46023</v>
      </c>
      <c r="AZ3" s="254">
        <v>46054</v>
      </c>
      <c r="BA3" s="254">
        <v>46082</v>
      </c>
      <c r="BB3" s="254">
        <v>46113</v>
      </c>
      <c r="BC3" s="254">
        <v>46143</v>
      </c>
      <c r="BD3" s="254">
        <v>46174</v>
      </c>
      <c r="BE3" s="254">
        <v>46204</v>
      </c>
      <c r="BF3" s="254">
        <v>46235</v>
      </c>
      <c r="BG3" s="254">
        <v>46266</v>
      </c>
      <c r="BH3" s="254">
        <v>46296</v>
      </c>
      <c r="BI3" s="254">
        <v>46327</v>
      </c>
      <c r="BJ3" s="254">
        <v>46357</v>
      </c>
      <c r="BK3" s="254">
        <v>46388</v>
      </c>
      <c r="BL3" s="254">
        <v>46419</v>
      </c>
      <c r="BM3" s="254">
        <v>46447</v>
      </c>
      <c r="BN3" s="254">
        <v>46478</v>
      </c>
      <c r="BO3" s="254">
        <v>46508</v>
      </c>
      <c r="BP3" s="254">
        <v>46539</v>
      </c>
      <c r="BQ3" s="254">
        <v>46569</v>
      </c>
      <c r="BR3" s="254">
        <v>46600</v>
      </c>
      <c r="BS3" s="254">
        <v>46631</v>
      </c>
    </row>
    <row r="4" spans="2:71" ht="16.5" thickBot="1">
      <c r="B4" s="256" t="s">
        <v>183</v>
      </c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8"/>
      <c r="P4" s="258"/>
      <c r="Q4" s="258"/>
      <c r="R4" s="259"/>
      <c r="S4" s="259"/>
      <c r="T4" s="259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7"/>
      <c r="AM4" s="257"/>
      <c r="AN4" s="257"/>
      <c r="AO4" s="257"/>
      <c r="AP4" s="257"/>
      <c r="AQ4" s="257"/>
      <c r="AR4" s="257"/>
      <c r="AS4" s="257"/>
      <c r="AT4" s="257"/>
      <c r="AU4" s="257"/>
      <c r="AV4" s="257"/>
      <c r="AW4" s="257"/>
      <c r="AX4" s="257"/>
      <c r="AY4" s="257"/>
      <c r="AZ4" s="257"/>
      <c r="BA4" s="257"/>
      <c r="BB4" s="257"/>
      <c r="BC4" s="257"/>
      <c r="BD4" s="257"/>
      <c r="BE4" s="257"/>
      <c r="BF4" s="257"/>
      <c r="BG4" s="257"/>
      <c r="BH4" s="257"/>
      <c r="BI4" s="257"/>
      <c r="BJ4" s="257"/>
      <c r="BK4" s="257"/>
      <c r="BL4" s="257"/>
      <c r="BM4" s="257"/>
      <c r="BN4" s="257"/>
      <c r="BO4" s="257"/>
      <c r="BP4" s="257"/>
      <c r="BQ4" s="257"/>
      <c r="BR4" s="257"/>
      <c r="BS4" s="257"/>
    </row>
    <row r="5" spans="2:71" ht="15.75" thickTop="1">
      <c r="B5" s="260" t="s">
        <v>184</v>
      </c>
      <c r="C5" s="261">
        <f>+[1]Compra!C20</f>
        <v>51235311.235210001</v>
      </c>
      <c r="D5" s="261">
        <f>+[1]Compra!D20</f>
        <v>47584516</v>
      </c>
      <c r="E5" s="261">
        <f>+[1]Compra!E20</f>
        <v>53085048</v>
      </c>
      <c r="F5" s="261">
        <f>+[1]Compra!F20</f>
        <v>51281315</v>
      </c>
      <c r="G5" s="261">
        <f>+[1]Compra!G20</f>
        <v>52964161</v>
      </c>
      <c r="H5" s="261">
        <f>+[1]Compra!H20</f>
        <v>51923544</v>
      </c>
      <c r="I5" s="261">
        <f>+[1]Compra!I20</f>
        <v>51051841</v>
      </c>
      <c r="J5" s="261">
        <f>+[1]Compra!J20</f>
        <v>49323507</v>
      </c>
      <c r="K5" s="261">
        <f>+[1]Compra!K20</f>
        <v>52436099</v>
      </c>
      <c r="L5" s="261">
        <f>+[1]Compra!L20</f>
        <v>54048080</v>
      </c>
      <c r="M5" s="261">
        <f>+[1]Compra!M20</f>
        <v>49549904</v>
      </c>
      <c r="N5" s="261">
        <f>+[1]Compra!N20</f>
        <v>48255601</v>
      </c>
      <c r="O5" s="262">
        <f>[2]Compra!C20</f>
        <v>44009944</v>
      </c>
      <c r="P5" s="262">
        <f>[2]Compra!D20</f>
        <v>44641552</v>
      </c>
      <c r="Q5" s="262">
        <f>[2]Compra!E20</f>
        <v>49320186</v>
      </c>
      <c r="R5" s="262">
        <f>[2]Compra!F20</f>
        <v>46355337</v>
      </c>
      <c r="S5" s="262">
        <f>[2]Compra!G20</f>
        <v>48479236.342</v>
      </c>
      <c r="T5" s="262">
        <f>[2]Compra!H20</f>
        <v>46798584</v>
      </c>
      <c r="U5" s="262">
        <f>[2]Compra!I20</f>
        <v>46927828.036300004</v>
      </c>
      <c r="V5" s="262">
        <f>[2]Compra!J20</f>
        <v>46866572</v>
      </c>
      <c r="W5" s="262">
        <f>[2]Compra!K20</f>
        <v>47663796</v>
      </c>
      <c r="X5" s="262">
        <f>[2]Compra!L20</f>
        <v>51009064</v>
      </c>
      <c r="Y5" s="262">
        <f>[2]Compra!M20</f>
        <v>45060079.5</v>
      </c>
      <c r="Z5" s="262">
        <f>[2]Compra!N20</f>
        <v>46452468</v>
      </c>
      <c r="AA5" s="262">
        <f>[3]Compra!C20</f>
        <v>43094408</v>
      </c>
      <c r="AB5" s="262">
        <f>[3]Compra!D20</f>
        <v>44372393.793999992</v>
      </c>
      <c r="AC5" s="262">
        <f>[3]Compra!E20</f>
        <v>45603526.255900003</v>
      </c>
      <c r="AD5" s="262">
        <f>[3]Compra!F20</f>
        <v>47599127.3675</v>
      </c>
      <c r="AE5" s="262">
        <f>[3]Compra!G20</f>
        <v>49376568.5427</v>
      </c>
      <c r="AF5" s="262">
        <f>[3]Compra!H20</f>
        <v>48982226.816699997</v>
      </c>
      <c r="AG5" s="262">
        <f>[3]Compra!I20</f>
        <v>48819772.442499995</v>
      </c>
      <c r="AH5" s="262">
        <f>[3]Compra!J20</f>
        <v>48914192.417799994</v>
      </c>
      <c r="AI5" s="262">
        <f>[3]Compra!K20</f>
        <v>44482045.218999997</v>
      </c>
      <c r="AJ5" s="262">
        <f>[3]Compra!L20</f>
        <v>47407026.880000003</v>
      </c>
      <c r="AK5" s="262">
        <f>[3]Compra!M20</f>
        <v>46560039.049999997</v>
      </c>
      <c r="AL5" s="262">
        <f>[3]Compra!N20</f>
        <v>46138694.089999996</v>
      </c>
      <c r="AM5" s="262">
        <f>[4]Compra!C20</f>
        <v>41183207.560000002</v>
      </c>
      <c r="AN5" s="262">
        <f>[4]Compra!D20</f>
        <v>41080237.939999998</v>
      </c>
      <c r="AO5" s="262">
        <f>[4]Compra!E20</f>
        <v>43805960.410000004</v>
      </c>
      <c r="AP5" s="262">
        <f>[4]Compra!F20</f>
        <v>43955288.099999994</v>
      </c>
      <c r="AQ5" s="262">
        <f>[4]Compra!G20</f>
        <v>42682638.210000001</v>
      </c>
      <c r="AR5" s="262">
        <f>[4]Compra!H20</f>
        <v>40086417.329999998</v>
      </c>
      <c r="AS5" s="262">
        <f>[4]Compra!I20</f>
        <v>46165543.689999998</v>
      </c>
      <c r="AT5" s="262">
        <f>[4]Compra!J20</f>
        <v>46040001.68</v>
      </c>
      <c r="AU5" s="262">
        <f>[4]Compra!K20</f>
        <v>44425807.614000008</v>
      </c>
      <c r="AV5" s="262">
        <f>[4]Compra!L20</f>
        <v>45921192.118000001</v>
      </c>
      <c r="AW5" s="262">
        <f>[4]Compra!M20</f>
        <v>44249720.068999998</v>
      </c>
      <c r="AX5" s="262">
        <f>[4]Compra!N20</f>
        <v>42441219.93</v>
      </c>
      <c r="AY5" s="263"/>
      <c r="AZ5" s="263"/>
      <c r="BA5" s="263"/>
      <c r="BB5" s="263"/>
      <c r="BC5" s="263"/>
      <c r="BD5" s="263"/>
      <c r="BE5" s="263"/>
      <c r="BF5" s="263"/>
      <c r="BG5" s="263"/>
      <c r="BH5" s="263"/>
      <c r="BI5" s="263"/>
      <c r="BJ5" s="263"/>
      <c r="BK5" s="263"/>
      <c r="BL5" s="263"/>
      <c r="BM5" s="263"/>
      <c r="BN5" s="263"/>
      <c r="BO5" s="263"/>
      <c r="BP5" s="263"/>
      <c r="BQ5" s="263"/>
      <c r="BR5" s="263"/>
      <c r="BS5" s="263"/>
    </row>
    <row r="6" spans="2:71" hidden="1">
      <c r="B6" s="264" t="s">
        <v>185</v>
      </c>
      <c r="C6" s="265">
        <f ca="1">SUMIF('jan22'!$C$17:$E$34,"Shell",'jan22'!$E$17:$E$34)</f>
        <v>26905255.235209998</v>
      </c>
      <c r="D6" s="265">
        <f ca="1">SUMIF('fev22'!$C$17:$E$34,"Shell",'fev22'!$E$17:$E$34)</f>
        <v>22919983</v>
      </c>
      <c r="E6" s="265">
        <f ca="1">SUMIF('mar22'!$C$17:$E$40,"Shell",'mar22'!$E$17:$E$40)</f>
        <v>25482782</v>
      </c>
      <c r="F6" s="265">
        <f ca="1">SUMIF('abr22'!$C$17:$E$40,"Shell",'abr22'!$E$17:$E$40)</f>
        <v>24763368</v>
      </c>
      <c r="G6" s="265">
        <f ca="1">SUMIF('mai22'!$C$17:$E$40,"Shell",'mai22'!$E$17:$E$40)</f>
        <v>25523958</v>
      </c>
      <c r="H6" s="265">
        <f ca="1">SUMIF('jun22'!$C$17:$E$42,"Shell",'jun22'!$E$17:$E$42)</f>
        <v>24961813</v>
      </c>
      <c r="I6" s="265">
        <f ca="1">SUMIF('jul22'!$C$17:$E$42,"Shell",'jul22'!$E$17:$E$42)</f>
        <v>24838604</v>
      </c>
      <c r="J6" s="265">
        <f ca="1">SUMIF('ago22'!$C$17:$E$42,"Shell",'ago22'!$E$17:$E$42)</f>
        <v>23937439</v>
      </c>
      <c r="K6" s="265">
        <f ca="1">SUMIF('set22'!$C$17:$E$43,"Shell",'set22'!$E$17:$E$43)</f>
        <v>27183472</v>
      </c>
      <c r="L6" s="265">
        <f ca="1">SUMIF('Out22'!$C$17:$E$43,"Shell",'Out22'!$E$17:$E$43)</f>
        <v>28457289</v>
      </c>
      <c r="M6" s="265">
        <f ca="1">SUMIF('Nov22'!$C$17:$E$43,"Shell",'Nov22'!$E$17:$E$43)</f>
        <v>24099191</v>
      </c>
      <c r="N6" s="265">
        <f ca="1">SUMIF('Dez22'!$C$17:$E$43,"Shell",'Dez22'!$E$17:$E$43)</f>
        <v>23188293</v>
      </c>
      <c r="O6" s="266">
        <f ca="1">SUMIF('Jan23'!$C$17:$E$43,"Shell",'Jan23'!$E$17:$E$43)</f>
        <v>30256043</v>
      </c>
      <c r="P6" s="266">
        <f ca="1">SUMIF('Fev23'!$C$17:$E$32,"Shell",'Fev23'!$E$17:$E$32)</f>
        <v>29113490</v>
      </c>
      <c r="Q6" s="266">
        <f ca="1">SUMIF('Mar23'!$C$17:$E$39,"Shell",'Mar23'!$E$17:$E$39)</f>
        <v>32889497</v>
      </c>
      <c r="R6" s="266">
        <f ca="1">SUMIF('Abr23'!$C$17:$E$39,"Shell",'Abr23'!$E$17:$E$39)</f>
        <v>33334363</v>
      </c>
      <c r="S6" s="266">
        <f ca="1">SUMIF('Mai23'!$C$18:$E$41,"Shell",'Mai23'!$E$18:$E$41)</f>
        <v>32101693.342</v>
      </c>
      <c r="T6" s="266">
        <f ca="1">SUMIF('Jun23'!$C$18:$E$40,"Shell",'Jun23'!$E$18:$E$40)</f>
        <v>31072406</v>
      </c>
      <c r="U6" s="266">
        <f ca="1">SUMIF('Jul23'!$C$18:$E$40,"Shell",'Jul23'!$E$18:$E$40)</f>
        <v>32022892.0363</v>
      </c>
      <c r="V6" s="266">
        <f ca="1">SUMIF('Ago23'!$C$18:$E$40,"Shell",'Ago23'!$E$18:$E$40)</f>
        <v>37577305</v>
      </c>
      <c r="W6" s="266">
        <f ca="1">SUMIF('Set23'!$C$18:$E$40,"Shell",'Set23'!$E$18:$E$40)</f>
        <v>32374317</v>
      </c>
      <c r="X6" s="266">
        <f ca="1">SUMIF('Out23'!$C$18:$E$40,"Shell",'Out23'!$E$18:$E$40)</f>
        <v>32633569</v>
      </c>
      <c r="Y6" s="266">
        <f ca="1">SUMIF('Nov23'!$C$18:$E$40,"Shell",'Nov23'!$E$18:$E$40)</f>
        <v>30360401</v>
      </c>
      <c r="Z6" s="266">
        <f ca="1">SUMIF('Dez23'!$C$18:$E$40,"Shell",'Dez23'!$E$18:$E$40)</f>
        <v>31810809</v>
      </c>
      <c r="AA6" s="266">
        <f ca="1">SUMIF('Jan24'!$C$18:$E$39,"Shell",'Jan24'!$E$18:$E$39)</f>
        <v>0</v>
      </c>
      <c r="AB6" s="266"/>
      <c r="AC6" s="266"/>
      <c r="AD6" s="266"/>
      <c r="AE6" s="266"/>
      <c r="AF6" s="266"/>
      <c r="AG6" s="266"/>
      <c r="AH6" s="267"/>
      <c r="AI6" s="267"/>
      <c r="AJ6" s="267"/>
      <c r="AK6" s="267"/>
      <c r="AL6" s="267"/>
      <c r="AM6" s="267"/>
      <c r="AN6" s="267"/>
      <c r="AO6" s="267"/>
      <c r="AP6" s="267"/>
      <c r="AQ6" s="267"/>
      <c r="AR6" s="267"/>
      <c r="AS6" s="267"/>
      <c r="AT6" s="267"/>
      <c r="AU6" s="267"/>
      <c r="AV6" s="267"/>
      <c r="AW6" s="267"/>
      <c r="AX6" s="267"/>
      <c r="AY6" s="264"/>
      <c r="AZ6" s="264"/>
      <c r="BA6" s="264"/>
      <c r="BB6" s="264"/>
      <c r="BC6" s="264"/>
      <c r="BD6" s="264"/>
      <c r="BE6" s="264"/>
      <c r="BF6" s="264"/>
      <c r="BG6" s="264"/>
      <c r="BH6" s="264"/>
      <c r="BI6" s="264"/>
      <c r="BJ6" s="264"/>
      <c r="BK6" s="264"/>
      <c r="BL6" s="264"/>
      <c r="BM6" s="264"/>
      <c r="BN6" s="264"/>
      <c r="BO6" s="264"/>
      <c r="BP6" s="264"/>
      <c r="BQ6" s="264"/>
      <c r="BR6" s="264"/>
      <c r="BS6" s="264"/>
    </row>
    <row r="7" spans="2:71" hidden="1">
      <c r="B7" s="238" t="s">
        <v>186</v>
      </c>
      <c r="C7" s="268">
        <f ca="1">SUMIF('jan22'!$C$17:$F$34,"Shell",'jan22'!$G$17:$G$34)</f>
        <v>55307815.538233496</v>
      </c>
      <c r="D7" s="268">
        <f ca="1">SUMIF('fev22'!$C$17:$F$34,"Shell",'fev22'!$G$17:$G$34)</f>
        <v>39422466.344126254</v>
      </c>
      <c r="E7" s="268">
        <f ca="1">SUMIF('mar22'!$C$17:$F$40,"Shell",'mar22'!$G$17:$G$40)</f>
        <v>43830491.315638497</v>
      </c>
      <c r="F7" s="268">
        <f ca="1">SUMIF('abr22'!$C$17:$F$40,"Shell",'abr22'!$G$17:$G$40)</f>
        <v>42593514.225520499</v>
      </c>
      <c r="G7" s="268">
        <f ca="1">SUMIF('mai22'!$C$17:$F$40,"Shell",'mai22'!$G$17:$G$40)</f>
        <v>49892459.116301998</v>
      </c>
      <c r="H7" s="268">
        <f ca="1">SUMIF('jun22'!$C$17:$F$42,"Shell",'jun22'!$G$17:$G$42)</f>
        <v>48793617.144582748</v>
      </c>
      <c r="I7" s="268">
        <f ca="1">SUMIF('jul22'!$C$17:$F$42,"Shell",'jul22'!$G$17:$G$42)</f>
        <v>48552779.332975507</v>
      </c>
      <c r="J7" s="268">
        <f ca="1">SUMIF('ago22'!$C$17:$F$42,"Shell",'ago22'!$G$17:$G$42)</f>
        <v>54904606.232099995</v>
      </c>
      <c r="K7" s="268">
        <f ca="1">SUMIF('set22'!$C$17:$F$43,"Shell",'set22'!$G$17:$G$43)</f>
        <v>62349937.530499995</v>
      </c>
      <c r="L7" s="268">
        <f ca="1">SUMIF('Out22'!$C$17:$F$43,"Shell",'Out22'!$G$17:$G$43)</f>
        <v>65271654.467599988</v>
      </c>
      <c r="M7" s="268">
        <f ca="1">SUMIF('Nov22'!$C$17:$F$43,"Shell",'Nov22'!$G$17:$G$43)</f>
        <v>53914925.308612496</v>
      </c>
      <c r="N7" s="268">
        <f ca="1">SUMIF('Dez22'!$C$17:$F$43,"Shell",'Dez22'!$G$17:$G$43)</f>
        <v>51877056.167342998</v>
      </c>
      <c r="O7" s="269">
        <f ca="1">SUMIF('Jan23'!$C$17:$F$43,"Shell",'Jan23'!$G$17:$G$43)</f>
        <v>68419400.417799756</v>
      </c>
      <c r="P7" s="269">
        <f ca="1">SUMIF('Fev23'!$C$17:$F$32,"Shell",'Fev23'!$G$17:$G$32)</f>
        <v>52944486.630205497</v>
      </c>
      <c r="Q7" s="269">
        <f ca="1">SUMIF('Mar23'!$C$17:$F$39,"Shell",'Mar23'!$G$17:$G$39)</f>
        <v>59863931.908382259</v>
      </c>
      <c r="R7" s="269">
        <f ca="1">SUMIF('Abr23'!$C$17:$F$39,"Shell",'Abr23'!$G$17:$G$39)</f>
        <v>60610530.203808755</v>
      </c>
      <c r="S7" s="269">
        <f ca="1">SUMIF('Mai23'!$C$18:$F$41,"Shell",'Mai23'!$G$18:$G$41)</f>
        <v>45098781.211736999</v>
      </c>
      <c r="T7" s="269">
        <f ca="1">SUMIF('Jun23'!$C$18:$F$40,"Shell",'Jun23'!$G$18:$G$40)</f>
        <v>43652239.406968497</v>
      </c>
      <c r="U7" s="269">
        <f ca="1">SUMIF('Jul23'!$C$18:$F$40,"Shell",'Jul23'!$G$18:$G$40)</f>
        <v>44989967.295553498</v>
      </c>
      <c r="V7" s="269">
        <f ca="1">SUMIF('Ago23'!$C$18:$F$40,"Shell",'Ago23'!$G$18:$G$40)</f>
        <v>53552777.087749496</v>
      </c>
      <c r="W7" s="269">
        <f ca="1">SUMIF('Set23'!$C$18:$F$40,"Shell",'Set23'!$G$18:$G$40)</f>
        <v>46136171.236889243</v>
      </c>
      <c r="X7" s="269">
        <f ca="1">SUMIF('Out23'!$C$18:$F$40,"Shell",'Out23'!$G$18:$G$40)</f>
        <v>46505627.513235003</v>
      </c>
      <c r="Y7" s="269">
        <f ca="1">SUMIF('Nov23'!$C$18:$F$40,"Shell",'Nov23'!$G$18:$G$40)</f>
        <v>48073890.835921496</v>
      </c>
      <c r="Z7" s="269">
        <f ca="1">SUMIF('Dez23'!$C$18:$F$40,"Shell",'Dez23'!$G$18:$G$40)</f>
        <v>50372405.046512999</v>
      </c>
      <c r="AA7" s="269">
        <f ca="1">SUMIF('Jan24'!$C$18:$F$39,"Shell",'Jan24'!$G$18:$G$39)</f>
        <v>0</v>
      </c>
      <c r="AB7" s="269"/>
      <c r="AC7" s="269"/>
      <c r="AD7" s="269"/>
      <c r="AE7" s="269"/>
      <c r="AF7" s="269"/>
      <c r="AG7" s="269"/>
      <c r="AH7" s="270"/>
      <c r="AI7" s="270"/>
      <c r="AJ7" s="270"/>
      <c r="AK7" s="270"/>
      <c r="AL7" s="270"/>
      <c r="AM7" s="270"/>
      <c r="AN7" s="270"/>
      <c r="AO7" s="270"/>
      <c r="AP7" s="270"/>
      <c r="AQ7" s="270"/>
      <c r="AR7" s="270"/>
      <c r="AS7" s="270"/>
      <c r="AT7" s="270"/>
      <c r="AU7" s="270"/>
      <c r="AV7" s="270"/>
      <c r="AW7" s="270"/>
      <c r="AX7" s="270"/>
      <c r="AY7" s="238"/>
      <c r="AZ7" s="238"/>
      <c r="BA7" s="238"/>
      <c r="BB7" s="238"/>
      <c r="BC7" s="238"/>
      <c r="BD7" s="238"/>
      <c r="BE7" s="238"/>
      <c r="BF7" s="238"/>
      <c r="BG7" s="238"/>
      <c r="BH7" s="238"/>
      <c r="BI7" s="238"/>
      <c r="BJ7" s="238"/>
      <c r="BK7" s="238"/>
      <c r="BL7" s="238"/>
      <c r="BM7" s="238"/>
      <c r="BN7" s="238"/>
      <c r="BO7" s="238"/>
      <c r="BP7" s="238"/>
      <c r="BQ7" s="238"/>
      <c r="BR7" s="238"/>
      <c r="BS7" s="238"/>
    </row>
    <row r="8" spans="2:71">
      <c r="B8" s="264" t="s">
        <v>187</v>
      </c>
      <c r="C8" s="265">
        <f ca="1">SUMIF('jan22'!$C$17:$E$34,"Petrobras",'jan22'!$E$17:$E$34)</f>
        <v>23850180</v>
      </c>
      <c r="D8" s="265">
        <f ca="1">SUMIF('fev22'!$C$17:$E$34,"Petrobras",'fev22'!$E$17:$E$34)</f>
        <v>24021296</v>
      </c>
      <c r="E8" s="265">
        <f ca="1">SUMIF('mar22'!$C$17:$E$40,"Petrobras",'mar22'!$E$17:$E$40)</f>
        <v>26838623</v>
      </c>
      <c r="F8" s="265">
        <f ca="1">SUMIF('abr22'!$C$17:$E$40,"Petrobras",'abr22'!$E$17:$E$40)</f>
        <v>26058027</v>
      </c>
      <c r="G8" s="265">
        <f ca="1">SUMIF('mai22'!$C$17:$E$40,"Petrobras",'mai22'!$E$17:$E$40)</f>
        <v>26724558</v>
      </c>
      <c r="H8" s="265">
        <f ca="1">SUMIF('jun22'!$C$17:$E$42,"Petrobras",'jun22'!$E$17:$E$42)</f>
        <v>26293504</v>
      </c>
      <c r="I8" s="265">
        <f ca="1">SUMIF('jul22'!$C$17:$E$42,"Petrobras",'jul22'!$E$17:$E$42)</f>
        <v>25511820</v>
      </c>
      <c r="J8" s="265">
        <f ca="1">SUMIF('ago22'!$C$17:$E$42,"Petrobras",'ago22'!$E$17:$E$42)</f>
        <v>24533928</v>
      </c>
      <c r="K8" s="265">
        <f ca="1">SUMIF('set22'!$C$17:$E$43,"Petrobras",'set22'!$E$17:$E$43)</f>
        <v>24430685</v>
      </c>
      <c r="L8" s="265">
        <f ca="1">SUMIF('Out22'!$C$17:$E$43,"Petrobras",'Out22'!$E$17:$E$43)</f>
        <v>24753456</v>
      </c>
      <c r="M8" s="265">
        <f ca="1">SUMIF('Nov22'!$C$17:$E$43,"Petrobras",'Nov22'!$E$17:$E$43)</f>
        <v>24571904</v>
      </c>
      <c r="N8" s="265">
        <f ca="1">SUMIF('Dez22'!$C$17:$E$43,"Petrobras",'Dez22'!$E$17:$E$43)</f>
        <v>24180286</v>
      </c>
      <c r="O8" s="266">
        <f ca="1">SUMIF('Jan23'!$C$17:$E$43,"Petrobras",'Jan23'!$E$17:$E$43)</f>
        <v>12883774</v>
      </c>
      <c r="P8" s="266">
        <f ca="1">SUMIF('Fev23'!$C$17:$E$32,"Petrobras",'Fev23'!$E$17:$E$32)</f>
        <v>14817306</v>
      </c>
      <c r="Q8" s="266">
        <f ca="1">SUMIF('Mar23'!$C$17:$E$39,"Petrobras",'Mar23'!$E$17:$E$39)</f>
        <v>15550561</v>
      </c>
      <c r="R8" s="266">
        <f ca="1">SUMIF('Abr23'!$C$17:$E$39,"Petrobras",'Abr23'!$E$17:$E$39)</f>
        <v>12167453</v>
      </c>
      <c r="S8" s="266">
        <f ca="1">SUMIF('Mai23'!$C$18:$E$41,"Petrobras",'Mai23'!$E$18:$E$41)</f>
        <v>15746242</v>
      </c>
      <c r="T8" s="266">
        <f ca="1">SUMIF('Jun23'!$C$18:$E$40,"Petrobras",'Jun23'!$E$18:$E$40)</f>
        <v>15417155</v>
      </c>
      <c r="U8" s="266">
        <f ca="1">SUMIF('Jul23'!$C$18:$E$40,"Petrobras",'Jul23'!$E$18:$E$40)</f>
        <v>14511278</v>
      </c>
      <c r="V8" s="266">
        <f ca="1">SUMIF('Ago23'!$C$18:$E$40,"Petrobras",'Ago23'!$E$18:$E$40)</f>
        <v>9199397</v>
      </c>
      <c r="W8" s="266">
        <f ca="1">SUMIF('Set23'!$C$18:$E$40,"Petrobras",'Set23'!$E$18:$E$40)</f>
        <v>15289479</v>
      </c>
      <c r="X8" s="266">
        <f ca="1">SUMIF('Out23'!$C$18:$E$40,"Petrobras",'Out23'!$E$18:$E$40)</f>
        <v>17425495</v>
      </c>
      <c r="Y8" s="266">
        <f ca="1">SUMIF('Nov23'!$C$18:$E$40,"Petrobras",'Nov23'!$E$18:$E$40)</f>
        <v>14399678</v>
      </c>
      <c r="Z8" s="266">
        <f ca="1">SUMIF('Dez23'!$C$18:$E$40,"Petrobras",'Dez23'!$E$18:$E$40)</f>
        <v>14331208</v>
      </c>
      <c r="AA8" s="266">
        <f ca="1">SUMIF('Jan24'!$C$18:$E$39,"Petrobras",'Jan24'!$E$18:$E$39)</f>
        <v>37682092</v>
      </c>
      <c r="AB8" s="266">
        <f ca="1">SUMIF('Fev24'!$C$18:$E$52,"Petrobras",'Fev24'!$E$18:$E$52)</f>
        <v>38589823.993999995</v>
      </c>
      <c r="AC8" s="266">
        <f ca="1">SUMIF('Mar24'!$C$18:$E$66,"Petrobras",'Mar24'!$E$18:$E$66)</f>
        <v>40022022</v>
      </c>
      <c r="AD8" s="266">
        <f ca="1">SUMIF('Abr24'!$C$18:$E$115,"Petrobras",'Abr24'!$E$18:$E$115)</f>
        <v>41918294</v>
      </c>
      <c r="AE8" s="266">
        <f ca="1">SUMIF('Mai24'!$C$18:$E$115,"Petrobras",'Mai24'!$E$18:$E$115)</f>
        <v>41229289.997000009</v>
      </c>
      <c r="AF8" s="266">
        <f ca="1">SUMIF('Jun24'!$C$18:$E$250,"Petrobras",'Jun24'!$E$18:$E$250)</f>
        <v>41887247</v>
      </c>
      <c r="AG8" s="266">
        <f ca="1">SUMIF('Jul24'!$C$18:$E$250,"Petrobras",'Jul24'!$E$18:$E$250)</f>
        <v>42780286</v>
      </c>
      <c r="AH8" s="266">
        <f ca="1">SUMIF('Ago24'!$C$18:$E$250,"Petrobras",'Ago24'!$E$18:$E$250)</f>
        <v>42885179.998999998</v>
      </c>
      <c r="AI8" s="266">
        <f ca="1">SUMIF('Set24'!$C$18:$E$250,"Petrobras",'Set24'!$E$18:$E$250)</f>
        <v>39683041</v>
      </c>
      <c r="AJ8" s="266">
        <f ca="1">SUMIF('Out24'!$C$18:$E$250,"Petrobras",'Out24'!$E$18:$E$250)</f>
        <v>42336199</v>
      </c>
      <c r="AK8" s="266">
        <f ca="1">SUMIF('Nov24'!$C$18:$E$177,"Petrobras",'Nov24'!$E$18:$E$177)</f>
        <v>41616303</v>
      </c>
      <c r="AL8" s="266">
        <f ca="1">SUMIF('Dez24'!$C$18:$E$178,"Petrobras",'Dez24'!$E$18:$E$178)</f>
        <v>39524535</v>
      </c>
      <c r="AM8" s="266">
        <f ca="1">SUMIF('Jan25'!$C$18:$E$178,"Petrobras",'Jan25'!$E$18:$E$178)</f>
        <v>28789539</v>
      </c>
      <c r="AN8" s="266">
        <f ca="1">SUMIF('Fev25'!$C$18:$E$185,"Petrobras",'Fev25'!$E$18:$E$185)</f>
        <v>28670799</v>
      </c>
      <c r="AO8" s="266">
        <f ca="1">SUMIF('Mar25'!$C$18:$E$125,"Petrobras",'Mar25'!$E$18:$E$125)</f>
        <v>30146427</v>
      </c>
      <c r="AP8" s="266">
        <f ca="1">SUMIF('Abr25'!$C$18:$E$125,"Petrobras",'Abr25'!$E$18:$E$125)</f>
        <v>29351227</v>
      </c>
      <c r="AQ8" s="266">
        <f ca="1">SUMIF('Mai25'!$C$18:$E$125,"Petrobras",'Mai25'!$E$18:$E$125)</f>
        <v>29399917</v>
      </c>
      <c r="AR8" s="266">
        <f ca="1">SUMIF('Jun25'!$C$18:$E$125,"Petrobras",'Jun25'!$E$18:$E$125)</f>
        <v>27976395</v>
      </c>
      <c r="AS8" s="266">
        <f ca="1">SUMIF('Jul25'!$C$18:$E$125,"Petrobras",'Jul25'!$E$18:$E$125)</f>
        <v>32425291</v>
      </c>
      <c r="AT8" s="266">
        <f ca="1">SUMIF('Ago25'!$C$18:$E$125,"Petrobras",'Ago25'!$E$18:$E$125)</f>
        <v>32583205</v>
      </c>
      <c r="AU8" s="266">
        <f ca="1">SUMIF('Set25'!$C$18:$E$125,"Petrobras",'Set25'!$E$18:$E$125)</f>
        <v>32117019.993999999</v>
      </c>
      <c r="AV8" s="266">
        <f ca="1">SUMIF('Out25'!$C$18:$E$125,"Petrobras",'Out25'!$E$18:$E$125)</f>
        <v>32697313.998</v>
      </c>
      <c r="AW8" s="266">
        <f ca="1">SUMIF('Nov25'!$C$18:$E$128,"Petrobras",'Nov25'!$E$18:$E$128)</f>
        <v>31564043</v>
      </c>
      <c r="AX8" s="266">
        <f ca="1">SUMIF('Dez25'!$C$18:$E$128,"Petrobras",'Dez25'!$E$18:$E$128)</f>
        <v>29516333</v>
      </c>
      <c r="AY8" s="267">
        <f ca="1">SUMIF('Jan26'!$C$18:$E$128,"Petrobras",'Jan26'!$E$18:$E$128)</f>
        <v>0</v>
      </c>
      <c r="AZ8" s="264"/>
      <c r="BA8" s="264"/>
      <c r="BB8" s="264"/>
      <c r="BC8" s="264"/>
      <c r="BD8" s="264"/>
      <c r="BE8" s="264"/>
      <c r="BF8" s="264"/>
      <c r="BG8" s="264"/>
      <c r="BH8" s="264"/>
      <c r="BI8" s="264"/>
      <c r="BJ8" s="264"/>
      <c r="BK8" s="264"/>
      <c r="BL8" s="264"/>
      <c r="BM8" s="264"/>
      <c r="BN8" s="264"/>
      <c r="BO8" s="264"/>
      <c r="BP8" s="264"/>
      <c r="BQ8" s="264"/>
      <c r="BR8" s="264"/>
      <c r="BS8" s="264"/>
    </row>
    <row r="9" spans="2:71">
      <c r="B9" s="238" t="s">
        <v>188</v>
      </c>
      <c r="C9" s="268">
        <f ca="1">SUMIF('jan22'!$C$17:$F$34,"Petrobras",'jan22'!$G$17:$G$34)</f>
        <v>47958630.803674981</v>
      </c>
      <c r="D9" s="268">
        <f ca="1">SUMIF('fev22'!$C$17:$F$34,"Petrobras",'fev22'!$G$17:$G$34)</f>
        <v>55567164.297875002</v>
      </c>
      <c r="E9" s="268">
        <f ca="1">SUMIF('mar22'!$C$17:$F$40,"Petrobras",'mar22'!$G$17:$G$40)</f>
        <v>62270377.897125006</v>
      </c>
      <c r="F9" s="268">
        <f ca="1">SUMIF('abr22'!$C$17:$F$40,"Petrobras",'abr22'!$G$17:$G$40)</f>
        <v>60456918.901499994</v>
      </c>
      <c r="G9" s="268">
        <f ca="1">SUMIF('mai22'!$C$17:$F$40,"Petrobras",'mai22'!$G$17:$G$40)</f>
        <v>74170330.202870414</v>
      </c>
      <c r="H9" s="268">
        <f ca="1">SUMIF('jun22'!$C$17:$F$42,"Petrobras",'jun22'!$G$17:$G$42)</f>
        <v>73202409.099248379</v>
      </c>
      <c r="I9" s="268">
        <f ca="1">SUMIF('jul22'!$C$17:$F$42,"Petrobras",'jul22'!$G$17:$G$42)</f>
        <v>70018278.719706401</v>
      </c>
      <c r="J9" s="268">
        <f ca="1">SUMIF('ago22'!$C$17:$F$42,"Petrobras",'ago22'!$G$17:$G$42)</f>
        <v>69736614.449599996</v>
      </c>
      <c r="K9" s="268">
        <f ca="1">SUMIF('set22'!$C$17:$F$43,"Petrobras",'set22'!$G$17:$G$43)</f>
        <v>69314273.211299986</v>
      </c>
      <c r="L9" s="268">
        <f ca="1">SUMIF('Out22'!$C$17:$F$43,"Petrobras",'Out22'!$G$17:$G$43)</f>
        <v>70000506.905599996</v>
      </c>
      <c r="M9" s="268">
        <f ca="1">SUMIF('Nov22'!$C$17:$F$43,"Petrobras",'Nov22'!$G$17:$G$43)</f>
        <v>67792514.532903761</v>
      </c>
      <c r="N9" s="268">
        <f ca="1">SUMIF('Dez22'!$C$17:$F$43,"Petrobras",'Dez22'!$G$17:$G$43)</f>
        <v>66167244.16196426</v>
      </c>
      <c r="O9" s="269">
        <f ca="1">SUMIF('Jan23'!$C$17:$F$43,"Petrobras",'Jan23'!$G$17:$G$43)</f>
        <v>34595342.197064757</v>
      </c>
      <c r="P9" s="269">
        <f ca="1">SUMIF('Fev23'!$C$17:$F$32,"Petrobras",'Fev23'!$G$17:$G$32)</f>
        <v>36121632.115122244</v>
      </c>
      <c r="Q9" s="269">
        <f ca="1">SUMIF('Mar23'!$C$17:$F$39,"Petrobras",'Mar23'!$G$17:$G$39)</f>
        <v>37614716.70192001</v>
      </c>
      <c r="R9" s="269">
        <f ca="1">SUMIF('Abr23'!$C$17:$F$39,"Petrobras",'Abr23'!$G$17:$G$39)</f>
        <v>30295417.029299997</v>
      </c>
      <c r="S9" s="269">
        <f ca="1">SUMIF('Mai23'!$C$18:$F$40,"Petrobras",'Mai23'!$G$18:$G$40)</f>
        <v>34977614.635767758</v>
      </c>
      <c r="T9" s="269">
        <f ca="1">SUMIF('Jun23'!$C$18:$F$39,"Petrobras",'Jun23'!$G$18:$G$39)</f>
        <v>34269066.652384005</v>
      </c>
      <c r="U9" s="269">
        <f ca="1">SUMIF('Jul23'!$C$18:$F$39,"Petrobras",'Jul23'!$G$18:$G$39)</f>
        <v>32233901.819798253</v>
      </c>
      <c r="V9" s="269">
        <f ca="1">SUMIF('Ago23'!$C$18:$F$39,"Petrobras",'Ago23'!$G$18:$G$39)</f>
        <v>19020673.243893746</v>
      </c>
      <c r="W9" s="269">
        <f ca="1">SUMIF('Set23'!$C$18:$F$39,"Petrobras",'Set23'!$G$18:$G$39)</f>
        <v>31612526.772246748</v>
      </c>
      <c r="X9" s="269">
        <f ca="1">SUMIF('Out23'!$C$18:$F$39,"Petrobras",'Out23'!$G$18:$G$39)</f>
        <v>36029003.59145999</v>
      </c>
      <c r="Y9" s="269">
        <f ca="1">SUMIF('Nov23'!$C$18:$F$39,"Petrobras",'Nov23'!$G$18:$G$39)</f>
        <v>32083922.551089749</v>
      </c>
      <c r="Z9" s="269">
        <f ca="1">SUMIF('Dez23'!$C$18:$F$39,"Petrobras",'Dez23'!$G$18:$G$39)</f>
        <v>31944004.876905002</v>
      </c>
      <c r="AA9" s="269">
        <f ca="1">SUMIF('Jan24'!$C$18:$F$38,"Petrobras",'Jan24'!$G$18:$G$38)</f>
        <v>88515234.133144498</v>
      </c>
      <c r="AB9" s="269">
        <f ca="1">SUMIF('Fev24'!$C$18:$F$51,"Petrobras",'Fev24'!$G$18:$G$51)</f>
        <v>89061454.817214012</v>
      </c>
      <c r="AC9" s="269">
        <f ca="1">SUMIF('Mar24'!$C$18:$F$65,"Petrobras",'Mar24'!$G$18:$G$65)</f>
        <v>92002624.177983746</v>
      </c>
      <c r="AD9" s="269">
        <f ca="1">SUMIF('Abr24'!$C$18:$F$114,"Petrobras",'Abr24'!$G$18:$G$114)</f>
        <v>96688736.940180004</v>
      </c>
      <c r="AE9" s="269">
        <f ca="1">SUMIF('Mai24'!$C$18:$F$114,"Petrobras",'Mai24'!$G$18:$G$114)</f>
        <v>93858478.692247495</v>
      </c>
      <c r="AF9" s="269">
        <f ca="1">SUMIF('Jun24'!$C$18:$F$250,"Petrobras",'Jun24'!$G$18:$G$250)</f>
        <v>95456847.183076501</v>
      </c>
      <c r="AG9" s="269">
        <f ca="1">SUMIF('Jul24'!$C$18:$F$250,"Petrobras",'Jul24'!$G$18:$G$250)</f>
        <v>97381191.269653514</v>
      </c>
      <c r="AH9" s="269">
        <f ca="1">SUMIF('Ago24'!$C$18:$F$250,"Petrobras",'Ago24'!$G$18:$G$250)</f>
        <v>102569335.27609725</v>
      </c>
      <c r="AI9" s="269">
        <f ca="1">SUMIF('Set24'!$C$18:$F$250,"Petrobras",'Set24'!$G$18:$G$250)</f>
        <v>95227599.067854017</v>
      </c>
      <c r="AJ9" s="269">
        <f ca="1">SUMIF('Out24'!$C$18:$F$250,"Petrobras",'Out24'!$G$18:$G$250)</f>
        <v>101099012.01728624</v>
      </c>
      <c r="AK9" s="269">
        <f ca="1">SUMIF('Nov24'!$C$18:$F$177,"Petrobras",'Nov24'!$G$18:$G$177)</f>
        <v>98434136.475971997</v>
      </c>
      <c r="AL9" s="269">
        <f ca="1">SUMIF('Dez24'!$C$18:$F$178,"Petrobras",'Dez24'!$G$18:$G$178)</f>
        <v>93949072.201041743</v>
      </c>
      <c r="AM9" s="269">
        <f ca="1">SUMIF('Jan25'!$C$18:$F$178,"Petrobras",'Jan25'!$G$18:$G$178)</f>
        <v>69096404.752526239</v>
      </c>
      <c r="AN9" s="269">
        <f ca="1">SUMIF('Fev25'!$C$18:$F$185,"Petrobras",'Fev25'!$G$18:$G$185)</f>
        <v>68434116.072349504</v>
      </c>
      <c r="AO9" s="269">
        <f ca="1">SUMIF('Mar25'!$C$18:$F$125,"Petrobras",'Mar25'!$G$18:$G$125)</f>
        <v>72597207.040883258</v>
      </c>
      <c r="AP9" s="269">
        <f ca="1">SUMIF('Abr25'!$C$18:$F$125,"Petrobras",'Abr25'!$G$18:$G$125)</f>
        <v>70167190.380465776</v>
      </c>
      <c r="AQ9" s="269">
        <f ca="1">SUMIF('Mai25'!$C$18:$F$125,"Petrobras",'Mai25'!$G$18:$G$125)</f>
        <v>71312760.522077248</v>
      </c>
      <c r="AR9" s="269">
        <f ca="1">SUMIF('Jun25'!$C$18:$F$125,"Petrobras",'Jun25'!$G$18:$G$125)</f>
        <v>67753196.373703495</v>
      </c>
      <c r="AS9" s="269">
        <f ca="1">SUMIF('Jul25'!$C$18:$F$125,"Petrobras",'Jul25'!$G$18:$G$125)</f>
        <v>77966422.983206987</v>
      </c>
      <c r="AT9" s="269">
        <f ca="1">SUMIF('Ago25'!$C$18:$F$125,"Petrobras",'Ago25'!$G$18:$G$125)</f>
        <v>69558315.707182527</v>
      </c>
      <c r="AU9" s="269">
        <f ca="1">SUMIF('Set25'!$C$18:$F$125,"Petrobras",'Set25'!$G$18:$G$125)</f>
        <v>68518280.268437997</v>
      </c>
      <c r="AV9" s="269">
        <f ca="1">SUMIF('Out25'!$C$18:$F$125,"Petrobras",'Out25'!$G$18:$G$125)</f>
        <v>68300316.037618503</v>
      </c>
      <c r="AW9" s="269">
        <f ca="1">SUMIF('Nov25'!$C$18:$F$128,"Petrobras",'Nov25'!$G$18:$G$128)</f>
        <v>66520835.548595995</v>
      </c>
      <c r="AX9" s="269">
        <f ca="1">SUMIF('Dez25'!$C$18:$F$128,"Petrobras",'Dez25'!$G$18:$G$128)</f>
        <v>62339039.951454751</v>
      </c>
      <c r="AY9" s="270">
        <f ca="1">SUMIF('Jan26'!$C$18:$F$128,"Petrobras",'Jan26'!$G$18:$G$128)</f>
        <v>0</v>
      </c>
      <c r="AZ9" s="238"/>
      <c r="BA9" s="238"/>
      <c r="BB9" s="238"/>
      <c r="BC9" s="238"/>
      <c r="BD9" s="238"/>
      <c r="BE9" s="238"/>
      <c r="BF9" s="238"/>
      <c r="BG9" s="238"/>
      <c r="BH9" s="238"/>
      <c r="BI9" s="238"/>
      <c r="BJ9" s="238"/>
      <c r="BK9" s="238"/>
      <c r="BL9" s="238"/>
      <c r="BM9" s="238"/>
      <c r="BN9" s="238"/>
      <c r="BO9" s="238"/>
      <c r="BP9" s="238"/>
      <c r="BQ9" s="238"/>
      <c r="BR9" s="238"/>
      <c r="BS9" s="238"/>
    </row>
    <row r="10" spans="2:71">
      <c r="B10" s="264" t="s">
        <v>752</v>
      </c>
      <c r="C10" s="265">
        <f ca="1">SUMIF('jan22'!$C$17:$E$34,"New Fortress (Petrolina)",'jan22'!$E$17:$E$34)</f>
        <v>453796</v>
      </c>
      <c r="D10" s="265">
        <f ca="1">SUMIF('fev22'!$C$17:$E$34,"New Fortress (Petrolina)",'fev22'!$E$17:$E$34)</f>
        <v>581205</v>
      </c>
      <c r="E10" s="265">
        <f ca="1">SUMIF('mar22'!$C$17:$E$40,"New Fortress (Petrolina)",'mar22'!$E$17:$E$40)</f>
        <v>693387</v>
      </c>
      <c r="F10" s="265">
        <f ca="1">SUMIF('abr22'!$C$17:$E$40,"New Fortress (Petrolina)",'abr22'!$E$17:$E$40)</f>
        <v>388544</v>
      </c>
      <c r="G10" s="265">
        <f ca="1">SUMIF('mai22'!$C$17:$E$40,"New Fortress (Petrolina)",'mai22'!$E$17:$E$40)</f>
        <v>643817</v>
      </c>
      <c r="H10" s="265">
        <f ca="1">SUMIF('jun22'!$C$17:$E$42,"New Fortress (Petrolina)",'jun22'!$E$17:$E$42)</f>
        <v>608037</v>
      </c>
      <c r="I10" s="265">
        <f ca="1">SUMIF('jul22'!$C$17:$E$42,"New Fortress (Petrolina)",'jul22'!$E$17:$E$42)</f>
        <v>628068</v>
      </c>
      <c r="J10" s="265">
        <f ca="1">SUMIF('ago22'!$C$17:$E$42,"New Fortress (Petrolina)",'ago22'!$E$17:$E$42)</f>
        <v>778714</v>
      </c>
      <c r="K10" s="265">
        <f ca="1">SUMIF('set22'!$C$17:$E$43,"New Fortress (Petrolina)",'set22'!$E$17:$E$43)</f>
        <v>748197</v>
      </c>
      <c r="L10" s="265">
        <f ca="1">SUMIF('Out22'!$C$17:$E$43,"New Fortress (Petrolina)",'Out22'!$E$17:$E$43)</f>
        <v>764125</v>
      </c>
      <c r="M10" s="265">
        <f ca="1">SUMIF('Nov22'!$C$17:$E$43,"New Fortress (Petrolina)",'Nov22'!$E$17:$E$43)</f>
        <v>811765</v>
      </c>
      <c r="N10" s="265">
        <f ca="1">SUMIF('Dez22'!$C$17:$E$43,"New Fortress (Petrolina)",'Dez22'!$E$17:$E$43)</f>
        <v>819589</v>
      </c>
      <c r="O10" s="266">
        <f ca="1">SUMIF('Jan23'!$C$17:$E$43,"New Fortress (Petrolina)",'Jan23'!$E$17:$E$43)</f>
        <v>804469</v>
      </c>
      <c r="P10" s="266">
        <f ca="1">SUMIF('Fev23'!$C$17:$E$32,"New Fortress (Petrolina)",'Fev23'!$E$17:$E$32)</f>
        <v>644993</v>
      </c>
      <c r="Q10" s="266">
        <f ca="1">SUMIF('Mar23'!$C$17:$E$39,"New Fortress (Petrolina)",'Mar23'!$E$17:$E$39)</f>
        <v>802881</v>
      </c>
      <c r="R10" s="266">
        <f ca="1">SUMIF('Abr23'!$C$17:$E$39,"New Fortress (Petrolina)",'Abr23'!$E$17:$E$39)</f>
        <v>784122</v>
      </c>
      <c r="S10" s="266">
        <f ca="1">SUMIF('Mai23'!$C$18:$E$41,"New Fortress (Petrolina)",'Mai23'!$E$18:$E$41)</f>
        <v>558133</v>
      </c>
      <c r="T10" s="266">
        <f ca="1">SUMIF('Jun23'!$C$18:$E$40,"New Fortress (Petrolina)",'Jun23'!$E$18:$E$40)</f>
        <v>257910</v>
      </c>
      <c r="U10" s="266">
        <f ca="1">SUMIF('Jul23'!$C$18:$E$40,"New Fortress (Petrolina)",'Jul23'!$E$18:$E$40)</f>
        <v>315533</v>
      </c>
      <c r="V10" s="266">
        <f ca="1">SUMIF('Ago23'!$C$18:$E$40,"New Fortress (Petrolina)",'Ago23'!$E$18:$E$40)</f>
        <v>56218</v>
      </c>
      <c r="W10" s="266">
        <f ca="1">SUMIF('Set23'!$C$18:$E$40,"New Fortress (Petrolina)",'Set23'!$E$18:$E$40)</f>
        <v>0</v>
      </c>
      <c r="X10" s="266">
        <f ca="1">SUMIF('Out23'!$C$18:$E$40,"New Fortress (Petrolina)",'Out23'!$E$18:$E$40)</f>
        <v>0</v>
      </c>
      <c r="Y10" s="266">
        <f ca="1">SUMIF('Nov23'!$C$18:$E$40,"New Fortress (Petrolina)",'Nov23'!$E$18:$E$40)</f>
        <v>0</v>
      </c>
      <c r="Z10" s="266">
        <f ca="1">SUMIF('Dez23'!$C$18:$E$40,"New Fortress (Petrolina)",'Dez23'!$E$18:$E$40)</f>
        <v>0</v>
      </c>
      <c r="AA10" s="266">
        <f ca="1">SUMIF('Jan24'!$C$18:$E$39,"New Fortress (Petrolina)",'Jan24'!$E$18:$E$39)</f>
        <v>343991</v>
      </c>
      <c r="AB10" s="266">
        <f ca="1">SUMIF('Fev24'!$C$18:$E$74,"New Fortress (Petrolina)",'Fev24'!$E$18:$E$74)</f>
        <v>1038012.8</v>
      </c>
      <c r="AC10" s="266">
        <f ca="1">SUMIF('Mar24'!$C$18:$E$87,"New Fortress (Petrolina)",'Mar24'!$E$18:$E$87)</f>
        <v>0</v>
      </c>
      <c r="AD10" s="266">
        <f ca="1">SUMIF('Abr24'!$C$18:$E$136,"New Fortress (Petrolina)",'Abr24'!$E$18:$E$136)</f>
        <v>72166</v>
      </c>
      <c r="AE10" s="266">
        <f ca="1">SUMIF('Mai24'!$C$18:$E$136,"New Fortress (Petrolina)",'Mai24'!$E$18:$E$136)</f>
        <v>0</v>
      </c>
      <c r="AF10" s="266">
        <f ca="1">SUMIF('Jun24'!$C$18:$E$250,"New Fortress (Petrolina)",'Jun24'!$E$18:$E$250)</f>
        <v>0</v>
      </c>
      <c r="AG10" s="266">
        <f ca="1">SUMIF('Jul24'!$C$18:$E$250,"New Fortress (Petrolina)",'Jul24'!$E$18:$E$250)</f>
        <v>0</v>
      </c>
      <c r="AH10" s="266">
        <f ca="1">SUMIF('Ago24'!$C$18:$E$250,"New Fortress (Petrolina)",'Ago24'!$E$18:$E$250)</f>
        <v>0</v>
      </c>
      <c r="AI10" s="266">
        <f ca="1">SUMIF('Set24'!$C$18:$E$250,"Eneva (Petrolina)",'Set24'!$E$18:$E$250)</f>
        <v>684946.55</v>
      </c>
      <c r="AJ10" s="266">
        <f ca="1">SUMIF('Out24'!$C$18:$E$250,"Eneva (Petrolina)",'Out24'!$E$18:$E$250)</f>
        <v>920094.03</v>
      </c>
      <c r="AK10" s="266">
        <f ca="1">SUMIF('Nov24'!$C$18:$E$177,"Eneva (Petrolina)",'Nov24'!$E$18:$E$177)</f>
        <v>894859.11</v>
      </c>
      <c r="AL10" s="266">
        <f ca="1">SUMIF('Dez24'!$C$18:$E$178,"Eneva (Petrolina)",'Dez24'!$E$18:$E$178)</f>
        <v>889561.58</v>
      </c>
      <c r="AM10" s="266">
        <f ca="1">SUMIF('Jan25'!$C$18:$E$178,"Eneva (Petrolina)",'Jan25'!$E$18:$E$178)</f>
        <v>796476.98</v>
      </c>
      <c r="AN10" s="266">
        <f ca="1">SUMIF('Fev25'!$C$18:$E$185,"Eneva (Petrolina)",'Fev25'!$E$18:$E$185)</f>
        <v>817535.51</v>
      </c>
      <c r="AO10" s="266">
        <f ca="1">SUMIF('Mar25'!$C$18:$E$125,"Eneva (Petrolina)",'Mar25'!$E$18:$E$125)</f>
        <v>824545.82</v>
      </c>
      <c r="AP10" s="266">
        <f ca="1">SUMIF('Abr25'!$C$18:$E$125,"Eneva (Petrolina)",'Abr25'!$E$18:$E$125)</f>
        <v>774169.05</v>
      </c>
      <c r="AQ10" s="266">
        <f ca="1">SUMIF('Mai25'!$C$18:$E$125,"Eneva (Petrolina)",'Mai25'!$E$18:$E$125)</f>
        <v>1052227.27</v>
      </c>
      <c r="AR10" s="266">
        <f ca="1">SUMIF('Jun25'!$C$18:$E$125,"Eneva (Petrolina)",'Jun25'!$E$18:$E$125)</f>
        <v>898965.29</v>
      </c>
      <c r="AS10" s="266">
        <f ca="1">SUMIF('Jul25'!$C$18:$E$125,"Eneva (Petrolina)",'Jul25'!$E$18:$E$125)</f>
        <v>890961.65</v>
      </c>
      <c r="AT10" s="266">
        <f ca="1">SUMIF('Ago25'!$C$18:$E$125,"Eneva (Petrolina)",'Ago25'!$E$18:$E$125)</f>
        <v>852298.66</v>
      </c>
      <c r="AU10" s="266">
        <f ca="1">SUMIF('Set25'!$C$18:$E$125,"Eneva (Petrolina)",'Set25'!$E$18:$E$125)</f>
        <v>927528.99</v>
      </c>
      <c r="AV10" s="266">
        <f ca="1">SUMIF('Out25'!$C$18:$E$125,"Eneva (Petrolina)",'Out25'!$E$18:$E$125)</f>
        <v>1041335.57</v>
      </c>
      <c r="AW10" s="266">
        <f ca="1">SUMIF('Nov25'!$C$18:$E$128,"Eneva (Petrolina)",'Nov25'!$E$18:$E$128)</f>
        <v>1012443.72</v>
      </c>
      <c r="AX10" s="266">
        <f ca="1">SUMIF('Dez25'!$C$18:$E$128,"Eneva (Petrolina)",'Dez25'!$E$18:$E$128)</f>
        <v>852084.92</v>
      </c>
      <c r="AY10" s="267">
        <f ca="1">SUMIF('Jan26'!$C$18:$E$128,"Eneva (Petrolina)",'Jan26'!$E$18:$E$128)</f>
        <v>0</v>
      </c>
      <c r="AZ10" s="264"/>
      <c r="BA10" s="264"/>
      <c r="BB10" s="264"/>
      <c r="BC10" s="264"/>
      <c r="BD10" s="264"/>
      <c r="BE10" s="264"/>
      <c r="BF10" s="264"/>
      <c r="BG10" s="264"/>
      <c r="BH10" s="264"/>
      <c r="BI10" s="264"/>
      <c r="BJ10" s="264"/>
      <c r="BK10" s="264"/>
      <c r="BL10" s="264"/>
      <c r="BM10" s="264"/>
      <c r="BN10" s="264"/>
      <c r="BO10" s="264"/>
      <c r="BP10" s="264"/>
      <c r="BQ10" s="264"/>
      <c r="BR10" s="264"/>
      <c r="BS10" s="264"/>
    </row>
    <row r="11" spans="2:71">
      <c r="B11" s="238" t="s">
        <v>753</v>
      </c>
      <c r="C11" s="268">
        <f ca="1">SUMIF('jan22'!$C$17:$F$34,"New Fortress (Petrolina)",'jan22'!$G$17:$G$34)</f>
        <v>1441709.7061290001</v>
      </c>
      <c r="D11" s="268">
        <f ca="1">SUMIF('fev22'!$C$17:$F$34,"New Fortress (Petrolina)",'fev22'!$G$17:$G$34)</f>
        <v>2009152.6936965</v>
      </c>
      <c r="E11" s="268">
        <f ca="1">SUMIF('mar22'!$C$17:$F$40,"New Fortress (Petrolina)",'mar22'!$G$17:$G$40)</f>
        <v>2396951.7766755</v>
      </c>
      <c r="F11" s="268">
        <f ca="1">SUMIF('abr22'!$C$17:$F$40,"New Fortress (Petrolina)",'abr22'!$G$17:$G$40)</f>
        <v>1343147.8125450001</v>
      </c>
      <c r="G11" s="268">
        <f ca="1">SUMIF('mai22'!$C$17:$F$40,"New Fortress (Petrolina)",'mai22'!$G$17:$G$40)</f>
        <v>2488091.4437445002</v>
      </c>
      <c r="H11" s="268">
        <f ca="1">SUMIF('jun22'!$C$17:$F$42,"New Fortress (Petrolina)",'jun22'!$G$17:$G$42)</f>
        <v>2309575.000821</v>
      </c>
      <c r="I11" s="268">
        <f ca="1">SUMIF('jul22'!$C$17:$F$42,"New Fortress (Petrolina)",'jul22'!$G$17:$G$42)</f>
        <v>2362184.4238</v>
      </c>
      <c r="J11" s="268">
        <f ca="1">SUMIF('ago22'!$C$17:$F$42,"New Fortress (Petrolina)",'ago22'!$G$17:$G$42)</f>
        <v>3073602.1179999998</v>
      </c>
      <c r="K11" s="268">
        <f ca="1">SUMIF('set22'!$C$17:$F$42,"New Fortress (Petrolina)",'set22'!$G$17:$G$42)</f>
        <v>2982454.1334000002</v>
      </c>
      <c r="L11" s="268">
        <f ca="1">SUMIF('Out22'!$C$17:$F$42,"New Fortress (Petrolina)",'Out22'!$G$17:$G$42)</f>
        <v>3045946.1398</v>
      </c>
      <c r="M11" s="268">
        <f ca="1">SUMIF('Nov22'!$C$17:$F$42,"New Fortress (Petrolina)",'Nov22'!$G$17:$G$42)</f>
        <v>3211201.8898739996</v>
      </c>
      <c r="N11" s="268">
        <f ca="1">SUMIF('Dez22'!$C$17:$F$42,"New Fortress (Petrolina)",'Dez22'!$G$17:$G$42)</f>
        <v>3242152.2864554999</v>
      </c>
      <c r="O11" s="269">
        <f ca="1">SUMIF('Jan23'!$C$17:$F$42,"New Fortress (Petrolina)",'Jan23'!$G$17:$G$42)</f>
        <v>3182340.180954</v>
      </c>
      <c r="P11" s="269">
        <f ca="1">SUMIF('Fev23'!$C$17:$F$31,"New Fortress (Petrolina)",'Fev23'!$G$17:$G$31)</f>
        <v>2368371.572259</v>
      </c>
      <c r="Q11" s="269">
        <f ca="1">SUMIF('Mar23'!$C$17:$F$38,"New Fortress (Petrolina)",'Mar23'!$G$17:$G$38)</f>
        <v>2948125.8518415</v>
      </c>
      <c r="R11" s="269">
        <f ca="1">SUMIF('Abr23'!$C$17:$F$38,"New Fortress (Petrolina)",'Abr23'!$G$17:$G$38)</f>
        <v>2832841.9031549999</v>
      </c>
      <c r="S11" s="269">
        <f ca="1">SUMIF('Mai23'!$C$18:$F$41,"New Fortress (Petrolina)",'Mai23'!$G$18:$G$41)</f>
        <v>1884483.941934</v>
      </c>
      <c r="T11" s="269">
        <f ca="1">SUMIF('Jun23'!$C$18:$F$40,"New Fortress (Petrolina)",'Jun23'!$G$18:$G$40)</f>
        <v>894249.40827750007</v>
      </c>
      <c r="U11" s="269">
        <f ca="1">SUMIF('Jul23'!$C$18:$F$40,"New Fortress (Petrolina)",'Jul23'!$G$18:$G$40)</f>
        <v>1094045.207409</v>
      </c>
      <c r="V11" s="269">
        <f ca="1">SUMIF('Ago23'!$C$18:$F$40,"New Fortress (Petrolina)",'Ago23'!$G$18:$G$40)</f>
        <v>169338.19356300001</v>
      </c>
      <c r="W11" s="269">
        <f ca="1">SUMIF('Set23'!$C$18:$F$40,"New Fortress (Petrolina)",'Set23'!$G$18:$G$40)</f>
        <v>0</v>
      </c>
      <c r="X11" s="269">
        <f ca="1">SUMIF('Out23'!$C$18:$F$40,"New Fortress (Petrolina)",'Out23'!$G$18:$G$40)</f>
        <v>0</v>
      </c>
      <c r="Y11" s="269">
        <f ca="1">SUMIF('Nov23'!$C$18:$F$40,"New Fortress (Petrolina)",'Nov23'!$G$18:$G$40)</f>
        <v>0</v>
      </c>
      <c r="Z11" s="269">
        <f ca="1">SUMIF('Dez23'!$C$18:$F$40,"New Fortress (Petrolina)",'Dez23'!$G$18:$G$40)</f>
        <v>0</v>
      </c>
      <c r="AA11" s="269">
        <f ca="1">SUMIF('Jan24'!$C$18:$F$39,"New Fortress (Petrolina)",'Jan24'!$G$18:$G$39)</f>
        <v>2266472.863747125</v>
      </c>
      <c r="AB11" s="269">
        <f ca="1">SUMIF('Fev24'!$C$18:$F$74,"New Fortress (Petrolina)",'Fev24'!$G$18:$G$74)</f>
        <v>6265910.6365308752</v>
      </c>
      <c r="AC11" s="269">
        <f ca="1">SUMIF('Mar24'!$C$18:$F$87,"New Fortress (Petrolina)",'Mar24'!$G$18:$G$87)</f>
        <v>0</v>
      </c>
      <c r="AD11" s="269">
        <f ca="1">SUMIF('Abr24'!$C$18:$F$136,"New Fortress (Petrolina)",'Abr24'!$G$18:$G$136)</f>
        <v>475484.18940000003</v>
      </c>
      <c r="AE11" s="269">
        <f ca="1">SUMIF('Mai24'!$C$18:$F$136,"New Fortress (Petrolina)",'Mai24'!$G$18:$G$136)</f>
        <v>0</v>
      </c>
      <c r="AF11" s="269">
        <f ca="1">SUMIF('Jun24'!$C$18:$F$250,"New Fortress (Petrolina)",'Jun24'!$G$18:$G$250)</f>
        <v>0</v>
      </c>
      <c r="AG11" s="269">
        <f ca="1">SUMIF('Jul24'!$C$18:$F$250,"New Fortress (Petrolina)",'Jul24'!$G$18:$G$250)</f>
        <v>0</v>
      </c>
      <c r="AH11" s="269">
        <f ca="1">SUMIF('Ago24'!$C$18:$F$250,"New Fortress (Petrolina)",'Ago24'!$G$18:$G$250)</f>
        <v>0</v>
      </c>
      <c r="AI11" s="269">
        <f ca="1">SUMIF('Set24'!$C$18:$F$250,"Eneva (Petrolina)",'Set24'!$G$18:$G$250)</f>
        <v>2393066.2509022504</v>
      </c>
      <c r="AJ11" s="269">
        <f ca="1">SUMIF('Out24'!$C$18:$F$250,"Eneva (Petrolina)",'Out24'!$G$18:$G$250)</f>
        <v>3214648.8580140006</v>
      </c>
      <c r="AK11" s="269">
        <f ca="1">SUMIF('Nov24'!$C$18:$F$177,"Eneva (Petrolina)",'Nov24'!$G$18:$G$177)</f>
        <v>3102272.1635771249</v>
      </c>
      <c r="AL11" s="269">
        <f ca="1">SUMIF('Dez24'!$C$18:$F$178,"Eneva (Petrolina)",'Dez24'!$G$18:$G$178)</f>
        <v>3068973.0691042505</v>
      </c>
      <c r="AM11" s="269">
        <f ca="1">SUMIF('Jan25'!$C$18:$F$178,"Eneva (Petrolina)",'Jan25'!$G$18:$G$178)</f>
        <v>2738651.0738895</v>
      </c>
      <c r="AN11" s="269">
        <f ca="1">SUMIF('Fev25'!$C$18:$F$185,"Eneva (Petrolina)",'Fev25'!$G$18:$G$185)</f>
        <v>2808256.7586273747</v>
      </c>
      <c r="AO11" s="269">
        <f ca="1">SUMIF('Mar25'!$C$18:$F$125,"Eneva (Petrolina)",'Mar25'!$G$18:$G$125)</f>
        <v>2832337.3587918747</v>
      </c>
      <c r="AP11" s="269">
        <f ca="1">SUMIF('Abr25'!$C$18:$F$125,"Eneva (Petrolina)",'Abr25'!$G$18:$G$125)</f>
        <v>2659291.786107</v>
      </c>
      <c r="AQ11" s="269">
        <f ca="1">SUMIF('Mai25'!$C$18:$F$125,"Eneva (Petrolina)",'Mai25'!$G$18:$G$125)</f>
        <v>3651779.16301275</v>
      </c>
      <c r="AR11" s="269">
        <f ca="1">SUMIF('Jun25'!$C$18:$F$125,"Eneva (Petrolina)",'Jun25'!$G$18:$G$125)</f>
        <v>3119879.9104109998</v>
      </c>
      <c r="AS11" s="269">
        <f ca="1">SUMIF('Jul25'!$C$18:$F$125,"Eneva (Petrolina)",'Jul25'!$G$18:$G$125)</f>
        <v>3092103.0847079996</v>
      </c>
      <c r="AT11" s="269">
        <f ca="1">SUMIF('Ago25'!$C$18:$F$125,"Eneva (Petrolina)",'Ago25'!$G$18:$G$125)</f>
        <v>2741108.0072186254</v>
      </c>
      <c r="AU11" s="269">
        <f ca="1">SUMIF('Set25'!$C$18:$F$125,"Eneva (Petrolina)",'Set25'!$G$18:$G$125)</f>
        <v>2983058.940992625</v>
      </c>
      <c r="AV11" s="269">
        <f ca="1">SUMIF('Out25'!$C$18:$F$125,"Eneva (Petrolina)",'Out25'!$G$18:$G$125)</f>
        <v>3349076.32508625</v>
      </c>
      <c r="AW11" s="269">
        <f ca="1">SUMIF('Nov25'!$C$18:$F$128,"Eneva (Petrolina)",'Nov25'!$G$18:$G$128)</f>
        <v>3221387.2744762497</v>
      </c>
      <c r="AX11" s="269">
        <f ca="1">SUMIF('Dez25'!$C$18:$F$128,"Eneva (Petrolina)",'Dez25'!$G$18:$G$128)</f>
        <v>2711158.6126308753</v>
      </c>
      <c r="AY11" s="270">
        <f ca="1">SUMIF('Jan26'!$C$18:$F$128,"Eneva (Petrolina)",'Jan26'!$G$18:$G$128)</f>
        <v>0</v>
      </c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</row>
    <row r="12" spans="2:71">
      <c r="B12" s="264" t="s">
        <v>754</v>
      </c>
      <c r="C12" s="265">
        <f ca="1">SUMIF('jan22'!$C$17:$E$34,"New Fortress (Garanhuns)",'jan22'!$E$17:$E$34)</f>
        <v>26080</v>
      </c>
      <c r="D12" s="265">
        <f ca="1">SUMIF('fev22'!$C$17:$E$34,"New Fortress (Garanhuns)",'fev22'!$E$17:$E$34)</f>
        <v>62032</v>
      </c>
      <c r="E12" s="265">
        <f ca="1">SUMIF('mar22'!$C$17:$E$40,"New Fortress (Garanhuns)",'mar22'!$E$17:$E$40)</f>
        <v>70256</v>
      </c>
      <c r="F12" s="265">
        <f ca="1">SUMIF('abr22'!$C$17:$E$40,"New Fortress (Garanhuns)",'abr22'!$E$17:$E$40)</f>
        <v>71376</v>
      </c>
      <c r="G12" s="265">
        <f ca="1">SUMIF('mai22'!$C$17:$E$40,"New Fortress (Garanhuns)",'mai22'!$E$17:$E$40)</f>
        <v>71828</v>
      </c>
      <c r="H12" s="265">
        <f ca="1">SUMIF('jun22'!$C$17:$E$42,"New Fortress (Garanhuns)",'jun22'!$E$17:$E$42)</f>
        <v>60190</v>
      </c>
      <c r="I12" s="265">
        <f ca="1">SUMIF('jul22'!$C$17:$E$42,"New Fortress (Garanhuns)",'jul22'!$E$17:$E$42)</f>
        <v>73349</v>
      </c>
      <c r="J12" s="265">
        <f ca="1">SUMIF('ago22'!$C$17:$E$42,"New Fortress (Garanhuns)",'ago22'!$E$17:$E$42)</f>
        <v>73426</v>
      </c>
      <c r="K12" s="265">
        <f ca="1">SUMIF('set22'!$C$17:$E$43,"New Fortress (Garanhuns)",'set22'!$E$17:$E$43)</f>
        <v>73745</v>
      </c>
      <c r="L12" s="265">
        <f ca="1">SUMIF('Out22'!$C$17:$E$43,"New Fortress (Garanhuns)",'Out22'!$E$17:$E$43)</f>
        <v>73210</v>
      </c>
      <c r="M12" s="265">
        <f ca="1">SUMIF('Nov22'!$C$17:$E$43,"New Fortress (Garanhuns)",'Nov22'!$E$17:$E$43)</f>
        <v>67044</v>
      </c>
      <c r="N12" s="265">
        <f ca="1">SUMIF('Dez22'!$C$17:$E$43,"New Fortress (Garanhuns)",'Dez22'!$E$17:$E$43)</f>
        <v>67433</v>
      </c>
      <c r="O12" s="266">
        <f ca="1">SUMIF('Jan23'!$C$17:$E$43,"New Fortress (Garanhuns)",'Jan23'!$E$17:$E$43)</f>
        <v>65658</v>
      </c>
      <c r="P12" s="266">
        <f ca="1">SUMIF('Fev23'!$C$17:$E$32,"New Fortress (Garanhuns)",'Fev23'!$E$17:$E$32)</f>
        <v>65763</v>
      </c>
      <c r="Q12" s="266">
        <f ca="1">SUMIF('Mar23'!$C$17:$E$39,"New Fortress (Garanhuns)",'Mar23'!$E$17:$E$39)</f>
        <v>77247</v>
      </c>
      <c r="R12" s="266">
        <f ca="1">SUMIF('Abr23'!$C$17:$E$39,"New Fortress (Garanhuns)",'Abr23'!$E$17:$E$39)</f>
        <v>69399</v>
      </c>
      <c r="S12" s="266">
        <f ca="1">SUMIF('Mai23'!$C$18:$E$41,"New Fortress (Garanhuns)",'Mai23'!$E$18:$E$41)</f>
        <v>73168</v>
      </c>
      <c r="T12" s="266">
        <f ca="1">SUMIF('Jun23'!$C$18:$E$40,"New Fortress (Garanhuns)",'Jun23'!$E$18:$E$40)</f>
        <v>51113</v>
      </c>
      <c r="U12" s="266">
        <f ca="1">SUMIF('Jul23'!$C$18:$E$40,"New Fortress (Garanhuns)",'Jul23'!$E$18:$E$40)</f>
        <v>78125</v>
      </c>
      <c r="V12" s="266">
        <f ca="1">SUMIF('Ago23'!$C$18:$E$40,"New Fortress (Garanhuns)",'Ago23'!$E$18:$E$40)</f>
        <v>33652</v>
      </c>
      <c r="W12" s="266">
        <f ca="1">SUMIF('Set23'!$C$18:$E$40,"New Fortress (Garanhuns)",'Set23'!$E$18:$E$40)</f>
        <v>0</v>
      </c>
      <c r="X12" s="266">
        <f ca="1">SUMIF('Out23'!$C$18:$E$40,"New Fortress (Garanhuns)",'Out23'!$E$18:$E$40)</f>
        <v>0</v>
      </c>
      <c r="Y12" s="266">
        <f ca="1">SUMIF('Nov23'!$C$18:$E$40,"New Fortress (Garanhuns)",'Nov23'!$E$18:$E$40)</f>
        <v>0</v>
      </c>
      <c r="Z12" s="266">
        <f ca="1">SUMIF('Dez23'!$C$18:$E$40,"New Fortress (Garanhuns)",'Dez23'!$E$18:$E$40)</f>
        <v>0</v>
      </c>
      <c r="AA12" s="266">
        <f ca="1">SUMIF('Jan24'!$C$18:$E$39,"New Fortress (Garanhuns)",'Jan24'!$E$18:$E$39)</f>
        <v>108325</v>
      </c>
      <c r="AB12" s="266">
        <f ca="1">SUMIF('Fev24'!$C$18:$E$74,"New Fortress (Garanhuns)",'Fev24'!$E$18:$E$74)</f>
        <v>104557</v>
      </c>
      <c r="AC12" s="266">
        <f ca="1">SUMIF('Mar24'!$C$18:$E$87,"New Fortress (Garanhuns)",'Mar24'!$E$18:$E$87)</f>
        <v>0</v>
      </c>
      <c r="AD12" s="266">
        <f ca="1">SUMIF('Abr24'!$C$18:$E$136,"New Fortress (Garanhuns)",'Abr24'!$E$18:$E$136)</f>
        <v>20122</v>
      </c>
      <c r="AE12" s="266">
        <f ca="1">SUMIF('Mai24'!$C$18:$E$136,"New Fortress (Garanhuns)",'Mai24'!$E$18:$E$136)</f>
        <v>0</v>
      </c>
      <c r="AF12" s="266">
        <f ca="1">SUMIF('Jun24'!$C$18:$E$250,"New Fortress (Garanhuns)",'Jun24'!$E$18:$E$250)</f>
        <v>0</v>
      </c>
      <c r="AG12" s="266">
        <f ca="1">SUMIF('Jul24'!$C$18:$E$250,"New Fortress (Garanhuns)",'Jul24'!$E$18:$E$250)</f>
        <v>0</v>
      </c>
      <c r="AH12" s="266">
        <f ca="1">SUMIF('Ago24'!$C$18:$E$250,"New Fortress (Garanhuns)",'Ago24'!$E$18:$E$250)</f>
        <v>0</v>
      </c>
      <c r="AI12" s="266">
        <f ca="1">SUMIF('Set24'!$C$18:$E$250,"Eneva (Garanhuns)",'Set24'!$E$18:$E$250)</f>
        <v>87972.77</v>
      </c>
      <c r="AJ12" s="266">
        <f ca="1">SUMIF('Out24'!$C$18:$E$250,"Eneva (Garanhuns)",'Out24'!$E$18:$E$250)</f>
        <v>120733.85</v>
      </c>
      <c r="AK12" s="266">
        <f ca="1">SUMIF('Nov24'!$C$18:$E$177,"Eneva (Garanhuns)",'Nov24'!$E$18:$E$177)</f>
        <v>118873.94</v>
      </c>
      <c r="AL12" s="266">
        <f ca="1">SUMIF('Dez24'!$C$18:$E$178,"Eneva (Garanhuns)",'Dez24'!$E$18:$E$178)</f>
        <v>129597.51</v>
      </c>
      <c r="AM12" s="266">
        <f ca="1">SUMIF('Jan25'!$C$18:$E$178,"Eneva (Garanhuns)",'Jan25'!$E$18:$E$178)</f>
        <v>127191.58</v>
      </c>
      <c r="AN12" s="266">
        <f ca="1">SUMIF('Fev25'!$C$18:$E$185,"Eneva (Garanhuns)",'Fev25'!$E$18:$E$185)</f>
        <v>111174.43</v>
      </c>
      <c r="AO12" s="266">
        <f ca="1">SUMIF('Mar25'!$C$18:$E$125,"Eneva (Garanhuns)",'Mar25'!$E$18:$E$125)</f>
        <v>124987.59</v>
      </c>
      <c r="AP12" s="266">
        <f ca="1">SUMIF('Abr25'!$C$18:$E$125,"Eneva (Garanhuns)",'Abr25'!$E$18:$E$125)</f>
        <v>119892.05</v>
      </c>
      <c r="AQ12" s="266">
        <f ca="1">SUMIF('Mai25'!$C$18:$E$125,"Eneva (Garanhuns)",'Mai25'!$E$18:$E$125)</f>
        <v>130493.94</v>
      </c>
      <c r="AR12" s="266">
        <f ca="1">SUMIF('Jun25'!$C$18:$E$125,"Eneva (Garanhuns)",'Jun25'!$E$18:$E$125)</f>
        <v>111057.04</v>
      </c>
      <c r="AS12" s="266">
        <f ca="1">SUMIF('Jul25'!$C$18:$E$125,"Eneva (Garanhuns)",'Jul25'!$E$18:$E$125)</f>
        <v>139291.04</v>
      </c>
      <c r="AT12" s="266">
        <f ca="1">SUMIF('Ago25'!$C$18:$E$125,"Eneva (Garanhuns)",'Ago25'!$E$18:$E$125)</f>
        <v>134498.01999999999</v>
      </c>
      <c r="AU12" s="266">
        <f ca="1">SUMIF('Set25'!$C$18:$E$125,"Eneva (Garanhuns)",'Set25'!$E$18:$E$125)</f>
        <v>131258.63</v>
      </c>
      <c r="AV12" s="266">
        <f ca="1">SUMIF('Out25'!$C$18:$E$125,"Eneva (Garanhuns)",'Out25'!$E$18:$E$125)</f>
        <v>132542.54999999999</v>
      </c>
      <c r="AW12" s="266">
        <f ca="1">SUMIF('Nov25'!$C$18:$E$128,"Eneva (Garanhuns)",'Nov25'!$E$18:$E$128)</f>
        <v>128009.31</v>
      </c>
      <c r="AX12" s="266">
        <f ca="1">SUMIF('Dez25'!$C$18:$E$128,"Eneva (Garanhuns)",'Dez25'!$E$18:$E$128)</f>
        <v>139346.01</v>
      </c>
      <c r="AY12" s="267">
        <f ca="1">SUMIF('Jan26'!$C$18:$E$128,"Eneva (Garanhuns)",'Jan26'!$E$18:$E$128)</f>
        <v>0</v>
      </c>
      <c r="AZ12" s="264"/>
      <c r="BA12" s="264"/>
      <c r="BB12" s="264"/>
      <c r="BC12" s="264"/>
      <c r="BD12" s="264"/>
      <c r="BE12" s="264"/>
      <c r="BF12" s="264"/>
      <c r="BG12" s="264"/>
      <c r="BH12" s="264"/>
      <c r="BI12" s="264"/>
      <c r="BJ12" s="264"/>
      <c r="BK12" s="264"/>
      <c r="BL12" s="264"/>
      <c r="BM12" s="264"/>
      <c r="BN12" s="264"/>
      <c r="BO12" s="264"/>
      <c r="BP12" s="264"/>
      <c r="BQ12" s="264"/>
      <c r="BR12" s="264"/>
      <c r="BS12" s="264"/>
    </row>
    <row r="13" spans="2:71">
      <c r="B13" s="238" t="s">
        <v>755</v>
      </c>
      <c r="C13" s="268">
        <f ca="1">SUMIF('jan22'!$C$17:$F$34,"New Fortress (Garanhuns)",'jan22'!$G$17:$G$34)</f>
        <v>80383.641112500001</v>
      </c>
      <c r="D13" s="268">
        <f ca="1">SUMIF('fev22'!$C$17:$F$34,"New Fortress (Garanhuns)",'fev22'!$G$17:$G$34)</f>
        <v>208551.28943549999</v>
      </c>
      <c r="E13" s="268">
        <f ca="1">SUMIF('mar22'!$C$17:$F$40,"New Fortress (Garanhuns)",'mar22'!$G$17:$G$40)</f>
        <v>236200.338957</v>
      </c>
      <c r="F13" s="268">
        <f ca="1">SUMIF('abr22'!$C$17:$F$40,"New Fortress (Garanhuns)",'abr22'!$G$17:$G$40)</f>
        <v>239965.7751645</v>
      </c>
      <c r="G13" s="268">
        <f ca="1">SUMIF('mai22'!$C$17:$F$40,"New Fortress (Garanhuns)",'mai22'!$G$17:$G$40)</f>
        <v>270771.09226200002</v>
      </c>
      <c r="H13" s="268">
        <f ca="1">SUMIF('jun22'!$C$17:$F$42,"New Fortress (Garanhuns)",'jun22'!$G$17:$G$42)</f>
        <v>222837.31998100001</v>
      </c>
      <c r="I13" s="268">
        <f ca="1">SUMIF('jul22'!$C$17:$F$42,"New Fortress (Garanhuns)",'jul22'!$G$17:$G$42)</f>
        <v>267998.88794250001</v>
      </c>
      <c r="J13" s="268">
        <f ca="1">SUMIF('ago22'!$C$17:$F$42,"New Fortress (Garanhuns)",'ago22'!$G$17:$G$42)</f>
        <v>282733.34000000003</v>
      </c>
      <c r="K13" s="268">
        <f ca="1">SUMIF('set22'!$C$17:$F$43,"New Fortress (Garanhuns)",'set22'!$G$17:$G$43)</f>
        <v>286970.07860000001</v>
      </c>
      <c r="L13" s="268">
        <f ca="1">SUMIF('Out22'!$C$17:$F$43,"New Fortress (Garanhuns)",'Out22'!$G$17:$G$43)</f>
        <v>284888.19099999999</v>
      </c>
      <c r="M13" s="268">
        <f ca="1">SUMIF('Nov22'!$C$17:$F$43,"New Fortress (Garanhuns)",'Nov22'!$G$17:$G$43)</f>
        <v>258329.53678950001</v>
      </c>
      <c r="N13" s="268">
        <f ca="1">SUMIF('Dez22'!$C$17:$F$43,"New Fortress (Garanhuns)",'Dez22'!$G$17:$G$43)</f>
        <v>259828.40371950003</v>
      </c>
      <c r="O13" s="269">
        <f ca="1">SUMIF('Jan23'!$C$17:$F$43,"New Fortress (Garanhuns)",'Jan23'!$G$17:$G$43)</f>
        <v>252989.09222399999</v>
      </c>
      <c r="P13" s="269">
        <f ca="1">SUMIF('Fev23'!$C$17:$F$32,"New Fortress (Garanhuns)",'Fev23'!$G$17:$G$32)</f>
        <v>234723.99744750001</v>
      </c>
      <c r="Q13" s="269">
        <f ca="1">SUMIF('Mar23'!$C$17:$F$39,"New Fortress (Garanhuns)",'Mar23'!$G$17:$G$39)</f>
        <v>275713.16356650001</v>
      </c>
      <c r="R13" s="269">
        <f ca="1">SUMIF('Abr23'!$C$17:$F$39,"New Fortress (Garanhuns)",'Abr23'!$G$17:$G$39)</f>
        <v>242521.79646750001</v>
      </c>
      <c r="S13" s="269">
        <f ca="1">SUMIF('Mai23'!$C$18:$F$41,"New Fortress (Garanhuns)",'Mai23'!$G$18:$G$41)</f>
        <v>238907.11016699998</v>
      </c>
      <c r="T13" s="269">
        <f ca="1">SUMIF('Jun23'!$C$18:$F$40,"New Fortress (Garanhuns)",'Jun23'!$G$18:$G$40)</f>
        <v>171974.791428</v>
      </c>
      <c r="U13" s="269">
        <f ca="1">SUMIF('Jul23'!$C$18:$F$40,"New Fortress (Garanhuns)",'Jul23'!$G$18:$G$40)</f>
        <v>262859.363877</v>
      </c>
      <c r="V13" s="269">
        <f ca="1">SUMIF('Ago23'!$C$18:$F$40,"New Fortress (Garanhuns)",'Ago23'!$G$18:$G$40)</f>
        <v>97907.235063</v>
      </c>
      <c r="W13" s="269">
        <f ca="1">SUMIF('Set23'!$C$18:$F$40,"New Fortress (Garanhuns)",'Set23'!$G$18:$G$40)</f>
        <v>0</v>
      </c>
      <c r="X13" s="269">
        <f ca="1">SUMIF('Out23'!$C$18:$F$40,"New Fortress (Garanhuns)",'Out23'!$G$18:$G$40)</f>
        <v>0</v>
      </c>
      <c r="Y13" s="269">
        <f ca="1">SUMIF('Nov23'!$C$18:$F$40,"New Fortress (Garanhuns)",'Nov23'!$G$18:$G$40)</f>
        <v>0</v>
      </c>
      <c r="Z13" s="269">
        <f ca="1">SUMIF('Dez23'!$C$18:$F$40,"New Fortress (Garanhuns)",'Dez23'!$G$18:$G$40)</f>
        <v>0</v>
      </c>
      <c r="AA13" s="269">
        <f ca="1">SUMIF('Jan24'!$C$18:$F$39,"New Fortress (Garanhuns)",'Jan24'!$G$18:$G$39)</f>
        <v>713727.02957737492</v>
      </c>
      <c r="AB13" s="269">
        <f ca="1">SUMIF('Fev24'!$C$18:$F$74,"New Fortress (Garanhuns)",'Fev24'!$G$18:$G$74)</f>
        <v>688900.58869500004</v>
      </c>
      <c r="AC13" s="269">
        <f ca="1">SUMIF('Mar24'!$C$18:$F$87,"New Fortress (Garanhuns)",'Mar24'!$G$18:$G$87)</f>
        <v>0</v>
      </c>
      <c r="AD13" s="269">
        <f ca="1">SUMIF('Abr24'!$C$18:$F$136,"New Fortress (Garanhuns)",'Abr24'!$G$18:$G$136)</f>
        <v>132578.95749862501</v>
      </c>
      <c r="AE13" s="269">
        <f ca="1">SUMIF('Mai24'!$C$18:$F$136,"New Fortress (Garanhuns)",'Mai24'!$G$18:$G$136)</f>
        <v>0</v>
      </c>
      <c r="AF13" s="269">
        <f ca="1">SUMIF('Jun24'!$C$18:$F$250,"New Fortress (Garanhuns)",'Jun24'!$G$18:$G$250)</f>
        <v>0</v>
      </c>
      <c r="AG13" s="269">
        <f ca="1">SUMIF('Jul24'!$C$18:$F$250,"New Fortress (Garanhuns)",'Jul24'!$G$18:$G$250)</f>
        <v>0</v>
      </c>
      <c r="AH13" s="269">
        <f ca="1">SUMIF('Ago24'!$C$18:$F$250,"New Fortress (Garanhuns)",'Ago24'!$G$18:$G$250)</f>
        <v>0</v>
      </c>
      <c r="AI13" s="269">
        <f ca="1">SUMIF('Set24'!$C$18:$F$250,"Eneva (Garanhuns)",'Set24'!$G$18:$G$250)</f>
        <v>341932.57058812503</v>
      </c>
      <c r="AJ13" s="269">
        <f ca="1">SUMIF('Out24'!$C$18:$F$250,"Eneva (Garanhuns)",'Out24'!$G$18:$G$250)</f>
        <v>469269.17955225008</v>
      </c>
      <c r="AK13" s="269">
        <f ca="1">SUMIF('Nov24'!$C$18:$F$177,"Eneva (Garanhuns)",'Nov24'!$G$18:$G$177)</f>
        <v>458832.53188574995</v>
      </c>
      <c r="AL13" s="269">
        <f ca="1">SUMIF('Dez24'!$C$18:$F$178,"Eneva (Garanhuns)",'Dez24'!$G$18:$G$178)</f>
        <v>498126.25105649995</v>
      </c>
      <c r="AM13" s="269">
        <f ca="1">SUMIF('Jan25'!$C$18:$F$178,"Eneva (Garanhuns)",'Jan25'!$G$18:$G$178)</f>
        <v>489863.52140962507</v>
      </c>
      <c r="AN13" s="269">
        <f ca="1">SUMIF('Fev25'!$C$18:$F$185,"Eneva (Garanhuns)",'Fev25'!$G$18:$G$185)</f>
        <v>425576.60251425003</v>
      </c>
      <c r="AO13" s="269">
        <f ca="1">SUMIF('Mar25'!$C$18:$F$125,"Eneva (Garanhuns)",'Mar25'!$G$18:$G$125)</f>
        <v>478453.47653812502</v>
      </c>
      <c r="AP13" s="269">
        <f ca="1">SUMIF('Abr25'!$C$18:$F$125,"Eneva (Garanhuns)",'Abr25'!$G$18:$G$125)</f>
        <v>458947.71337387501</v>
      </c>
      <c r="AQ13" s="269">
        <f ca="1">SUMIF('Mai25'!$C$18:$F$125,"Eneva (Garanhuns)",'Mai25'!$G$18:$G$125)</f>
        <v>504163.83884624997</v>
      </c>
      <c r="AR13" s="269">
        <f ca="1">SUMIF('Jun25'!$C$18:$F$125,"Eneva (Garanhuns)",'Jun25'!$G$18:$G$125)</f>
        <v>429069.296266875</v>
      </c>
      <c r="AS13" s="269">
        <f ca="1">SUMIF('Jul25'!$C$18:$F$125,"Eneva (Garanhuns)",'Jul25'!$G$18:$G$125)</f>
        <v>538151.46827062499</v>
      </c>
      <c r="AT13" s="269">
        <f ca="1">SUMIF('Ago25'!$C$18:$F$125,"Eneva (Garanhuns)",'Ago25'!$G$18:$G$125)</f>
        <v>488242.70540099998</v>
      </c>
      <c r="AU13" s="269">
        <f ca="1">SUMIF('Set25'!$C$18:$F$125,"Eneva (Garanhuns)",'Set25'!$G$18:$G$125)</f>
        <v>476483.35724550002</v>
      </c>
      <c r="AV13" s="269">
        <f ca="1">SUMIF('Out25'!$C$18:$F$125,"Eneva (Garanhuns)",'Out25'!$G$18:$G$125)</f>
        <v>481144.12764412502</v>
      </c>
      <c r="AW13" s="269">
        <f ca="1">SUMIF('Nov25'!$C$18:$F$128,"Eneva (Garanhuns)",'Nov25'!$G$18:$G$128)</f>
        <v>460291.92066000006</v>
      </c>
      <c r="AX13" s="269">
        <f ca="1">SUMIF('Dez25'!$C$18:$F$128,"Eneva (Garanhuns)",'Dez25'!$G$18:$G$128)</f>
        <v>501056.07419587503</v>
      </c>
      <c r="AY13" s="270">
        <f ca="1">SUMIF('Jan26'!$C$18:$F$128,"Eneva (Garanhuns)",'Jan26'!$G$18:$G$128)</f>
        <v>0</v>
      </c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</row>
    <row r="14" spans="2:71">
      <c r="B14" s="264" t="s">
        <v>492</v>
      </c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1"/>
      <c r="O14" s="272"/>
      <c r="P14" s="272"/>
      <c r="Q14" s="272"/>
      <c r="R14" s="272"/>
      <c r="S14" s="272"/>
      <c r="T14" s="272"/>
      <c r="U14" s="272"/>
      <c r="V14" s="272"/>
      <c r="W14" s="272"/>
      <c r="X14" s="266">
        <f ca="1">SUMIF('Out23'!$C$18:$E$40,"Petrorecôncavo",'Out23'!$E$18:$E$40)</f>
        <v>537000</v>
      </c>
      <c r="Y14" s="266">
        <f ca="1">SUMIF('Nov23'!$C$18:$E$40,"Petrorecôncavo",'Nov23'!$E$18:$E$40)</f>
        <v>0</v>
      </c>
      <c r="Z14" s="266">
        <f ca="1">SUMIF('Dez23'!$C$18:$E$40,"Petrorecôncavo",'Dez23'!$E$18:$E$40)</f>
        <v>0</v>
      </c>
      <c r="AA14" s="266">
        <f ca="1">SUMIF('Jan24'!$C$18:$E$39,"Petrorecôncavo",'Jan24'!$E$18:$E$39)</f>
        <v>4650000</v>
      </c>
      <c r="AB14" s="266">
        <f ca="1">SUMIF('Fev24'!$C$18:$E$74,"Petrorecôncavo",'Fev24'!$E$18:$E$74)</f>
        <v>3480000</v>
      </c>
      <c r="AC14" s="266">
        <f ca="1">SUMIF('Mar24'!$C$18:$E$87,"Petrorecôncavo",'Mar24'!$E$18:$E$87)</f>
        <v>4650000</v>
      </c>
      <c r="AD14" s="266">
        <f ca="1">SUMIF('Abr24'!$C$18:$E$136,"Petrorecôncavo",'Abr24'!$E$18:$E$136)</f>
        <v>3991765</v>
      </c>
      <c r="AE14" s="266">
        <f ca="1">SUMIF('Mai24'!$C$18:$E$136,"Petrorecôncavo",'Mai24'!$E$18:$E$136)</f>
        <v>6938000</v>
      </c>
      <c r="AF14" s="266">
        <f ca="1">SUMIF('Jun24'!$C$18:$E$250,"Petrorecôncavo",'Jun24'!$E$18:$E$250)</f>
        <v>3723498</v>
      </c>
      <c r="AG14" s="266">
        <f ca="1">SUMIF('Jul24'!$C$18:$E$250,"Petrorecôncavo",'Jul24'!$E$18:$E$250)</f>
        <v>4690000</v>
      </c>
      <c r="AH14" s="266">
        <f ca="1">SUMIF('Ago24'!$C$18:$E$250,"Petrorecôncavo",'Ago24'!$E$18:$E$250)</f>
        <v>4545000</v>
      </c>
      <c r="AI14" s="266">
        <f ca="1">SUMIF('Set24'!$C$18:$E$250,"Petrorecôncavo",'Set24'!$E$18:$E$250)</f>
        <v>3670000</v>
      </c>
      <c r="AJ14" s="266">
        <f ca="1">SUMIF('Out24'!$C$18:$E$250,"Petrorecôncavo",'Out24'!$E$18:$E$250)</f>
        <v>3720000</v>
      </c>
      <c r="AK14" s="273">
        <f ca="1">SUMIF('Nov24'!$C$18:$E$177,"Petrorecôncavo",'Nov24'!$E$18:$E$177)</f>
        <v>3630003</v>
      </c>
      <c r="AL14" s="273">
        <f ca="1">SUMIF('Dez24'!$C$18:$E$178,"Petrorecôncavo",'Dez24'!$E$18:$E$178)</f>
        <v>4545000</v>
      </c>
      <c r="AM14" s="273">
        <f ca="1">SUMIF('Jan25'!$C$18:$E$178,"Petrorecôncavo",'Jan25'!$E$18:$E$178)</f>
        <v>6200000</v>
      </c>
      <c r="AN14" s="273">
        <f ca="1">SUMIF('Fev25'!$C$18:$E$185,"Petrorecôncavo",'Fev25'!$E$18:$E$185)</f>
        <v>5600000</v>
      </c>
      <c r="AO14" s="273">
        <f ca="1">SUMIF('Mar25'!$C$18:$E$125,"Petrorecôncavo",'Mar25'!$E$18:$E$125)</f>
        <v>6200000</v>
      </c>
      <c r="AP14" s="273">
        <f ca="1">SUMIF('Abr25'!$C$18:$E$125,"Petrorecôncavo",'Abr25'!$E$18:$E$125)</f>
        <v>6000000</v>
      </c>
      <c r="AQ14" s="273">
        <f ca="1">SUMIF('Mai25'!$C$18:$E$125,"Petrorecôncavo",'Mai25'!$E$18:$E$125)</f>
        <v>6030000</v>
      </c>
      <c r="AR14" s="273">
        <f ca="1">SUMIF('Jun25'!$C$18:$E$125,"Petrorecôncavo",'Jun25'!$E$18:$E$125)</f>
        <v>6000000</v>
      </c>
      <c r="AS14" s="273">
        <f ca="1">SUMIF('Jul25'!$C$18:$E$125,"Petrorecôncavo",'Jul25'!$E$18:$E$125)</f>
        <v>6200000</v>
      </c>
      <c r="AT14" s="273">
        <f ca="1">SUMIF('Ago25'!$C$18:$E$125,"Petrorecôncavo",'Ago25'!$E$18:$E$125)</f>
        <v>6200000</v>
      </c>
      <c r="AU14" s="273">
        <f ca="1">SUMIF('Set25'!$C$18:$E$125,"Petrorecôncavo",'Set25'!$E$18:$E$125)</f>
        <v>6000000</v>
      </c>
      <c r="AV14" s="273">
        <f ca="1">SUMIF('Out25'!$C$18:$E$125,"Petrorecôncavo",'Out25'!$E$18:$E$125)</f>
        <v>6200000</v>
      </c>
      <c r="AW14" s="266">
        <f ca="1">SUMIF('Nov25'!$C$18:$E$128,"Petrorecôncavo",'Nov25'!$E$18:$E$128)</f>
        <v>5710000</v>
      </c>
      <c r="AX14" s="266">
        <f ca="1">SUMIF('Dez25'!$C$18:$E$128,"Petrorecôncavo",'Dez25'!$E$18:$E$128)</f>
        <v>6200000</v>
      </c>
      <c r="AY14" s="267">
        <f ca="1">SUMIF('Jan26'!$C$18:$E$128,"Petrorecôncavo",'Jan26'!$E$18:$E$128)</f>
        <v>0</v>
      </c>
    </row>
    <row r="15" spans="2:71" s="238" customFormat="1">
      <c r="B15" s="238" t="s">
        <v>493</v>
      </c>
      <c r="C15" s="268"/>
      <c r="D15" s="268"/>
      <c r="E15" s="268"/>
      <c r="F15" s="268"/>
      <c r="G15" s="268"/>
      <c r="H15" s="268"/>
      <c r="I15" s="268"/>
      <c r="J15" s="268"/>
      <c r="K15" s="268"/>
      <c r="L15" s="268"/>
      <c r="M15" s="268"/>
      <c r="N15" s="268"/>
      <c r="O15" s="269"/>
      <c r="P15" s="269"/>
      <c r="Q15" s="269"/>
      <c r="R15" s="269"/>
      <c r="S15" s="269"/>
      <c r="T15" s="269"/>
      <c r="U15" s="269"/>
      <c r="V15" s="269"/>
      <c r="W15" s="269"/>
      <c r="X15" s="269">
        <f ca="1">SUMIF('Out23'!$C$18:$F$40,"Petrorecôncavo",'Out23'!$G$18:$G$40)</f>
        <v>843587.29422000004</v>
      </c>
      <c r="Y15" s="269">
        <f ca="1">SUMIF('Nov23'!$C$18:$F$40,"Petrorecôncavo",'Nov23'!$G$18:$G$40)</f>
        <v>0</v>
      </c>
      <c r="Z15" s="269">
        <f ca="1">SUMIF('Dez23'!$C$18:$F$40,"Petrorecôncavo",'Dez23'!$G$18:$G$40)</f>
        <v>0</v>
      </c>
      <c r="AA15" s="269">
        <f ca="1">SUMIF('Jan24'!$C$18:$F$39,"Petrorecôncavo",'Jan24'!$G$18:$G$39)</f>
        <v>9680325.7320000008</v>
      </c>
      <c r="AB15" s="269">
        <f ca="1">SUMIF('Fev24'!$C$18:$F$74,"Petrorecôncavo",'Fev24'!$G$18:$G$74)</f>
        <v>7078716.9287999999</v>
      </c>
      <c r="AC15" s="269">
        <f ca="1">SUMIF('Mar24'!$C$18:$F$87,"Petrorecôncavo",'Mar24'!$G$18:$G$87)</f>
        <v>9495022.5810000002</v>
      </c>
      <c r="AD15" s="269">
        <f ca="1">SUMIF('Abr24'!$C$18:$F$136,"Petrorecôncavo",'Abr24'!$G$18:$G$136)</f>
        <v>8132456.6036339998</v>
      </c>
      <c r="AE15" s="269">
        <f ca="1">SUMIF('Mai24'!$C$18:$F$136,"Petrorecôncavo",'Mai24'!$G$18:$G$136)</f>
        <v>11825677.353006002</v>
      </c>
      <c r="AF15" s="269">
        <f ca="1">SUMIF('Jun24'!$C$18:$F$250,"Petrorecôncavo",'Jun24'!$G$18:$G$250)</f>
        <v>7107076.2929100003</v>
      </c>
      <c r="AG15" s="269">
        <f ca="1">SUMIF('Jul24'!$C$18:$F$250,"Petrorecôncavo",'Jul24'!$G$18:$G$250)</f>
        <v>9451229.7528000008</v>
      </c>
      <c r="AH15" s="269">
        <f ca="1">SUMIF('Ago24'!$C$18:$F$250,"Petrorecôncavo",'Ago24'!$G$18:$G$250)</f>
        <v>9341945.5354500003</v>
      </c>
      <c r="AI15" s="269">
        <f ca="1">SUMIF('Set24'!$C$18:$F$250,"Petrorecôncavo",'Set24'!$G$18:$G$250)</f>
        <v>7994219.1911999993</v>
      </c>
      <c r="AJ15" s="269">
        <f ca="1">SUMIF('Out24'!$C$18:$F$250,"Petrorecôncavo",'Out24'!$G$18:$G$250)</f>
        <v>8134919.7335999999</v>
      </c>
      <c r="AK15" s="269">
        <f ca="1">SUMIF('Nov24'!$C$18:$F$177,"Petrorecôncavo",'Nov24'!$G$18:$G$177)</f>
        <v>7833462.696246</v>
      </c>
      <c r="AL15" s="269">
        <f ca="1">SUMIF('Dez24'!$C$18:$F$178,"Petrorecôncavo",'Dez24'!$G$18:$G$178)</f>
        <v>9319995.0162000023</v>
      </c>
      <c r="AM15" s="269">
        <f ca="1">SUMIF('Jan25'!$C$18:$F$178,"Petrorecôncavo",'Jan25'!$G$18:$G$178)</f>
        <v>13269860.002806</v>
      </c>
      <c r="AN15" s="269">
        <f ca="1">SUMIF('Fev25'!$C$18:$F$185,"Petrorecôncavo",'Fev25'!$G$18:$G$185)</f>
        <v>11870879.997702001</v>
      </c>
      <c r="AO15" s="269">
        <f ca="1">SUMIF('Mar25'!$C$18:$F$125,"Petrorecôncavo",'Mar25'!$G$18:$G$125)</f>
        <v>13188020.001882</v>
      </c>
      <c r="AP15" s="269">
        <f ca="1">SUMIF('Abr25'!$C$18:$F$125,"Petrorecôncavo",'Abr25'!$G$18:$G$125)</f>
        <v>12713400.002952</v>
      </c>
      <c r="AQ15" s="269">
        <f ca="1">SUMIF('Mai25'!$C$18:$F$125,"Petrorecôncavo",'Mai25'!$G$18:$G$125)</f>
        <v>12942791.999214001</v>
      </c>
      <c r="AR15" s="269">
        <f ca="1">SUMIF('Jun25'!$C$18:$F$125,"Petrorecôncavo",'Jun25'!$G$18:$G$125)</f>
        <v>12879600.003071999</v>
      </c>
      <c r="AS15" s="269">
        <f ca="1">SUMIF('Jul25'!$C$18:$F$125,"Petrorecôncavo",'Jul25'!$G$18:$G$125)</f>
        <v>13286600.000454001</v>
      </c>
      <c r="AT15" s="269">
        <f ca="1">SUMIF('Ago25'!$C$18:$F$125,"Petrorecôncavo",'Ago25'!$G$18:$G$125)</f>
        <v>12476259.997476</v>
      </c>
      <c r="AU15" s="269">
        <f ca="1">SUMIF('Set25'!$C$18:$F$125,"Petrorecôncavo",'Set25'!$G$18:$G$125)</f>
        <v>12055799.996393999</v>
      </c>
      <c r="AV15" s="269">
        <f ca="1">SUMIF('Out25'!$C$18:$F$125,"Petrorecôncavo",'Out25'!$G$18:$G$125)</f>
        <v>12480599.997161999</v>
      </c>
      <c r="AW15" s="269">
        <f ca="1">SUMIF('Nov25'!$C$18:$F$128,"Petrorecôncavo",'Nov25'!$G$18:$G$128)</f>
        <v>11054023.003451999</v>
      </c>
      <c r="AX15" s="269">
        <f ca="1">SUMIF('Dez25'!$C$18:$F$128,"Petrorecôncavo",'Dez25'!$G$18:$G$128)</f>
        <v>12123479.99676</v>
      </c>
      <c r="AY15" s="270">
        <f ca="1">SUMIF('Jan26'!$C$18:$F$128,"Petrorecôncavo",'Jan26'!$G$18:$G$128)</f>
        <v>0</v>
      </c>
    </row>
    <row r="16" spans="2:71" s="264" customFormat="1">
      <c r="B16" s="264" t="s">
        <v>494</v>
      </c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6"/>
      <c r="P16" s="276"/>
      <c r="Q16" s="276"/>
      <c r="R16" s="276"/>
      <c r="S16" s="276"/>
      <c r="T16" s="276"/>
      <c r="U16" s="276"/>
      <c r="V16" s="276"/>
      <c r="W16" s="276"/>
      <c r="X16" s="266">
        <f ca="1">SUMIF('Out23'!$C$18:$E$40,"Galp",'Out23'!$E$18:$E$40)</f>
        <v>413000</v>
      </c>
      <c r="Y16" s="266">
        <f ca="1">SUMIF('Nov23'!$C$18:$E$40,"Galp",'Nov23'!$E$18:$E$40)</f>
        <v>300000.5</v>
      </c>
      <c r="Z16" s="266">
        <f ca="1">SUMIF('Dez23'!$C$18:$E$40,"Galp",'Dez23'!$E$18:$E$40)</f>
        <v>310451</v>
      </c>
      <c r="AA16" s="266">
        <f ca="1">SUMIF('Jan24'!$C$18:$E$39,"Galp",'Jan24'!$E$18:$E$39)</f>
        <v>310000</v>
      </c>
      <c r="AB16" s="266">
        <f ca="1">SUMIF('Fev24'!$C$18:$E$74,"Galp",'Fev24'!$E$18:$E$74)</f>
        <v>1160000</v>
      </c>
      <c r="AC16" s="266">
        <f ca="1">SUMIF('Mar24'!$C$18:$E$87,"Galp",'Mar24'!$E$18:$E$87)</f>
        <v>294000</v>
      </c>
      <c r="AD16" s="266">
        <f ca="1">SUMIF('Abr24'!$C$18:$E$136,"Galp",'Abr24'!$E$18:$E$136)</f>
        <v>300000</v>
      </c>
      <c r="AE16" s="266">
        <f ca="1">SUMIF('Mai24'!$C$18:$E$136,"Galp",'Mai24'!$E$18:$E$136)</f>
        <v>140000</v>
      </c>
      <c r="AF16" s="266">
        <f ca="1">SUMIF('Jun24'!$C$18:$E$250,"Galp",'Jun24'!$E$18:$E$250)</f>
        <v>1904102</v>
      </c>
      <c r="AG16" s="266">
        <f ca="1">SUMIF('Jul24'!$C$18:$E$250,"Galp",'Jul24'!$E$18:$E$250)</f>
        <v>470000</v>
      </c>
      <c r="AH16" s="266">
        <f ca="1">SUMIF('Ago24'!$C$18:$E$250,"Galp",'Ago24'!$E$18:$E$250)</f>
        <v>621000</v>
      </c>
      <c r="AI16" s="266">
        <f ca="1">SUMIF('Set24'!$C$18:$E$250,"Galp",'Set24'!$E$18:$E$250)</f>
        <v>350000</v>
      </c>
      <c r="AJ16" s="266">
        <f ca="1">SUMIF('Out24'!$C$18:$E$250,"Galp",'Out24'!$E$18:$E$250)</f>
        <v>310000</v>
      </c>
      <c r="AK16" s="266">
        <f ca="1">SUMIF('Nov24'!$C$18:$E$177,"Galp",'Nov24'!$E$18:$E$177)</f>
        <v>300000</v>
      </c>
      <c r="AL16" s="266">
        <f ca="1">SUMIF('Dez24'!$C$18:$E$178,"Galp",'Dez24'!$E$18:$E$178)</f>
        <v>1050000</v>
      </c>
      <c r="AM16" s="266">
        <f ca="1">SUMIF('Jan25'!$C$18:$E$178,"Galp",'Jan25'!$E$18:$E$178)</f>
        <v>310000</v>
      </c>
      <c r="AN16" s="266">
        <f ca="1">SUMIF('Fev25'!$C$18:$E$185,"Galp",'Fev25'!$E$18:$E$185)</f>
        <v>280000</v>
      </c>
      <c r="AO16" s="266">
        <f ca="1">SUMIF('Mar25'!$C$18:$E$125,"Galp",'Mar25'!$E$18:$E$125)</f>
        <v>310000</v>
      </c>
      <c r="AP16" s="266">
        <f ca="1">SUMIF('Abr25'!$C$18:$E$125,"Galp",'Abr25'!$E$18:$E$125)</f>
        <v>300000</v>
      </c>
      <c r="AQ16" s="273">
        <f ca="1">SUMIF('Mai25'!$C$18:$E$125,"Galp",'Mai25'!$E$18:$E$125)</f>
        <v>310000</v>
      </c>
      <c r="AR16" s="273">
        <f ca="1">SUMIF('Jun25'!$C$18:$E$125,"Galp",'Jun25'!$E$18:$E$125)</f>
        <v>300000</v>
      </c>
      <c r="AS16" s="266">
        <f ca="1">SUMIF('Jul25'!$C$18:$E$125,"Galp",'Jul25'!$E$18:$E$125)</f>
        <v>310000</v>
      </c>
      <c r="AT16" s="266">
        <f ca="1">SUMIF('Ago25'!$C$18:$E$125,"Galp",'Ago25'!$E$18:$E$125)</f>
        <v>310000</v>
      </c>
      <c r="AU16" s="266">
        <f ca="1">SUMIF('Set25'!$C$18:$E$125,"Galp",'Set25'!$E$18:$E$125)</f>
        <v>300000</v>
      </c>
      <c r="AV16" s="266">
        <f ca="1">SUMIF('Out25'!$C$18:$E$125,"Galp",'Out25'!$E$18:$E$125)</f>
        <v>310000</v>
      </c>
      <c r="AW16" s="266">
        <f ca="1">SUMIF('Nov25'!$C$18:$E$128,"Galp",'Nov25'!$E$18:$E$128)</f>
        <v>300000</v>
      </c>
      <c r="AX16" s="266">
        <f ca="1">SUMIF('Dez25'!$C$18:$E$128,"Galp",'Dez25'!$E$18:$E$128)</f>
        <v>310000</v>
      </c>
      <c r="AY16" s="267">
        <f ca="1">SUMIF('Jan26'!$C$18:$E$128,"Galp",'Jan26'!$E$18:$E$128)</f>
        <v>0</v>
      </c>
    </row>
    <row r="17" spans="1:71" s="238" customFormat="1">
      <c r="B17" s="238" t="s">
        <v>495</v>
      </c>
      <c r="C17" s="268"/>
      <c r="D17" s="268"/>
      <c r="E17" s="268"/>
      <c r="F17" s="268"/>
      <c r="G17" s="268"/>
      <c r="H17" s="268"/>
      <c r="I17" s="268"/>
      <c r="J17" s="268"/>
      <c r="K17" s="268"/>
      <c r="L17" s="268"/>
      <c r="M17" s="268"/>
      <c r="N17" s="268"/>
      <c r="O17" s="269"/>
      <c r="P17" s="269"/>
      <c r="Q17" s="269"/>
      <c r="R17" s="269"/>
      <c r="S17" s="269"/>
      <c r="T17" s="269"/>
      <c r="U17" s="269"/>
      <c r="V17" s="269"/>
      <c r="W17" s="269"/>
      <c r="X17" s="269">
        <f ca="1">SUMIF('Out23'!$C$18:$F$40,"Galp",'Out23'!$G$18:$G$40)</f>
        <v>983501.62218000006</v>
      </c>
      <c r="Y17" s="269">
        <f ca="1">SUMIF('Nov23'!$C$18:$F$40,"Galp",'Nov23'!$G$18:$G$40)</f>
        <v>698711.18768550002</v>
      </c>
      <c r="Z17" s="269">
        <f ca="1">SUMIF('Dez23'!$C$18:$F$40,"Galp",'Dez23'!$G$18:$G$40)</f>
        <v>723731.98280624999</v>
      </c>
      <c r="AA17" s="269">
        <f ca="1">SUMIF('Jan24'!$C$18:$F$39,"Galp",'Jan24'!$G$18:$G$39)</f>
        <v>707139.64529999997</v>
      </c>
      <c r="AB17" s="269">
        <f ca="1">SUMIF('Fev24'!$C$18:$F$74,"Galp",'Fev24'!$G$18:$G$74)</f>
        <v>1969892.508375</v>
      </c>
      <c r="AC17" s="269">
        <f ca="1">SUMIF('Mar24'!$C$18:$F$87,"Galp",'Mar24'!$G$18:$G$87)</f>
        <v>604962.46156500001</v>
      </c>
      <c r="AD17" s="269">
        <f ca="1">SUMIF('Abr24'!$C$18:$F$136,"Galp",'Abr24'!$G$18:$G$136)</f>
        <v>615941.39474999998</v>
      </c>
      <c r="AE17" s="269">
        <f ca="1">SUMIF('Mai24'!$C$18:$F$136,"Galp",'Mai24'!$G$18:$G$136)</f>
        <v>284190.01380000002</v>
      </c>
      <c r="AF17" s="269">
        <f ca="1">SUMIF('Jun24'!$C$18:$F$250,"Galp",'Jun24'!$G$18:$G$250)</f>
        <v>2783558.46718125</v>
      </c>
      <c r="AG17" s="269">
        <f ca="1">SUMIF('Jul24'!$C$18:$F$250,"Galp",'Jul24'!$G$18:$G$250)</f>
        <v>954066.47490000003</v>
      </c>
      <c r="AH17" s="269">
        <f ca="1">SUMIF('Ago24'!$C$18:$F$250,"Galp",'Ago24'!$G$18:$G$250)</f>
        <v>1357132.899375</v>
      </c>
      <c r="AI17" s="269">
        <f ca="1">SUMIF('Set24'!$C$18:$F$250,"Galp",'Set24'!$G$18:$G$250)</f>
        <v>763961.95012499997</v>
      </c>
      <c r="AJ17" s="269">
        <f ca="1">SUMIF('Out24'!$C$18:$F$250,"Galp",'Out24'!$G$18:$G$250)</f>
        <v>683174.13119999995</v>
      </c>
      <c r="AK17" s="269">
        <f ca="1">SUMIF('Nov24'!$C$18:$F$177,"Galp",'Nov24'!$G$18:$G$177)</f>
        <v>653008.77674999996</v>
      </c>
      <c r="AL17" s="269">
        <f ca="1">SUMIF('Dez24'!$C$18:$F$178,"Galp",'Dez24'!$G$18:$G$178)</f>
        <v>2166783.436125</v>
      </c>
      <c r="AM17" s="269">
        <f ca="1">SUMIF('Jan25'!$C$18:$F$178,"Galp",'Jan25'!$G$18:$G$178)</f>
        <v>666717.46267499996</v>
      </c>
      <c r="AN17" s="269">
        <f ca="1">SUMIF('Fev25'!$C$18:$F$185,"Galp",'Fev25'!$G$18:$G$185)</f>
        <v>596430.38069999998</v>
      </c>
      <c r="AO17" s="269">
        <f ca="1">SUMIF('Mar25'!$C$18:$F$125,"Galp",'Mar25'!$G$18:$G$125)</f>
        <v>662635.99957500002</v>
      </c>
      <c r="AP17" s="269">
        <f ca="1">SUMIF('Abr25'!$C$18:$F$125,"Galp",'Abr25'!$G$18:$G$125)</f>
        <v>638754.03899999999</v>
      </c>
      <c r="AQ17" s="269">
        <f ca="1">SUMIF('Mai25'!$C$18:$F$125,"Galp",'Mai25'!$G$18:$G$125)</f>
        <v>668705.86777499993</v>
      </c>
      <c r="AR17" s="269">
        <f ca="1">SUMIF('Jun25'!$C$18:$F$125,"Galp",'Jun25'!$G$18:$G$125)</f>
        <v>647944.92674999998</v>
      </c>
      <c r="AS17" s="269">
        <f ca="1">SUMIF('Jul25'!$C$18:$F$125,"Galp",'Jul25'!$G$18:$G$125)</f>
        <v>668679.70455000002</v>
      </c>
      <c r="AT17" s="269">
        <f ca="1">SUMIF('Ago25'!$C$18:$F$125,"Galp",'Ago25'!$G$18:$G$125)</f>
        <v>585375.99615000002</v>
      </c>
      <c r="AU17" s="269">
        <f ca="1">SUMIF('Set25'!$C$18:$F$125,"Galp",'Set25'!$G$18:$G$125)</f>
        <v>565556.08724999998</v>
      </c>
      <c r="AV17" s="269">
        <f ca="1">SUMIF('Out25'!$C$18:$F$125,"Galp",'Out25'!$G$18:$G$125)</f>
        <v>585559.13872499997</v>
      </c>
      <c r="AW17" s="269">
        <f ca="1">SUMIF('Nov25'!$C$18:$F$128,"Galp",'Nov25'!$G$18:$G$128)</f>
        <v>554061.14775</v>
      </c>
      <c r="AX17" s="269">
        <f ca="1">SUMIF('Dez25'!$C$18:$F$128,"Galp",'Dez25'!$G$18:$G$128)</f>
        <v>574439.76809999999</v>
      </c>
      <c r="AY17" s="270">
        <f ca="1">SUMIF('Jan26'!$C$18:$F$128,"Galp",'Jan26'!$G$18:$G$128)</f>
        <v>0</v>
      </c>
    </row>
    <row r="18" spans="1:71">
      <c r="B18" s="277" t="s">
        <v>1085</v>
      </c>
      <c r="C18" s="278"/>
      <c r="D18" s="278"/>
      <c r="E18" s="278"/>
      <c r="F18" s="278"/>
      <c r="G18" s="278"/>
      <c r="H18" s="278"/>
      <c r="I18" s="278"/>
      <c r="J18" s="278"/>
      <c r="K18" s="278"/>
      <c r="L18" s="278"/>
      <c r="M18" s="278"/>
      <c r="N18" s="278"/>
      <c r="O18" s="274"/>
      <c r="P18" s="274"/>
      <c r="Q18" s="274"/>
      <c r="R18" s="274"/>
      <c r="S18" s="273">
        <f ca="1">SUMIF('Mai23'!$C$18:$E$41,"Mastergás",'Mai23'!$E$18:$E$41)</f>
        <v>0</v>
      </c>
      <c r="T18" s="273">
        <f ca="1">SUMIF('Jun23'!$C$18:$E$40,"Contingência Rede Local (Vector)",'Jun23'!$E$18:$E$40)+SUMIF('Jun23'!$C$18:$E$40,"Contingência Rede Local (Mastergas)",'Jun23'!$E$18:$E$40)</f>
        <v>0</v>
      </c>
      <c r="U18" s="273">
        <f ca="1">SUMIF('Jul23'!$C$18:$E$40,"Contingência Rede Local (Vector)",'Jul23'!$E$18:$E$40)+SUMIF('Jul23'!$C$18:$E$40,"Contingência Rede Local (Mastergas)",'Jul23'!$E$18:$E$40)</f>
        <v>0</v>
      </c>
      <c r="V18" s="273">
        <f ca="1">SUMIF('Ago23'!$C$18:$E$40,"Contingência Rede Local (Vector)",'Ago23'!$E$18:$E$40)+SUMIF('Ago23'!$C$18:$E$40,"Contingência Rede Local (Mastergas)",'Ago23'!$E$18:$E$40)</f>
        <v>0</v>
      </c>
      <c r="W18" s="273">
        <f ca="1">SUMIF('Set23'!$C$18:$E$40,"Contingência Rede Local (Vector)",'Set23'!$E$18:$E$40)+SUMIF('Set23'!$C$18:$E$40,"Contingência Rede Local (Mastergas)",'Set23'!$E$18:$E$40)</f>
        <v>0</v>
      </c>
      <c r="X18" s="273">
        <f ca="1">SUMIF('Out23'!$C$18:$E$40,"Contingência Rede Local (Vector)",'Out23'!$E$18:$E$40)+SUMIF('Out23'!$C$18:$E$40,"Contingência Rede Local (Mastergas)",'Out23'!$E$18:$E$40)</f>
        <v>0</v>
      </c>
      <c r="Y18" s="273">
        <f ca="1">SUMIF('Nov23'!$C$18:$E$40,"Contingência Rede Local (Vector)",'Nov23'!$E$18:$E$40)+SUMIF('Nov23'!$C$18:$E$40,"Contingência Rede Local (Mastergas)",'Nov23'!$E$18:$E$40)</f>
        <v>0</v>
      </c>
      <c r="Z18" s="273">
        <f ca="1">SUMIF('Dez23'!$C$18:$E$40,"Contingência Rede Local (Vector)",'Dez23'!$E$18:$E$40)+SUMIF('Dez23'!$C$18:$E$40,"Contingência Rede Local (Mastergas)",'Dez23'!$E$18:$E$40)</f>
        <v>0</v>
      </c>
      <c r="AA18" s="273">
        <f ca="1">SUMIF('Jan24'!$C$18:$E$39,"Contingência Rede Local (Vector)",'Jan24'!$E$18:$E$39)+SUMIF('Jan24'!$C$18:$E$39,"Contingência Rede Local (Mastergas)",'Jan24'!$E$18:$E$39)</f>
        <v>0</v>
      </c>
      <c r="AB18" s="273">
        <f ca="1">SUMIF('Fev24'!$C$18:$E$74,"Contingência Rede Local (Vector)",'Fev24'!$E$18:$E$74)+SUMIF('Fev24'!$C$18:$E$74,"Contingência Rede Local (Mastergas)",'Fev24'!$E$18:$E$74)</f>
        <v>0</v>
      </c>
      <c r="AC18" s="273">
        <f ca="1">SUMIF('Mar24'!$C$18:$E$87,"Contingência Rede Local (Vector)",'Mar24'!$E$18:$E$87)+SUMIF('Mar24'!$C$18:$E$87,"Contingência Rede Local (Mastergas)",'Mar24'!$E$18:$E$87)</f>
        <v>0</v>
      </c>
      <c r="AD18" s="273">
        <f ca="1">SUMIF('Abr24'!$C$18:$E$136,"Contingência Rede Local (Vector)",'Abr24'!$E$18:$E$136)+SUMIF('Abr24'!$C$18:$E$136,"Contingência Rede Local (Mastergas)",'Abr24'!$E$18:$E$136)</f>
        <v>0</v>
      </c>
      <c r="AE18" s="273">
        <f ca="1">SUMIF('Mai24'!$C$18:$E$136,"Contingência Rede Local (Vector)",'Mai24'!$E$18:$E$136)+SUMIF('Mai24'!$C$18:$E$136,"Contingência Rede Local (Mastergas)",'Mai24'!$E$18:$E$136)</f>
        <v>0</v>
      </c>
      <c r="AF18" s="273">
        <f ca="1">SUMIF('Jun24'!$C$18:$E$250,"Contingência Rede Local (Vector)",'Jun24'!$E$18:$E$250)+SUMIF('Jun24'!$C$18:$E$250,"Contingência Rede Local (Mastergas)",'Jun24'!$E$18:$E$250)</f>
        <v>0</v>
      </c>
      <c r="AG18" s="273">
        <f ca="1">SUMIF('Jul24'!$C$18:$E$250,"Contingência Rede Local (Vector)",'Jul24'!$E$18:$E$250)+SUMIF('Jul24'!$C$18:$E$250,"Contingência Rede Local (Mastergas)",'Jul24'!$E$18:$E$250)</f>
        <v>0</v>
      </c>
      <c r="AH18" s="273">
        <f ca="1">SUMIF('Ago24'!$C$18:$E$250,"Contingência Rede Local (Vector)",'Ago24'!$E$18:$E$250)+SUMIF('Ago24'!$C$18:$E$250,"Contingência Rede Local (Mastergas)",'Ago24'!$E$18:$E$250)</f>
        <v>0</v>
      </c>
      <c r="AI18" s="273">
        <f ca="1">SUMIF('Set24'!$C$18:$E$250,"Contingência Rede Local (Vector)",'Set24'!$E$18:$E$250)+SUMIF('Set24'!$C$18:$E$250,"Contingência Rede Local (Mastergas)",'Set24'!$E$18:$E$250)</f>
        <v>0</v>
      </c>
      <c r="AJ18" s="273">
        <f ca="1">SUMIF('Out24'!$C$18:$E$250,"Contingência Rede Local (Vector)",'Out24'!$E$18:$E$250)+SUMIF('Out24'!$C$18:$E$250,"Contingência Rede Local (Mastergas)",'Out24'!$E$18:$E$250)</f>
        <v>0</v>
      </c>
      <c r="AK18" s="266">
        <f ca="1">SUMIF('Nov24'!$C$18:$E$177,"Contingência Rede Local (Vector)",'Nov24'!$E$18:$E$177)+SUMIF('Nov24'!$C$18:$E$177,"Contingência Rede Local (Mastergas)",'Nov24'!$E$18:$E$177)</f>
        <v>0</v>
      </c>
      <c r="AL18" s="266">
        <f ca="1">SUMIF('Dez24'!$C$18:$E$178,"Contingência Rede Local (Vector)",'Dez24'!$E$18:$E$178)+SUMIF('Dez24'!$C$18:$E$178,"Contingência Rede Local (Mastergas)",'Dez24'!$E$18:$E$178)</f>
        <v>0</v>
      </c>
      <c r="AM18" s="266">
        <f ca="1">SUMIF('Jan25'!$C$18:$E$178,"Contingência Rede Local (Vector)",'Jan25'!$E$18:$E$178)+SUMIF('Jan25'!$C$18:$E$178,"Contingência Rede Local (Mastergas)",'Jan25'!$E$18:$E$178)</f>
        <v>0</v>
      </c>
      <c r="AN18" s="266">
        <f ca="1">SUMIF('Fev25'!$C$18:$E$185,"Contingência Rede Local (Vector)",'Fev25'!$E$18:$E$185)+SUMIF('Fev25'!$C$18:$E$185,"Contingência Rede Local (Mastergas)",'Fev25'!$E$18:$E$185)</f>
        <v>0</v>
      </c>
      <c r="AO18" s="266">
        <f ca="1">SUMIF('Mar25'!$C$18:$E$125,"Contingência Rede Local (Vector)",'Mar25'!$E$18:$E$125)+SUMIF('Mar25'!$C$18:$E$125,"Contingência Rede Local (Mastergas)",'Mar25'!$E$18:$E$125)</f>
        <v>0</v>
      </c>
      <c r="AP18" s="266">
        <f ca="1">SUMIF('Abr25'!$C$18:$E$125,"Contingência Rede Local (Vector)",'Abr25'!$E$18:$E$125)+SUMIF('Abr25'!$C$18:$E$125,"Contingência Rede Local (Mastergas)",'Abr25'!$E$18:$E$125)</f>
        <v>0</v>
      </c>
      <c r="AQ18" s="273">
        <f ca="1">SUMIF('Mai25'!$C$18:$E$125,"Contingência Rede Local (Vector)",'Mai25'!$E$18:$E$125)+SUMIF('Mai25'!$C$18:$E$125,"Contingência Rede Local (Mastergas)",'Mai25'!$E$18:$E$125)</f>
        <v>0</v>
      </c>
      <c r="AR18" s="273">
        <f ca="1">SUMIF('Jun25'!$C$18:$E$125,"Contingência Rede Local (Vector)",'Jun25'!$E$18:$E$125)+SUMIF('Jun25'!$C$18:$E$125,"Contingência Rede Local (Mastergas)",'Jun25'!$E$18:$E$125)</f>
        <v>0</v>
      </c>
      <c r="AS18" s="273">
        <f ca="1">SUMIF('Jul25'!$C$18:$E$125,"Contingência Rede Local (Vector)",'Jul25'!$E$18:$E$125)+SUMIF('Jul25'!$C$18:$E$125,"Contingência Rede Local (Mastergas)",'Jul25'!$E$18:$E$125)</f>
        <v>0</v>
      </c>
      <c r="AT18" s="273">
        <f ca="1">SUMIF('Ago25'!$C$18:$E$125,"Contingência Rede Local (Vector)",'Ago25'!$E$18:$E$125)+SUMIF('Ago25'!$C$18:$E$125,"Contingência Rede Local (Mastergas)",'Ago25'!$E$18:$E$125)</f>
        <v>0</v>
      </c>
      <c r="AU18" s="273">
        <f ca="1">SUMIF('Set25'!$C$18:$E$125,"Contingência Rede Local (Vector)",'Set25'!$E$18:$E$125)+SUMIF('Set25'!$C$18:$E$125,"Contingência Rede Local (Mastergas)",'Set25'!$E$18:$E$125)</f>
        <v>0</v>
      </c>
      <c r="AV18" s="273">
        <f ca="1">SUMIF('Out25'!$C$18:$E$125,"Contingência Rede Local (Vector)",'Out25'!$E$18:$E$125)+SUMIF('Out25'!$C$18:$E$125,"Contingência Rede Local (Mastergas)",'Out25'!$E$18:$E$125)</f>
        <v>0</v>
      </c>
      <c r="AW18" s="266">
        <f ca="1">SUMIF('Nov25'!$C$18:$E$128,"Contingência Rede Local (Vector)",'Nov25'!$E$18:$E$128)+SUMIF('Nov25'!$C$18:$E$128,"Contingência Rede Local (Mastergas)",'Nov25'!$E$18:$E$128)</f>
        <v>0</v>
      </c>
      <c r="AX18" s="266">
        <f ca="1">SUMIF('Dez25'!$C$18:$E$128,"Contingência Rede Local (Vector)",'Dez25'!$E$18:$E$128)+SUMIF('Dez25'!$C$18:$E$128,"Contingência Rede Local (Mastergas)",'Dez25'!$E$18:$E$128)+SUMIF('Dez25'!$C$18:$E$128,"Orizon Biomentano",'Dez25'!$E$18:$E$128)</f>
        <v>463455</v>
      </c>
      <c r="AY18" s="267">
        <f ca="1">SUMIF('Jan26'!$C$18:$E$128,"Contingência Rede Local (Vector)",'Jan26'!$E$18:$E$128)+SUMIF('Jan26'!$C$18:$E$128,"Contingência Rede Local (Mastergas)",'Jan26'!$E$18:$E$128)+SUMIF('Jan26'!$C$18:$E$128,"Orizon Biomentano",'Jan26'!$E$18:$E$128)</f>
        <v>0</v>
      </c>
    </row>
    <row r="19" spans="1:71" s="238" customFormat="1">
      <c r="B19" s="279" t="s">
        <v>1086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70"/>
      <c r="P19" s="270"/>
      <c r="Q19" s="270"/>
      <c r="R19" s="270"/>
      <c r="S19" s="269">
        <f ca="1">SUMIF('Mai23'!$C$18:$F$41,"Mastergás",'Mai23'!$G$18:$G$41)</f>
        <v>685344</v>
      </c>
      <c r="T19" s="269">
        <f ca="1">SUMIF('Jun23'!$C$18:$F$41,"Contingência Rede Local (Vector)",'Jun23'!$G$18:$G$41)+SUMIF('Jun23'!$C$18:$F$41,"Contingência Rede Local (MastergÁs)",'Jun23'!$G$18:$G$41)</f>
        <v>258032.016</v>
      </c>
      <c r="U19" s="269">
        <f ca="1">SUMIF('Jul23'!$C$18:$F$41,"Contingência Rede Local (Vector)",'Jul23'!$G$18:$G$41)+SUMIF('Jul23'!$C$18:$F$41,"Contingência Rede Local (MastergÁs)",'Jul23'!$G$18:$G$41)</f>
        <v>470524.91969999997</v>
      </c>
      <c r="V19" s="269">
        <f ca="1">SUMIF('Ago23'!$C$18:$F$41,"Contingência Rede Local (Vector)",'Ago23'!$G$18:$G$41)+SUMIF('Ago23'!$C$18:$F$41,"Contingência Rede Local (Mastergás)",'Ago23'!$G$18:$G$41)</f>
        <v>1392105</v>
      </c>
      <c r="W19" s="269">
        <f ca="1">SUMIF('Set23'!$C$18:$F$41,"Contingência Rede Local (Vector)",'Set23'!$G$18:$G$41)+SUMIF('Set23'!$C$18:$F$41,"Contingência Rede Local (Mastergás)",'Set23'!$G$18:$G$41)</f>
        <v>1251536.1539999999</v>
      </c>
      <c r="X19" s="269">
        <f ca="1">SUMIF('Out23'!$C$18:$F$41,"Contingência Rede Local (Vector)",'Out23'!$G$18:$G$41)+SUMIF('Out23'!$C$18:$F$41,"Contingência Rede Local (Mastergás)",'Out23'!$G$18:$G$41)</f>
        <v>1477235.76</v>
      </c>
      <c r="Y19" s="269">
        <f ca="1">SUMIF('Nov23'!$C$18:$F$41,"Contingência Rede Local (Vector)",'Nov23'!$G$18:$G$41)+SUMIF('Nov23'!$C$18:$F$41,"Contingência Rede Local (Mastergás)",'Nov23'!$G$18:$G$41)</f>
        <v>1505891.9782500002</v>
      </c>
      <c r="Z19" s="269">
        <f ca="1">SUMIF('Dez23'!$C$18:$F$41,"Contingência Rede Local (Vector)",'Dez23'!$G$18:$G$41)+SUMIF('Dez23'!$C$18:$F$41,"Contingência Rede Local (Mastergás)",'Dez23'!$G$18:$G$41)</f>
        <v>428256.18330000003</v>
      </c>
      <c r="AA19" s="269">
        <f ca="1">SUMIF('Jan24'!$C$18:$F$40,"Contingência Rede Local (Vector)",'Jan24'!$G$18:$G$40)+SUMIF('Jan24'!$C$18:$F$40,"Contingência Rede Local (Mastergás)",'Jan24'!$G$18:$G$40)</f>
        <v>1258318.2463499999</v>
      </c>
      <c r="AB19" s="269">
        <f ca="1">SUMIF('Fev24'!$C$18:$F$75,"Contingência Rede Local (Vector)",'Fev24'!$G$18:$G$75)+SUMIF('Fev24'!$C$18:$F$75,"Contingência Rede Local (Mastergás)",'Fev24'!$G$18:$G$75)</f>
        <v>811457.26942500006</v>
      </c>
      <c r="AC19" s="269">
        <f ca="1">SUMIF('Mar24'!$C$18:$F$87,"Contingência Rede Local (Vector)",'Mar24'!$G$18:$G$87)+SUMIF('Mar24'!$C$18:$F$87,"Contingência Rede Local (Mastergás)",'Mar24'!$G$18:$G$87)</f>
        <v>0</v>
      </c>
      <c r="AD19" s="269">
        <f ca="1">SUMIF('Abr24'!$C$18:$F$136,"Contingência Rede Local (Vector)",'Abr24'!$G$18:$G$136)+SUMIF('Abr24'!$C$18:$F$136,"Contingência Rede Local (Mastergás)",'Abr24'!$G$18:$G$136)</f>
        <v>0</v>
      </c>
      <c r="AE19" s="269">
        <f ca="1">SUMIF('Mai24'!$C$18:$F$136,"Contingência Rede Local (Vector)",'Mai24'!$G$18:$G$136)+SUMIF('Mai24'!$C$18:$F$136,"Contingência Rede Local (Mastergás)",'Mai24'!$G$18:$G$136)</f>
        <v>0</v>
      </c>
      <c r="AF19" s="269">
        <f ca="1">SUMIF('Jun24'!$C$18:$F$250,"Contingência Rede Local (Vector)",'Jun24'!$G$18:$G$250)+SUMIF('Jun24'!$C$18:$F$250,"Contingência Rede Local (Mastergás)",'Jun24'!$G$18:$G$250)</f>
        <v>0</v>
      </c>
      <c r="AG19" s="269">
        <f ca="1">SUMIF('Jul24'!$C$18:$F$250,"Contingência Rede Local (Vector)",'Jul24'!$G$18:$G$250)+SUMIF('Jul24'!$C$18:$F$250,"Contingência Rede Local (Mastergás)",'Jul24'!$G$18:$G$250)</f>
        <v>0</v>
      </c>
      <c r="AH19" s="269">
        <f ca="1">SUMIF('Ago24'!$C$18:$F$250,"Contingência Rede Local (Vector)",'Ago24'!$G$18:$G$250)+SUMIF('Ago24'!$C$18:$F$250,"Contingência Rede Local (Mastergás)",'Ago24'!$G$18:$G$250)</f>
        <v>0</v>
      </c>
      <c r="AI19" s="269">
        <f ca="1">SUMIF('Set24'!$C$18:$F$250,"Contingência Rede Local (Vector)",'Set24'!$G$18:$G$250)+SUMIF('Set24'!$C$18:$F$250,"Contingência Rede Local (Mastergás)",'Set24'!$G$18:$G$250)</f>
        <v>0</v>
      </c>
      <c r="AJ19" s="269">
        <f ca="1">SUMIF('Out24'!$C$18:$F$250,"Contingência Rede Local (Vector)",'Out24'!$G$18:$G$250)+SUMIF('Out24'!$C$18:$F$250,"Contingência Rede Local (Mastergás)",'Out24'!$G$18:$G$250)</f>
        <v>0</v>
      </c>
      <c r="AK19" s="269">
        <f ca="1">SUMIF('Nov24'!$C$18:$F$177,"Contingência Rede Local (Vector)",'Nov24'!$G$18:$G$177)+SUMIF('Nov24'!$C$18:$F$177,"Contingência Rede Local (Mastergás)",'Nov24'!$G$18:$G$177)+SUMIF('Nov24'!$C$18:$F$177,"GNC Mastergás",'Nov24'!$G$18:$G$177)</f>
        <v>180229.5</v>
      </c>
      <c r="AL19" s="269">
        <f ca="1">SUMIF('Dez24'!$C$18:$F$178,"Contingência Rede Local (Vector)",'Dez24'!$G$18:$G$178)+SUMIF('Dez24'!$C$18:$F$178,"Contingência Rede Local (Mastergás)",'Dez24'!$G$18:$G$178)+SUMIF('Dez24'!$C$18:$F$178,"GNC Mastergás",'Dez24'!$G$18:$G$178)</f>
        <v>0</v>
      </c>
      <c r="AM19" s="269">
        <f ca="1">SUMIF('Jan25'!$C$18:$F$178,"Contingência Rede Local (Vector)",'Jan25'!$G$18:$G$178)+SUMIF('Jan25'!$C$18:$F$178,"Contingência Rede Local (Mastergás)",'Jan25'!$G$18:$G$178)+SUMIF('Jan25'!$C$18:$F$178,"GNC Mastergás",'Jan25'!$G$18:$G$178)</f>
        <v>225286.875</v>
      </c>
      <c r="AN19" s="269">
        <f ca="1">SUMIF('Fev25'!$C$18:$F$185,"Contingência Rede Local (Vector)",'Fev25'!$G$18:$G$185)+SUMIF('Fev25'!$C$18:$F$185,"Contingência Rede Local (Mastergás)",'Fev25'!$G$18:$G$185)+SUMIF('Fev25'!$C$18:$F$185,"GNC Mastergás",'Fev25'!$G$18:$G$185)</f>
        <v>15984.39645</v>
      </c>
      <c r="AO19" s="269">
        <f ca="1">SUMIF('Mar25'!$C$18:$F$125,"Contingência Rede Local (Vector)",'Mar25'!$G$18:$G$125)+SUMIF('Mar25'!$C$18:$F$125,"Contingência Rede Local (Mastergás)",'Mar25'!$G$18:$G$125)+SUMIF('Mar25'!$C$18:$F$125,"GNC Mastergás",'Mar25'!$G$18:$G$125)</f>
        <v>290578.01519999997</v>
      </c>
      <c r="AP19" s="269">
        <f ca="1">SUMIF('Abr25'!$C$18:$F$125,"Contingência Rede Local (Vector)",'Abr25'!$G$18:$G$125)+SUMIF('Abr25'!$C$18:$F$125,"Contingência Rede Local (Mastergás)",'Abr25'!$G$18:$G$125)+SUMIF('Abr25'!$C$18:$F$125,"GNC Mastergás",'Abr25'!$G$18:$G$125)</f>
        <v>658747.83397499996</v>
      </c>
      <c r="AQ19" s="269">
        <f ca="1">SUMIF('Mai25'!$C$18:$F$125,"Contingência Rede Local (Vector)",'Mai25'!$G$18:$G$125)+SUMIF('Mai25'!$C$18:$F$125,"Contingência Rede Local (Mastergás)",'Mai25'!$G$18:$G$125)+SUMIF('Mai25'!$C$18:$F$125,"GNC Mastergás",'Mai25'!$G$18:$G$125)</f>
        <v>0</v>
      </c>
      <c r="AR19" s="269">
        <f ca="1">SUMIF('Jun25'!$C$18:$F$125,"Contingência Rede Local (Vector)",'Jun25'!$G$18:$G$125)+SUMIF('Jun25'!$C$18:$F$125,"Contingência Rede Local (Mastergás)",'Jun25'!$G$18:$G$125)+SUMIF('Jun25'!$C$18:$F$125,"GNC Mastergás",'Jun25'!$G$18:$G$125)</f>
        <v>245848.05712500002</v>
      </c>
      <c r="AS19" s="269">
        <f ca="1">SUMIF('Jul25'!$C$18:$F$125,"Contingência Rede Local (Vector)",'Jul25'!$G$18:$G$125)+SUMIF('Jul25'!$C$18:$F$125,"Contingência Rede Local (Mastergás)",'Jul25'!$G$18:$G$125)+SUMIF('Jul25'!$C$18:$F$125,"GNC Mastergás",'Jul25'!$G$18:$G$125)</f>
        <v>0</v>
      </c>
      <c r="AT19" s="269">
        <f ca="1">SUMIF('Ago25'!$C$18:$F$125,"Contingência Rede Local (Vector)",'Ago25'!$G$18:$G$125)+SUMIF('Ago25'!$C$18:$F$125,"Contingência Rede Local (Mastergás)",'Ago25'!$G$18:$G$125)+SUMIF('Ago25'!$C$18:$F$125,"GNC Mastergás",'Ago25'!$G$18:$G$125)</f>
        <v>492468.09727500001</v>
      </c>
      <c r="AU19" s="269">
        <f ca="1">SUMIF('Set25'!$C$18:$F$125,"Contingência Rede Local (Vector)",'Set25'!$G$18:$G$125)+SUMIF('Set25'!$C$18:$F$125,"Contingência Rede Local (Mastergás)",'Set25'!$G$18:$G$125)+SUMIF('Set25'!$C$18:$F$125,"GNC Mastergás",'Set25'!$G$18:$G$125)+SUMIF('Set25'!$C$18:$F$125,"GNC Vector",'Set25'!$G$18:$G$125)</f>
        <v>308501.89342500002</v>
      </c>
      <c r="AV19" s="269">
        <f ca="1">SUMIF('Out25'!$C$18:$F$125,"Contingência Rede Local (Vector)",'Out25'!$G$18:$G$125)+SUMIF('Out25'!$C$18:$F$125,"Contingência Rede Local (Mastergás)",'Out25'!$G$18:$G$125)+SUMIF('Out25'!$C$18:$F$125,"GNC Mastergás",'Out25'!$G$18:$G$125)+SUMIF('Out25'!$C$18:$F$125,"GNC Vector",'Out25'!$G$18:$G$125)</f>
        <v>217911.53174999999</v>
      </c>
      <c r="AW19" s="269">
        <f ca="1">SUMIF('Nov25'!$C$18:$F$128,"Contingência Rede Local (Vector)",'Nov25'!$G$18:$G$128)+SUMIF('Nov25'!$C$18:$F$128,"Contingência Rede Local (Mastergás)",'Nov25'!$G$18:$G$128)+SUMIF('Nov25'!$C$18:$F$128,"GNC Mastergás",'Nov25'!$G$18:$G$128)+SUMIF('Nov25'!$C$18:$F$128,"GNC Vector",'Nov25'!$G$18:$G$128)</f>
        <v>666983.62335000001</v>
      </c>
      <c r="AX19" s="269">
        <f ca="1">SUMIF('Dez25'!$C$18:$F$128,"Contingência Rede Local (Vector)",'Dez25'!$G$18:$G$128)+SUMIF('Dez25'!$C$18:$F$128,"Contingência Rede Local (Mastergás)",'Dez25'!$G$18:$G$128)+SUMIF('Dez25'!$C$18:$F$128,"GNC Mastergás",'Dez25'!$G$18:$G$128)+SUMIF('Dez25'!$C$18:$F$128,"GNC Vector",'Dez25'!$G$18:$G$128)+SUMIF('Dez25'!$C$18:$F$128,"Orizon Biomentano",'Dez25'!$G$18:$G$128)</f>
        <v>2075880.3796252499</v>
      </c>
      <c r="AY19" s="270">
        <f ca="1">SUMIF('Jan26'!$C$18:$F$128,"Contingência Rede Local (Vector)",'Jan26'!$G$18:$G$128)+SUMIF('Jan26'!$C$18:$F$128,"Contingência Rede Local (Mastergás)",'Jan26'!$G$18:$G$128)+SUMIF('Jan26'!$C$18:$F$128,"GNC Mastergás",'Jan26'!$G$18:$G$128)+SUMIF('Jan26'!$C$18:$F$128,"GNC Vector",'Jan26'!$G$18:$G$128)+SUMIF('Jan26'!$C$18:$F$128,"Orizon Biomentano",'Jan26'!$G$18:$G$128)</f>
        <v>0</v>
      </c>
    </row>
    <row r="20" spans="1:71">
      <c r="B20" s="277" t="s">
        <v>919</v>
      </c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2"/>
      <c r="P20" s="282"/>
      <c r="Q20" s="282"/>
      <c r="R20" s="282"/>
      <c r="S20" s="272"/>
      <c r="T20" s="272"/>
      <c r="U20" s="272"/>
      <c r="V20" s="272"/>
      <c r="W20" s="272"/>
      <c r="X20" s="272"/>
      <c r="Y20" s="272"/>
      <c r="Z20" s="272"/>
      <c r="AA20" s="272"/>
      <c r="AB20" s="273">
        <f ca="1">SUMIF('Fev24'!$C$18:$E$74,"TAG",'Fev24'!$E$18:$E$74)</f>
        <v>0</v>
      </c>
      <c r="AC20" s="273">
        <f ca="1">SUMIF('Mar24'!$C$18:$E$87,"TAG",'Mar24'!$E$18:$E$87)</f>
        <v>0</v>
      </c>
      <c r="AD20" s="273">
        <f ca="1">SUMIF('Abr24'!$C$18:$E$136,"TAG",'Abr24'!$E$18:$E$136)</f>
        <v>0</v>
      </c>
      <c r="AE20" s="273">
        <f ca="1">SUMIF('Mai24'!$C$18:$E$136,"TAG",'Mai24'!$E$18:$E$136)</f>
        <v>0</v>
      </c>
      <c r="AF20" s="273">
        <f ca="1">SUMIF('Jun24'!$C$18:$E$250,"TAG",'Jun24'!$E$18:$E$250)+SUMIF('Jun24'!$C$18:$C$202,"Cegás",'Jun24'!$E$18:$E$202)+SUMIF('Jun24'!$C$18:$C$202,"Sergás",'Jun24'!$E$18:$E$202)</f>
        <v>151698</v>
      </c>
      <c r="AG20" s="273">
        <f ca="1">SUMIF('Jul24'!$C$18:$E$136,"TAG",'Jul24'!$E$18:$E$136)+SUMIF('Jul24'!$C$18:$E$136,"Cegás",'Jul24'!$E$18:$E$136)+SUMIF('Jul24'!$C$18:$E$136,"Sergás",'Jul24'!$E$18:$E$136)</f>
        <v>48720.777099999999</v>
      </c>
      <c r="AH20" s="273">
        <f ca="1">SUMIF('Ago24'!$C$18:$E$136,"TAG",'Ago24'!$E$18:$E$136)+SUMIF('Ago24'!$C$18:$E$136,"Cegás",'Ago24'!$E$18:$E$136)+SUMIF('Ago24'!$C$18:$E$136,"Sergás",'Ago24'!$E$18:$E$136)</f>
        <v>100000</v>
      </c>
      <c r="AI20" s="273">
        <f ca="1">SUMIF('Set24'!$C$18:$E$136,"TAG",'Set24'!$E$18:$E$136)+SUMIF('Set24'!$C$18:$E$136,"Cegás",'Set24'!$E$18:$E$136)+SUMIF('Set24'!$C$18:$E$136,"Sergás",'Set24'!$E$18:$E$136)</f>
        <v>0</v>
      </c>
      <c r="AJ20" s="273">
        <f ca="1">SUMIF('Out24'!$C$18:$E$136,"TAG",'Out24'!$E$18:$E$136)+SUMIF('Out24'!$C$18:$E$136,"Cegás",'Out24'!$E$18:$E$136)+SUMIF('Out24'!$C$18:$E$136,"Sergás",'Out24'!$E$18:$E$136)</f>
        <v>0</v>
      </c>
      <c r="AK20" s="273">
        <f ca="1">SUMIF('Nov24'!$C$18:$E$63,"TAG",'Nov24'!$E$18:$E$63)+SUMIF('Nov24'!$C$18:$E$63,"Cegás",'Nov24'!$E$18:$E$63)+SUMIF('Nov24'!$C$18:$E$63,"Sergás",'Nov24'!$E$18:$E$63)</f>
        <v>0</v>
      </c>
      <c r="AL20" s="273">
        <f ca="1">SUMIF('Dez24'!$C$18:$E$64,"TAG",'Dez24'!$E$18:$E$64)+SUMIF('Dez24'!$C$18:$E$64,"Cegás",'Dez24'!$E$18:$E$64)+SUMIF('Dez24'!$C$18:$E$64,"Sergás",'Dez24'!$E$18:$E$64)</f>
        <v>0</v>
      </c>
      <c r="AM20" s="273">
        <f ca="1">SUMIF('Jan25'!$C$18:$E$64,"TAG",'Jan25'!$E$18:$E$64)+SUMIF('Jan25'!$C$18:$E$64,"Cegás",'Jan25'!$E$18:$E$64)+SUMIF('Jan25'!$C$18:$E$64,"Sergás",'Jan25'!$E$18:$E$64)</f>
        <v>0</v>
      </c>
      <c r="AN20" s="273">
        <f ca="1">SUMIF('Fev25'!$C$18:$E$71,"TAG",'Fev25'!$E$18:$E$71)+SUMIF('Fev25'!$C$18:$E$184,"Cegás",'Fev25'!$E$18:$E$184)+SUMIF('Fev25'!$C$18:$E$184,"Sergás",'Fev25'!$E$18:$E$184)</f>
        <v>729</v>
      </c>
      <c r="AO20" s="273">
        <f ca="1">SUMIF('Mar25'!$C$18:$E$57,"TAG",'Mar25'!$E$18:$E$57)+SUMIF('Mar25'!$C$18:$E$124,"Cegás",'Mar25'!$E$18:$E$124)+SUMIF('Mar25'!$C$18:$E$124,"Sergás",'Mar25'!$E$18:$E$124)</f>
        <v>0</v>
      </c>
      <c r="AP20" s="273">
        <f ca="1">SUMIF('Abr25'!$C$18:$E$57,"TAG",'Abr25'!$E$18:$E$57)+SUMIF('Abr25'!$C$18:$E$124,"Cegás",'Abr25'!$E$18:$E$124)+SUMIF('Abr25'!$C$18:$E$124,"Sergás",'Abr25'!$E$18:$E$124)+SUMIF('Abr25'!$C$18:$E$124,"Shell",'Abr25'!$E$18:$E$124)</f>
        <v>1900000</v>
      </c>
      <c r="AQ20" s="273">
        <f ca="1">SUMIF('Mai25'!$C$18:$E$57,"TAG",'Mai25'!$E$18:$E$57)+SUMIF('Mai25'!$C$18:$E$124,"Cegás",'Mai25'!$E$18:$E$124)+SUMIF('Mai25'!$C$18:$E$124,"Sergás",'Mai25'!$E$18:$E$124)+SUMIF('Mai25'!$C$18:$E$124,"Shell",'Mai25'!$E$18:$E$124)</f>
        <v>800000</v>
      </c>
      <c r="AR20" s="273">
        <f ca="1">SUMIF('Jun25'!$C$18:$E$57,"TAG",'Jun25'!$E$18:$E$57)+SUMIF('Jun25'!$C$18:$E$124,"Cegás",'Jun25'!$E$18:$E$124)+SUMIF('Jun25'!$C$18:$E$124,"Sergás",'Jun25'!$E$18:$E$124)+SUMIF('Jun25'!$C$18:$E$124,"Shell",'Jun25'!$E$18:$E$124)</f>
        <v>0</v>
      </c>
      <c r="AS20" s="273">
        <f ca="1">SUMIF('Jul25'!$C$18:$E$57,"TAG",'Jul25'!$E$18:$E$57)+SUMIF('Jul25'!$C$18:$E$124,"Cegás",'Jul25'!$E$18:$E$124)+SUMIF('Jul25'!$C$18:$E$124,"Sergás",'Jul25'!$E$18:$E$124)+SUMIF('Jul25'!$C$18:$E$124,"Shell",'Jul25'!$E$18:$E$124)</f>
        <v>0</v>
      </c>
      <c r="AT20" s="273">
        <f ca="1">SUMIF('Ago25'!$C$18:$E$57,"TAG",'Ago25'!$E$18:$E$57)+SUMIF('Ago25'!$C$18:$E$124,"Cegás",'Ago25'!$E$18:$E$124)+SUMIF('Ago25'!$C$18:$E$124,"Sergás",'Ago25'!$E$18:$E$124)+SUMIF('Ago25'!$C$18:$E$124,"Shell",'Ago25'!$E$18:$E$124)</f>
        <v>0</v>
      </c>
      <c r="AU20" s="273">
        <f ca="1">SUMIF('Set25'!$C$18:$E$57,"TAG",'Set25'!$E$18:$E$57)+SUMIF('Set25'!$C$18:$E$124,"Cegás",'Set25'!$E$18:$E$124)+SUMIF('Set25'!$C$18:$E$124,"Sergás",'Set25'!$E$18:$E$124)+SUMIF('Set25'!$C$18:$E$124,"Shell",'Set25'!$E$18:$E$124)</f>
        <v>0</v>
      </c>
      <c r="AV20" s="273">
        <f ca="1">SUMIF('Out25'!$C$18:$E$57,"TAG",'Out25'!$E$18:$E$57)+SUMIF('Out25'!$C$18:$E$124,"Cegás",'Out25'!$E$18:$E$124)+SUMIF('Out25'!$C$18:$E$124,"Sergás",'Out25'!$E$18:$E$124)+SUMIF('Out25'!$C$18:$E$124,"Shell",'Out25'!$E$18:$E$124)</f>
        <v>0</v>
      </c>
      <c r="AW20" s="266">
        <f ca="1">SUMIF('Nov25'!$C$18:$E$60,"TAG",'Nov25'!$E$18:$E$60)+SUMIF('Nov25'!$C$18:$E$127,"Cegás",'Nov25'!$E$18:$E$127)+SUMIF('Nov25'!$C$18:$E$127,"Sergás",'Nov25'!$E$18:$E$127)+SUMIF('Nov25'!$C$18:$E$127,"Shell",'Nov25'!$E$18:$E$127)</f>
        <v>0</v>
      </c>
      <c r="AX20" s="266">
        <f ca="1">SUMIF('Dez25'!$C$18:$E$60,"TAG",'Dez25'!$E$18:$E$60)+SUMIF('Dez25'!$C$18:$E$127,"Cegás",'Dez25'!$E$18:$E$127)+SUMIF('Dez25'!$C$18:$E$127,"Sergás",'Dez25'!$E$18:$E$127)+SUMIF('Dez25'!$C$18:$E$127,"Shell",'Dez25'!$E$18:$E$127)</f>
        <v>0</v>
      </c>
      <c r="AY20" s="267">
        <f ca="1">SUMIF('Jan26'!$C$18:$E$60,"TAG",'Jan26'!$E$18:$E$60)+SUMIF('Jan26'!$C$18:$E$127,"Cegás",'Jan26'!$E$18:$E$127)+SUMIF('Jan26'!$C$18:$E$127,"Sergás",'Jan26'!$E$18:$E$127)+SUMIF('Jan26'!$C$18:$E$127,"Shell",'Jan26'!$E$18:$E$127)</f>
        <v>17713</v>
      </c>
    </row>
    <row r="21" spans="1:71" s="238" customFormat="1">
      <c r="B21" s="279" t="s">
        <v>691</v>
      </c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70"/>
      <c r="P21" s="270"/>
      <c r="Q21" s="270"/>
      <c r="R21" s="270"/>
      <c r="S21" s="269"/>
      <c r="T21" s="269"/>
      <c r="U21" s="269"/>
      <c r="V21" s="269"/>
      <c r="W21" s="269"/>
      <c r="X21" s="269"/>
      <c r="Y21" s="269"/>
      <c r="Z21" s="269"/>
      <c r="AA21" s="269"/>
      <c r="AB21" s="269">
        <f ca="1">SUMIF('Fev24'!$C$18:$F$74,"TAG",'Fev24'!$G$18:$G$74)</f>
        <v>909052.83840525011</v>
      </c>
      <c r="AC21" s="269">
        <f ca="1">SUMIF('Mar24'!$C$18:$F$87,"TAG",'Mar24'!$G$18:$G$87)</f>
        <v>808119.51074250008</v>
      </c>
      <c r="AD21" s="269">
        <f ca="1">SUMIF('Abr24'!$C$18:$F$136,"TAG",'Abr24'!$G$18:$G$136)</f>
        <v>899868.57320928259</v>
      </c>
      <c r="AE21" s="269">
        <f ca="1">SUMIF('Mai24'!$C$18:$F$136,"TAG",'Mai24'!$G$18:$G$136)</f>
        <v>761414.44734299998</v>
      </c>
      <c r="AF21" s="269">
        <f ca="1">SUMIF('Jun24'!$C$18:$F$250,"TAG",'Jun24'!$G$18:$G$250)+SUMIF('Jun24'!$C$18:$C$202,"Cegás",'Jun24'!$G$18:$G$202)+SUMIF('Jun24'!$C$18:$C$202,"Sergás",'Jun24'!$G$18:$G$202)</f>
        <v>1905324.531783751</v>
      </c>
      <c r="AG21" s="269">
        <f ca="1">SUMIF('Jul24'!$C$18:$F$289,"TAG",'Jul24'!$G$18:$G$289)+SUMIF('Jul24'!$C$18:$C$202,"Cegás",'Jul24'!$G$18:$G$202)+SUMIF('Jul24'!$C$18:$C$202,"Sergás",'Jul24'!$G$18:$G$202)</f>
        <v>1205827.8088312491</v>
      </c>
      <c r="AH21" s="269">
        <f ca="1">SUMIF('Ago24'!$C$18:$F$289,"TAG",'Ago24'!$G$18:$G$289)+SUMIF('Ago24'!$C$18:$C$202,"Cegás",'Ago24'!$G$18:$G$202)+SUMIF('Ago24'!$C$18:$C$202,"Sergás",'Ago24'!$G$18:$G$202)</f>
        <v>1148891.1311460002</v>
      </c>
      <c r="AI21" s="269">
        <f ca="1">SUMIF('Set24'!$C$18:$F$289,"TAG",'Set24'!$G$18:$G$289)+SUMIF('Set24'!$C$18:$C$202,"Cegás",'Set24'!$G$18:$G$202)+SUMIF('Set24'!$C$18:$C$202,"Sergás",'Set24'!$G$18:$G$202)</f>
        <v>1040711.9020402503</v>
      </c>
      <c r="AJ21" s="269">
        <f ca="1">SUMIF('Out24'!$C$18:$F$289,"TAG",'Out24'!$G$18:$G$289)+SUMIF('Out24'!$C$18:$C$202,"Cegás",'Out24'!$G$18:$G$202)+SUMIF('Out24'!$C$18:$C$202,"Sergás",'Out24'!$G$18:$G$202)</f>
        <v>701638.30652025016</v>
      </c>
      <c r="AK21" s="269">
        <f ca="1">SUMIF('Nov24'!$C$18:$F$216,"TAG",'Nov24'!$G$18:$G$216)+SUMIF('Nov24'!$C$18:$C$129,"Cegás",'Nov24'!$G$18:$G$129)+SUMIF('Nov24'!$C$18:$C$129,"Sergás",'Nov24'!$G$18:$G$129)</f>
        <v>737568.2153152501</v>
      </c>
      <c r="AL21" s="269">
        <f ca="1">SUMIF('Dez24'!$C$18:$F$217,"TAG",'Dez24'!$G$18:$G$217)+SUMIF('Dez24'!$C$18:$C$130,"Cegás",'Dez24'!$G$18:$G$130)+SUMIF('Dez24'!$C$18:$C$130,"Sergás",'Dez24'!$G$18:$G$130)</f>
        <v>725399.9978445</v>
      </c>
      <c r="AM21" s="269">
        <f ca="1">SUMIF('Jan25'!$C$18:$F$217,"TAG",'Jan25'!$G$18:$G$217)+SUMIF('Jan25'!$C$18:$C$130,"Cegás",'Jan25'!$G$18:$G$130)+SUMIF('Jan25'!$C$18:$C$130,"Sergás",'Jan25'!$G$18:$G$130)</f>
        <v>948465.87259049981</v>
      </c>
      <c r="AN21" s="269">
        <f ca="1">SUMIF('Fev25'!$C$18:$F$224,"TAG",'Fev25'!$G$18:$G$224)+SUMIF('Fev25'!$C$18:$C$137,"Cegás",'Fev25'!$G$18:$G$137)+SUMIF('Fev25'!$C$18:$C$137,"Sergás",'Fev25'!$G$18:$G$137)</f>
        <v>2019542.3100847504</v>
      </c>
      <c r="AO21" s="269">
        <f ca="1">SUMIF('Mar25'!$C$18:$F$164,"TAG",'Mar25'!$G$18:$G$164)+SUMIF('Mar25'!$C$18:$C$77,"Cegás",'Mar25'!$G$18:$G$77)+SUMIF('Mar25'!$C$18:$C$77,"Sergás",'Mar25'!$G$18:$G$77)</f>
        <v>2013060.2458560001</v>
      </c>
      <c r="AP21" s="269">
        <f ca="1">SUMIF('Abr25'!$C$18:$F$164,"TAG",'Abr25'!$G$18:$G$164)+SUMIF('Abr25'!$C$18:$C$77,"Cegás",'Abr25'!$G$18:$G$77)+SUMIF('Abr25'!$C$18:$C$77,"Sergás",'Abr25'!$G$18:$G$77)+SUMIF('Abr25'!$C$18:$C$77,"Shell",'Abr25'!$G$18:$G$77)</f>
        <v>4611138.0714629982</v>
      </c>
      <c r="AQ21" s="269">
        <f ca="1">SUMIF('Mai25'!$C$18:$F$182,"TAG",'Mai25'!$G$18:$G$182)+SUMIF('Mai25'!$C$18:$C$77,"Cegás",'Mai25'!$G$18:$G$77)+SUMIF('Mai25'!$C$18:$C$77,"Sergás",'Mai25'!$G$18:$G$77)+SUMIF('Mai25'!$C$18:$C$77,"Shell",'Mai25'!$G$18:$G$77)</f>
        <v>3411520.1714220005</v>
      </c>
      <c r="AR21" s="269">
        <f ca="1">SUMIF('Jun25'!$C$18:$F$164,"TAG",'Jun25'!$G$18:$G$164)+SUMIF('Jun25'!$C$18:$C$77,"Cegás",'Jun25'!$G$18:$G$77)+SUMIF('Jun25'!$C$18:$C$77,"Sergás",'Jun25'!$G$18:$G$77)+SUMIF('Jun25'!$C$18:$C$77,"Shell",'Jun25'!$G$18:$G$77)</f>
        <v>2081559.59267025</v>
      </c>
      <c r="AS21" s="269">
        <f ca="1">SUMIF('Jul25'!$C$18:$F$164,"TAG",'Jul25'!$G$18:$G$164)+SUMIF('Jul25'!$C$18:$C$77,"Cegás",'Jul25'!$G$18:$G$77)+SUMIF('Jul25'!$C$18:$C$77,"Sergás",'Jul25'!$G$18:$G$77)+SUMIF('Jul25'!$C$18:$C$77,"Shell",'Jul25'!$G$18:$G$77)</f>
        <v>1940257.9176419999</v>
      </c>
      <c r="AT21" s="269">
        <f ca="1">SUMIF('Ago25'!$C$18:$F$164,"TAG",'Ago25'!$G$18:$G$164)+SUMIF('Ago25'!$C$18:$C$77,"Cegás",'Ago25'!$G$18:$G$77)+SUMIF('Ago25'!$C$18:$C$77,"Sergás",'Ago25'!$G$18:$G$77)+SUMIF('Ago25'!$C$18:$C$77,"Shell",'Ago25'!$G$18:$G$77)</f>
        <v>2169300.7134397505</v>
      </c>
      <c r="AU21" s="269">
        <f ca="1">SUMIF('Set25'!$C$18:$F$164,"TAG",'Set25'!$G$18:$G$164)+SUMIF('Set25'!$C$18:$C$77,"Cegás",'Set25'!$G$18:$G$77)+SUMIF('Set25'!$C$18:$C$77,"Sergás",'Set25'!$G$18:$G$77)+SUMIF('Set25'!$C$18:$C$77,"Shell",'Set25'!$G$18:$G$77)</f>
        <v>2158659.5179050001</v>
      </c>
      <c r="AV21" s="269">
        <f ca="1">SUMIF('Out25'!$C$18:$F$164,"TAG",'Out25'!$G$18:$G$164)+SUMIF('Out25'!$C$18:$C$77,"Cegás",'Out25'!$G$18:$G$77)+SUMIF('Out25'!$C$18:$C$77,"Sergás",'Out25'!$G$18:$G$77)+SUMIF('Out25'!$C$18:$C$77,"Shell",'Out25'!$G$18:$G$77)</f>
        <v>1913163.8849565003</v>
      </c>
      <c r="AW21" s="269">
        <f ca="1">SUMIF('Nov25'!$C$18:$F$167,"TAG",'Nov25'!$G$18:$G$167)+SUMIF('Nov25'!$C$18:$C$80,"Cegás",'Nov25'!$G$18:$G$80)+SUMIF('Nov25'!$C$18:$C$80,"Sergás",'Nov25'!$G$18:$G$80)+SUMIF('Nov25'!$C$18:$C$80,"Shell",'Nov25'!$G$18:$G$80)</f>
        <v>2093685.3188130003</v>
      </c>
      <c r="AX21" s="269">
        <f ca="1">SUMIF('Dez25'!$C$18:$F$167,"TAG",'Dez25'!$G$18:$G$167)+SUMIF('Dez25'!$C$18:$C$80,"Cegás",'Dez25'!$G$18:$G$80)+SUMIF('Dez25'!$C$18:$C$80,"Sergás",'Dez25'!$G$18:$G$80)+SUMIF('Dez25'!$C$18:$C$80,"Shell",'Dez25'!$G$18:$G$80)</f>
        <v>1884540.3752752501</v>
      </c>
      <c r="AY21" s="270">
        <f ca="1">SUMIF('Jan26'!$C$18:$F$167,"TAG",'Jan26'!$G$18:$G$167)+SUMIF('Jan26'!$C$18:$C$80,"Cegás",'Jan26'!$G$18:$G$80)+SUMIF('Jan26'!$C$18:$C$80,"Sergás",'Jan26'!$G$18:$G$80)+SUMIF('Jan26'!$C$18:$C$80,"Shell",'Jan26'!$G$18:$G$80)</f>
        <v>1944914.1982297502</v>
      </c>
    </row>
    <row r="22" spans="1:71">
      <c r="B22" t="s">
        <v>857</v>
      </c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2"/>
      <c r="P22" s="282"/>
      <c r="Q22" s="282"/>
      <c r="R22" s="282"/>
      <c r="S22" s="272"/>
      <c r="T22" s="272"/>
      <c r="U22" s="272"/>
      <c r="V22" s="272"/>
      <c r="W22" s="272"/>
      <c r="X22" s="272"/>
      <c r="Y22" s="272"/>
      <c r="Z22" s="272"/>
      <c r="AA22" s="272"/>
      <c r="AB22" s="273"/>
      <c r="AC22" s="273"/>
      <c r="AD22" s="273"/>
      <c r="AE22" s="273"/>
      <c r="AF22" s="273"/>
      <c r="AG22" s="273"/>
      <c r="AH22" s="273"/>
      <c r="AI22" s="273"/>
      <c r="AJ22" s="273"/>
      <c r="AK22" s="273"/>
      <c r="AL22" s="273"/>
      <c r="AM22" s="273">
        <f ca="1">SUMIF('Jan25'!$C$18:$E$64,"3R BRAVA",'Jan25'!$E$18:$E$64)</f>
        <v>4960000</v>
      </c>
      <c r="AN22" s="273">
        <f ca="1">SUMIF('Fev25'!$C$18:$E$71,"3R BRAVA",'Fev25'!$E$18:$E$71)</f>
        <v>5600000</v>
      </c>
      <c r="AO22" s="273">
        <f ca="1">SUMIF('Mar25'!$C$18:$E$57,"3R BRAVA",'Mar25'!$E$18:$E$57)</f>
        <v>6200000</v>
      </c>
      <c r="AP22" s="273">
        <f ca="1">SUMIF('Abr25'!$C$18:$E$57,"3R BRAVA",'Abr25'!$E$18:$E$57)</f>
        <v>5510000</v>
      </c>
      <c r="AQ22" s="273">
        <f ca="1">SUMIF('Mai25'!$C$18:$E$57,"3R BRAVA",'Mai25'!$E$18:$E$57)</f>
        <v>4960000</v>
      </c>
      <c r="AR22" s="273">
        <f ca="1">SUMIF('Jun25'!$C$18:$E$57,"3R BRAVA",'Jun25'!$E$18:$E$57)</f>
        <v>4800000</v>
      </c>
      <c r="AS22" s="266">
        <f ca="1">SUMIF('Jul25'!$C$18:$E$57,"3R BRAVA",'Jul25'!$E$18:$E$57)</f>
        <v>6200000</v>
      </c>
      <c r="AT22" s="266">
        <f ca="1">SUMIF('Ago25'!$C$18:$E$57,"3R BRAVA",'Ago25'!$E$18:$E$57)</f>
        <v>5960000</v>
      </c>
      <c r="AU22" s="266">
        <f ca="1">SUMIF('Set25'!$C$18:$E$57,"3R BRAVA",'Set25'!$E$18:$E$57)</f>
        <v>4950000</v>
      </c>
      <c r="AV22" s="266">
        <f ca="1">SUMIF('Out25'!$C$18:$E$57,"3R BRAVA",'Out25'!$E$18:$E$57)</f>
        <v>5540000</v>
      </c>
      <c r="AW22" s="266">
        <f ca="1">SUMIF('Nov25'!$C$18:$E$60,"3R BRAVA",'Nov25'!$E$18:$E$60)</f>
        <v>5535224.0389999999</v>
      </c>
      <c r="AX22" s="266">
        <f ca="1">SUMIF('Dez25'!$C$18:$E$60,"3R BRAVA",'Dez25'!$E$18:$E$60)</f>
        <v>4960001</v>
      </c>
      <c r="AY22" s="267">
        <f ca="1">SUMIF('Jan26'!$C$18:$E$60,"3R BRAVA",'Jan26'!$E$18:$E$60)</f>
        <v>0</v>
      </c>
    </row>
    <row r="23" spans="1:71" s="238" customFormat="1">
      <c r="B23" s="238" t="s">
        <v>829</v>
      </c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70"/>
      <c r="P23" s="270"/>
      <c r="Q23" s="270"/>
      <c r="R23" s="270"/>
      <c r="S23" s="269"/>
      <c r="T23" s="269"/>
      <c r="U23" s="269"/>
      <c r="V23" s="269"/>
      <c r="W23" s="269"/>
      <c r="X23" s="269"/>
      <c r="Y23" s="269"/>
      <c r="Z23" s="269"/>
      <c r="AA23" s="269"/>
      <c r="AB23" s="269"/>
      <c r="AC23" s="269"/>
      <c r="AD23" s="269"/>
      <c r="AE23" s="269"/>
      <c r="AF23" s="269"/>
      <c r="AG23" s="269"/>
      <c r="AH23" s="269"/>
      <c r="AI23" s="269"/>
      <c r="AJ23" s="269"/>
      <c r="AK23" s="269"/>
      <c r="AL23" s="269"/>
      <c r="AM23" s="269">
        <f ca="1">SUMIF('Jan25'!$C$18:$F$217,"3R BRAVA",'Jan25'!$G$18:$G$217)</f>
        <v>9849949.6896900013</v>
      </c>
      <c r="AN23" s="269">
        <f ca="1">SUMIF('Fev25'!$C$18:$F$224,"3R BRAVA",'Fev25'!$G$18:$G$224)</f>
        <v>10753179.10722</v>
      </c>
      <c r="AO23" s="269">
        <f ca="1">SUMIF('Mar25'!$C$18:$F$164,"3R BRAVA",'Mar25'!$G$18:$G$164)</f>
        <v>11956773.612365998</v>
      </c>
      <c r="AP23" s="269">
        <f ca="1">SUMIF('Abr25'!$C$18:$F$164,"3R BRAVA",'Abr25'!$G$18:$G$164)</f>
        <v>10319535.441996001</v>
      </c>
      <c r="AQ23" s="269">
        <f ca="1">SUMIF('Mai25'!$C$18:$F$164,"3R BRAVA",'Mai25'!$G$18:$G$164)</f>
        <v>9889352.0786279999</v>
      </c>
      <c r="AR23" s="269">
        <f ca="1">SUMIF('Jun25'!$C$18:$F$164,"3R BRAVA",'Jun25'!$G$18:$G$164)</f>
        <v>9585208.4230979998</v>
      </c>
      <c r="AS23" s="269">
        <f ca="1">SUMIF('Jul25'!$C$18:$F$164,"3R BRAVA",'Jul25'!$G$18:$G$164)</f>
        <v>12049686.737352001</v>
      </c>
      <c r="AT23" s="269">
        <f ca="1">SUMIF('Ago25'!$C$18:$F$164,"3R BRAVA",'Ago25'!$G$18:$G$164)</f>
        <v>10193254.061826</v>
      </c>
      <c r="AU23" s="269">
        <f ca="1">SUMIF('Set25'!$C$18:$F$164,"3R BRAVA",'Set25'!$G$18:$G$164)</f>
        <v>8623110.0388619993</v>
      </c>
      <c r="AV23" s="269">
        <f ca="1">SUMIF('Out25'!$C$18:$F$164,"3R BRAVA",'Out25'!$G$18:$G$164)</f>
        <v>9577622.6414880008</v>
      </c>
      <c r="AW23" s="269">
        <f ca="1">SUMIF('Nov25'!$C$18:$F$167,"3R BRAVA",'Nov25'!$G$18:$G$167)</f>
        <v>9340811.2439399995</v>
      </c>
      <c r="AX23" s="269">
        <f ca="1">SUMIF('Dez25'!$C$18:$F$167,"3R BRAVA",'Dez25'!$G$18:$G$167)</f>
        <v>8541329.8051619995</v>
      </c>
      <c r="AY23" s="270">
        <f ca="1">SUMIF('Jan26'!$C$18:$F$167,"3R BRAVA",'Jan26'!$G$18:$G$167)</f>
        <v>0</v>
      </c>
    </row>
    <row r="24" spans="1:71" hidden="1">
      <c r="B24" t="s">
        <v>535</v>
      </c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2"/>
      <c r="P24" s="282"/>
      <c r="Q24" s="282"/>
      <c r="R24" s="282"/>
      <c r="S24" s="272"/>
      <c r="T24" s="272"/>
      <c r="U24" s="272"/>
      <c r="V24" s="272"/>
      <c r="W24" s="272"/>
      <c r="X24" s="272"/>
      <c r="Y24" s="272"/>
      <c r="Z24" s="272"/>
      <c r="AA24" s="272"/>
      <c r="AB24" s="273">
        <f ca="1">SUMIF('Fev24'!$C$18:$E$74,"GasLocal",'Fev24'!$E$18:$E$74)</f>
        <v>0</v>
      </c>
      <c r="AC24" s="273">
        <f ca="1">SUMIF('Mar24'!$C$18:$E$87,"GasLocal",'Mar24'!$E$18:$E$87)</f>
        <v>637504.25589999999</v>
      </c>
      <c r="AD24" s="273">
        <f ca="1">SUMIF('Abr24'!$C$18:$E$136,"GasLocal",'Abr24'!$E$18:$E$136)</f>
        <v>1296780.3675000002</v>
      </c>
      <c r="AE24" s="273">
        <f ca="1">SUMIF('Mai24'!$C$18:$E$136,"GasLocal",'Mai24'!$E$18:$E$136)</f>
        <v>1069278.5457000004</v>
      </c>
      <c r="AF24" s="273">
        <f ca="1">SUMIF('Jun24'!$C$18:$E$250,"GasLocal",'Jun24'!$E$18:$E$250)</f>
        <v>1315681.8167000001</v>
      </c>
      <c r="AG24" s="273">
        <f ca="1">SUMIF('Jul24'!$C$18:$E$250,"GasLocal",'Jul24'!$E$18:$E$250)</f>
        <v>830765.66539999994</v>
      </c>
      <c r="AH24" s="273">
        <f ca="1">SUMIF('Ago24'!$C$18:$E$250,"GasLocal",'Ago24'!$E$18:$E$250)</f>
        <v>763012.41879999987</v>
      </c>
      <c r="AI24" s="273">
        <f ca="1">SUMIF('Set24'!$C$18:$E$250,"GasLocal",'Set24'!$E$18:$E$250)</f>
        <v>6084.8990000000003</v>
      </c>
      <c r="AJ24" s="273">
        <f ca="1">SUMIF('Out24'!$C$18:$E$250,"GasLocal",'Out24'!$E$18:$E$250)</f>
        <v>0</v>
      </c>
      <c r="AK24" s="273">
        <f ca="1">SUMIF('Nov24'!$C$18:$E$177,"GasLocal",'Nov24'!$E$18:$E$177)</f>
        <v>0</v>
      </c>
      <c r="AL24" s="273">
        <f ca="1">SUMIF('Dez24'!$C$18:$E$178,"GasLocal",'Dez24'!$E$18:$E$178)</f>
        <v>0</v>
      </c>
      <c r="AM24" s="273">
        <f ca="1">SUMIF('Jan25'!$C$18:$E$178,"GasLocal",'Jan25'!$E$18:$E$178)</f>
        <v>0</v>
      </c>
      <c r="AN24" s="273">
        <f ca="1">SUMIF('Fev25'!$C$18:$E$185,"GasLocal",'Fev25'!$E$18:$E$185)</f>
        <v>0</v>
      </c>
      <c r="AO24" s="273">
        <f ca="1">SUMIF('Mar25'!$C$18:$E$125,"GasLocal",'Mar25'!$E$18:$E$125)</f>
        <v>0</v>
      </c>
      <c r="AP24" s="273">
        <f ca="1">SUMIF('Abr25'!$C$18:$E$125,"GasLocal",'Abr25'!$E$18:$E$125)</f>
        <v>0</v>
      </c>
      <c r="AQ24" s="273">
        <f ca="1">SUMIF('Mai25'!$C$18:$E$125,"GasLocal",'Mai25'!$E$18:$E$125)</f>
        <v>0</v>
      </c>
      <c r="AR24" s="267">
        <f ca="1">SUMIF('Jun25'!$C$18:$E$125,"GasLocal",'Jun25'!$E$18:$E$125)</f>
        <v>0</v>
      </c>
    </row>
    <row r="25" spans="1:71" s="238" customFormat="1" hidden="1">
      <c r="B25" s="238" t="s">
        <v>536</v>
      </c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70"/>
      <c r="P25" s="270"/>
      <c r="Q25" s="270"/>
      <c r="R25" s="270"/>
      <c r="S25" s="269"/>
      <c r="T25" s="269"/>
      <c r="U25" s="269"/>
      <c r="V25" s="269"/>
      <c r="W25" s="269"/>
      <c r="X25" s="269"/>
      <c r="Y25" s="269"/>
      <c r="Z25" s="269"/>
      <c r="AA25" s="269"/>
      <c r="AB25" s="269">
        <f ca="1">SUMIF('Fev24'!$C$18:$F$74,"GasLocal",'Fev24'!$G$18:$G$74)</f>
        <v>925830.49791999999</v>
      </c>
      <c r="AC25" s="269">
        <f ca="1">SUMIF('Mar24'!$C$18:$F$87,"GasLocal",'Mar24'!$G$18:$G$87)</f>
        <v>3877715.2214047499</v>
      </c>
      <c r="AD25" s="269">
        <f ca="1">SUMIF('Abr24'!$C$18:$F$136,"GasLocal",'Abr24'!$G$18:$G$136)</f>
        <v>8448530.251713749</v>
      </c>
      <c r="AE25" s="269">
        <f ca="1">SUMIF('Mai24'!$C$18:$F$136,"GasLocal",'Mai24'!$G$18:$G$136)</f>
        <v>6874692.811742248</v>
      </c>
      <c r="AF25" s="269">
        <f ca="1">SUMIF('Jun24'!$C$18:$F$250,"GasLocal",'Jun24'!$G$18:$G$250)</f>
        <v>8459719.2165172491</v>
      </c>
      <c r="AG25" s="269">
        <f ca="1">SUMIF('Jul24'!$C$18:$F$250,"GasLocal",'Jul24'!$G$18:$G$250)</f>
        <v>5425035.5914177503</v>
      </c>
      <c r="AH25" s="269">
        <f ca="1">SUMIF('Ago24'!$C$18:$F$250,"GasLocal",'Ago24'!$G$18:$G$250)</f>
        <v>4921670.9247502508</v>
      </c>
      <c r="AI25" s="269">
        <f ca="1">SUMIF('Set24'!$C$18:$F$250,"GasLocal",'Set24'!$G$18:$G$250)</f>
        <v>39222.404644499999</v>
      </c>
      <c r="AJ25" s="269">
        <f ca="1">SUMIF('Out24'!$C$18:$F$250,"GasLocal",'Out24'!$G$18:$G$250)</f>
        <v>0</v>
      </c>
      <c r="AK25" s="269">
        <f ca="1">SUMIF('Nov24'!$C$18:$F$177,"GasLocal",'Nov24'!$G$18:$G$177)</f>
        <v>0</v>
      </c>
      <c r="AL25" s="269">
        <f ca="1">SUMIF('Dez24'!$C$18:$F$178,"GasLocal",'Dez24'!$G$18:$G$178)</f>
        <v>0</v>
      </c>
      <c r="AM25" s="269">
        <f ca="1">SUMIF('Jan25'!$C$18:$F$178,"GasLocal",'Jan25'!$G$18:$G$178)</f>
        <v>0</v>
      </c>
      <c r="AN25" s="269">
        <f ca="1">SUMIF('Fev25'!$C$18:$F$185,"GasLocal",'Fev25'!$G$18:$G$185)</f>
        <v>0</v>
      </c>
      <c r="AO25" s="269">
        <f ca="1">SUMIF('Mar25'!$C$18:$F$125,"GasLocal",'Mar25'!$G$18:$G$125)</f>
        <v>0</v>
      </c>
      <c r="AP25" s="269">
        <f ca="1">SUMIF('Abr25'!$C$18:$F$125,"GasLocal",'Abr25'!$G$18:$G$125)</f>
        <v>0</v>
      </c>
      <c r="AQ25" s="269">
        <f ca="1">SUMIF('Mai25'!$C$18:$F$125,"GasLocal",'Mai25'!$G$18:$G$125)</f>
        <v>0</v>
      </c>
      <c r="AR25" s="270">
        <f ca="1">SUMIF('Jun25'!$C$18:$F$125,"GasLocal",'Jun25'!$G$18:$G$125)</f>
        <v>0</v>
      </c>
    </row>
    <row r="26" spans="1:71" s="248" customFormat="1" ht="15.75" thickBot="1">
      <c r="A26" s="283"/>
      <c r="B26" s="284" t="s">
        <v>193</v>
      </c>
      <c r="C26" s="285">
        <f t="shared" ref="C26:R26" ca="1" si="0">+C13+C11+C9+C7</f>
        <v>104788539.68914998</v>
      </c>
      <c r="D26" s="285">
        <f t="shared" ca="1" si="0"/>
        <v>97207334.625133246</v>
      </c>
      <c r="E26" s="286">
        <f t="shared" ca="1" si="0"/>
        <v>108734021.32839599</v>
      </c>
      <c r="F26" s="286">
        <f t="shared" ca="1" si="0"/>
        <v>104633546.71472999</v>
      </c>
      <c r="G26" s="286">
        <f t="shared" ca="1" si="0"/>
        <v>126821651.85517891</v>
      </c>
      <c r="H26" s="286">
        <f t="shared" ca="1" si="0"/>
        <v>124528438.56463313</v>
      </c>
      <c r="I26" s="286">
        <f t="shared" ca="1" si="0"/>
        <v>121201241.36442441</v>
      </c>
      <c r="J26" s="286">
        <f t="shared" ca="1" si="0"/>
        <v>127997556.1397</v>
      </c>
      <c r="K26" s="286">
        <f t="shared" ca="1" si="0"/>
        <v>134933634.95379996</v>
      </c>
      <c r="L26" s="286">
        <f t="shared" ca="1" si="0"/>
        <v>138602995.704</v>
      </c>
      <c r="M26" s="286">
        <f t="shared" ca="1" si="0"/>
        <v>125176971.26817976</v>
      </c>
      <c r="N26" s="286">
        <f t="shared" ca="1" si="0"/>
        <v>121546281.01948225</v>
      </c>
      <c r="O26" s="287">
        <f t="shared" ca="1" si="0"/>
        <v>106450071.88804251</v>
      </c>
      <c r="P26" s="287">
        <f t="shared" ca="1" si="0"/>
        <v>91669214.31503424</v>
      </c>
      <c r="Q26" s="287">
        <f t="shared" ca="1" si="0"/>
        <v>100702487.62571028</v>
      </c>
      <c r="R26" s="287">
        <f t="shared" ca="1" si="0"/>
        <v>93981310.932731256</v>
      </c>
      <c r="S26" s="287">
        <f ca="1">+S13+S11+S9+S7+S19</f>
        <v>82885130.899605751</v>
      </c>
      <c r="T26" s="287">
        <f ca="1">+T13+T11+T9+T7+T19</f>
        <v>79245562.275058001</v>
      </c>
      <c r="U26" s="287">
        <f ca="1">+U13+U11+U9+U7+U19</f>
        <v>79051298.606337756</v>
      </c>
      <c r="V26" s="287">
        <f ca="1">+V13+V11+V9+V7+V19</f>
        <v>74232800.76026924</v>
      </c>
      <c r="W26" s="287">
        <f ca="1">+W13+W11+W9+W7+W19</f>
        <v>79000234.163135991</v>
      </c>
      <c r="X26" s="287">
        <f ca="1">+X13+X11+X9+X7+X19+X15+X17</f>
        <v>85838955.781094998</v>
      </c>
      <c r="Y26" s="287">
        <f ca="1">+Y13+Y11+Y9+Y7+Y19+Y15+Y17</f>
        <v>82362416.552946746</v>
      </c>
      <c r="Z26" s="287">
        <f ca="1">+Z13+Z11+Z9+Z7+Z19+Z15+Z17</f>
        <v>83468398.089524254</v>
      </c>
      <c r="AA26" s="287">
        <f ca="1">+AA13+AA11+AA9+AA7+AA19+AA15+AA17</f>
        <v>103141217.65011901</v>
      </c>
      <c r="AB26" s="287">
        <f t="shared" ref="AB26:AF26" ca="1" si="1">+AB13+AB11+AB9+AB7+AB19+AB15+AB17+AB21+AB25</f>
        <v>107711216.08536516</v>
      </c>
      <c r="AC26" s="287">
        <f t="shared" ca="1" si="1"/>
        <v>106788443.952696</v>
      </c>
      <c r="AD26" s="287">
        <f t="shared" ca="1" si="1"/>
        <v>115393596.91038567</v>
      </c>
      <c r="AE26" s="287">
        <f t="shared" ca="1" si="1"/>
        <v>113604453.31813875</v>
      </c>
      <c r="AF26" s="287">
        <f t="shared" ca="1" si="1"/>
        <v>115712525.69146875</v>
      </c>
      <c r="AG26" s="287">
        <f ca="1">+AG13+AG11+AG9+AG7+AG19+AG15+AG17+AG21+AG25</f>
        <v>114417350.89760251</v>
      </c>
      <c r="AH26" s="288">
        <f ca="1">+AH13+AH11+AH9+AH7+AH19+AH15+AH17+AH21+AH25</f>
        <v>119338975.76681851</v>
      </c>
      <c r="AI26" s="288">
        <f t="shared" ref="AI26:AL26" ca="1" si="2">+AI13+AI11+AI9+AI7+AI19+AI15+AI17+AI21+AI25</f>
        <v>107800713.33735414</v>
      </c>
      <c r="AJ26" s="288">
        <f t="shared" ca="1" si="2"/>
        <v>114302662.22617275</v>
      </c>
      <c r="AK26" s="288">
        <f t="shared" ca="1" si="2"/>
        <v>111399510.35974613</v>
      </c>
      <c r="AL26" s="288">
        <f t="shared" ca="1" si="2"/>
        <v>109728349.97137199</v>
      </c>
      <c r="AM26" s="288">
        <f ca="1">+AM13+AM11+AM9+AM7+AM19+AM15+AM17+AM21+AM23+AM25</f>
        <v>97285199.250586867</v>
      </c>
      <c r="AN26" s="288">
        <f t="shared" ref="AN26:AX26" ca="1" si="3">+AN13+AN11+AN9+AN7+AN19+AN15+AN17+AN21+AN23+AN25</f>
        <v>96923965.625647873</v>
      </c>
      <c r="AO26" s="288">
        <f ca="1">+AO13+AO11+AO9+AO7+AO19+AO15+AO17+AO21+AO23+AO25</f>
        <v>104019065.75109226</v>
      </c>
      <c r="AP26" s="288">
        <f ca="1">+AP13+AP11+AP9+AP7+AP19+AP15+AP17+AP21+AP23+AP25</f>
        <v>102227005.26933265</v>
      </c>
      <c r="AQ26" s="288">
        <f t="shared" ca="1" si="3"/>
        <v>102381073.64097524</v>
      </c>
      <c r="AR26" s="288">
        <f t="shared" ca="1" si="3"/>
        <v>96742306.583096609</v>
      </c>
      <c r="AS26" s="288">
        <f t="shared" ca="1" si="3"/>
        <v>109541901.8961836</v>
      </c>
      <c r="AT26" s="288">
        <f t="shared" ca="1" si="3"/>
        <v>98704325.285968915</v>
      </c>
      <c r="AU26" s="288">
        <f t="shared" ca="1" si="3"/>
        <v>95689450.100512117</v>
      </c>
      <c r="AV26" s="288">
        <f t="shared" ca="1" si="3"/>
        <v>96905393.684430361</v>
      </c>
      <c r="AW26" s="288">
        <f t="shared" ca="1" si="3"/>
        <v>93912079.081037238</v>
      </c>
      <c r="AX26" s="288">
        <f t="shared" ca="1" si="3"/>
        <v>90750924.963203996</v>
      </c>
      <c r="AY26" s="289">
        <f t="shared" ref="AY26:BS26" ca="1" si="4">+AY13+AY11+AY9+AY7+AY19+AY15+AY17+AY21+AY23+AY25</f>
        <v>1944914.1982297502</v>
      </c>
      <c r="AZ26" s="289">
        <f t="shared" si="4"/>
        <v>0</v>
      </c>
      <c r="BA26" s="289">
        <f t="shared" si="4"/>
        <v>0</v>
      </c>
      <c r="BB26" s="289">
        <f t="shared" si="4"/>
        <v>0</v>
      </c>
      <c r="BC26" s="289">
        <f t="shared" si="4"/>
        <v>0</v>
      </c>
      <c r="BD26" s="289">
        <f t="shared" si="4"/>
        <v>0</v>
      </c>
      <c r="BE26" s="289">
        <f t="shared" si="4"/>
        <v>0</v>
      </c>
      <c r="BF26" s="289">
        <f t="shared" si="4"/>
        <v>0</v>
      </c>
      <c r="BG26" s="289">
        <f t="shared" si="4"/>
        <v>0</v>
      </c>
      <c r="BH26" s="289">
        <f t="shared" si="4"/>
        <v>0</v>
      </c>
      <c r="BI26" s="289">
        <f t="shared" si="4"/>
        <v>0</v>
      </c>
      <c r="BJ26" s="289">
        <f t="shared" si="4"/>
        <v>0</v>
      </c>
      <c r="BK26" s="289">
        <f t="shared" si="4"/>
        <v>0</v>
      </c>
      <c r="BL26" s="289">
        <f t="shared" si="4"/>
        <v>0</v>
      </c>
      <c r="BM26" s="289">
        <f t="shared" si="4"/>
        <v>0</v>
      </c>
      <c r="BN26" s="289">
        <f t="shared" si="4"/>
        <v>0</v>
      </c>
      <c r="BO26" s="289">
        <f t="shared" si="4"/>
        <v>0</v>
      </c>
      <c r="BP26" s="289">
        <f t="shared" si="4"/>
        <v>0</v>
      </c>
      <c r="BQ26" s="289">
        <f t="shared" si="4"/>
        <v>0</v>
      </c>
      <c r="BR26" s="289">
        <f t="shared" si="4"/>
        <v>0</v>
      </c>
      <c r="BS26" s="289">
        <f t="shared" si="4"/>
        <v>0</v>
      </c>
    </row>
    <row r="27" spans="1:71">
      <c r="E27" s="45"/>
      <c r="F27" s="290"/>
      <c r="G27" s="291"/>
      <c r="O27" s="277"/>
      <c r="P27" s="277"/>
      <c r="Q27" s="277"/>
      <c r="R27" s="159"/>
      <c r="S27" s="159"/>
      <c r="T27" s="159"/>
      <c r="AD27" s="137"/>
    </row>
    <row r="28" spans="1:71" s="19" customFormat="1">
      <c r="A28"/>
      <c r="B28" t="s">
        <v>194</v>
      </c>
      <c r="C28" s="19">
        <f t="shared" ref="C28:W28" ca="1" si="5">C5-C6-C8-C10-C12</f>
        <v>3.7252902984619141E-9</v>
      </c>
      <c r="D28" s="19">
        <f t="shared" ca="1" si="5"/>
        <v>0</v>
      </c>
      <c r="E28" s="19">
        <f t="shared" ca="1" si="5"/>
        <v>0</v>
      </c>
      <c r="F28" s="19">
        <f t="shared" ca="1" si="5"/>
        <v>0</v>
      </c>
      <c r="G28" s="19">
        <f t="shared" ca="1" si="5"/>
        <v>0</v>
      </c>
      <c r="H28" s="19">
        <f t="shared" ca="1" si="5"/>
        <v>0</v>
      </c>
      <c r="I28" s="19">
        <f t="shared" ca="1" si="5"/>
        <v>0</v>
      </c>
      <c r="J28" s="19">
        <f t="shared" ca="1" si="5"/>
        <v>0</v>
      </c>
      <c r="K28" s="19">
        <f t="shared" ca="1" si="5"/>
        <v>0</v>
      </c>
      <c r="L28" s="19">
        <f t="shared" ca="1" si="5"/>
        <v>0</v>
      </c>
      <c r="M28" s="19">
        <f t="shared" ca="1" si="5"/>
        <v>0</v>
      </c>
      <c r="N28" s="19">
        <f t="shared" ca="1" si="5"/>
        <v>0</v>
      </c>
      <c r="O28" s="292">
        <f t="shared" ca="1" si="5"/>
        <v>0</v>
      </c>
      <c r="P28" s="292">
        <f t="shared" ca="1" si="5"/>
        <v>0</v>
      </c>
      <c r="Q28" s="292">
        <f t="shared" ca="1" si="5"/>
        <v>0</v>
      </c>
      <c r="R28" s="292">
        <f t="shared" ca="1" si="5"/>
        <v>0</v>
      </c>
      <c r="S28" s="292">
        <f t="shared" ca="1" si="5"/>
        <v>0</v>
      </c>
      <c r="T28" s="292">
        <f t="shared" ca="1" si="5"/>
        <v>0</v>
      </c>
      <c r="U28" s="292">
        <f t="shared" ca="1" si="5"/>
        <v>3.7252902984619141E-9</v>
      </c>
      <c r="V28" s="19">
        <f t="shared" ca="1" si="5"/>
        <v>0</v>
      </c>
      <c r="W28" s="19">
        <f t="shared" ca="1" si="5"/>
        <v>0</v>
      </c>
      <c r="X28" s="19">
        <f ca="1">X5-X6-X8-X10-X12-X14-X16</f>
        <v>0</v>
      </c>
      <c r="Y28" s="19">
        <f ca="1">Y5-Y6-Y8-Y10-Y12-Y14-Y16</f>
        <v>0</v>
      </c>
      <c r="Z28" s="19">
        <f ca="1">Z5-Z6-Z8-Z10-Z12-Z14-Z16</f>
        <v>0</v>
      </c>
      <c r="AA28" s="19">
        <f ca="1">AA5-AA6-AA8-AA10-AA12-AA14-AA16-AA18</f>
        <v>0</v>
      </c>
      <c r="AB28" s="19">
        <f ca="1">ROUND(AB5-AB6-AB8-AB10-AB12-AB14-AB16-AB18-AB24,4)</f>
        <v>0</v>
      </c>
      <c r="AC28" s="19">
        <f ca="1">ROUND(AC5-AC6-AC8-AC10-AC12-AC14-AC16-AC18-AC24,4)</f>
        <v>0</v>
      </c>
      <c r="AD28" s="19">
        <f ca="1">ROUND(AD5-AD6-AD8-AD10-AD12-AD14-AD16-AD18-AD24,4)</f>
        <v>0</v>
      </c>
      <c r="AE28" s="19">
        <f ca="1">ROUND(AE5-AE6-AE8-AE10-AE12-AE14-AE16-AE18-AE24,4)</f>
        <v>0</v>
      </c>
      <c r="AF28" s="19">
        <f ca="1">ROUND(AF5-AF6-AF8-AF10-AF12-AF14-AF16-AF18-AF24-AF20,4)</f>
        <v>0</v>
      </c>
      <c r="AG28" s="19">
        <f ca="1">ROUND(AG5-AG6-AG8-AG10-AG12-AG14-AG16-AG18-AG24-AG20,4)</f>
        <v>0</v>
      </c>
      <c r="AH28" s="19">
        <f ca="1">ROUND(AH5-AH6-AH8-AH10-AH12-AH14-AH16-AH18-AH24-AH20,4)</f>
        <v>0</v>
      </c>
      <c r="AI28" s="19">
        <f t="shared" ref="AI28:AL28" ca="1" si="6">ROUND(AI5-AI6-AI8-AI10-AI12-AI14-AI16-AI18-AI24-AI20,4)</f>
        <v>0</v>
      </c>
      <c r="AJ28" s="19">
        <f t="shared" ca="1" si="6"/>
        <v>0</v>
      </c>
      <c r="AK28" s="19">
        <f ca="1">ROUND(AK5-AK6-AK8-AK10-AK12-AK14-AK16-AK18-AK24-AK20,4)</f>
        <v>0</v>
      </c>
      <c r="AL28" s="19">
        <f t="shared" ca="1" si="6"/>
        <v>0</v>
      </c>
      <c r="AM28" s="19">
        <f ca="1">ROUND(AM5-AM6-AM8-AM10-AM12-AM14-AM16-AM18-AM24-AM22-AM20,4)</f>
        <v>0</v>
      </c>
      <c r="AN28" s="19">
        <f ca="1">ROUND(AN5-AN6-AN8-AN10-AN12-AN14-AN16-AN18-AN24-AN22-AN20,4)</f>
        <v>0</v>
      </c>
      <c r="AO28" s="19">
        <f t="shared" ref="AO28:AX28" ca="1" si="7">ROUND(AO5-AO6-AO8-AO10-AO12-AO14-AO16-AO18-AO24-AO22-AO20,4)</f>
        <v>0</v>
      </c>
      <c r="AP28" s="19">
        <f ca="1">ROUND(AP5-AP6-AP8-AP10-AP12-AP14-AP16-AP18-AP24-AP22-AP20,4)</f>
        <v>0</v>
      </c>
      <c r="AQ28" s="19">
        <f t="shared" ca="1" si="7"/>
        <v>0</v>
      </c>
      <c r="AR28" s="19">
        <f t="shared" ca="1" si="7"/>
        <v>0</v>
      </c>
      <c r="AS28" s="19">
        <f t="shared" ca="1" si="7"/>
        <v>0</v>
      </c>
      <c r="AT28" s="19">
        <f t="shared" ca="1" si="7"/>
        <v>0</v>
      </c>
      <c r="AU28" s="19">
        <f t="shared" ca="1" si="7"/>
        <v>0</v>
      </c>
      <c r="AV28" s="19">
        <f ca="1">ROUND(AV5-AV6-AV8-AV10-AV12-AV14-AV16-AV18-AV24-AV22-AV20,4)</f>
        <v>0</v>
      </c>
      <c r="AW28" s="19">
        <f t="shared" ca="1" si="7"/>
        <v>0</v>
      </c>
      <c r="AX28" s="19">
        <f t="shared" ca="1" si="7"/>
        <v>0</v>
      </c>
      <c r="AY28" s="19">
        <f t="shared" ref="AY28:BS28" ca="1" si="8">ROUND(AY5-AY6-AY8-AY10-AY12-AY14-AY16-AY18-AY24-AY22-AY20,4)</f>
        <v>-17713</v>
      </c>
      <c r="AZ28" s="19">
        <f t="shared" si="8"/>
        <v>0</v>
      </c>
      <c r="BA28" s="19">
        <f t="shared" si="8"/>
        <v>0</v>
      </c>
      <c r="BB28" s="19">
        <f t="shared" si="8"/>
        <v>0</v>
      </c>
      <c r="BC28" s="19">
        <f t="shared" si="8"/>
        <v>0</v>
      </c>
      <c r="BD28" s="19">
        <f t="shared" si="8"/>
        <v>0</v>
      </c>
      <c r="BE28" s="19">
        <f t="shared" si="8"/>
        <v>0</v>
      </c>
      <c r="BF28" s="19">
        <f t="shared" si="8"/>
        <v>0</v>
      </c>
      <c r="BG28" s="19">
        <f t="shared" si="8"/>
        <v>0</v>
      </c>
      <c r="BH28" s="19">
        <f t="shared" si="8"/>
        <v>0</v>
      </c>
      <c r="BI28" s="19">
        <f t="shared" si="8"/>
        <v>0</v>
      </c>
      <c r="BJ28" s="19">
        <f t="shared" si="8"/>
        <v>0</v>
      </c>
      <c r="BK28" s="19">
        <f t="shared" si="8"/>
        <v>0</v>
      </c>
      <c r="BL28" s="19">
        <f t="shared" si="8"/>
        <v>0</v>
      </c>
      <c r="BM28" s="19">
        <f t="shared" si="8"/>
        <v>0</v>
      </c>
      <c r="BN28" s="19">
        <f t="shared" si="8"/>
        <v>0</v>
      </c>
      <c r="BO28" s="19">
        <f t="shared" si="8"/>
        <v>0</v>
      </c>
      <c r="BP28" s="19">
        <f t="shared" si="8"/>
        <v>0</v>
      </c>
      <c r="BQ28" s="19">
        <f t="shared" si="8"/>
        <v>0</v>
      </c>
      <c r="BR28" s="19">
        <f t="shared" si="8"/>
        <v>0</v>
      </c>
      <c r="BS28" s="19">
        <f t="shared" si="8"/>
        <v>0</v>
      </c>
    </row>
    <row r="29" spans="1:71">
      <c r="B29" t="s">
        <v>195</v>
      </c>
      <c r="C29" s="133">
        <f ca="1">+C26-'jan22'!$G$45</f>
        <v>0</v>
      </c>
      <c r="D29" s="133">
        <f ca="1">+D26-'fev22'!$G$45</f>
        <v>0</v>
      </c>
      <c r="E29" s="133">
        <f ca="1">+E26-'mar22'!$G$45</f>
        <v>0</v>
      </c>
      <c r="F29" s="133">
        <f ca="1">+F26-'abr22'!$G$45</f>
        <v>0</v>
      </c>
      <c r="G29" s="133">
        <f ca="1">+'mai22'!$G$45-G26</f>
        <v>0</v>
      </c>
      <c r="H29" s="133">
        <f ca="1">+'jun22'!$G$45-H26</f>
        <v>0</v>
      </c>
      <c r="I29" s="133">
        <f ca="1">+'jul22'!$G$45-I26</f>
        <v>0</v>
      </c>
      <c r="J29" s="133">
        <f ca="1">+'ago22'!$G$44-J26</f>
        <v>0</v>
      </c>
      <c r="K29" s="133">
        <f ca="1">+'set22'!$G$46-K26</f>
        <v>0</v>
      </c>
      <c r="L29" s="133">
        <f ca="1">+'Out22'!$G$46-L26</f>
        <v>0</v>
      </c>
      <c r="M29" s="133">
        <f ca="1">+'Nov22'!$G$46-M26</f>
        <v>0</v>
      </c>
      <c r="N29" s="133">
        <f ca="1">+'Dez22'!$G$46-N26</f>
        <v>0</v>
      </c>
      <c r="O29" s="293">
        <f ca="1">+'Jan23'!$G$46-O26</f>
        <v>0</v>
      </c>
      <c r="P29" s="293">
        <f ca="1">+'Fev23'!$G$35-P26</f>
        <v>0</v>
      </c>
      <c r="Q29" s="293">
        <f ca="1">+'Mar23'!$G$42-Q26</f>
        <v>0</v>
      </c>
      <c r="R29" s="293">
        <f ca="1">+'Abr23'!$G$42-R26</f>
        <v>0</v>
      </c>
      <c r="S29" s="293">
        <f ca="1">+'Mai23'!$G$43-S26</f>
        <v>0</v>
      </c>
      <c r="T29" s="293">
        <f ca="1">+'Jun23'!$G$43-T26</f>
        <v>0</v>
      </c>
      <c r="U29" s="293">
        <f ca="1">+'Jul23'!$G$43-U26</f>
        <v>0</v>
      </c>
      <c r="V29" s="293">
        <f ca="1">+'Ago23'!$G$43-V26</f>
        <v>0</v>
      </c>
      <c r="W29" s="293">
        <f ca="1">+'Set23'!$G$43-W26</f>
        <v>0</v>
      </c>
      <c r="X29" s="293">
        <f ca="1">+'Out23'!$G$43-X26</f>
        <v>0</v>
      </c>
      <c r="Y29" s="293">
        <f ca="1">+'Nov23'!$G$43-Y26</f>
        <v>0</v>
      </c>
      <c r="Z29" s="293">
        <f ca="1">+'Dez23'!$G$43-Z26</f>
        <v>0</v>
      </c>
      <c r="AA29" s="293">
        <f ca="1">+'Jan24'!$G$42-AA26</f>
        <v>0</v>
      </c>
      <c r="AB29" s="293">
        <f ca="1">+'Fev24'!$G$77-AB26</f>
        <v>0</v>
      </c>
      <c r="AC29" s="293">
        <f ca="1">+'Mar24'!$G$89-AC26</f>
        <v>0</v>
      </c>
      <c r="AD29" s="293">
        <f ca="1">+'Abr24'!$G$138-AD26</f>
        <v>0</v>
      </c>
      <c r="AE29" s="293">
        <f ca="1">+'Mai24'!$G$138-AE26</f>
        <v>0</v>
      </c>
      <c r="AF29" s="293">
        <f ca="1">+'Jun24'!$G$212-AF26</f>
        <v>0</v>
      </c>
      <c r="AG29" s="293">
        <f ca="1">+'Jul24'!$G$251-AG26</f>
        <v>0</v>
      </c>
      <c r="AH29" s="293">
        <f ca="1">+ROUND('Ago24'!$G$251-AH26,4)</f>
        <v>0</v>
      </c>
      <c r="AI29" s="293">
        <f ca="1">+ROUND('Set24'!$G$251-AI26,4)</f>
        <v>0</v>
      </c>
      <c r="AJ29" s="293">
        <f ca="1">+ROUND('Out24'!$G$251-AJ26,4)</f>
        <v>0</v>
      </c>
      <c r="AK29" s="293">
        <f ca="1">+ROUND('Nov24'!$G$178-AK26,4)</f>
        <v>0</v>
      </c>
      <c r="AL29" s="293">
        <f ca="1">+ROUND('Dez24'!$G$179-AL26,4)</f>
        <v>0</v>
      </c>
      <c r="AM29" s="293">
        <f ca="1">+ROUND('Jan25'!$G$179-AM26,4)</f>
        <v>0</v>
      </c>
      <c r="AN29" s="293">
        <f ca="1">+ROUND('Fev25'!$G$186-AN26,4)</f>
        <v>0</v>
      </c>
      <c r="AO29" s="293">
        <f ca="1">+ROUND('Mar25'!$G$160-AO26,4)</f>
        <v>0</v>
      </c>
      <c r="AP29" s="293">
        <f ca="1">+ROUND('Abr25'!$G$148-AP26,4)</f>
        <v>0</v>
      </c>
      <c r="AQ29" s="293">
        <f ca="1">+ROUND('Mai25'!$G$184-AQ26,4)</f>
        <v>0</v>
      </c>
      <c r="AR29" s="293">
        <f ca="1">+ROUND('Jun25'!$G$184-AR26,4)</f>
        <v>0</v>
      </c>
      <c r="AS29" s="293">
        <f ca="1">+ROUND('Jul25'!$G$184-AS26,4)</f>
        <v>0</v>
      </c>
      <c r="AT29" s="293">
        <f ca="1">+ROUND('Ago25'!$G$184-AT26,4)</f>
        <v>0</v>
      </c>
      <c r="AU29" s="293">
        <f ca="1">+ROUND('Set25'!$G$184-AU26,4)</f>
        <v>0</v>
      </c>
      <c r="AV29" s="293">
        <f ca="1">+ROUND('Out25'!$G$184-AV26,4)</f>
        <v>0</v>
      </c>
      <c r="AW29" s="293">
        <f ca="1">+ROUND('Nov25'!$G$187-AW26,4)</f>
        <v>0</v>
      </c>
      <c r="AX29" s="293">
        <f ca="1">+ROUND('Dez25'!$G$184-AX26,4)</f>
        <v>0</v>
      </c>
      <c r="AY29" s="29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</row>
    <row r="30" spans="1:71">
      <c r="C30" s="133"/>
      <c r="O30" s="277"/>
      <c r="P30" s="277"/>
      <c r="Q30" s="277"/>
      <c r="R30" s="159"/>
      <c r="S30" s="159"/>
      <c r="T30" s="159"/>
      <c r="AC30" s="137"/>
      <c r="AL30" s="137"/>
    </row>
    <row r="31" spans="1:71">
      <c r="B31" t="s">
        <v>196</v>
      </c>
      <c r="C31" s="294">
        <f>+[1]Compra!C16</f>
        <v>52283426.392000005</v>
      </c>
      <c r="D31" s="294">
        <f>+[1]Compra!D16</f>
        <v>48822586.794814646</v>
      </c>
      <c r="E31" s="294">
        <f>+[1]Compra!E16</f>
        <v>54539154.124132246</v>
      </c>
      <c r="F31" s="294">
        <f>+[1]Compra!F16</f>
        <v>52424997.251474768</v>
      </c>
      <c r="G31" s="294">
        <f>+[1]Compra!G16</f>
        <v>53833411.612000056</v>
      </c>
      <c r="H31" s="294">
        <f>+[1]Compra!H16</f>
        <v>52335788.546073273</v>
      </c>
      <c r="I31" s="295">
        <f>+[1]Compra!I16-0.41</f>
        <v>51544765.099828444</v>
      </c>
      <c r="J31" s="294">
        <f>+[1]Compra!J16</f>
        <v>49548351.465792149</v>
      </c>
      <c r="K31" s="294">
        <f>+[1]Compra!K16</f>
        <v>53997153.128999993</v>
      </c>
      <c r="L31" s="294">
        <f>+[1]Compra!L16</f>
        <v>54709167.033999994</v>
      </c>
      <c r="M31" s="294">
        <f>+[1]Compra!M16</f>
        <v>50225945.735999994</v>
      </c>
      <c r="N31" s="294">
        <f>+[1]Compra!N16</f>
        <v>47635714.031482354</v>
      </c>
      <c r="O31" s="296">
        <f>[2]Compra!C16</f>
        <v>44625467.967178933</v>
      </c>
      <c r="P31" s="296">
        <f>[2]Compra!D16</f>
        <v>45807977.101466507</v>
      </c>
      <c r="Q31" s="296">
        <f>[2]Compra!E16</f>
        <v>50590613.600520179</v>
      </c>
      <c r="R31" s="296">
        <f>[2]Compra!F16</f>
        <v>47035107.992234387</v>
      </c>
      <c r="S31" s="296">
        <f>[2]Compra!G16</f>
        <v>48690985.094970107</v>
      </c>
      <c r="T31" s="296">
        <f>[2]Compra!H16</f>
        <v>46679825.717563868</v>
      </c>
      <c r="U31" s="296">
        <f>[2]Compra!I16</f>
        <v>47058004.159373805</v>
      </c>
      <c r="V31" s="296">
        <f>[2]Compra!J16-401.99</f>
        <v>46934257.504699528</v>
      </c>
      <c r="W31" s="296">
        <f>[2]Compra!K16</f>
        <v>47974226.92729333</v>
      </c>
      <c r="X31" s="296">
        <f>[2]Compra!L16</f>
        <v>50040227.96375072</v>
      </c>
      <c r="Y31" s="296">
        <f>[2]Compra!M16</f>
        <v>46206084.606439471</v>
      </c>
      <c r="Z31" s="296">
        <f>[2]Compra!N16</f>
        <v>46609448.798096083</v>
      </c>
      <c r="AA31" s="296">
        <f>[3]Compra!C16</f>
        <v>43492066.357703455</v>
      </c>
      <c r="AB31" s="296">
        <f>[3]Compra!D16</f>
        <v>44385402.506097071</v>
      </c>
      <c r="AC31" s="296">
        <f>[3]Compra!E16</f>
        <v>46252723.057225518</v>
      </c>
      <c r="AD31" s="296">
        <f>[3]Compra!F16</f>
        <v>47385474.189430818</v>
      </c>
      <c r="AE31" s="296">
        <f>[3]Compra!G16</f>
        <v>49678581.611064829</v>
      </c>
      <c r="AF31" s="296">
        <f>[3]Compra!H16</f>
        <v>49140560.207181774</v>
      </c>
      <c r="AG31" s="296">
        <f>[3]Compra!I16</f>
        <v>48935230.302703351</v>
      </c>
      <c r="AH31" s="296">
        <f>[3]Compra!J16</f>
        <v>49257904.162114553</v>
      </c>
      <c r="AI31" s="296">
        <f>[3]Compra!K16</f>
        <v>43755409.012200668</v>
      </c>
      <c r="AJ31" s="296">
        <f>[3]Compra!L16</f>
        <v>48867674</v>
      </c>
      <c r="AK31" s="296">
        <f>[3]Compra!M16</f>
        <v>46845384.34726169</v>
      </c>
      <c r="AL31" s="296">
        <f>[3]Compra!N16</f>
        <v>45533428.267430425</v>
      </c>
      <c r="AM31" s="296">
        <f>[4]Compra!C16</f>
        <v>41426799.980594367</v>
      </c>
      <c r="AN31" s="296">
        <f>[4]Compra!D16</f>
        <v>41491948.298103809</v>
      </c>
      <c r="AO31" s="296">
        <f>[4]Compra!E16</f>
        <v>44229904.232182942</v>
      </c>
      <c r="AP31" s="296">
        <f>[4]Compra!F16</f>
        <v>44256891</v>
      </c>
      <c r="AQ31" s="296">
        <f>[4]Compra!G16</f>
        <v>43024675</v>
      </c>
      <c r="AR31" s="296">
        <f>[4]Compra!H16</f>
        <v>40380756.730000004</v>
      </c>
      <c r="AS31" s="296">
        <f>[4]Compra!I16</f>
        <v>46297579.052581415</v>
      </c>
      <c r="AT31" s="296">
        <f>[4]Compra!J16</f>
        <v>46389185</v>
      </c>
      <c r="AU31" s="296">
        <f>[4]Compra!K16</f>
        <v>44711162</v>
      </c>
      <c r="AV31" s="296">
        <f>[4]Compra!L16</f>
        <v>46239260</v>
      </c>
      <c r="AW31" s="296">
        <f>[4]Compra!M16</f>
        <v>44854755</v>
      </c>
      <c r="AX31" s="296">
        <f>[4]Compra!N16</f>
        <v>42801236</v>
      </c>
    </row>
    <row r="32" spans="1:71">
      <c r="B32" t="s">
        <v>197</v>
      </c>
      <c r="C32" s="297">
        <v>2.0249999999999999</v>
      </c>
      <c r="D32" s="297">
        <v>2.0249999999999999</v>
      </c>
      <c r="E32" s="297">
        <v>2.0249999999999999</v>
      </c>
      <c r="F32" s="297">
        <v>2.0249999999999999</v>
      </c>
      <c r="G32" s="297">
        <v>2.3624999999999998</v>
      </c>
      <c r="H32" s="297">
        <v>2.3624999999999998</v>
      </c>
      <c r="I32" s="297">
        <v>2.3624999999999998</v>
      </c>
      <c r="J32" s="297">
        <v>2.5874999999999999</v>
      </c>
      <c r="K32" s="298">
        <v>2.5874999999999999</v>
      </c>
      <c r="L32" s="298">
        <v>2.5874999999999999</v>
      </c>
      <c r="M32" s="299">
        <v>2.4672999999999998</v>
      </c>
      <c r="N32" s="299">
        <f>M32</f>
        <v>2.4672999999999998</v>
      </c>
      <c r="O32" s="300">
        <v>2.4807999999999999</v>
      </c>
      <c r="P32" s="300">
        <v>2.0659000000000001</v>
      </c>
      <c r="Q32" s="300">
        <f>P32</f>
        <v>2.0659000000000001</v>
      </c>
      <c r="R32" s="300">
        <f>Q32</f>
        <v>2.0659000000000001</v>
      </c>
      <c r="S32" s="300">
        <v>1.7352000000000001</v>
      </c>
      <c r="T32" s="300">
        <v>1.7352000000000001</v>
      </c>
      <c r="U32" s="300">
        <v>1.7352000000000001</v>
      </c>
      <c r="V32" s="300">
        <v>1.6837</v>
      </c>
      <c r="W32" s="300">
        <v>1.6837</v>
      </c>
      <c r="X32" s="300">
        <v>1.6837</v>
      </c>
      <c r="Y32" s="300">
        <v>2.0223</v>
      </c>
      <c r="Z32" s="300">
        <v>2.0223</v>
      </c>
      <c r="AA32" s="300">
        <v>2.0223</v>
      </c>
      <c r="AB32" s="300">
        <v>2.3721000000000001</v>
      </c>
      <c r="AC32" s="300">
        <v>2.3721000000000001</v>
      </c>
      <c r="AD32" s="300">
        <v>2.3721000000000001</v>
      </c>
      <c r="AE32" s="300">
        <v>2.3586</v>
      </c>
      <c r="AF32" s="300">
        <v>2.3586</v>
      </c>
      <c r="AG32" s="300">
        <v>2.3586</v>
      </c>
      <c r="AH32" s="300">
        <v>2.4134000000000002</v>
      </c>
      <c r="AI32" s="300">
        <v>2.4134000000000002</v>
      </c>
      <c r="AJ32" s="300">
        <v>2.4134000000000002</v>
      </c>
      <c r="AK32" s="300">
        <v>2.3605999999999998</v>
      </c>
      <c r="AL32" s="300">
        <v>2.3605999999999998</v>
      </c>
      <c r="AM32" s="300">
        <v>2.3605999999999998</v>
      </c>
      <c r="AN32" s="300">
        <v>2.3521000000000001</v>
      </c>
      <c r="AO32" s="300">
        <v>2.3521000000000001</v>
      </c>
      <c r="AP32" s="300">
        <v>2.3521000000000001</v>
      </c>
      <c r="AQ32" s="300">
        <v>2.3961000000000001</v>
      </c>
      <c r="AR32" s="300">
        <v>2.3961000000000001</v>
      </c>
      <c r="AS32" s="300">
        <v>2.3961000000000001</v>
      </c>
      <c r="AT32" s="300">
        <v>2.1501999999999999</v>
      </c>
      <c r="AU32" s="300">
        <v>2.1501999999999999</v>
      </c>
      <c r="AV32" s="300">
        <v>2.1501999999999999</v>
      </c>
      <c r="AW32" s="300">
        <v>2.1154000000000002</v>
      </c>
      <c r="AX32" s="300">
        <v>2.1154000000000002</v>
      </c>
      <c r="AY32" s="371">
        <v>2.1154000000000002</v>
      </c>
    </row>
    <row r="33" spans="1:71">
      <c r="B33" s="301" t="s">
        <v>198</v>
      </c>
      <c r="C33" s="302">
        <f>+C32*C31</f>
        <v>105873938.4438</v>
      </c>
      <c r="D33" s="302">
        <f t="shared" ref="D33:N33" si="9">+D32*D31</f>
        <v>98865738.259499654</v>
      </c>
      <c r="E33" s="302">
        <f t="shared" si="9"/>
        <v>110441787.10136779</v>
      </c>
      <c r="F33" s="302">
        <f t="shared" si="9"/>
        <v>106160619.43423641</v>
      </c>
      <c r="G33" s="302">
        <f t="shared" si="9"/>
        <v>127181434.93335012</v>
      </c>
      <c r="H33" s="302">
        <f t="shared" si="9"/>
        <v>123643300.44009809</v>
      </c>
      <c r="I33" s="302">
        <f t="shared" si="9"/>
        <v>121774507.54834469</v>
      </c>
      <c r="J33" s="302">
        <f t="shared" si="9"/>
        <v>128206359.41773719</v>
      </c>
      <c r="K33" s="302">
        <f t="shared" si="9"/>
        <v>139717633.72128749</v>
      </c>
      <c r="L33" s="302">
        <f t="shared" si="9"/>
        <v>141559969.70047498</v>
      </c>
      <c r="M33" s="302">
        <f t="shared" si="9"/>
        <v>123922475.91443278</v>
      </c>
      <c r="N33" s="302">
        <f t="shared" si="9"/>
        <v>117531597.2298764</v>
      </c>
      <c r="O33" s="303">
        <f t="shared" ref="O33:AX33" si="10">+O32*O31</f>
        <v>110706860.9329775</v>
      </c>
      <c r="P33" s="303">
        <f t="shared" si="10"/>
        <v>94634699.893919662</v>
      </c>
      <c r="Q33" s="303">
        <f>+Q32*Q31</f>
        <v>104515148.63731465</v>
      </c>
      <c r="R33" s="303">
        <f>+R32*R31</f>
        <v>97169829.601157025</v>
      </c>
      <c r="S33" s="303">
        <f>+S32*S31</f>
        <v>84488597.336792126</v>
      </c>
      <c r="T33" s="303">
        <f>+T32*T31</f>
        <v>80998833.585116833</v>
      </c>
      <c r="U33" s="303">
        <f t="shared" si="10"/>
        <v>81655048.817345425</v>
      </c>
      <c r="V33" s="303">
        <f t="shared" si="10"/>
        <v>79023209.360662594</v>
      </c>
      <c r="W33" s="303">
        <f>+W32*W31</f>
        <v>80774205.877483785</v>
      </c>
      <c r="X33" s="303">
        <f>+X32*X31</f>
        <v>84252731.82256709</v>
      </c>
      <c r="Y33" s="303">
        <f>+Y32*Y31</f>
        <v>93442564.899602547</v>
      </c>
      <c r="Z33" s="303">
        <f>+Z32*Z31</f>
        <v>94258288.304389715</v>
      </c>
      <c r="AA33" s="303">
        <f>+AA32*AA31</f>
        <v>87954005.795183703</v>
      </c>
      <c r="AB33" s="303">
        <f t="shared" si="10"/>
        <v>105286613.28471287</v>
      </c>
      <c r="AC33" s="303">
        <f t="shared" si="10"/>
        <v>109716084.36404465</v>
      </c>
      <c r="AD33" s="303">
        <f t="shared" si="10"/>
        <v>112403083.32474884</v>
      </c>
      <c r="AE33" s="303">
        <f>+AE32*AE31</f>
        <v>117171902.5878575</v>
      </c>
      <c r="AF33" s="303">
        <f>+AF32*AF31</f>
        <v>115902925.30465893</v>
      </c>
      <c r="AG33" s="303">
        <f>+AG32*AG31</f>
        <v>115418634.19195612</v>
      </c>
      <c r="AH33" s="303">
        <f t="shared" si="10"/>
        <v>118879025.90484728</v>
      </c>
      <c r="AI33" s="303">
        <f t="shared" si="10"/>
        <v>105599304.11004511</v>
      </c>
      <c r="AJ33" s="303">
        <f t="shared" si="10"/>
        <v>117937244.4316</v>
      </c>
      <c r="AK33" s="303">
        <f t="shared" ref="AK33" si="11">+AK32*AK31</f>
        <v>110583214.29014593</v>
      </c>
      <c r="AL33" s="303">
        <f t="shared" si="10"/>
        <v>107486210.76809625</v>
      </c>
      <c r="AM33" s="303">
        <f t="shared" si="10"/>
        <v>97792104.034191057</v>
      </c>
      <c r="AN33" s="303">
        <f t="shared" si="10"/>
        <v>97593211.591969967</v>
      </c>
      <c r="AO33" s="303">
        <f t="shared" si="10"/>
        <v>104033157.74451751</v>
      </c>
      <c r="AP33" s="303">
        <f t="shared" si="10"/>
        <v>104096633.3211</v>
      </c>
      <c r="AQ33" s="303">
        <f t="shared" si="10"/>
        <v>103091423.7675</v>
      </c>
      <c r="AR33" s="303">
        <f>+AR32*AR31</f>
        <v>96756331.200753018</v>
      </c>
      <c r="AS33" s="303">
        <f>+AS32*AS31</f>
        <v>110933629.16789034</v>
      </c>
      <c r="AT33" s="303">
        <f t="shared" si="10"/>
        <v>99746025.586999997</v>
      </c>
      <c r="AU33" s="303">
        <f t="shared" si="10"/>
        <v>96137940.532399997</v>
      </c>
      <c r="AV33" s="303">
        <f t="shared" si="10"/>
        <v>99423656.851999998</v>
      </c>
      <c r="AW33" s="303">
        <f>+AW32*AW31</f>
        <v>94885748.727000013</v>
      </c>
      <c r="AX33" s="303">
        <f t="shared" si="10"/>
        <v>90541734.63440001</v>
      </c>
      <c r="AY33" s="304">
        <f t="shared" ref="AY33:BS33" si="12">+AY32*AY31</f>
        <v>0</v>
      </c>
      <c r="AZ33" s="304">
        <f t="shared" si="12"/>
        <v>0</v>
      </c>
      <c r="BA33" s="304">
        <f t="shared" si="12"/>
        <v>0</v>
      </c>
      <c r="BB33" s="304">
        <f t="shared" si="12"/>
        <v>0</v>
      </c>
      <c r="BC33" s="304">
        <f t="shared" si="12"/>
        <v>0</v>
      </c>
      <c r="BD33" s="304">
        <f t="shared" si="12"/>
        <v>0</v>
      </c>
      <c r="BE33" s="304">
        <f t="shared" si="12"/>
        <v>0</v>
      </c>
      <c r="BF33" s="304">
        <f t="shared" si="12"/>
        <v>0</v>
      </c>
      <c r="BG33" s="304">
        <f t="shared" si="12"/>
        <v>0</v>
      </c>
      <c r="BH33" s="304">
        <f t="shared" si="12"/>
        <v>0</v>
      </c>
      <c r="BI33" s="304">
        <f t="shared" si="12"/>
        <v>0</v>
      </c>
      <c r="BJ33" s="304">
        <f t="shared" si="12"/>
        <v>0</v>
      </c>
      <c r="BK33" s="304">
        <f t="shared" si="12"/>
        <v>0</v>
      </c>
      <c r="BL33" s="304">
        <f t="shared" si="12"/>
        <v>0</v>
      </c>
      <c r="BM33" s="304">
        <f t="shared" si="12"/>
        <v>0</v>
      </c>
      <c r="BN33" s="304">
        <f t="shared" si="12"/>
        <v>0</v>
      </c>
      <c r="BO33" s="304">
        <f t="shared" si="12"/>
        <v>0</v>
      </c>
      <c r="BP33" s="304">
        <f t="shared" si="12"/>
        <v>0</v>
      </c>
      <c r="BQ33" s="304">
        <f t="shared" si="12"/>
        <v>0</v>
      </c>
      <c r="BR33" s="304">
        <f t="shared" si="12"/>
        <v>0</v>
      </c>
      <c r="BS33" s="304">
        <f t="shared" si="12"/>
        <v>0</v>
      </c>
    </row>
    <row r="34" spans="1:71" s="159" customFormat="1">
      <c r="A34"/>
      <c r="B34" s="305" t="s">
        <v>199</v>
      </c>
      <c r="C34" s="306">
        <f ca="1">+ROUND(C26-C33,2)-0.02</f>
        <v>-1085398.77</v>
      </c>
      <c r="D34" s="307">
        <f t="shared" ref="D34:N34" ca="1" si="13">+ROUND(D26-D33,2)</f>
        <v>-1658403.63</v>
      </c>
      <c r="E34" s="307">
        <f t="shared" ca="1" si="13"/>
        <v>-1707765.77</v>
      </c>
      <c r="F34" s="307">
        <f t="shared" ca="1" si="13"/>
        <v>-1527072.72</v>
      </c>
      <c r="G34" s="307">
        <f t="shared" ca="1" si="13"/>
        <v>-359783.08</v>
      </c>
      <c r="H34" s="307">
        <f t="shared" ca="1" si="13"/>
        <v>885138.12</v>
      </c>
      <c r="I34" s="307">
        <f ca="1">+ROUND(I26-I33,2)-0.01</f>
        <v>-573266.19000000006</v>
      </c>
      <c r="J34" s="307">
        <f t="shared" ca="1" si="13"/>
        <v>-208803.28</v>
      </c>
      <c r="K34" s="307">
        <f t="shared" ca="1" si="13"/>
        <v>-4783998.7699999996</v>
      </c>
      <c r="L34" s="307">
        <f ca="1">+ROUND(L26-L33,2)</f>
        <v>-2956974</v>
      </c>
      <c r="M34" s="307">
        <f t="shared" ca="1" si="13"/>
        <v>1254495.3500000001</v>
      </c>
      <c r="N34" s="307">
        <f t="shared" ca="1" si="13"/>
        <v>4014683.79</v>
      </c>
      <c r="O34" s="308">
        <f t="shared" ref="O34:AW34" ca="1" si="14">+ROUND(O26-O33,2)</f>
        <v>-4256789.04</v>
      </c>
      <c r="P34" s="308">
        <f ca="1">+ROUND(P26-P33,2)</f>
        <v>-2965485.58</v>
      </c>
      <c r="Q34" s="308">
        <f ca="1">+ROUND(Q26-Q33,2)</f>
        <v>-3812661.01</v>
      </c>
      <c r="R34" s="308">
        <f ca="1">+ROUND(R26-R33,2)</f>
        <v>-3188518.67</v>
      </c>
      <c r="S34" s="308">
        <f t="shared" ca="1" si="14"/>
        <v>-1603466.44</v>
      </c>
      <c r="T34" s="308">
        <f t="shared" ca="1" si="14"/>
        <v>-1753271.31</v>
      </c>
      <c r="U34" s="308">
        <f t="shared" ca="1" si="14"/>
        <v>-2603750.21</v>
      </c>
      <c r="V34" s="308">
        <f t="shared" ca="1" si="14"/>
        <v>-4790408.5999999996</v>
      </c>
      <c r="W34" s="308">
        <f ca="1">+ROUND(W26-W33,2)</f>
        <v>-1773971.71</v>
      </c>
      <c r="X34" s="308">
        <f ca="1">+ROUND(X26-X33,2)</f>
        <v>1586223.96</v>
      </c>
      <c r="Y34" s="308">
        <f t="shared" ca="1" si="14"/>
        <v>-11080148.35</v>
      </c>
      <c r="Z34" s="308">
        <f t="shared" ca="1" si="14"/>
        <v>-10789890.210000001</v>
      </c>
      <c r="AA34" s="308">
        <f t="shared" ref="AA34" ca="1" si="15">+ROUND(AA26-AA33,2)</f>
        <v>15187211.85</v>
      </c>
      <c r="AB34" s="308">
        <f t="shared" ca="1" si="14"/>
        <v>2424602.7999999998</v>
      </c>
      <c r="AC34" s="308">
        <f t="shared" ca="1" si="14"/>
        <v>-2927640.41</v>
      </c>
      <c r="AD34" s="308">
        <f t="shared" ca="1" si="14"/>
        <v>2990513.59</v>
      </c>
      <c r="AE34" s="308">
        <f ca="1">+ROUND(AE26-AE33,2)</f>
        <v>-3567449.27</v>
      </c>
      <c r="AF34" s="308">
        <f ca="1">+ROUND(AF26-AF33,2)</f>
        <v>-190399.61</v>
      </c>
      <c r="AG34" s="308">
        <f ca="1">+ROUND(AG26-AG33,2)</f>
        <v>-1001283.29</v>
      </c>
      <c r="AH34" s="308">
        <f t="shared" ca="1" si="14"/>
        <v>459949.86</v>
      </c>
      <c r="AI34" s="308">
        <f t="shared" ca="1" si="14"/>
        <v>2201409.23</v>
      </c>
      <c r="AJ34" s="308">
        <f t="shared" ca="1" si="14"/>
        <v>-3634582.21</v>
      </c>
      <c r="AK34" s="308">
        <f t="shared" ref="AK34" ca="1" si="16">+ROUND(AK26-AK33,2)</f>
        <v>816296.07</v>
      </c>
      <c r="AL34" s="308">
        <f t="shared" ca="1" si="14"/>
        <v>2242139.2000000002</v>
      </c>
      <c r="AM34" s="308">
        <f t="shared" ca="1" si="14"/>
        <v>-506904.78</v>
      </c>
      <c r="AN34" s="308">
        <f t="shared" ca="1" si="14"/>
        <v>-669245.97</v>
      </c>
      <c r="AO34" s="308">
        <f t="shared" ca="1" si="14"/>
        <v>-14091.99</v>
      </c>
      <c r="AP34" s="308">
        <f t="shared" ca="1" si="14"/>
        <v>-1869628.05</v>
      </c>
      <c r="AQ34" s="308">
        <f t="shared" ca="1" si="14"/>
        <v>-710350.13</v>
      </c>
      <c r="AR34" s="308">
        <f ca="1">+ROUND(AR26-AR33,2)</f>
        <v>-14024.62</v>
      </c>
      <c r="AS34" s="308">
        <f ca="1">+ROUND(AS26-AS33,2)</f>
        <v>-1391727.27</v>
      </c>
      <c r="AT34" s="308">
        <f t="shared" ca="1" si="14"/>
        <v>-1041700.3</v>
      </c>
      <c r="AU34" s="308">
        <f ca="1">+ROUND(AU26-AU33,2)</f>
        <v>-448490.43</v>
      </c>
      <c r="AV34" s="308">
        <f t="shared" ca="1" si="14"/>
        <v>-2518263.17</v>
      </c>
      <c r="AW34" s="308">
        <f t="shared" ca="1" si="14"/>
        <v>-973669.65</v>
      </c>
      <c r="AX34" s="308">
        <f ca="1">+ROUND(AX26-AX33,2)</f>
        <v>209190.33</v>
      </c>
      <c r="AY34" s="309">
        <f t="shared" ref="AY34:BS34" ca="1" si="17">+ROUND(AY26-AY33,2)</f>
        <v>1944914.2</v>
      </c>
      <c r="AZ34" s="309">
        <f t="shared" si="17"/>
        <v>0</v>
      </c>
      <c r="BA34" s="309">
        <f t="shared" si="17"/>
        <v>0</v>
      </c>
      <c r="BB34" s="309">
        <f t="shared" si="17"/>
        <v>0</v>
      </c>
      <c r="BC34" s="309">
        <f t="shared" si="17"/>
        <v>0</v>
      </c>
      <c r="BD34" s="309">
        <f t="shared" si="17"/>
        <v>0</v>
      </c>
      <c r="BE34" s="309">
        <f t="shared" si="17"/>
        <v>0</v>
      </c>
      <c r="BF34" s="309">
        <f t="shared" si="17"/>
        <v>0</v>
      </c>
      <c r="BG34" s="309">
        <f t="shared" si="17"/>
        <v>0</v>
      </c>
      <c r="BH34" s="309">
        <f t="shared" si="17"/>
        <v>0</v>
      </c>
      <c r="BI34" s="309">
        <f t="shared" si="17"/>
        <v>0</v>
      </c>
      <c r="BJ34" s="309">
        <f t="shared" si="17"/>
        <v>0</v>
      </c>
      <c r="BK34" s="309">
        <f t="shared" si="17"/>
        <v>0</v>
      </c>
      <c r="BL34" s="309">
        <f t="shared" si="17"/>
        <v>0</v>
      </c>
      <c r="BM34" s="309">
        <f t="shared" si="17"/>
        <v>0</v>
      </c>
      <c r="BN34" s="309">
        <f t="shared" si="17"/>
        <v>0</v>
      </c>
      <c r="BO34" s="309">
        <f t="shared" si="17"/>
        <v>0</v>
      </c>
      <c r="BP34" s="309">
        <f t="shared" si="17"/>
        <v>0</v>
      </c>
      <c r="BQ34" s="309">
        <f t="shared" si="17"/>
        <v>0</v>
      </c>
      <c r="BR34" s="309">
        <f t="shared" si="17"/>
        <v>0</v>
      </c>
      <c r="BS34" s="309">
        <f t="shared" si="17"/>
        <v>0</v>
      </c>
    </row>
    <row r="35" spans="1:71">
      <c r="C35" s="45"/>
      <c r="D35" s="45"/>
      <c r="E35" s="45"/>
      <c r="F35" s="45"/>
      <c r="G35" s="45"/>
      <c r="H35" s="45"/>
      <c r="I35" s="45"/>
      <c r="J35" s="45"/>
      <c r="K35" s="45"/>
      <c r="O35" s="277"/>
      <c r="P35" s="277"/>
      <c r="Q35" s="277"/>
      <c r="R35" s="159"/>
      <c r="S35" s="159"/>
      <c r="T35" s="159"/>
    </row>
    <row r="36" spans="1:71">
      <c r="C36" s="183"/>
      <c r="D36" s="183"/>
      <c r="E36" s="183"/>
      <c r="F36" s="183"/>
      <c r="G36" s="183"/>
      <c r="H36" s="183"/>
      <c r="I36" s="183"/>
      <c r="J36" s="183"/>
      <c r="K36" s="183"/>
      <c r="O36" s="277"/>
      <c r="P36" s="277"/>
      <c r="Q36" s="277"/>
      <c r="R36" s="159"/>
      <c r="S36" s="159"/>
      <c r="T36" s="159"/>
    </row>
    <row r="37" spans="1:71" ht="16.5" thickBot="1">
      <c r="B37" s="256" t="s">
        <v>200</v>
      </c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8"/>
      <c r="P37" s="258"/>
      <c r="Q37" s="258"/>
      <c r="R37" s="259"/>
      <c r="S37" s="259"/>
      <c r="T37" s="259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  <c r="AW37" s="257"/>
      <c r="AX37" s="257"/>
      <c r="AY37" s="257"/>
      <c r="AZ37" s="257"/>
      <c r="BA37" s="257"/>
      <c r="BB37" s="257"/>
      <c r="BC37" s="257"/>
      <c r="BD37" s="257"/>
      <c r="BE37" s="257"/>
      <c r="BF37" s="257"/>
      <c r="BG37" s="257"/>
      <c r="BH37" s="257"/>
      <c r="BI37" s="257"/>
      <c r="BJ37" s="257"/>
      <c r="BK37" s="257"/>
      <c r="BL37" s="257"/>
      <c r="BM37" s="257"/>
      <c r="BN37" s="257"/>
      <c r="BO37" s="257"/>
      <c r="BP37" s="257"/>
      <c r="BQ37" s="257"/>
      <c r="BR37" s="257"/>
      <c r="BS37" s="257"/>
    </row>
    <row r="38" spans="1:71" ht="15.75" thickTop="1">
      <c r="B38" t="s">
        <v>201</v>
      </c>
      <c r="C38" s="310"/>
      <c r="D38" s="310">
        <f>243025.843*(1-0.0925)</f>
        <v>220545.95252249998</v>
      </c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1">
        <f>135045.54*(1-0.0925)</f>
        <v>122553.82755</v>
      </c>
      <c r="P38" s="311">
        <f>1681442.02*(1-0.0925)</f>
        <v>1525908.6331499999</v>
      </c>
      <c r="Q38" s="311">
        <f>131984.6*(1-0.0925)</f>
        <v>119776.0245</v>
      </c>
      <c r="R38" s="311">
        <f>518634.72*(1-0.0925)</f>
        <v>470661.00839999993</v>
      </c>
      <c r="S38" s="311">
        <f>1758323.8*(1-0.0925)</f>
        <v>1595678.8485000001</v>
      </c>
      <c r="T38" s="311">
        <f>433968.37*(1-0.0925)</f>
        <v>393826.29577500001</v>
      </c>
      <c r="U38" s="311">
        <f>341863.88*(1-0.0925)</f>
        <v>310241.47109999997</v>
      </c>
      <c r="V38" s="311">
        <f>973270.01*(1-0.0925)</f>
        <v>883242.53407499997</v>
      </c>
      <c r="W38" s="311">
        <f>3292937.71*(1-0.0925)</f>
        <v>2988340.9718249999</v>
      </c>
      <c r="X38" s="311">
        <f>397619.25*(1-0.0925)</f>
        <v>360839.46937499999</v>
      </c>
      <c r="Y38" s="311">
        <f>(8940.5*(1-0.0925))</f>
        <v>8113.5037499999999</v>
      </c>
      <c r="Z38" s="311">
        <f>+(9697.42*(1-0.0925))+(786190.2*(1-0.0925))</f>
        <v>722268.01514999999</v>
      </c>
      <c r="AA38" s="311">
        <f>8684.6*(1-0.0925)+1051905.53*(1-0.0925)</f>
        <v>962485.54297500011</v>
      </c>
      <c r="AB38" s="311">
        <f>41648.4*(1-0.0925)+2776.56*(1-0.0925)+2003057.8*(1-0.0925)+1168450.38*(1-0.0925)</f>
        <v>2918459.32455</v>
      </c>
      <c r="AC38" s="311">
        <f>792156.19*(1-0.0925)+457019.54*(1-0.0925)</f>
        <v>1133626.9749749999</v>
      </c>
      <c r="AD38" s="311">
        <f>132526.96*(1-0.0925)</f>
        <v>120268.2162</v>
      </c>
      <c r="AE38" s="311">
        <f>3952.28*(1-0.0925)+6895.96*(1-0.0925)+2686.99*(1-0.0925)+152501.87*(1-0.0925)+172255.16*(1-0.0925)</f>
        <v>307000.22594999999</v>
      </c>
      <c r="AF38" s="311">
        <f>145658.24*(1-0.0925)+88622.6*(1-0.0925)+853882.91*(1-0.0925)+489385.28*(1-0.0925)</f>
        <v>1431625.7447249999</v>
      </c>
      <c r="AG38" s="311">
        <f>182313.37*(1-0.0925)+127203.48*(1-0.0925)</f>
        <v>280886.54137499997</v>
      </c>
      <c r="AH38" s="311">
        <f>351411.48*(1-0.0925)+277262.38*(1-0.0925)</f>
        <v>570521.52795000002</v>
      </c>
      <c r="AI38" s="311">
        <f>317429.29*(1-0.0925)+181927.64*(1-0.0925)</f>
        <v>453166.41397499997</v>
      </c>
      <c r="AJ38" s="311">
        <f>17196.74*(1-0.0925)+25795.1*(1-0.0925)+66815.11*(1-0.0925)+92269.75*(1-0.0925)+896403.25*(1-0.0925)+513754.92*(1-0.0925)</f>
        <v>1463103.1445249999</v>
      </c>
      <c r="AK38" s="311">
        <f>+(495280.98+283860.4)*(1-0.0925)+(26654.94+17769.96)*(1-0.0925)</f>
        <v>747386.39910000004</v>
      </c>
      <c r="AL38" s="311">
        <f>(92266.69+66810.23+29441.22+19627.48)*(1-0.0925)+270090.27*(1-0.0925)+203911.55*(1-0.0925)</f>
        <v>619048.80180000002</v>
      </c>
      <c r="AM38" s="311">
        <f>+(1406167.17+811655)*(1-0.0925)</f>
        <v>2012673.6192749999</v>
      </c>
      <c r="AN38" s="311">
        <f>(1327374.01+624196.99)*(1-0.0925)</f>
        <v>1771050.6824999999</v>
      </c>
      <c r="AO38" s="311">
        <f>(24756.32+37959.68)*(1-0.0925)+(280117.5+158631.58)*(1-0.0925)</f>
        <v>455079.56009999994</v>
      </c>
      <c r="AP38" s="311">
        <f>(27408.78+42026.79)*(1-0.0925)+(437140.99+859976.55)*(1-0.0925)</f>
        <v>1240146.9473249998</v>
      </c>
      <c r="AQ38" s="311">
        <f>(40671.09+26524.62)*(1-0.0925)+(771174.04+392001.13)*(1-0.0925)</f>
        <v>1116561.5735999998</v>
      </c>
      <c r="AR38" s="311">
        <f>((570425.43+1117121.49)*(1-0.0925))+((27408.78+42026.79+18102.84+14211.58)*(1-0.0925))</f>
        <v>1623786.9458249998</v>
      </c>
      <c r="AS38" s="311">
        <f>+(1244752.53+808782.44)*(1-0.0925)+(40671.09+26524.62)*(1-0.0925)+(50078.88+39758.57)*(1-0.0925)</f>
        <v>2006090.5779749998</v>
      </c>
      <c r="AT38" s="311">
        <f>(48725.4+42026.79+27408.78+68012.53)*(1-0.0925)+(74992.65+111794.69)*(1-0.0925)</f>
        <v>338461.96230000001</v>
      </c>
      <c r="AU38" s="311">
        <f>(27408.78+42026.79+21824.92+28930.71)*(1-0.0925)+(20597.16+86727.01)*(1-0.0925)</f>
        <v>206470.198275</v>
      </c>
      <c r="AV38" s="311">
        <f>(62091.05+85607.82+40671.09+26524.62)*(1-0.0925)+204749.34*(1-0.0925)</f>
        <v>380826.85739999998</v>
      </c>
      <c r="AW38" s="311">
        <f>1827.25*(1-0.0925)+(9643.57+14211.58+42026.79+27408.78)*(1-0.0925)</f>
        <v>86319.557774999994</v>
      </c>
      <c r="AX38" s="311">
        <f>2524.85*(1-0.0925)+(26524.62+40671.09+18610.4+27915.59)*(1-0.0925)+(8941.22+45356.1)*(1-0.0925)</f>
        <v>154768.56202499999</v>
      </c>
      <c r="AY38" s="41">
        <f>1827.25*(1-0.0925)+(1077020.5+547468.2)*(1-0.0925)+(42026.79+27408.78+48048.49+69462.56)*(1-0.0925)</f>
        <v>1645535.7822750001</v>
      </c>
    </row>
    <row r="39" spans="1:71">
      <c r="B39" t="s">
        <v>202</v>
      </c>
      <c r="C39" s="310"/>
      <c r="D39" s="310"/>
      <c r="E39" s="310"/>
      <c r="F39" s="310"/>
      <c r="G39" s="310"/>
      <c r="H39" s="310"/>
      <c r="I39" s="310"/>
      <c r="J39" s="310"/>
      <c r="K39" s="310">
        <f>805908.11+1914773.18+1753466.83+1778422.71+2524809.58+2284401.24+1797977.17+2097618.41-1189527.68-0.01</f>
        <v>13767849.540000001</v>
      </c>
      <c r="L39" s="310">
        <v>668514.68000000005</v>
      </c>
      <c r="M39" s="310">
        <v>715429.65</v>
      </c>
      <c r="N39" s="310">
        <v>4156982.04</v>
      </c>
      <c r="O39" s="311">
        <f>4824093.72-152202.14</f>
        <v>4671891.58</v>
      </c>
      <c r="P39" s="311"/>
      <c r="Q39" s="311"/>
      <c r="R39" s="311"/>
      <c r="S39" s="311"/>
      <c r="T39" s="311"/>
      <c r="U39" s="311"/>
      <c r="V39" s="311">
        <f>7573578.88+4045083.59+3782906.78+3853045.48+2869080.61</f>
        <v>22123695.339999996</v>
      </c>
      <c r="W39" s="311">
        <f>2863796.03+2824229.71+3229899.46</f>
        <v>8917925.1999999993</v>
      </c>
      <c r="X39" s="311">
        <f>-2050811.12+2591084.61</f>
        <v>540273.48999999976</v>
      </c>
      <c r="Y39" s="311">
        <v>2753513.96</v>
      </c>
      <c r="Z39" s="311">
        <f>(-6283.56+3903856.22)</f>
        <v>3897572.66</v>
      </c>
      <c r="AA39" s="311">
        <v>2648027.59</v>
      </c>
      <c r="AB39" s="311">
        <f>17769.96*(1-0.0925)+26654.94*(1-0.0925)</f>
        <v>40315.596749999997</v>
      </c>
      <c r="AC39" s="311">
        <f>2597.42*(1-0.0925)+243317.3*(1-0.0925)+16623.51*(1-0.0925)+24935.27*(1-0.0925)</f>
        <v>260882.20124999995</v>
      </c>
      <c r="AD39" s="311">
        <f>41648.32*(1-0.0925)+2776.55*(1-0.0925)+282.76*(1-0.0925)+2544.88*(1-0.0925)+123101.95*(1-0.0925)</f>
        <v>154596.67245000001</v>
      </c>
      <c r="AE39" s="311">
        <f>25795.1*(1-0.0925)+17196.74*(1-0.0925)+44534.44*(1-0.0925)+45282.86*(1-0.0925)</f>
        <v>120524.29454999999</v>
      </c>
      <c r="AF39" s="311">
        <f>(27568.3+18378.86+26654.94+17769.96)*(1-0.0925)</f>
        <v>82012.644449999993</v>
      </c>
      <c r="AG39" s="311">
        <f>2686.99*(1-0.0925)+232147.39*(1-0.0925)+(17196.74+25795.1+15381.06+22276.02)*(1-0.0925)</f>
        <v>286301.09474999999</v>
      </c>
      <c r="AH39" s="311">
        <f>88767.35*(1-0.0925)+3565.44*(1-0.0925)+23692.6*(1-0.0925)+6406.52*(1-0.0925)+17769.96*(1-0.0925)+26654.94*(1-0.0925)</f>
        <v>151422.55507499998</v>
      </c>
      <c r="AI39" s="311">
        <f>186457.36*(1-0.0925)+2776.55*(1-0.0925)+(17769.96+44914.6+26654.94+62025.77)*(1-0.0925)</f>
        <v>309093.75584999996</v>
      </c>
      <c r="AJ39" s="311">
        <f>2686.99*(1-0.0925)+237160.1*(1-0.0925)</f>
        <v>217661.23417499999</v>
      </c>
      <c r="AK39" s="311">
        <f>260120.74*(1-0.0925)+2776.55*(1-0.0925)</f>
        <v>238579.290675</v>
      </c>
      <c r="AL39" s="311">
        <f>257415.01*(1-0.0925)+3066.79*(1-0.0925)</f>
        <v>236387.2335</v>
      </c>
      <c r="AM39" s="311">
        <f>3169.02*(1-0.0925)+230738.15*(1-0.0925)+(20281.73+62347.86+30422.6+86100.26)*(1-0.0925)</f>
        <v>393001.60514999996</v>
      </c>
      <c r="AN39" s="311">
        <f>381393.04*(1-0.0925)+1827.26*(1-0.0925)+(27408.78+42026.79+22163.5+60399.19)*(1-0.0925)</f>
        <v>485710.8432</v>
      </c>
      <c r="AO39" s="311">
        <f>59289*(1-0.0925)+1660.15*(1-0.0925)</f>
        <v>55311.353625000003</v>
      </c>
      <c r="AP39" s="312">
        <f>(74489.68*(1-0.0925)+2505.32*(1-0.0925))-(308280.71*(1-0.0925))</f>
        <v>-209891.78182500004</v>
      </c>
      <c r="AQ39" s="311">
        <f>83853.81*(1-0.0925)+2016.51*(1-0.0925)+473.89*(1-0.0925)</f>
        <v>78357.370574999994</v>
      </c>
      <c r="AR39" s="312">
        <f>-1473.59*(1-0.0925)+(51401.74*(1-0.0925)+1827.25*(1-0.0925))</f>
        <v>46968.025500000003</v>
      </c>
      <c r="AS39" s="312">
        <f>((69653.7-374.24)*(1-0.0925))+1768.31*(1-0.0925)</f>
        <v>64475.851274999994</v>
      </c>
      <c r="AT39" s="311">
        <f>1827.24*(1-0.0925)+51403.1*(1-0.0925)</f>
        <v>48306.53355</v>
      </c>
      <c r="AU39" s="311">
        <f>1827.25*(1-0.0925)+122808.88*(1-0.0925)</f>
        <v>113107.287975</v>
      </c>
      <c r="AV39" s="311">
        <f>88609.87*(1-0.0925)+1768.31*(1-0.0925)</f>
        <v>82018.198349999991</v>
      </c>
      <c r="AW39" s="311">
        <f>58813.43*(1-0.0925)+64521.09*(1-0.0925)</f>
        <v>111926.07689999999</v>
      </c>
      <c r="AX39" s="31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</row>
    <row r="40" spans="1:71">
      <c r="B40" s="313" t="s">
        <v>203</v>
      </c>
      <c r="C40" s="314">
        <f>+C39+C38</f>
        <v>0</v>
      </c>
      <c r="D40" s="314">
        <f t="shared" ref="D40:N40" si="18">+D39+D38</f>
        <v>220545.95252249998</v>
      </c>
      <c r="E40" s="314">
        <f t="shared" si="18"/>
        <v>0</v>
      </c>
      <c r="F40" s="314">
        <f t="shared" si="18"/>
        <v>0</v>
      </c>
      <c r="G40" s="314">
        <f t="shared" si="18"/>
        <v>0</v>
      </c>
      <c r="H40" s="314">
        <f t="shared" si="18"/>
        <v>0</v>
      </c>
      <c r="I40" s="314">
        <f t="shared" si="18"/>
        <v>0</v>
      </c>
      <c r="J40" s="307">
        <f t="shared" si="18"/>
        <v>0</v>
      </c>
      <c r="K40" s="306">
        <f t="shared" si="18"/>
        <v>13767849.540000001</v>
      </c>
      <c r="L40" s="306">
        <f t="shared" si="18"/>
        <v>668514.68000000005</v>
      </c>
      <c r="M40" s="306">
        <f t="shared" si="18"/>
        <v>715429.65</v>
      </c>
      <c r="N40" s="306">
        <f t="shared" si="18"/>
        <v>4156982.04</v>
      </c>
      <c r="O40" s="308">
        <f t="shared" ref="O40:AX40" si="19">+O39+O38</f>
        <v>4794445.4075499997</v>
      </c>
      <c r="P40" s="308">
        <f t="shared" si="19"/>
        <v>1525908.6331499999</v>
      </c>
      <c r="Q40" s="308">
        <f t="shared" si="19"/>
        <v>119776.0245</v>
      </c>
      <c r="R40" s="308">
        <f t="shared" si="19"/>
        <v>470661.00839999993</v>
      </c>
      <c r="S40" s="308">
        <f t="shared" si="19"/>
        <v>1595678.8485000001</v>
      </c>
      <c r="T40" s="308">
        <f t="shared" si="19"/>
        <v>393826.29577500001</v>
      </c>
      <c r="U40" s="307">
        <f t="shared" si="19"/>
        <v>310241.47109999997</v>
      </c>
      <c r="V40" s="307">
        <f t="shared" si="19"/>
        <v>23006937.874074996</v>
      </c>
      <c r="W40" s="307">
        <f t="shared" si="19"/>
        <v>11906266.171824999</v>
      </c>
      <c r="X40" s="307">
        <f t="shared" si="19"/>
        <v>901112.95937499974</v>
      </c>
      <c r="Y40" s="307">
        <f t="shared" si="19"/>
        <v>2761627.4637500001</v>
      </c>
      <c r="Z40" s="307">
        <f t="shared" si="19"/>
        <v>4619840.6751500005</v>
      </c>
      <c r="AA40" s="307">
        <f t="shared" si="19"/>
        <v>3610513.132975</v>
      </c>
      <c r="AB40" s="307">
        <f t="shared" si="19"/>
        <v>2958774.9213</v>
      </c>
      <c r="AC40" s="307">
        <f t="shared" si="19"/>
        <v>1394509.1762249998</v>
      </c>
      <c r="AD40" s="307">
        <f t="shared" si="19"/>
        <v>274864.88864999998</v>
      </c>
      <c r="AE40" s="307">
        <f t="shared" si="19"/>
        <v>427524.52049999998</v>
      </c>
      <c r="AF40" s="307">
        <f t="shared" si="19"/>
        <v>1513638.3891749999</v>
      </c>
      <c r="AG40" s="307">
        <f t="shared" si="19"/>
        <v>567187.63612499996</v>
      </c>
      <c r="AH40" s="307">
        <f t="shared" si="19"/>
        <v>721944.08302500006</v>
      </c>
      <c r="AI40" s="307">
        <f t="shared" si="19"/>
        <v>762260.16982499999</v>
      </c>
      <c r="AJ40" s="307">
        <f t="shared" si="19"/>
        <v>1680764.3786999998</v>
      </c>
      <c r="AK40" s="307">
        <f t="shared" si="19"/>
        <v>985965.68977500009</v>
      </c>
      <c r="AL40" s="307">
        <f t="shared" si="19"/>
        <v>855436.03529999999</v>
      </c>
      <c r="AM40" s="307">
        <f t="shared" si="19"/>
        <v>2405675.2244250001</v>
      </c>
      <c r="AN40" s="307">
        <f t="shared" si="19"/>
        <v>2256761.5257000001</v>
      </c>
      <c r="AO40" s="307">
        <f t="shared" si="19"/>
        <v>510390.91372499993</v>
      </c>
      <c r="AP40" s="307">
        <f>+AP39+AP38</f>
        <v>1030255.1654999998</v>
      </c>
      <c r="AQ40" s="307">
        <f t="shared" si="19"/>
        <v>1194918.9441749998</v>
      </c>
      <c r="AR40" s="307">
        <f t="shared" si="19"/>
        <v>1670754.9713249998</v>
      </c>
      <c r="AS40" s="307">
        <f t="shared" si="19"/>
        <v>2070566.4292499998</v>
      </c>
      <c r="AT40" s="307">
        <f t="shared" si="19"/>
        <v>386768.49585000001</v>
      </c>
      <c r="AU40" s="307">
        <f t="shared" si="19"/>
        <v>319577.48625000002</v>
      </c>
      <c r="AV40" s="307">
        <f t="shared" si="19"/>
        <v>462845.05574999994</v>
      </c>
      <c r="AW40" s="307">
        <f t="shared" si="19"/>
        <v>198245.63467499998</v>
      </c>
      <c r="AX40" s="307">
        <f t="shared" si="19"/>
        <v>154768.56202499999</v>
      </c>
      <c r="AY40" s="307">
        <f t="shared" ref="AY40:BS40" si="20">+AY39+AY38</f>
        <v>1645535.7822750001</v>
      </c>
      <c r="AZ40" s="307">
        <f t="shared" si="20"/>
        <v>0</v>
      </c>
      <c r="BA40" s="307">
        <f t="shared" si="20"/>
        <v>0</v>
      </c>
      <c r="BB40" s="307">
        <f t="shared" si="20"/>
        <v>0</v>
      </c>
      <c r="BC40" s="307">
        <f t="shared" si="20"/>
        <v>0</v>
      </c>
      <c r="BD40" s="307">
        <f t="shared" si="20"/>
        <v>0</v>
      </c>
      <c r="BE40" s="307">
        <f t="shared" si="20"/>
        <v>0</v>
      </c>
      <c r="BF40" s="307">
        <f t="shared" si="20"/>
        <v>0</v>
      </c>
      <c r="BG40" s="307">
        <f t="shared" si="20"/>
        <v>0</v>
      </c>
      <c r="BH40" s="307">
        <f t="shared" si="20"/>
        <v>0</v>
      </c>
      <c r="BI40" s="307">
        <f t="shared" si="20"/>
        <v>0</v>
      </c>
      <c r="BJ40" s="307">
        <f t="shared" si="20"/>
        <v>0</v>
      </c>
      <c r="BK40" s="307">
        <f t="shared" si="20"/>
        <v>0</v>
      </c>
      <c r="BL40" s="307">
        <f t="shared" si="20"/>
        <v>0</v>
      </c>
      <c r="BM40" s="307">
        <f t="shared" si="20"/>
        <v>0</v>
      </c>
      <c r="BN40" s="307">
        <f t="shared" si="20"/>
        <v>0</v>
      </c>
      <c r="BO40" s="307">
        <f t="shared" si="20"/>
        <v>0</v>
      </c>
      <c r="BP40" s="307">
        <f t="shared" si="20"/>
        <v>0</v>
      </c>
      <c r="BQ40" s="307">
        <f t="shared" si="20"/>
        <v>0</v>
      </c>
      <c r="BR40" s="307">
        <f t="shared" si="20"/>
        <v>0</v>
      </c>
      <c r="BS40" s="307">
        <f t="shared" si="20"/>
        <v>0</v>
      </c>
    </row>
    <row r="41" spans="1:71">
      <c r="O41" s="277"/>
      <c r="P41" s="277"/>
      <c r="Q41" s="277"/>
      <c r="R41" s="159"/>
      <c r="S41" s="159"/>
      <c r="T41" s="159"/>
      <c r="AL41" s="315"/>
      <c r="AR41" s="315"/>
    </row>
    <row r="42" spans="1:71" ht="16.5" thickBot="1">
      <c r="B42" s="256" t="s">
        <v>204</v>
      </c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8"/>
      <c r="P42" s="258"/>
      <c r="Q42" s="258"/>
      <c r="R42" s="259"/>
      <c r="S42" s="259"/>
      <c r="T42" s="259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  <c r="AF42" s="257"/>
      <c r="AG42" s="257"/>
      <c r="AH42" s="257"/>
      <c r="AI42" s="257"/>
      <c r="AJ42" s="257"/>
      <c r="AK42" s="257"/>
      <c r="AL42" s="257"/>
      <c r="AM42" s="257"/>
      <c r="AN42" s="257"/>
      <c r="AO42" s="257"/>
      <c r="AP42" s="257"/>
      <c r="AQ42" s="257"/>
      <c r="AR42" s="257"/>
      <c r="AS42" s="257"/>
      <c r="AT42" s="257"/>
      <c r="AU42" s="257"/>
      <c r="AV42" s="257"/>
      <c r="AW42" s="257"/>
      <c r="AX42" s="257"/>
      <c r="AY42" s="257"/>
      <c r="AZ42" s="257"/>
      <c r="BA42" s="257"/>
      <c r="BB42" s="257"/>
      <c r="BC42" s="257"/>
      <c r="BD42" s="257"/>
      <c r="BE42" s="257"/>
      <c r="BF42" s="257"/>
      <c r="BG42" s="257"/>
      <c r="BH42" s="257"/>
      <c r="BI42" s="257"/>
      <c r="BJ42" s="257"/>
      <c r="BK42" s="257"/>
      <c r="BL42" s="257"/>
      <c r="BM42" s="257"/>
      <c r="BN42" s="257"/>
      <c r="BO42" s="257"/>
      <c r="BP42" s="257"/>
      <c r="BQ42" s="257"/>
      <c r="BR42" s="257"/>
      <c r="BS42" s="257"/>
    </row>
    <row r="43" spans="1:71" ht="15.75" thickTop="1">
      <c r="B43" s="260" t="s">
        <v>205</v>
      </c>
      <c r="C43" s="316"/>
      <c r="D43" s="316"/>
      <c r="E43" s="316"/>
      <c r="F43" s="316"/>
      <c r="G43" s="316"/>
      <c r="H43" s="316"/>
      <c r="I43" s="260"/>
      <c r="J43" s="260"/>
      <c r="K43" s="260"/>
      <c r="L43" s="260"/>
      <c r="M43" s="260"/>
      <c r="N43" s="260"/>
      <c r="O43" s="317"/>
      <c r="P43" s="317"/>
      <c r="Q43" s="317"/>
      <c r="R43" s="318"/>
      <c r="S43" s="318"/>
      <c r="T43" s="318"/>
      <c r="U43" s="260"/>
      <c r="V43" s="260"/>
      <c r="W43" s="260"/>
      <c r="X43" s="260"/>
      <c r="Y43" s="260"/>
      <c r="Z43" s="260"/>
      <c r="AA43" s="260"/>
      <c r="AB43" s="260"/>
      <c r="AC43" s="260"/>
      <c r="AD43" s="260"/>
      <c r="AE43" s="260"/>
      <c r="AF43" s="260"/>
      <c r="AG43" s="260"/>
      <c r="AH43" s="260"/>
      <c r="AI43" s="260"/>
      <c r="AJ43" s="260"/>
      <c r="AK43" s="260"/>
      <c r="AL43" s="260"/>
      <c r="AM43" s="260"/>
      <c r="AN43" s="260"/>
      <c r="AO43" s="260"/>
      <c r="AP43" s="260"/>
      <c r="AQ43" s="260"/>
      <c r="AR43" s="260"/>
      <c r="AS43" s="260"/>
      <c r="AT43" s="260"/>
      <c r="AU43" s="260"/>
      <c r="AV43" s="260"/>
      <c r="AW43" s="260"/>
      <c r="AX43" s="260"/>
      <c r="AY43" s="260"/>
      <c r="AZ43" s="260"/>
      <c r="BA43" s="260"/>
      <c r="BB43" s="260"/>
      <c r="BC43" s="260"/>
      <c r="BD43" s="260"/>
      <c r="BE43" s="260"/>
      <c r="BF43" s="260"/>
      <c r="BG43" s="260"/>
      <c r="BH43" s="260"/>
      <c r="BI43" s="260"/>
      <c r="BJ43" s="260"/>
      <c r="BK43" s="260"/>
      <c r="BL43" s="260"/>
      <c r="BM43" s="260"/>
      <c r="BN43" s="260"/>
      <c r="BO43" s="260"/>
      <c r="BP43" s="260"/>
      <c r="BQ43" s="260"/>
      <c r="BR43" s="260"/>
      <c r="BS43" s="260"/>
    </row>
    <row r="44" spans="1:71">
      <c r="B44" t="s">
        <v>206</v>
      </c>
      <c r="C44" s="319">
        <f>SUM([5]Janeiro.22!$H$9:$H$23)*(1-0.0925)</f>
        <v>700291.01505000016</v>
      </c>
      <c r="D44" s="319">
        <f>[5]Fevereiro.22!$H$31*(1-0.0925)</f>
        <v>395889.75112500001</v>
      </c>
      <c r="E44" s="319">
        <f>[5]Março.22!$H$31*(1-0.0925)</f>
        <v>324342.50557499996</v>
      </c>
      <c r="F44" s="319">
        <f>[5]Abril.22!$H$33*(1-0.0925)</f>
        <v>640982.90437499993</v>
      </c>
      <c r="G44" s="319">
        <f>[5]Maio.22!$H$34*(1-0.0925)</f>
        <v>845714.71380000003</v>
      </c>
      <c r="H44" s="319">
        <f>[5]Junho.22!$H$39*(1-0.0925)</f>
        <v>1585190.843775</v>
      </c>
      <c r="I44" s="319">
        <f>+[5]Julho.22!$H$31*(1-0.0925)</f>
        <v>1608753.9633000002</v>
      </c>
      <c r="J44" s="310">
        <f>+[5]Agosto.22!$H$31*(1-0.0925)</f>
        <v>887626.10392499994</v>
      </c>
      <c r="K44" s="310">
        <f>+[5]Setembro.22!$H$35*(1-0.0925)+31262.82*(1-0.0925)</f>
        <v>851792.94915</v>
      </c>
      <c r="L44" s="310">
        <f>[5]Outubro.22!$H$33*(1-0.0925)</f>
        <v>1849371.1269</v>
      </c>
      <c r="M44" s="310">
        <f>[5]Novembro.22!$D$35*(1-0.0925)</f>
        <v>1763785.5914250002</v>
      </c>
      <c r="N44" s="310">
        <f>+[5]Dezembro.22!$D$33*(1-0.0925)</f>
        <v>1552302.1181249998</v>
      </c>
      <c r="O44" s="311">
        <f>[5]Janeiro.23!$D$41*(1-0.0925)</f>
        <v>727853.60504999978</v>
      </c>
      <c r="P44" s="311">
        <f>[5]Fevereiro.23!$D$38*(1-0.0925)</f>
        <v>644214.97470000002</v>
      </c>
      <c r="Q44" s="311">
        <f>[5]Março.23!$D$33*(1-0.0925)</f>
        <v>868252.70317499992</v>
      </c>
      <c r="R44" s="311">
        <f>[5]Abril.23!$D$38*(1-0.0925)</f>
        <v>672846.45450000011</v>
      </c>
      <c r="S44" s="311">
        <f>[5]Maio.23!$D$41*(1-0.0925)</f>
        <v>517479.7683</v>
      </c>
      <c r="T44" s="311">
        <f>+[5]Junho.23!$D$36*(1-0.0925)</f>
        <v>626497.08082499995</v>
      </c>
      <c r="U44" s="311">
        <f>+[5]Julho.23!$D$37*(1-0.0925)</f>
        <v>405087.17287499999</v>
      </c>
      <c r="V44" s="311">
        <f>[5]Agosto.23!$D$39*(1-0.0925)</f>
        <v>1029128.5314750001</v>
      </c>
      <c r="W44" s="311">
        <f>[5]Setembro.23!$D$40*(1-0.0925)</f>
        <v>1000474.6091999998</v>
      </c>
      <c r="X44" s="311">
        <f>[5]Outubro.23!$D$42*(1-0.0925)</f>
        <v>1270638.6024750001</v>
      </c>
      <c r="Y44" s="311">
        <f>[5]Novembro.23!$D$39*(1-0.0925)</f>
        <v>1402455.3914249998</v>
      </c>
      <c r="Z44" s="311">
        <f>[5]Dezembro.23!$D$39*(1-0.0925)</f>
        <v>1312159.6768499997</v>
      </c>
      <c r="AA44" s="311">
        <f>[5]Janeiro.24!$D$45*(1-0.0925)</f>
        <v>1427758.1430749998</v>
      </c>
      <c r="AB44" s="311">
        <f>[5]Fevereiro.24!$D$49*(1-0.0925)</f>
        <v>1373568.2144249999</v>
      </c>
      <c r="AC44" s="311">
        <f>+[5]Março.24!$D$35*(1-0.0925)</f>
        <v>658284.39187499997</v>
      </c>
      <c r="AD44" s="311">
        <f>[5]Abril.24!$D$37*(1-0.0925)</f>
        <v>676656.19394999987</v>
      </c>
      <c r="AE44" s="311">
        <f>[5]Maio.24!$D$33*(1-0.0925)</f>
        <v>753960.6830249998</v>
      </c>
      <c r="AF44" s="311">
        <f>[5]Junho.24!$D$33*(1-0.0925)</f>
        <v>529994.40202499984</v>
      </c>
      <c r="AG44" s="311">
        <f>[5]Julho.24!$D$33*(1-0.0925)</f>
        <v>1285305.3906</v>
      </c>
      <c r="AH44" s="311">
        <f>+[5]Agosto.24!$D$31*(1-0.0925)</f>
        <v>1064002.322625</v>
      </c>
      <c r="AI44" s="311">
        <f>[5]Setembro.24!$D$35*(1-0.0925)</f>
        <v>524761.48477500002</v>
      </c>
      <c r="AJ44" s="311">
        <f>[5]Outubro.24!$D$36*(1-0.0925)</f>
        <v>687761.29867499997</v>
      </c>
      <c r="AK44" s="320"/>
      <c r="AL44" s="320"/>
      <c r="AM44" s="320"/>
      <c r="AN44" s="320"/>
      <c r="AO44" s="320"/>
      <c r="AP44" s="320"/>
      <c r="AQ44" s="320"/>
      <c r="AR44" s="320"/>
      <c r="AS44" s="311">
        <f>[5]Julho.25!$D$41*(1-0.0925)</f>
        <v>1322744.3756999997</v>
      </c>
      <c r="AT44" s="311">
        <f>[5]Agosto.25!$D$35*(1-0.0925)</f>
        <v>753262.66125000012</v>
      </c>
      <c r="AU44" s="311">
        <f>[5]Setembro.25!$D$38*(1-0.0925)</f>
        <v>541429.31947499991</v>
      </c>
      <c r="AV44" s="311">
        <f>[5]Outubro.25!$D$36*(1-0.0925)</f>
        <v>743482.40669999982</v>
      </c>
      <c r="AW44" s="311">
        <f>[5]Novembro.25!$D$35*(1-0.0925)</f>
        <v>301686.47767500003</v>
      </c>
      <c r="AX44" s="311">
        <f>[5]Dezembro.25!$D$32*(1-0.0925)</f>
        <v>431828.93819999998</v>
      </c>
      <c r="AY44" s="358"/>
      <c r="AZ44" s="358"/>
      <c r="BA44" s="358"/>
      <c r="BB44" s="358"/>
      <c r="BC44" s="358"/>
      <c r="BD44" s="358"/>
      <c r="BE44" s="358"/>
      <c r="BF44" s="358"/>
      <c r="BG44" s="358"/>
      <c r="BH44" s="358"/>
      <c r="BI44" s="358"/>
      <c r="BJ44" s="358"/>
      <c r="BK44" s="358"/>
      <c r="BL44" s="358"/>
      <c r="BM44" s="358"/>
      <c r="BN44" s="358"/>
      <c r="BO44" s="358"/>
      <c r="BP44" s="358"/>
      <c r="BQ44" s="358"/>
      <c r="BR44" s="358"/>
      <c r="BS44" s="358"/>
    </row>
    <row r="45" spans="1:71">
      <c r="B45" t="s">
        <v>207</v>
      </c>
      <c r="C45" s="319">
        <f>[5]Janeiro.22!$H$24*(1-0.0925)</f>
        <v>38019.358574999998</v>
      </c>
      <c r="D45" s="319">
        <f>[5]Fevereiro.22!$H$32*(1-0.0925)</f>
        <v>54574.245824999998</v>
      </c>
      <c r="E45" s="319">
        <f>[5]Março.22!$H$32*(1-0.0925)</f>
        <v>156880.77734999999</v>
      </c>
      <c r="F45" s="319">
        <f>[5]Abril.22!$H$34*(1-0.0925)</f>
        <v>241953.23955</v>
      </c>
      <c r="G45" s="319">
        <f>([5]Maio.22!$H$35-61888)*(1-0.0925)</f>
        <v>435496.23644999991</v>
      </c>
      <c r="H45" s="319">
        <f>[5]Junho.22!$H$40*(1-0.0925)</f>
        <v>157100.70997500001</v>
      </c>
      <c r="I45" s="319">
        <f>+[5]Julho.22!$H$32*(1-0.0925)</f>
        <v>341793.08624999999</v>
      </c>
      <c r="J45" s="310">
        <f>+[5]Agosto.22!$H$32*(1-0.0925)</f>
        <v>752332.56449999998</v>
      </c>
      <c r="K45" s="310">
        <f>+[5]Setembro.22!$H$36*(1-0.0925)</f>
        <v>1995042.9633750001</v>
      </c>
      <c r="L45" s="310">
        <f>[5]Outubro.22!$H$34*(1-0.0925)</f>
        <v>114397.099575</v>
      </c>
      <c r="M45" s="310">
        <f>[5]Novembro.22!$D$36*(1-0.0925)</f>
        <v>115414.570425</v>
      </c>
      <c r="N45" s="310">
        <f>+[5]Dezembro.22!$D$34*(1-0.0925)</f>
        <v>559149.56377500005</v>
      </c>
      <c r="O45" s="311">
        <f>[5]Janeiro.23!$D$42*(1-0.0925)</f>
        <v>4105757.2470749998</v>
      </c>
      <c r="P45" s="311">
        <f>[5]Fevereiro.23!$D$39*(1-0.0925)</f>
        <v>3395112.5009999997</v>
      </c>
      <c r="Q45" s="311">
        <f>[5]Março.23!$D$34*(1-0.0925)</f>
        <v>164978.14575</v>
      </c>
      <c r="R45" s="311">
        <f>[5]Abril.23!$D$39*(1-0.0925)</f>
        <v>632998.46527500008</v>
      </c>
      <c r="S45" s="311">
        <f>[5]Maio.23!$D$42*(1-0.0925)</f>
        <v>544182.9739499999</v>
      </c>
      <c r="T45" s="311">
        <f>+[5]Junho.23!$D$37*(1-0.0925)</f>
        <v>917186.04697500006</v>
      </c>
      <c r="U45" s="311">
        <f>+[5]Julho.23!$D$38*(1-0.0925)</f>
        <v>285549.71197499998</v>
      </c>
      <c r="V45" s="311">
        <f>[5]Agosto.23!$D$40*(1-0.0925)</f>
        <v>992915.36107500002</v>
      </c>
      <c r="W45" s="311">
        <f>[5]Setembro.23!$D$41*(1-0.0925)</f>
        <v>1164571.2457499998</v>
      </c>
      <c r="X45" s="311">
        <f>[5]Outubro.23!$D$43*(1-0.0925)</f>
        <v>540874.31969999999</v>
      </c>
      <c r="Y45" s="311">
        <f>[5]Novembro.23!$D$40*(1-0.0925)</f>
        <v>555317.36369999999</v>
      </c>
      <c r="Z45" s="311">
        <f>[5]Dezembro.23!$D$40*(1-0.0925)</f>
        <v>554416.95127499988</v>
      </c>
      <c r="AA45" s="311">
        <f>[5]Janeiro.24!$D$46*(1-0.0925)</f>
        <v>1434209.6785499998</v>
      </c>
      <c r="AB45" s="311">
        <f>[5]Fevereiro.24!$D$50*(1-0.0925)</f>
        <v>6641181.6850500004</v>
      </c>
      <c r="AC45" s="311">
        <f>+[5]Março.24!$D$36*(1-0.0925)</f>
        <v>308027.86080000002</v>
      </c>
      <c r="AD45" s="311">
        <f>[5]Abril.24!$D$38*(1-0.0925)</f>
        <v>820727.92642499995</v>
      </c>
      <c r="AE45" s="311">
        <f>[5]Maio.24!$D$34*(1-0.0925)</f>
        <v>108318.70087499999</v>
      </c>
      <c r="AF45" s="311">
        <f>[5]Junho.24!$D$34*(1-0.0925)</f>
        <v>112261.87005</v>
      </c>
      <c r="AG45" s="311">
        <f>[5]Julho.24!$D$34*(1-0.0925)</f>
        <v>6163565.6692500003</v>
      </c>
      <c r="AH45" s="311">
        <f>+[5]Agosto.24!$D$32*(1-0.0925)</f>
        <v>243950.03902499998</v>
      </c>
      <c r="AI45" s="311">
        <f>[5]Setembro.24!$D$36*(1-0.0925)</f>
        <v>977644.64984999981</v>
      </c>
      <c r="AJ45" s="311">
        <f>[5]Outubro.24!$D$37*(1-0.0925)</f>
        <v>862338.67087499995</v>
      </c>
      <c r="AK45" s="320"/>
      <c r="AL45" s="320"/>
      <c r="AM45" s="320"/>
      <c r="AN45" s="320"/>
      <c r="AO45" s="320"/>
      <c r="AP45" s="320"/>
      <c r="AQ45" s="320"/>
      <c r="AR45" s="320"/>
      <c r="AS45" s="311">
        <f>[5]Julho.25!$D$42*(1-0.0925)</f>
        <v>296971.17119999998</v>
      </c>
      <c r="AT45" s="311">
        <f>[5]Agosto.25!$D$36*(1-0.0925)</f>
        <v>0</v>
      </c>
      <c r="AU45" s="311">
        <f>[5]Setembro.25!$D$39*(1-0.0925)</f>
        <v>332004.70050000004</v>
      </c>
      <c r="AV45" s="311">
        <f>[5]Outubro.25!$D$39*(1-0.0925)</f>
        <v>0</v>
      </c>
      <c r="AW45" s="311">
        <f>[5]Novembro.25!$D$36*(1-0.0925)</f>
        <v>61991.143499999998</v>
      </c>
      <c r="AX45" s="311">
        <f>[5]Dezembro.25!$D$33*(1-0.0925)</f>
        <v>221818.636875</v>
      </c>
      <c r="AY45" s="358"/>
      <c r="AZ45" s="358"/>
      <c r="BA45" s="358"/>
      <c r="BB45" s="358"/>
      <c r="BC45" s="358"/>
      <c r="BD45" s="358"/>
      <c r="BE45" s="358"/>
      <c r="BF45" s="358"/>
      <c r="BG45" s="358"/>
      <c r="BH45" s="358"/>
      <c r="BI45" s="358"/>
      <c r="BJ45" s="358"/>
      <c r="BK45" s="358"/>
      <c r="BL45" s="358"/>
      <c r="BM45" s="358"/>
      <c r="BN45" s="358"/>
      <c r="BO45" s="358"/>
      <c r="BP45" s="358"/>
      <c r="BQ45" s="358"/>
      <c r="BR45" s="358"/>
      <c r="BS45" s="358"/>
    </row>
    <row r="46" spans="1:71">
      <c r="B46" t="s">
        <v>17</v>
      </c>
      <c r="C46" s="310"/>
      <c r="D46" s="310"/>
      <c r="E46" s="310"/>
      <c r="F46" s="310"/>
      <c r="G46" s="310"/>
      <c r="H46" s="310"/>
      <c r="I46" s="298"/>
      <c r="J46" s="310"/>
      <c r="K46" s="310"/>
      <c r="L46" s="310"/>
      <c r="M46" s="310"/>
      <c r="N46" s="310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311"/>
      <c r="AB46" s="311"/>
      <c r="AC46" s="311"/>
      <c r="AD46" s="311"/>
      <c r="AE46" s="311"/>
      <c r="AF46" s="311"/>
      <c r="AG46" s="311"/>
      <c r="AH46" s="311"/>
      <c r="AI46" s="311"/>
      <c r="AJ46" s="311"/>
      <c r="AK46" s="320"/>
      <c r="AL46" s="320"/>
      <c r="AM46" s="320"/>
      <c r="AN46" s="320"/>
      <c r="AO46" s="320"/>
      <c r="AP46" s="320"/>
      <c r="AQ46" s="320"/>
      <c r="AR46" s="320"/>
      <c r="AS46" s="311"/>
      <c r="AT46" s="311"/>
      <c r="AU46" s="311"/>
      <c r="AV46" s="311"/>
      <c r="AW46" s="311"/>
      <c r="AX46" s="311"/>
      <c r="AY46" s="358"/>
      <c r="AZ46" s="358"/>
      <c r="BA46" s="358"/>
      <c r="BB46" s="358"/>
      <c r="BC46" s="358"/>
      <c r="BD46" s="358"/>
      <c r="BE46" s="358"/>
      <c r="BF46" s="358"/>
      <c r="BG46" s="358"/>
      <c r="BH46" s="358"/>
      <c r="BI46" s="358"/>
      <c r="BJ46" s="358"/>
      <c r="BK46" s="358"/>
      <c r="BL46" s="358"/>
      <c r="BM46" s="358"/>
      <c r="BN46" s="358"/>
      <c r="BO46" s="358"/>
      <c r="BP46" s="358"/>
      <c r="BQ46" s="358"/>
      <c r="BR46" s="358"/>
      <c r="BS46" s="358"/>
    </row>
    <row r="47" spans="1:71" hidden="1">
      <c r="B47" t="s">
        <v>33</v>
      </c>
      <c r="C47" s="310"/>
      <c r="D47" s="310"/>
      <c r="E47" s="310"/>
      <c r="F47" s="310"/>
      <c r="G47" s="310"/>
      <c r="H47" s="310"/>
      <c r="I47" s="298"/>
      <c r="J47" s="310"/>
      <c r="K47" s="310">
        <f>56229.58*(1-0.0925)</f>
        <v>51028.343849999997</v>
      </c>
      <c r="L47" s="310"/>
      <c r="M47" s="310"/>
      <c r="N47" s="310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  <c r="Z47" s="311"/>
      <c r="AA47" s="311"/>
      <c r="AB47" s="311"/>
      <c r="AC47" s="311"/>
      <c r="AD47" s="311"/>
      <c r="AE47" s="311"/>
      <c r="AF47" s="311"/>
      <c r="AG47" s="311"/>
      <c r="AH47" s="311"/>
      <c r="AI47" s="311"/>
      <c r="AJ47" s="311"/>
      <c r="AK47" s="320"/>
      <c r="AL47" s="320"/>
      <c r="AM47" s="320"/>
      <c r="AN47" s="320"/>
      <c r="AO47" s="320"/>
      <c r="AP47" s="320"/>
      <c r="AQ47" s="320"/>
      <c r="AR47" s="320"/>
      <c r="AS47" s="311"/>
      <c r="AT47" s="311"/>
      <c r="AU47" s="311"/>
      <c r="AV47" s="311"/>
      <c r="AW47" s="311"/>
      <c r="AX47" s="311"/>
      <c r="AY47" s="358"/>
      <c r="AZ47" s="358"/>
      <c r="BA47" s="358"/>
      <c r="BB47" s="358"/>
      <c r="BC47" s="358"/>
      <c r="BD47" s="358"/>
      <c r="BE47" s="358"/>
      <c r="BF47" s="358"/>
      <c r="BG47" s="358"/>
      <c r="BH47" s="358"/>
      <c r="BI47" s="358"/>
      <c r="BJ47" s="358"/>
      <c r="BK47" s="358"/>
      <c r="BL47" s="358"/>
      <c r="BM47" s="358"/>
      <c r="BN47" s="358"/>
      <c r="BO47" s="358"/>
      <c r="BP47" s="358"/>
      <c r="BQ47" s="358"/>
      <c r="BR47" s="358"/>
      <c r="BS47" s="358"/>
    </row>
    <row r="48" spans="1:71">
      <c r="B48" t="s">
        <v>250</v>
      </c>
      <c r="C48" s="310">
        <f>8279.03*(1-0.0925)</f>
        <v>7513.2197249999999</v>
      </c>
      <c r="D48" s="310"/>
      <c r="E48" s="310"/>
      <c r="F48" s="310"/>
      <c r="G48" s="310"/>
      <c r="H48" s="310"/>
      <c r="I48" s="298"/>
      <c r="J48" s="310"/>
      <c r="K48" s="310"/>
      <c r="L48" s="298"/>
      <c r="M48" s="298"/>
      <c r="N48" s="298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  <c r="AA48" s="300"/>
      <c r="AB48" s="300"/>
      <c r="AC48" s="300"/>
      <c r="AD48" s="300"/>
      <c r="AE48" s="300"/>
      <c r="AF48" s="300"/>
      <c r="AG48" s="311"/>
      <c r="AH48" s="311"/>
      <c r="AI48" s="311"/>
      <c r="AJ48" s="311"/>
      <c r="AK48" s="320"/>
      <c r="AL48" s="320"/>
      <c r="AM48" s="320"/>
      <c r="AN48" s="320"/>
      <c r="AO48" s="320"/>
      <c r="AP48" s="320"/>
      <c r="AQ48" s="320"/>
      <c r="AR48" s="320"/>
      <c r="AS48" s="311"/>
      <c r="AT48" s="311"/>
      <c r="AU48" s="311"/>
      <c r="AV48" s="311"/>
      <c r="AW48" s="311"/>
      <c r="AX48" s="311"/>
      <c r="AY48" s="358"/>
      <c r="AZ48" s="358"/>
      <c r="BA48" s="358"/>
      <c r="BB48" s="358"/>
      <c r="BC48" s="358"/>
      <c r="BD48" s="358"/>
      <c r="BE48" s="358"/>
      <c r="BF48" s="358"/>
      <c r="BG48" s="358"/>
      <c r="BH48" s="358"/>
      <c r="BI48" s="358"/>
      <c r="BJ48" s="358"/>
      <c r="BK48" s="358"/>
      <c r="BL48" s="358"/>
      <c r="BM48" s="358"/>
      <c r="BN48" s="358"/>
      <c r="BO48" s="358"/>
      <c r="BP48" s="358"/>
      <c r="BQ48" s="358"/>
      <c r="BR48" s="358"/>
      <c r="BS48" s="358"/>
    </row>
    <row r="49" spans="1:71">
      <c r="B49" t="s">
        <v>251</v>
      </c>
      <c r="C49" s="310"/>
      <c r="D49" s="310"/>
      <c r="E49" s="310"/>
      <c r="F49" s="310"/>
      <c r="G49" s="310"/>
      <c r="H49" s="310"/>
      <c r="I49" s="298"/>
      <c r="J49" s="310"/>
      <c r="K49" s="310"/>
      <c r="L49" s="298"/>
      <c r="M49" s="298"/>
      <c r="N49" s="298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  <c r="AA49" s="300"/>
      <c r="AB49" s="300"/>
      <c r="AC49" s="300"/>
      <c r="AD49" s="300"/>
      <c r="AE49" s="300"/>
      <c r="AF49" s="300"/>
      <c r="AG49" s="311"/>
      <c r="AH49" s="311"/>
      <c r="AI49" s="311"/>
      <c r="AJ49" s="311"/>
      <c r="AK49" s="320"/>
      <c r="AL49" s="320"/>
      <c r="AM49" s="320"/>
      <c r="AN49" s="320"/>
      <c r="AO49" s="320"/>
      <c r="AP49" s="320"/>
      <c r="AQ49" s="320"/>
      <c r="AR49" s="320"/>
      <c r="AS49" s="311"/>
      <c r="AT49" s="311"/>
      <c r="AU49" s="311"/>
      <c r="AV49" s="311"/>
      <c r="AW49" s="311"/>
      <c r="AX49" s="311"/>
      <c r="AY49" s="358"/>
      <c r="AZ49" s="358"/>
      <c r="BA49" s="358"/>
      <c r="BB49" s="358"/>
      <c r="BC49" s="358"/>
      <c r="BD49" s="358"/>
      <c r="BE49" s="358"/>
      <c r="BF49" s="358"/>
      <c r="BG49" s="358"/>
      <c r="BH49" s="358"/>
      <c r="BI49" s="358"/>
      <c r="BJ49" s="358"/>
      <c r="BK49" s="358"/>
      <c r="BL49" s="358"/>
      <c r="BM49" s="358"/>
      <c r="BN49" s="358"/>
      <c r="BO49" s="358"/>
      <c r="BP49" s="358"/>
      <c r="BQ49" s="358"/>
      <c r="BR49" s="358"/>
      <c r="BS49" s="358"/>
    </row>
    <row r="50" spans="1:71">
      <c r="B50" s="260" t="s">
        <v>210</v>
      </c>
      <c r="C50" s="321">
        <f>SUM(C44:C49)</f>
        <v>745823.5933500001</v>
      </c>
      <c r="D50" s="321">
        <f t="shared" ref="D50:N50" si="21">SUM(D44:D49)</f>
        <v>450463.99695</v>
      </c>
      <c r="E50" s="321">
        <f t="shared" si="21"/>
        <v>481223.28292499995</v>
      </c>
      <c r="F50" s="321">
        <f t="shared" si="21"/>
        <v>882936.14392499998</v>
      </c>
      <c r="G50" s="321">
        <f t="shared" si="21"/>
        <v>1281210.95025</v>
      </c>
      <c r="H50" s="321">
        <f t="shared" si="21"/>
        <v>1742291.55375</v>
      </c>
      <c r="I50" s="321">
        <f t="shared" si="21"/>
        <v>1950547.0495500001</v>
      </c>
      <c r="J50" s="321">
        <f t="shared" si="21"/>
        <v>1639958.6684249998</v>
      </c>
      <c r="K50" s="321">
        <f t="shared" si="21"/>
        <v>2897864.2563749999</v>
      </c>
      <c r="L50" s="321">
        <f t="shared" si="21"/>
        <v>1963768.2264749999</v>
      </c>
      <c r="M50" s="321">
        <f t="shared" si="21"/>
        <v>1879200.1618500003</v>
      </c>
      <c r="N50" s="321">
        <f t="shared" si="21"/>
        <v>2111451.6818999997</v>
      </c>
      <c r="O50" s="322">
        <f t="shared" ref="O50:AJ50" si="22">SUM(O44:O49)</f>
        <v>4833610.8521249993</v>
      </c>
      <c r="P50" s="322">
        <f t="shared" si="22"/>
        <v>4039327.4756999998</v>
      </c>
      <c r="Q50" s="322">
        <f t="shared" si="22"/>
        <v>1033230.8489249999</v>
      </c>
      <c r="R50" s="322">
        <f t="shared" si="22"/>
        <v>1305844.9197750003</v>
      </c>
      <c r="S50" s="322">
        <f t="shared" si="22"/>
        <v>1061662.7422499999</v>
      </c>
      <c r="T50" s="322">
        <f t="shared" si="22"/>
        <v>1543683.1277999999</v>
      </c>
      <c r="U50" s="322">
        <f t="shared" si="22"/>
        <v>690636.88485000003</v>
      </c>
      <c r="V50" s="322">
        <f t="shared" si="22"/>
        <v>2022043.89255</v>
      </c>
      <c r="W50" s="322">
        <f t="shared" si="22"/>
        <v>2165045.8549499996</v>
      </c>
      <c r="X50" s="322">
        <f t="shared" si="22"/>
        <v>1811512.922175</v>
      </c>
      <c r="Y50" s="322">
        <f t="shared" si="22"/>
        <v>1957772.7551249997</v>
      </c>
      <c r="Z50" s="322">
        <f t="shared" si="22"/>
        <v>1866576.6281249996</v>
      </c>
      <c r="AA50" s="322">
        <f t="shared" si="22"/>
        <v>2861967.8216249999</v>
      </c>
      <c r="AB50" s="322">
        <f t="shared" si="22"/>
        <v>8014749.8994750008</v>
      </c>
      <c r="AC50" s="322">
        <f t="shared" si="22"/>
        <v>966312.252675</v>
      </c>
      <c r="AD50" s="322">
        <f t="shared" si="22"/>
        <v>1497384.1203749999</v>
      </c>
      <c r="AE50" s="322">
        <f t="shared" si="22"/>
        <v>862279.38389999978</v>
      </c>
      <c r="AF50" s="322">
        <f t="shared" si="22"/>
        <v>642256.27207499987</v>
      </c>
      <c r="AG50" s="322">
        <f t="shared" si="22"/>
        <v>7448871.0598499998</v>
      </c>
      <c r="AH50" s="322">
        <f t="shared" si="22"/>
        <v>1307952.3616500001</v>
      </c>
      <c r="AI50" s="322">
        <f t="shared" si="22"/>
        <v>1502406.1346249999</v>
      </c>
      <c r="AJ50" s="322">
        <f t="shared" si="22"/>
        <v>1550099.96955</v>
      </c>
      <c r="AK50" s="323"/>
      <c r="AL50" s="323"/>
      <c r="AM50" s="323"/>
      <c r="AN50" s="323"/>
      <c r="AO50" s="323"/>
      <c r="AP50" s="323"/>
      <c r="AQ50" s="323"/>
      <c r="AR50" s="323"/>
      <c r="AS50" s="322">
        <f t="shared" ref="AS50:BS50" si="23">SUM(AS44:AS49)</f>
        <v>1619715.5468999997</v>
      </c>
      <c r="AT50" s="322">
        <f t="shared" si="23"/>
        <v>753262.66125000012</v>
      </c>
      <c r="AU50" s="322">
        <f t="shared" si="23"/>
        <v>873434.01997499994</v>
      </c>
      <c r="AV50" s="322">
        <f t="shared" si="23"/>
        <v>743482.40669999982</v>
      </c>
      <c r="AW50" s="322">
        <f t="shared" si="23"/>
        <v>363677.62117500004</v>
      </c>
      <c r="AX50" s="322">
        <f t="shared" si="23"/>
        <v>653647.57507499994</v>
      </c>
      <c r="AY50" s="359">
        <f t="shared" si="23"/>
        <v>0</v>
      </c>
      <c r="AZ50" s="359">
        <f t="shared" si="23"/>
        <v>0</v>
      </c>
      <c r="BA50" s="359">
        <f t="shared" si="23"/>
        <v>0</v>
      </c>
      <c r="BB50" s="359">
        <f t="shared" si="23"/>
        <v>0</v>
      </c>
      <c r="BC50" s="359">
        <f t="shared" si="23"/>
        <v>0</v>
      </c>
      <c r="BD50" s="359">
        <f t="shared" si="23"/>
        <v>0</v>
      </c>
      <c r="BE50" s="359">
        <f t="shared" si="23"/>
        <v>0</v>
      </c>
      <c r="BF50" s="359">
        <f t="shared" si="23"/>
        <v>0</v>
      </c>
      <c r="BG50" s="359">
        <f t="shared" si="23"/>
        <v>0</v>
      </c>
      <c r="BH50" s="359">
        <f t="shared" si="23"/>
        <v>0</v>
      </c>
      <c r="BI50" s="359">
        <f t="shared" si="23"/>
        <v>0</v>
      </c>
      <c r="BJ50" s="359">
        <f t="shared" si="23"/>
        <v>0</v>
      </c>
      <c r="BK50" s="359">
        <f t="shared" si="23"/>
        <v>0</v>
      </c>
      <c r="BL50" s="359">
        <f t="shared" si="23"/>
        <v>0</v>
      </c>
      <c r="BM50" s="359">
        <f t="shared" si="23"/>
        <v>0</v>
      </c>
      <c r="BN50" s="359">
        <f t="shared" si="23"/>
        <v>0</v>
      </c>
      <c r="BO50" s="359">
        <f t="shared" si="23"/>
        <v>0</v>
      </c>
      <c r="BP50" s="359">
        <f t="shared" si="23"/>
        <v>0</v>
      </c>
      <c r="BQ50" s="359">
        <f t="shared" si="23"/>
        <v>0</v>
      </c>
      <c r="BR50" s="359">
        <f t="shared" si="23"/>
        <v>0</v>
      </c>
      <c r="BS50" s="359">
        <f t="shared" si="23"/>
        <v>0</v>
      </c>
    </row>
    <row r="51" spans="1:71">
      <c r="B51" s="260" t="s">
        <v>211</v>
      </c>
      <c r="C51" s="321"/>
      <c r="D51" s="321"/>
      <c r="E51" s="321"/>
      <c r="F51" s="321"/>
      <c r="G51" s="321"/>
      <c r="H51" s="321"/>
      <c r="I51" s="324"/>
      <c r="J51" s="324"/>
      <c r="K51" s="324"/>
      <c r="L51" s="324"/>
      <c r="M51" s="324"/>
      <c r="N51" s="324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25"/>
      <c r="AI51" s="325"/>
      <c r="AJ51" s="325"/>
      <c r="AK51" s="326"/>
      <c r="AL51" s="326"/>
      <c r="AM51" s="326"/>
      <c r="AN51" s="326"/>
      <c r="AO51" s="326"/>
      <c r="AP51" s="326"/>
      <c r="AQ51" s="326"/>
      <c r="AR51" s="326"/>
      <c r="AS51" s="325"/>
      <c r="AT51" s="325"/>
      <c r="AU51" s="325"/>
      <c r="AV51" s="325"/>
      <c r="AW51" s="325"/>
      <c r="AX51" s="325"/>
      <c r="AY51" s="317"/>
      <c r="AZ51" s="317"/>
      <c r="BA51" s="317"/>
      <c r="BB51" s="317"/>
      <c r="BC51" s="317"/>
      <c r="BD51" s="317"/>
      <c r="BE51" s="317"/>
      <c r="BF51" s="317"/>
      <c r="BG51" s="317"/>
      <c r="BH51" s="317"/>
      <c r="BI51" s="317"/>
      <c r="BJ51" s="317"/>
      <c r="BK51" s="317"/>
      <c r="BL51" s="317"/>
      <c r="BM51" s="317"/>
      <c r="BN51" s="317"/>
      <c r="BO51" s="317"/>
      <c r="BP51" s="317"/>
      <c r="BQ51" s="317"/>
      <c r="BR51" s="317"/>
      <c r="BS51" s="317"/>
    </row>
    <row r="52" spans="1:71">
      <c r="B52" t="s">
        <v>17</v>
      </c>
      <c r="C52" s="319">
        <f>26042.77*(1-0.0925)</f>
        <v>23633.813774999999</v>
      </c>
      <c r="D52" s="319">
        <f>(192374.9 + 23529.42)*(1-0.0925)</f>
        <v>195933.1704</v>
      </c>
      <c r="E52" s="319"/>
      <c r="F52" s="319"/>
      <c r="G52" s="319"/>
      <c r="H52" s="319">
        <f>(12648.9+36486.88)*(1-0.0925)</f>
        <v>44590.720349999996</v>
      </c>
      <c r="I52" s="319"/>
      <c r="J52" s="327"/>
      <c r="K52" s="327"/>
      <c r="L52" s="298"/>
      <c r="M52" s="319">
        <f>110071.45*(1-0.0925)</f>
        <v>99889.840874999994</v>
      </c>
      <c r="N52" s="319">
        <f>5449.28*(1-0.0925)</f>
        <v>4945.2215999999999</v>
      </c>
      <c r="O52" s="328"/>
      <c r="P52" s="328">
        <f>(2245.39*(1-0.0925))+(5259.94*(1-0.0925))</f>
        <v>6811.0869749999993</v>
      </c>
      <c r="Q52" s="328"/>
      <c r="R52" s="328"/>
      <c r="S52" s="328">
        <f>(143097.93*(1-0.0925))+(524.62*(1-0.0925))</f>
        <v>130337.464125</v>
      </c>
      <c r="T52" s="328">
        <f>974.19*(1-0.0925)</f>
        <v>884.07742500000006</v>
      </c>
      <c r="U52" s="328">
        <f>3578.56*(1-0.0925)</f>
        <v>3247.5432000000001</v>
      </c>
      <c r="V52" s="328"/>
      <c r="W52" s="328">
        <f>5921.42*(1-0.0925)</f>
        <v>5373.6886500000001</v>
      </c>
      <c r="X52" s="328"/>
      <c r="Y52" s="328">
        <f>12387.37*(1-0.0925)</f>
        <v>11241.538275000001</v>
      </c>
      <c r="Z52" s="328"/>
      <c r="AA52" s="328">
        <f>28458.3*(1-0.0925)</f>
        <v>25825.90725</v>
      </c>
      <c r="AB52" s="328">
        <f>16392.53*(1-0.0925)+93840.94*(1-0.0925)</f>
        <v>100036.874025</v>
      </c>
      <c r="AC52" s="328">
        <f>699.36*(1-0.0925)+24437.04*(1-0.0925)</f>
        <v>22811.282999999999</v>
      </c>
      <c r="AD52" s="311">
        <f>(84985.94+25136.08)*(1-0.0925)</f>
        <v>99935.73315</v>
      </c>
      <c r="AE52" s="311">
        <f>5619.71*(1-0.0925)+3113.6*(1-0.0925)</f>
        <v>7925.4788249999992</v>
      </c>
      <c r="AF52" s="311">
        <f>8398.59*(1-0.0925)+2004.32*(1-0.0925)</f>
        <v>9440.6408249999986</v>
      </c>
      <c r="AG52" s="311">
        <f>4213.76*(1-0.0925)+9582.68*(1-0.0925)</f>
        <v>12520.2693</v>
      </c>
      <c r="AH52" s="311">
        <f>4524.61*(1-0.0925)</f>
        <v>4106.0835749999997</v>
      </c>
      <c r="AI52" s="311">
        <f>15135.11*(1-0.0925)</f>
        <v>13735.112325</v>
      </c>
      <c r="AJ52" s="311">
        <f>+(8076.65+5938.56)*(1-0.0925)</f>
        <v>12718.803074999998</v>
      </c>
      <c r="AK52" s="320"/>
      <c r="AL52" s="320"/>
      <c r="AM52" s="320"/>
      <c r="AN52" s="320"/>
      <c r="AO52" s="320"/>
      <c r="AP52" s="320"/>
      <c r="AQ52" s="320"/>
      <c r="AR52" s="320"/>
      <c r="AS52" s="311">
        <f>(21159.83+43324.34)*(1-0.0925)</f>
        <v>58519.384274999997</v>
      </c>
      <c r="AT52" s="311"/>
      <c r="AU52" s="312">
        <f>+(24.2+11818.8)*(1-0.0925)</f>
        <v>10747.522499999999</v>
      </c>
      <c r="AV52" s="311">
        <f>(12060.35+33236.48)*(1-0.0925)</f>
        <v>41106.873225000003</v>
      </c>
      <c r="AW52" s="311">
        <f>(32291.92+13512.2)*(1-0.0925)</f>
        <v>41567.238899999997</v>
      </c>
      <c r="AX52" s="311">
        <f>(3332.65+23196.51)*(1-0.0925)</f>
        <v>24075.2127</v>
      </c>
      <c r="AY52" s="358">
        <f>(66506.87+28494.9)*(1-0.0925)</f>
        <v>86214.106274999984</v>
      </c>
      <c r="AZ52" s="358"/>
      <c r="BA52" s="358"/>
      <c r="BB52" s="358"/>
      <c r="BC52" s="358"/>
      <c r="BD52" s="358"/>
      <c r="BE52" s="358"/>
      <c r="BF52" s="358"/>
      <c r="BG52" s="358"/>
      <c r="BH52" s="358"/>
      <c r="BI52" s="358"/>
      <c r="BJ52" s="358"/>
      <c r="BK52" s="358"/>
      <c r="BL52" s="358"/>
      <c r="BM52" s="358"/>
      <c r="BN52" s="358"/>
      <c r="BO52" s="358"/>
      <c r="BP52" s="358"/>
      <c r="BQ52" s="358"/>
      <c r="BR52" s="358"/>
      <c r="BS52" s="358"/>
    </row>
    <row r="53" spans="1:71" hidden="1">
      <c r="B53" t="s">
        <v>33</v>
      </c>
      <c r="C53" s="319"/>
      <c r="D53" s="319">
        <f>270663.93*(1-0.0925)</f>
        <v>245627.51647499998</v>
      </c>
      <c r="E53" s="319">
        <f xml:space="preserve"> (459879.86+336269.75)*(1-0.0925)</f>
        <v>722505.77107499994</v>
      </c>
      <c r="F53" s="319"/>
      <c r="G53" s="319">
        <f>435624.57*(1-0.0925)</f>
        <v>395329.29727500002</v>
      </c>
      <c r="H53" s="319">
        <f>(624941.56+14970.26+ 617165.31)*(1-0.0925)</f>
        <v>1140797.495475</v>
      </c>
      <c r="I53" s="319">
        <f>307220.02*(1-0.0925)</f>
        <v>278802.16814999998</v>
      </c>
      <c r="J53" s="319">
        <f>250943.94*(1-0.0925)</f>
        <v>227731.62555</v>
      </c>
      <c r="K53" s="319"/>
      <c r="L53" s="319">
        <f>135032.8*(1-0.0925)</f>
        <v>122542.26599999999</v>
      </c>
      <c r="M53" s="319">
        <f>117346.72*(1-0.0925)</f>
        <v>106492.14839999999</v>
      </c>
      <c r="N53" s="319">
        <f>275222.32*(1-0.0925)</f>
        <v>249764.25539999999</v>
      </c>
      <c r="O53" s="328">
        <f>173245.45*(1-0.0925)</f>
        <v>157220.24587499999</v>
      </c>
      <c r="P53" s="328">
        <f>70298.09*(1-0.0925)</f>
        <v>63795.516674999992</v>
      </c>
      <c r="Q53" s="328"/>
      <c r="R53" s="328">
        <f>223384.03*(1-0.0925)</f>
        <v>202721.00722499998</v>
      </c>
      <c r="S53" s="328"/>
      <c r="T53" s="328">
        <f>(769.67*(1-0.0925))+(19892.34*(1-0.0925))</f>
        <v>18750.774075000001</v>
      </c>
      <c r="U53" s="328"/>
      <c r="V53" s="328"/>
      <c r="W53" s="328"/>
      <c r="X53" s="328"/>
      <c r="Y53" s="328"/>
      <c r="Z53" s="328">
        <f>(47546.17+1903401.09+3962.53+2701.99+4738.39+28093.58-1950291.53)*(1-0.0925)</f>
        <v>36438.139649999976</v>
      </c>
      <c r="AA53" s="328">
        <f>60262.03*(1-0.0925)</f>
        <v>54687.792224999997</v>
      </c>
      <c r="AB53" s="328"/>
      <c r="AC53" s="328"/>
      <c r="AD53" s="328"/>
      <c r="AE53" s="328"/>
      <c r="AF53" s="328"/>
      <c r="AG53" s="311"/>
      <c r="AH53" s="311"/>
      <c r="AI53" s="311"/>
      <c r="AJ53" s="311"/>
      <c r="AK53" s="320"/>
      <c r="AL53" s="320"/>
      <c r="AM53" s="320"/>
      <c r="AN53" s="320"/>
      <c r="AO53" s="320"/>
      <c r="AP53" s="320"/>
      <c r="AQ53" s="320"/>
      <c r="AR53" s="320"/>
      <c r="AS53" s="311"/>
      <c r="AT53" s="311"/>
      <c r="AU53" s="311"/>
      <c r="AV53" s="311"/>
      <c r="AW53" s="311"/>
      <c r="AX53" s="311"/>
      <c r="AY53" s="358"/>
      <c r="AZ53" s="358"/>
      <c r="BA53" s="358"/>
      <c r="BB53" s="358"/>
      <c r="BC53" s="358"/>
      <c r="BD53" s="358"/>
      <c r="BE53" s="358"/>
      <c r="BF53" s="358"/>
      <c r="BG53" s="358"/>
      <c r="BH53" s="358"/>
      <c r="BI53" s="358"/>
      <c r="BJ53" s="358"/>
      <c r="BK53" s="358"/>
      <c r="BL53" s="358"/>
      <c r="BM53" s="358"/>
      <c r="BN53" s="358"/>
      <c r="BO53" s="358"/>
      <c r="BP53" s="358"/>
      <c r="BQ53" s="358"/>
      <c r="BR53" s="358"/>
      <c r="BS53" s="358"/>
    </row>
    <row r="54" spans="1:71">
      <c r="B54" t="s">
        <v>697</v>
      </c>
      <c r="C54" s="310"/>
      <c r="D54" s="310"/>
      <c r="E54" s="310"/>
      <c r="F54" s="310"/>
      <c r="G54" s="310"/>
      <c r="H54" s="310"/>
      <c r="I54" s="310"/>
      <c r="J54" s="310"/>
      <c r="K54" s="298"/>
      <c r="L54" s="298"/>
      <c r="M54" s="298"/>
      <c r="N54" s="298"/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  <c r="AA54" s="300"/>
      <c r="AB54" s="300"/>
      <c r="AC54" s="300"/>
      <c r="AD54" s="300"/>
      <c r="AE54" s="300"/>
      <c r="AF54" s="300"/>
      <c r="AG54" s="311">
        <f>5344435.97*(1-0.0925)</f>
        <v>4850075.6427750001</v>
      </c>
      <c r="AH54" s="311"/>
      <c r="AI54" s="311">
        <f>4850915.5*(1-0.0925)</f>
        <v>4402205.8162500001</v>
      </c>
      <c r="AJ54" s="311"/>
      <c r="AK54" s="320"/>
      <c r="AL54" s="320"/>
      <c r="AM54" s="320"/>
      <c r="AN54" s="320"/>
      <c r="AO54" s="320"/>
      <c r="AP54" s="320"/>
      <c r="AQ54" s="320"/>
      <c r="AR54" s="320"/>
      <c r="AS54" s="311">
        <f>(4013.34+4302.31)*(1-0.0925)</f>
        <v>7546.4523750000008</v>
      </c>
      <c r="AT54" s="311"/>
      <c r="AU54" s="312">
        <f>(139.57+18923.86)*(1-0.0925)+(31799.45+855.77)*(1-0.0925)</f>
        <v>46934.674874999997</v>
      </c>
      <c r="AV54" s="311">
        <f>(4625.8+534.05)*(1-0.0925)</f>
        <v>4682.5638749999998</v>
      </c>
      <c r="AW54" s="311">
        <f>28847.05*(1-0.0925)</f>
        <v>26178.697874999998</v>
      </c>
      <c r="AX54" s="311">
        <f>(37.88+1120.6)*(1-0.0925)</f>
        <v>1051.3206</v>
      </c>
      <c r="AY54" s="358">
        <f>15764.98*(1-0.0925)</f>
        <v>14306.719349999999</v>
      </c>
      <c r="AZ54" s="358"/>
      <c r="BA54" s="358"/>
      <c r="BB54" s="358"/>
      <c r="BC54" s="358"/>
      <c r="BD54" s="358"/>
      <c r="BE54" s="358"/>
      <c r="BF54" s="358"/>
      <c r="BG54" s="358"/>
      <c r="BH54" s="358"/>
      <c r="BI54" s="358"/>
      <c r="BJ54" s="358"/>
      <c r="BK54" s="358"/>
      <c r="BL54" s="358"/>
      <c r="BM54" s="358"/>
      <c r="BN54" s="358"/>
      <c r="BO54" s="358"/>
      <c r="BP54" s="358"/>
      <c r="BQ54" s="358"/>
      <c r="BR54" s="358"/>
      <c r="BS54" s="358"/>
    </row>
    <row r="55" spans="1:71">
      <c r="B55" t="s">
        <v>533</v>
      </c>
      <c r="C55" s="310"/>
      <c r="D55" s="310"/>
      <c r="E55" s="310"/>
      <c r="F55" s="310"/>
      <c r="G55" s="310"/>
      <c r="H55" s="310"/>
      <c r="I55" s="298"/>
      <c r="J55" s="298"/>
      <c r="K55" s="298"/>
      <c r="L55" s="298"/>
      <c r="M55" s="298"/>
      <c r="N55" s="298"/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  <c r="AA55" s="300"/>
      <c r="AB55" s="328">
        <f>45041.56*(1-0.0925)</f>
        <v>40875.215699999993</v>
      </c>
      <c r="AC55" s="328">
        <f>3619.3*(1-0.0925)</f>
        <v>3284.5147500000003</v>
      </c>
      <c r="AD55" s="328">
        <f>8680.47*(1-0.0925)</f>
        <v>7877.5265249999993</v>
      </c>
      <c r="AE55" s="328">
        <f>7.6*(1-0.0925)</f>
        <v>6.8969999999999994</v>
      </c>
      <c r="AF55" s="328">
        <f>2892.34*(1-0.0925)+9092.2*(1-0.0925)</f>
        <v>10875.97005</v>
      </c>
      <c r="AG55" s="311">
        <f>484.12*(1-0.0925)</f>
        <v>439.33889999999997</v>
      </c>
      <c r="AH55" s="311">
        <f>11855.36*(1-0.0925)+2177.47*(1-0.0925)</f>
        <v>12734.793224999999</v>
      </c>
      <c r="AI55" s="311">
        <f>111*(1-0.0925)</f>
        <v>100.7325</v>
      </c>
      <c r="AJ55" s="311">
        <f>15737.09*(1-0.0925)</f>
        <v>14281.409174999999</v>
      </c>
      <c r="AK55" s="320"/>
      <c r="AL55" s="320"/>
      <c r="AM55" s="320"/>
      <c r="AN55" s="320"/>
      <c r="AO55" s="320"/>
      <c r="AP55" s="320"/>
      <c r="AQ55" s="320"/>
      <c r="AR55" s="320"/>
      <c r="AS55" s="311">
        <f>189410.91*(1-0.0925)</f>
        <v>171890.40082499999</v>
      </c>
      <c r="AT55" s="311">
        <f>15278.33*(1-0.0925)</f>
        <v>13865.084475</v>
      </c>
      <c r="AU55" s="311">
        <f>12027.87*(1-0.0925)</f>
        <v>10915.292025000001</v>
      </c>
      <c r="AV55" s="311">
        <f>51176.86*(1-0.0925)</f>
        <v>46443.00045</v>
      </c>
      <c r="AW55" s="311">
        <f>20205.14*(1-0.0925)</f>
        <v>18336.164549999998</v>
      </c>
      <c r="AX55" s="311">
        <f>(29469.19+14994.06)*(1-0.0925)</f>
        <v>40350.399375000001</v>
      </c>
      <c r="AY55" s="358">
        <f>98668.82*(1-0.0925)</f>
        <v>89541.954150000005</v>
      </c>
      <c r="AZ55" s="358"/>
      <c r="BA55" s="358"/>
      <c r="BB55" s="358"/>
      <c r="BC55" s="358"/>
      <c r="BD55" s="358"/>
      <c r="BE55" s="358"/>
      <c r="BF55" s="358"/>
      <c r="BG55" s="358"/>
      <c r="BH55" s="358"/>
      <c r="BI55" s="358"/>
      <c r="BJ55" s="358"/>
      <c r="BK55" s="358"/>
      <c r="BL55" s="358"/>
      <c r="BM55" s="358"/>
      <c r="BN55" s="358"/>
      <c r="BO55" s="358"/>
      <c r="BP55" s="358"/>
      <c r="BQ55" s="358"/>
      <c r="BR55" s="358"/>
      <c r="BS55" s="358"/>
    </row>
    <row r="56" spans="1:71">
      <c r="B56" s="260" t="s">
        <v>212</v>
      </c>
      <c r="C56" s="321">
        <f>SUM(C52:C55)</f>
        <v>23633.813774999999</v>
      </c>
      <c r="D56" s="321">
        <f t="shared" ref="D56:N56" si="24">SUM(D52:D55)</f>
        <v>441560.68687500001</v>
      </c>
      <c r="E56" s="321">
        <f t="shared" si="24"/>
        <v>722505.77107499994</v>
      </c>
      <c r="F56" s="321">
        <f t="shared" si="24"/>
        <v>0</v>
      </c>
      <c r="G56" s="321">
        <f t="shared" si="24"/>
        <v>395329.29727500002</v>
      </c>
      <c r="H56" s="321">
        <f t="shared" si="24"/>
        <v>1185388.2158250001</v>
      </c>
      <c r="I56" s="321">
        <f t="shared" si="24"/>
        <v>278802.16814999998</v>
      </c>
      <c r="J56" s="321">
        <f t="shared" si="24"/>
        <v>227731.62555</v>
      </c>
      <c r="K56" s="321">
        <f t="shared" si="24"/>
        <v>0</v>
      </c>
      <c r="L56" s="321">
        <f t="shared" si="24"/>
        <v>122542.26599999999</v>
      </c>
      <c r="M56" s="321">
        <f t="shared" si="24"/>
        <v>206381.989275</v>
      </c>
      <c r="N56" s="321">
        <f t="shared" si="24"/>
        <v>254709.47699999998</v>
      </c>
      <c r="O56" s="322">
        <f t="shared" ref="O56:AJ56" si="25">SUM(O52:O55)</f>
        <v>157220.24587499999</v>
      </c>
      <c r="P56" s="322">
        <f t="shared" si="25"/>
        <v>70606.60364999999</v>
      </c>
      <c r="Q56" s="322">
        <f t="shared" si="25"/>
        <v>0</v>
      </c>
      <c r="R56" s="322">
        <f t="shared" ref="R56" si="26">SUM(R52:R55)</f>
        <v>202721.00722499998</v>
      </c>
      <c r="S56" s="322">
        <f t="shared" si="25"/>
        <v>130337.464125</v>
      </c>
      <c r="T56" s="322">
        <f t="shared" si="25"/>
        <v>19634.851500000001</v>
      </c>
      <c r="U56" s="322">
        <f t="shared" si="25"/>
        <v>3247.5432000000001</v>
      </c>
      <c r="V56" s="322">
        <f t="shared" si="25"/>
        <v>0</v>
      </c>
      <c r="W56" s="322">
        <f t="shared" si="25"/>
        <v>5373.6886500000001</v>
      </c>
      <c r="X56" s="322">
        <f t="shared" si="25"/>
        <v>0</v>
      </c>
      <c r="Y56" s="322">
        <f t="shared" si="25"/>
        <v>11241.538275000001</v>
      </c>
      <c r="Z56" s="322">
        <f t="shared" si="25"/>
        <v>36438.139649999976</v>
      </c>
      <c r="AA56" s="322">
        <f t="shared" si="25"/>
        <v>80513.699475000001</v>
      </c>
      <c r="AB56" s="322">
        <f t="shared" si="25"/>
        <v>140912.089725</v>
      </c>
      <c r="AC56" s="322">
        <f t="shared" si="25"/>
        <v>26095.797749999998</v>
      </c>
      <c r="AD56" s="322">
        <f t="shared" si="25"/>
        <v>107813.25967499999</v>
      </c>
      <c r="AE56" s="322">
        <f t="shared" si="25"/>
        <v>7932.3758249999992</v>
      </c>
      <c r="AF56" s="322">
        <f t="shared" si="25"/>
        <v>20316.610874999998</v>
      </c>
      <c r="AG56" s="322">
        <f t="shared" si="25"/>
        <v>4863035.2509749997</v>
      </c>
      <c r="AH56" s="322">
        <f t="shared" si="25"/>
        <v>16840.876799999998</v>
      </c>
      <c r="AI56" s="322">
        <f t="shared" si="25"/>
        <v>4416041.6610749997</v>
      </c>
      <c r="AJ56" s="322">
        <f t="shared" si="25"/>
        <v>27000.212249999997</v>
      </c>
      <c r="AK56" s="323"/>
      <c r="AL56" s="323"/>
      <c r="AM56" s="323"/>
      <c r="AN56" s="323"/>
      <c r="AO56" s="323"/>
      <c r="AP56" s="323"/>
      <c r="AQ56" s="323"/>
      <c r="AR56" s="323"/>
      <c r="AS56" s="322">
        <f t="shared" ref="AS56:BS56" si="27">SUM(AS52:AS55)</f>
        <v>237956.23747499997</v>
      </c>
      <c r="AT56" s="322">
        <f t="shared" si="27"/>
        <v>13865.084475</v>
      </c>
      <c r="AU56" s="322">
        <f t="shared" si="27"/>
        <v>68597.489399999991</v>
      </c>
      <c r="AV56" s="322">
        <f>SUM(AV52:AV55)</f>
        <v>92232.437550000002</v>
      </c>
      <c r="AW56" s="322">
        <f t="shared" si="27"/>
        <v>86082.101324999996</v>
      </c>
      <c r="AX56" s="322">
        <f t="shared" si="27"/>
        <v>65476.932675000004</v>
      </c>
      <c r="AY56" s="359">
        <f t="shared" si="27"/>
        <v>190062.779775</v>
      </c>
      <c r="AZ56" s="359">
        <f t="shared" si="27"/>
        <v>0</v>
      </c>
      <c r="BA56" s="359">
        <f t="shared" si="27"/>
        <v>0</v>
      </c>
      <c r="BB56" s="359">
        <f t="shared" si="27"/>
        <v>0</v>
      </c>
      <c r="BC56" s="359">
        <f t="shared" si="27"/>
        <v>0</v>
      </c>
      <c r="BD56" s="359">
        <f t="shared" si="27"/>
        <v>0</v>
      </c>
      <c r="BE56" s="359">
        <f t="shared" si="27"/>
        <v>0</v>
      </c>
      <c r="BF56" s="359">
        <f t="shared" si="27"/>
        <v>0</v>
      </c>
      <c r="BG56" s="359">
        <f t="shared" si="27"/>
        <v>0</v>
      </c>
      <c r="BH56" s="359">
        <f t="shared" si="27"/>
        <v>0</v>
      </c>
      <c r="BI56" s="359">
        <f t="shared" si="27"/>
        <v>0</v>
      </c>
      <c r="BJ56" s="359">
        <f t="shared" si="27"/>
        <v>0</v>
      </c>
      <c r="BK56" s="359">
        <f t="shared" si="27"/>
        <v>0</v>
      </c>
      <c r="BL56" s="359">
        <f t="shared" si="27"/>
        <v>0</v>
      </c>
      <c r="BM56" s="359">
        <f t="shared" si="27"/>
        <v>0</v>
      </c>
      <c r="BN56" s="359">
        <f t="shared" si="27"/>
        <v>0</v>
      </c>
      <c r="BO56" s="359">
        <f t="shared" si="27"/>
        <v>0</v>
      </c>
      <c r="BP56" s="359">
        <f t="shared" si="27"/>
        <v>0</v>
      </c>
      <c r="BQ56" s="359">
        <f t="shared" si="27"/>
        <v>0</v>
      </c>
      <c r="BR56" s="359">
        <f t="shared" si="27"/>
        <v>0</v>
      </c>
      <c r="BS56" s="359">
        <f t="shared" si="27"/>
        <v>0</v>
      </c>
    </row>
    <row r="57" spans="1:71">
      <c r="B57" s="313" t="s">
        <v>213</v>
      </c>
      <c r="C57" s="329">
        <f>SUM(C52:C55)-SUM(C44:C49)</f>
        <v>-722189.77957500005</v>
      </c>
      <c r="D57" s="329">
        <f t="shared" ref="D57:N57" si="28">SUM(D52:D55)-SUM(D44:D49)</f>
        <v>-8903.3100749999867</v>
      </c>
      <c r="E57" s="329">
        <f>SUM(E52:E55)-SUM(E44:E49)+0.63</f>
        <v>241283.11814999999</v>
      </c>
      <c r="F57" s="329">
        <f t="shared" si="28"/>
        <v>-882936.14392499998</v>
      </c>
      <c r="G57" s="329">
        <f t="shared" si="28"/>
        <v>-885881.65297499998</v>
      </c>
      <c r="H57" s="329">
        <f t="shared" si="28"/>
        <v>-556903.33792499988</v>
      </c>
      <c r="I57" s="329">
        <f t="shared" si="28"/>
        <v>-1671744.8814000001</v>
      </c>
      <c r="J57" s="329">
        <f t="shared" si="28"/>
        <v>-1412227.0428749998</v>
      </c>
      <c r="K57" s="329">
        <f t="shared" si="28"/>
        <v>-2897864.2563749999</v>
      </c>
      <c r="L57" s="329">
        <f t="shared" si="28"/>
        <v>-1841225.9604749999</v>
      </c>
      <c r="M57" s="329">
        <f t="shared" si="28"/>
        <v>-1672818.1725750002</v>
      </c>
      <c r="N57" s="329">
        <f t="shared" si="28"/>
        <v>-1856742.2048999998</v>
      </c>
      <c r="O57" s="330">
        <f t="shared" ref="O57:AX57" si="29">SUM(O52:O55)-SUM(O44:O49)</f>
        <v>-4676390.6062499993</v>
      </c>
      <c r="P57" s="330">
        <f t="shared" si="29"/>
        <v>-3968720.8720499999</v>
      </c>
      <c r="Q57" s="330">
        <f t="shared" si="29"/>
        <v>-1033230.8489249999</v>
      </c>
      <c r="R57" s="330">
        <f t="shared" ref="R57" si="30">SUM(R52:R55)-SUM(R44:R49)</f>
        <v>-1103123.9125500002</v>
      </c>
      <c r="S57" s="330">
        <f t="shared" si="29"/>
        <v>-931325.27812499995</v>
      </c>
      <c r="T57" s="330">
        <f t="shared" si="29"/>
        <v>-1524048.2762999998</v>
      </c>
      <c r="U57" s="329">
        <f t="shared" si="29"/>
        <v>-687389.34165000007</v>
      </c>
      <c r="V57" s="329">
        <f t="shared" si="29"/>
        <v>-2022043.89255</v>
      </c>
      <c r="W57" s="329">
        <f t="shared" si="29"/>
        <v>-2159672.1662999997</v>
      </c>
      <c r="X57" s="329">
        <f t="shared" si="29"/>
        <v>-1811512.922175</v>
      </c>
      <c r="Y57" s="329">
        <f t="shared" si="29"/>
        <v>-1946531.2168499997</v>
      </c>
      <c r="Z57" s="329">
        <f t="shared" si="29"/>
        <v>-1830138.4884749996</v>
      </c>
      <c r="AA57" s="329">
        <f t="shared" si="29"/>
        <v>-2781454.1221499997</v>
      </c>
      <c r="AB57" s="329">
        <f t="shared" si="29"/>
        <v>-7873837.8097500009</v>
      </c>
      <c r="AC57" s="329">
        <f t="shared" si="29"/>
        <v>-940216.45492499997</v>
      </c>
      <c r="AD57" s="329">
        <f t="shared" si="29"/>
        <v>-1389570.8606999998</v>
      </c>
      <c r="AE57" s="329">
        <f t="shared" si="29"/>
        <v>-854347.00807499979</v>
      </c>
      <c r="AF57" s="329">
        <f t="shared" si="29"/>
        <v>-621939.66119999986</v>
      </c>
      <c r="AG57" s="329">
        <f t="shared" si="29"/>
        <v>-2585835.8088750001</v>
      </c>
      <c r="AH57" s="329">
        <f t="shared" si="29"/>
        <v>-1291111.4848500001</v>
      </c>
      <c r="AI57" s="329">
        <f>SUM(AI52:AI55)-SUM(AI44:AI49)</f>
        <v>2913635.5264499998</v>
      </c>
      <c r="AJ57" s="329">
        <f t="shared" si="29"/>
        <v>-1523099.7572999999</v>
      </c>
      <c r="AK57" s="329">
        <f t="shared" si="29"/>
        <v>0</v>
      </c>
      <c r="AL57" s="329">
        <f t="shared" si="29"/>
        <v>0</v>
      </c>
      <c r="AM57" s="329">
        <f t="shared" si="29"/>
        <v>0</v>
      </c>
      <c r="AN57" s="329">
        <f t="shared" si="29"/>
        <v>0</v>
      </c>
      <c r="AO57" s="329">
        <f t="shared" si="29"/>
        <v>0</v>
      </c>
      <c r="AP57" s="329">
        <f t="shared" si="29"/>
        <v>0</v>
      </c>
      <c r="AQ57" s="329">
        <f t="shared" si="29"/>
        <v>0</v>
      </c>
      <c r="AR57" s="329">
        <f t="shared" si="29"/>
        <v>0</v>
      </c>
      <c r="AS57" s="329">
        <f>SUM(AS52:AS55)-SUM(AS44:AS49)</f>
        <v>-1381759.3094249996</v>
      </c>
      <c r="AT57" s="329">
        <f>SUM(AT52:AT55)-SUM(AT44:AT49)</f>
        <v>-739397.57677500008</v>
      </c>
      <c r="AU57" s="329">
        <f t="shared" si="29"/>
        <v>-804836.53057499998</v>
      </c>
      <c r="AV57" s="329">
        <f t="shared" si="29"/>
        <v>-651249.96914999979</v>
      </c>
      <c r="AW57" s="329">
        <f t="shared" si="29"/>
        <v>-277595.51985000004</v>
      </c>
      <c r="AX57" s="329">
        <f t="shared" si="29"/>
        <v>-588170.6423999999</v>
      </c>
      <c r="AY57" s="329">
        <f t="shared" ref="AY57:BS57" si="31">SUM(AY52:AY55)-SUM(AY44:AY49)</f>
        <v>190062.779775</v>
      </c>
      <c r="AZ57" s="329">
        <f t="shared" si="31"/>
        <v>0</v>
      </c>
      <c r="BA57" s="329">
        <f t="shared" si="31"/>
        <v>0</v>
      </c>
      <c r="BB57" s="329">
        <f t="shared" si="31"/>
        <v>0</v>
      </c>
      <c r="BC57" s="329">
        <f t="shared" si="31"/>
        <v>0</v>
      </c>
      <c r="BD57" s="329">
        <f t="shared" si="31"/>
        <v>0</v>
      </c>
      <c r="BE57" s="329">
        <f t="shared" si="31"/>
        <v>0</v>
      </c>
      <c r="BF57" s="329">
        <f t="shared" si="31"/>
        <v>0</v>
      </c>
      <c r="BG57" s="329">
        <f t="shared" si="31"/>
        <v>0</v>
      </c>
      <c r="BH57" s="329">
        <f t="shared" si="31"/>
        <v>0</v>
      </c>
      <c r="BI57" s="329">
        <f t="shared" si="31"/>
        <v>0</v>
      </c>
      <c r="BJ57" s="329">
        <f t="shared" si="31"/>
        <v>0</v>
      </c>
      <c r="BK57" s="329">
        <f t="shared" si="31"/>
        <v>0</v>
      </c>
      <c r="BL57" s="329">
        <f t="shared" si="31"/>
        <v>0</v>
      </c>
      <c r="BM57" s="329">
        <f t="shared" si="31"/>
        <v>0</v>
      </c>
      <c r="BN57" s="329">
        <f t="shared" si="31"/>
        <v>0</v>
      </c>
      <c r="BO57" s="329">
        <f t="shared" si="31"/>
        <v>0</v>
      </c>
      <c r="BP57" s="329">
        <f t="shared" si="31"/>
        <v>0</v>
      </c>
      <c r="BQ57" s="329">
        <f t="shared" si="31"/>
        <v>0</v>
      </c>
      <c r="BR57" s="329">
        <f t="shared" si="31"/>
        <v>0</v>
      </c>
      <c r="BS57" s="329">
        <f t="shared" si="31"/>
        <v>0</v>
      </c>
    </row>
    <row r="58" spans="1:71">
      <c r="C58" s="45"/>
      <c r="D58" s="45"/>
      <c r="E58" s="45"/>
      <c r="F58" s="45"/>
      <c r="G58" s="45"/>
      <c r="H58" s="45"/>
      <c r="I58" s="45"/>
      <c r="J58" s="45"/>
      <c r="K58" s="45"/>
      <c r="L58" s="45"/>
      <c r="O58" s="277"/>
      <c r="P58" s="277"/>
      <c r="Q58" s="277"/>
      <c r="R58" s="159"/>
      <c r="S58" s="159"/>
      <c r="T58" s="159"/>
    </row>
    <row r="59" spans="1:71"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315"/>
      <c r="N59" s="315"/>
      <c r="O59" s="331"/>
      <c r="P59" s="331"/>
      <c r="Q59" s="331"/>
      <c r="R59" s="332"/>
      <c r="S59" s="332"/>
      <c r="T59" s="332"/>
      <c r="U59" s="315"/>
      <c r="V59" s="315"/>
      <c r="W59" s="315"/>
      <c r="X59" s="315"/>
      <c r="Y59" s="315"/>
      <c r="Z59" s="315"/>
      <c r="AA59" s="315"/>
      <c r="AB59" s="315"/>
      <c r="AC59" s="315"/>
      <c r="AD59" s="315"/>
      <c r="AE59" s="315"/>
      <c r="AF59" s="315"/>
      <c r="AG59" s="315"/>
      <c r="AH59" s="315"/>
      <c r="AI59" s="315"/>
      <c r="AJ59" s="315"/>
      <c r="AK59" s="315"/>
      <c r="AL59" s="315"/>
      <c r="AM59" s="315"/>
      <c r="AN59" s="315"/>
      <c r="AO59" s="315"/>
      <c r="AP59" s="315"/>
      <c r="AQ59" s="315"/>
      <c r="AR59" s="315"/>
      <c r="AS59" s="315"/>
      <c r="AT59" s="315"/>
      <c r="AU59" s="315"/>
      <c r="AV59" s="315"/>
      <c r="AW59" s="315"/>
      <c r="AX59" s="315"/>
      <c r="AY59" s="315"/>
      <c r="AZ59" s="315"/>
      <c r="BA59" s="315"/>
      <c r="BB59" s="315"/>
      <c r="BC59" s="315"/>
      <c r="BD59" s="315"/>
      <c r="BE59" s="315"/>
      <c r="BF59" s="315"/>
      <c r="BG59" s="315"/>
      <c r="BH59" s="315"/>
      <c r="BI59" s="315"/>
      <c r="BJ59" s="315"/>
      <c r="BK59" s="315"/>
      <c r="BL59" s="315"/>
      <c r="BM59" s="315"/>
      <c r="BN59" s="315"/>
      <c r="BO59" s="315"/>
      <c r="BP59" s="315"/>
      <c r="BQ59" s="315"/>
      <c r="BR59" s="315"/>
      <c r="BS59" s="315"/>
    </row>
    <row r="60" spans="1:71" s="159" customFormat="1" ht="15.75">
      <c r="A60"/>
      <c r="B60" s="333" t="s">
        <v>214</v>
      </c>
      <c r="C60" s="334">
        <f ca="1">+C34+C40+C57</f>
        <v>-1807588.5495750001</v>
      </c>
      <c r="D60" s="334">
        <f ca="1">+D34+D40+D57</f>
        <v>-1446760.9875524999</v>
      </c>
      <c r="E60" s="334">
        <f t="shared" ref="E60:N60" ca="1" si="32">+E34+E40+E57</f>
        <v>-1466482.65185</v>
      </c>
      <c r="F60" s="334">
        <f t="shared" ca="1" si="32"/>
        <v>-2410008.8639249997</v>
      </c>
      <c r="G60" s="334">
        <f t="shared" ca="1" si="32"/>
        <v>-1245664.732975</v>
      </c>
      <c r="H60" s="334">
        <f t="shared" ca="1" si="32"/>
        <v>328234.78207500011</v>
      </c>
      <c r="I60" s="334">
        <f t="shared" ca="1" si="32"/>
        <v>-2245011.0714000002</v>
      </c>
      <c r="J60" s="334">
        <f t="shared" ca="1" si="32"/>
        <v>-1621030.3228749998</v>
      </c>
      <c r="K60" s="334">
        <f t="shared" ca="1" si="32"/>
        <v>6085986.5136250015</v>
      </c>
      <c r="L60" s="334">
        <f t="shared" ca="1" si="32"/>
        <v>-4129685.2804749999</v>
      </c>
      <c r="M60" s="334">
        <f t="shared" ca="1" si="32"/>
        <v>297106.82742499979</v>
      </c>
      <c r="N60" s="334">
        <f t="shared" ca="1" si="32"/>
        <v>6314923.6250999998</v>
      </c>
      <c r="O60" s="335">
        <f t="shared" ref="O60:BS60" ca="1" si="33">+O34+O40+O57</f>
        <v>-4138734.2386999996</v>
      </c>
      <c r="P60" s="336">
        <f t="shared" ca="1" si="33"/>
        <v>-5408297.8189000003</v>
      </c>
      <c r="Q60" s="336">
        <f t="shared" ca="1" si="33"/>
        <v>-4726115.8344249995</v>
      </c>
      <c r="R60" s="336">
        <f ca="1">+R34+R40+R57</f>
        <v>-3820981.5741500007</v>
      </c>
      <c r="S60" s="336">
        <f t="shared" ca="1" si="33"/>
        <v>-939112.86962499982</v>
      </c>
      <c r="T60" s="336">
        <f t="shared" ca="1" si="33"/>
        <v>-2883493.2905249996</v>
      </c>
      <c r="U60" s="336">
        <f t="shared" ca="1" si="33"/>
        <v>-2980898.0805500001</v>
      </c>
      <c r="V60" s="336">
        <f t="shared" ca="1" si="33"/>
        <v>16194485.381524995</v>
      </c>
      <c r="W60" s="336">
        <f t="shared" ca="1" si="33"/>
        <v>7972622.2955249986</v>
      </c>
      <c r="X60" s="336">
        <f t="shared" ca="1" si="33"/>
        <v>675823.99719999963</v>
      </c>
      <c r="Y60" s="336">
        <f t="shared" ca="1" si="33"/>
        <v>-10265052.1031</v>
      </c>
      <c r="Z60" s="336">
        <f t="shared" ca="1" si="33"/>
        <v>-8000188.023325</v>
      </c>
      <c r="AA60" s="336">
        <f t="shared" ca="1" si="33"/>
        <v>16016270.860824998</v>
      </c>
      <c r="AB60" s="336">
        <f t="shared" ca="1" si="33"/>
        <v>-2490460.0884500006</v>
      </c>
      <c r="AC60" s="336">
        <f t="shared" ca="1" si="33"/>
        <v>-2473347.6887000003</v>
      </c>
      <c r="AD60" s="336">
        <f ca="1">+AD34+AD40+AD57</f>
        <v>1875807.6179500001</v>
      </c>
      <c r="AE60" s="336">
        <f t="shared" ca="1" si="33"/>
        <v>-3994271.7575749997</v>
      </c>
      <c r="AF60" s="336">
        <f t="shared" ca="1" si="33"/>
        <v>701299.11797499994</v>
      </c>
      <c r="AG60" s="336">
        <f t="shared" ca="1" si="33"/>
        <v>-3019931.4627499999</v>
      </c>
      <c r="AH60" s="336">
        <f t="shared" ca="1" si="33"/>
        <v>-109217.5418250002</v>
      </c>
      <c r="AI60" s="336">
        <f ca="1">+AI34+AI40+AI57</f>
        <v>5877304.926275</v>
      </c>
      <c r="AJ60" s="336">
        <f t="shared" ca="1" si="33"/>
        <v>-3476917.5886000004</v>
      </c>
      <c r="AK60" s="336">
        <f t="shared" ca="1" si="33"/>
        <v>1802261.7597750002</v>
      </c>
      <c r="AL60" s="336">
        <f t="shared" ca="1" si="33"/>
        <v>3097575.2353000003</v>
      </c>
      <c r="AM60" s="336">
        <f t="shared" ca="1" si="33"/>
        <v>1898770.4444250001</v>
      </c>
      <c r="AN60" s="336">
        <f t="shared" ca="1" si="33"/>
        <v>1587515.5557000001</v>
      </c>
      <c r="AO60" s="336">
        <f t="shared" ca="1" si="33"/>
        <v>496298.92372499994</v>
      </c>
      <c r="AP60" s="336">
        <f t="shared" ca="1" si="33"/>
        <v>-839372.88450000028</v>
      </c>
      <c r="AQ60" s="336">
        <f t="shared" ca="1" si="33"/>
        <v>484568.81417499983</v>
      </c>
      <c r="AR60" s="336">
        <f t="shared" ca="1" si="33"/>
        <v>1656730.3513249997</v>
      </c>
      <c r="AS60" s="336">
        <f t="shared" ca="1" si="33"/>
        <v>-702920.15017499984</v>
      </c>
      <c r="AT60" s="336">
        <f t="shared" ca="1" si="33"/>
        <v>-1394329.3809250002</v>
      </c>
      <c r="AU60" s="336">
        <f ca="1">+AU34+AU40+AU57</f>
        <v>-933749.47432499996</v>
      </c>
      <c r="AV60" s="336">
        <f t="shared" ca="1" si="33"/>
        <v>-2706668.0833999999</v>
      </c>
      <c r="AW60" s="336">
        <f t="shared" ca="1" si="33"/>
        <v>-1053019.5351750001</v>
      </c>
      <c r="AX60" s="336">
        <f t="shared" ca="1" si="33"/>
        <v>-224211.75037499995</v>
      </c>
      <c r="AY60" s="336">
        <f t="shared" ca="1" si="33"/>
        <v>3780512.76205</v>
      </c>
      <c r="AZ60" s="336">
        <f t="shared" si="33"/>
        <v>0</v>
      </c>
      <c r="BA60" s="336">
        <f t="shared" si="33"/>
        <v>0</v>
      </c>
      <c r="BB60" s="336">
        <f t="shared" si="33"/>
        <v>0</v>
      </c>
      <c r="BC60" s="336">
        <f t="shared" si="33"/>
        <v>0</v>
      </c>
      <c r="BD60" s="336">
        <f t="shared" si="33"/>
        <v>0</v>
      </c>
      <c r="BE60" s="336">
        <f t="shared" si="33"/>
        <v>0</v>
      </c>
      <c r="BF60" s="336">
        <f t="shared" si="33"/>
        <v>0</v>
      </c>
      <c r="BG60" s="336">
        <f t="shared" si="33"/>
        <v>0</v>
      </c>
      <c r="BH60" s="336">
        <f t="shared" si="33"/>
        <v>0</v>
      </c>
      <c r="BI60" s="336">
        <f t="shared" si="33"/>
        <v>0</v>
      </c>
      <c r="BJ60" s="336">
        <f t="shared" si="33"/>
        <v>0</v>
      </c>
      <c r="BK60" s="336">
        <f t="shared" si="33"/>
        <v>0</v>
      </c>
      <c r="BL60" s="336">
        <f t="shared" si="33"/>
        <v>0</v>
      </c>
      <c r="BM60" s="336">
        <f t="shared" si="33"/>
        <v>0</v>
      </c>
      <c r="BN60" s="336">
        <f t="shared" si="33"/>
        <v>0</v>
      </c>
      <c r="BO60" s="336">
        <f t="shared" si="33"/>
        <v>0</v>
      </c>
      <c r="BP60" s="336">
        <f t="shared" si="33"/>
        <v>0</v>
      </c>
      <c r="BQ60" s="336">
        <f t="shared" si="33"/>
        <v>0</v>
      </c>
      <c r="BR60" s="336">
        <f t="shared" si="33"/>
        <v>0</v>
      </c>
      <c r="BS60" s="336">
        <f t="shared" si="33"/>
        <v>0</v>
      </c>
    </row>
    <row r="61" spans="1:71">
      <c r="K61" s="133"/>
      <c r="L61" s="133"/>
      <c r="O61" s="277"/>
      <c r="P61" s="277"/>
      <c r="Q61" s="277"/>
    </row>
    <row r="62" spans="1:71">
      <c r="O62" s="277"/>
      <c r="P62" s="277"/>
      <c r="Q62" s="277"/>
    </row>
    <row r="63" spans="1:71">
      <c r="O63" s="277"/>
      <c r="P63" s="277"/>
      <c r="Q63" s="277"/>
    </row>
    <row r="64" spans="1:71" ht="30">
      <c r="B64" s="337" t="s">
        <v>995</v>
      </c>
      <c r="C64" s="338">
        <f>('IGP-DI'!$B$340/VLOOKUP('Conta Gráfica'!C3,'IGP-DI'!$A:$B,2,FALSE))-1</f>
        <v>3.459390236653892E-2</v>
      </c>
      <c r="D64" s="338">
        <f>('IGP-DI'!$B$340/VLOOKUP('Conta Gráfica'!D3,'IGP-DI'!$A:$B,2,FALSE))-1</f>
        <v>1.9283509467409976E-2</v>
      </c>
      <c r="E64" s="338">
        <f>('IGP-DI'!$B$340/VLOOKUP('Conta Gráfica'!E3,'IGP-DI'!$A:$B,2,FALSE))-1</f>
        <v>-4.3041246272027545E-3</v>
      </c>
      <c r="F64" s="338">
        <f>('IGP-DI'!$B$340/VLOOKUP('Conta Gráfica'!F3,'IGP-DI'!$A:$B,2,FALSE))-1</f>
        <v>-8.4027738216696513E-3</v>
      </c>
      <c r="G64" s="338">
        <f>('IGP-DI'!$B$340/VLOOKUP('Conta Gráfica'!G3,'IGP-DI'!$A:$B,2,FALSE))-1</f>
        <v>-1.5199624188413252E-2</v>
      </c>
      <c r="H64" s="338">
        <f>('IGP-DI'!$B$340/VLOOKUP('Conta Gráfica'!H3,'IGP-DI'!$A:$B,2,FALSE))-1</f>
        <v>-2.1314823002629879E-2</v>
      </c>
      <c r="I64" s="338">
        <f>('IGP-DI'!$B$340/VLOOKUP('Conta Gráfica'!I3,'IGP-DI'!$A:$B,2,FALSE))-1</f>
        <v>-1.7628306536711214E-2</v>
      </c>
      <c r="J64" s="338">
        <f>('IGP-DI'!$B$340/VLOOKUP('Conta Gráfica'!J3,'IGP-DI'!$A:$B,2,FALSE))-1</f>
        <v>-1.2162970912055093E-2</v>
      </c>
      <c r="K64" s="338">
        <f>('IGP-DI'!$B$340/VLOOKUP('Conta Gráfica'!K3,'IGP-DI'!$A:$B,2,FALSE))-1</f>
        <v>0</v>
      </c>
      <c r="L64" s="338">
        <f>('IGP-DI'!$B$343/VLOOKUP('Conta Gráfica'!L3,'IGP-DI'!$A:$B,2,FALSE))-1</f>
        <v>1.3067853867760881E-3</v>
      </c>
      <c r="M64" s="338">
        <f>('IGP-DI'!$B$343/VLOOKUP('Conta Gráfica'!M3,'IGP-DI'!$A:$B,2,FALSE))-1</f>
        <v>3.0629954006811122E-3</v>
      </c>
      <c r="N64" s="338">
        <f>('IGP-DI'!$B$343/VLOOKUP('Conta Gráfica'!N3,'IGP-DI'!$A:$B,2,FALSE))-1</f>
        <v>0</v>
      </c>
      <c r="O64" s="339">
        <f>('IGP-DI'!$B$346/VLOOKUP('Conta Gráfica'!O3,'IGP-DI'!$A:$B,2,FALSE))-1</f>
        <v>-3.0633092657238459E-3</v>
      </c>
      <c r="P64" s="339">
        <f>('IGP-DI'!$B$346/VLOOKUP('Conta Gráfica'!P3,'IGP-DI'!$A:$B,2,FALSE))-1</f>
        <v>-3.4205183911852899E-3</v>
      </c>
      <c r="Q64" s="339">
        <f>('IGP-DI'!$B$346/VLOOKUP('Conta Gráfica'!Q3,'IGP-DI'!$A:$B,2,FALSE))-1</f>
        <v>0</v>
      </c>
      <c r="R64" s="339">
        <f>('IGP-DI'!$B$349/VLOOKUP('Conta Gráfica'!R3,'IGP-DI'!$A:$B,2,FALSE))-1</f>
        <v>-3.7500719787740278E-2</v>
      </c>
      <c r="S64" s="339">
        <f>('IGP-DI'!$B$349/VLOOKUP('Conta Gráfica'!S3,'IGP-DI'!$A:$B,2,FALSE))-1</f>
        <v>-1.4541417461673811E-2</v>
      </c>
      <c r="T64" s="339">
        <f>('IGP-DI'!$B$349/VLOOKUP('Conta Gráfica'!T3,'IGP-DI'!$A:$B,2,FALSE))-1</f>
        <v>0</v>
      </c>
      <c r="U64" s="339">
        <f>('IGP-DI'!$B$352/VLOOKUP('Conta Gráfica'!U3,'IGP-DI'!$A:$B,2,FALSE))-1</f>
        <v>4.9107988596301944E-3</v>
      </c>
      <c r="V64" s="339">
        <f>('IGP-DI'!$B$352/VLOOKUP('Conta Gráfica'!V3,'IGP-DI'!$A:$B,2,FALSE))-1</f>
        <v>4.4578156333914265E-3</v>
      </c>
      <c r="W64" s="339">
        <f>('IGP-DI'!$B$352/VLOOKUP('Conta Gráfica'!W3,'IGP-DI'!$A:$B,2,FALSE))-1</f>
        <v>0</v>
      </c>
      <c r="X64" s="339">
        <f>('IGP-DI'!$B$355/VLOOKUP('Conta Gráfica'!X3,'IGP-DI'!$A:$B,2,FALSE))-1</f>
        <v>1.1497986228400592E-2</v>
      </c>
      <c r="Y64" s="339">
        <f>('IGP-DI'!$B$355/VLOOKUP('Conta Gráfica'!Y3,'IGP-DI'!$A:$B,2,FALSE))-1</f>
        <v>6.4279731993299727E-3</v>
      </c>
      <c r="Z64" s="339">
        <f>('IGP-DI'!$B$355/VLOOKUP('Conta Gráfica'!Z3,'IGP-DI'!$A:$B,2,FALSE))-1</f>
        <v>0</v>
      </c>
      <c r="AA64" s="339">
        <f>('IGP-DI'!$B$358/VLOOKUP('Conta Gráfica'!AA3,'IGP-DI'!$A:$B,2,FALSE))-1</f>
        <v>-7.0816301172441642E-3</v>
      </c>
      <c r="AB64" s="339">
        <f>('IGP-DI'!$B$358/VLOOKUP('Conta Gráfica'!AB3,'IGP-DI'!$A:$B,2,FALSE))-1</f>
        <v>-3.0343458443942151E-3</v>
      </c>
      <c r="AC64" s="339">
        <f>('IGP-DI'!$B$358/VLOOKUP('Conta Gráfica'!AC3,'IGP-DI'!$A:$B,2,FALSE))-1</f>
        <v>0</v>
      </c>
      <c r="AD64" s="339">
        <f>('IGP-DI'!$B$361/VLOOKUP('Conta Gráfica'!AD3,'IGP-DI'!$A:$B,2,FALSE))-1</f>
        <v>1.3718644006311953E-2</v>
      </c>
      <c r="AE64" s="339">
        <f>('IGP-DI'!$B$361/VLOOKUP('Conta Gráfica'!AE3,'IGP-DI'!$A:$B,2,FALSE))-1</f>
        <v>4.9691618866092302E-3</v>
      </c>
      <c r="AF64" s="339">
        <f>('IGP-DI'!$B$361/VLOOKUP('Conta Gráfica'!AF3,'IGP-DI'!$A:$B,2,FALSE))-1</f>
        <v>0</v>
      </c>
      <c r="AG64" s="339">
        <f>('IGP-DI'!$B$364/VLOOKUP('Conta Gráfica'!AG3,'IGP-DI'!$A:$B,2,FALSE))-1</f>
        <v>1.1427547309424746E-2</v>
      </c>
      <c r="AH64" s="339">
        <f>('IGP-DI'!$B$364/VLOOKUP('Conta Gráfica'!AH3,'IGP-DI'!$A:$B,2,FALSE))-1</f>
        <v>1.0256042140786015E-2</v>
      </c>
      <c r="AI64" s="339">
        <f>('IGP-DI'!$B$364/VLOOKUP('Conta Gráfica'!AI3,'IGP-DI'!$A:$B,2,FALSE))-1</f>
        <v>0</v>
      </c>
      <c r="AJ64" s="339">
        <f>('IGP-DI'!$B$367/VLOOKUP('Conta Gráfica'!AJ3,'IGP-DI'!$A:$B,2,FALSE))-1</f>
        <v>2.0633840050591212E-2</v>
      </c>
      <c r="AK64" s="339">
        <f>('IGP-DI'!$B$367/VLOOKUP('Conta Gráfica'!AK3,'IGP-DI'!$A:$B,2,FALSE))-1</f>
        <v>8.7004038558413654E-3</v>
      </c>
      <c r="AL64" s="339">
        <f>('IGP-DI'!$B$367/VLOOKUP('Conta Gráfica'!AL3,'IGP-DI'!$A:$B,2,FALSE))-1</f>
        <v>0</v>
      </c>
      <c r="AM64" s="340">
        <f>('IGP-DI'!$B$370/VLOOKUP('Conta Gráfica'!AM3,'IGP-DI'!$A:$B,2,FALSE))-1</f>
        <v>4.9522572637192841E-3</v>
      </c>
      <c r="AN64" s="340">
        <f>('IGP-DI'!$B$370/VLOOKUP('Conta Gráfica'!AN3,'IGP-DI'!$A:$B,2,FALSE))-1</f>
        <v>-4.9961574459321811E-3</v>
      </c>
      <c r="AO64" s="340">
        <f>('IGP-DI'!$B$370/VLOOKUP('Conta Gráfica'!AO3,'IGP-DI'!$A:$B,2,FALSE))-1</f>
        <v>0</v>
      </c>
      <c r="AP64" s="339">
        <f>('IGP-DI'!$B$373/VLOOKUP('Conta Gráfica'!AP3,'IGP-DI'!$A:$B,2,FALSE))-1</f>
        <v>-2.6395901613903039E-2</v>
      </c>
      <c r="AQ64" s="339">
        <f>('IGP-DI'!$B$373/VLOOKUP('Conta Gráfica'!AQ3,'IGP-DI'!$A:$B,2,FALSE))-1</f>
        <v>-1.8048217133622924E-2</v>
      </c>
      <c r="AR64" s="339">
        <f>('IGP-DI'!$B$373/VLOOKUP('Conta Gráfica'!AR3,'IGP-DI'!$A:$B,2,FALSE))-1</f>
        <v>0</v>
      </c>
      <c r="AS64" s="339">
        <f>IF(VLOOKUP(AS3,'SELIC - Bacen'!$E:$F,2,0)=0,"Pendente",VLOOKUP(AS3,'SELIC - Bacen'!$E:$F,2,0))</f>
        <v>3.7046152015034473E-2</v>
      </c>
      <c r="AT64" s="339">
        <f>IF(VLOOKUP(AT3,'SELIC - Bacen'!$E:$F,2,0)=0,"Pendente",VLOOKUP(AT3,'SELIC - Bacen'!$E:$F,2,0))</f>
        <v>2.3982869662736217E-2</v>
      </c>
      <c r="AU64" s="339">
        <f>IF(VLOOKUP(AU3,'SELIC - Bacen'!$E:$F,2,0)=0,"Pendente",VLOOKUP(AU3,'SELIC - Bacen'!$E:$F,2,0))</f>
        <v>1.2199289497186738E-2</v>
      </c>
      <c r="AV64" s="339">
        <f>IF(VLOOKUP(AV3,'SELIC - Bacen'!$E:$F,2,0)=0,"Pendente",VLOOKUP(AV3,'SELIC - Bacen'!$E:$F,2,0))</f>
        <v>3.59036291001531E-2</v>
      </c>
      <c r="AW64" s="339">
        <f>IF(VLOOKUP(AW3,'SELIC - Bacen'!$E:$F,2,0)=0,"Pendente",VLOOKUP(AW3,'SELIC - Bacen'!$E:$F,2,0))</f>
        <v>2.2854738681523434E-2</v>
      </c>
      <c r="AX64" s="339">
        <f>IF(VLOOKUP(AX3,'SELIC - Bacen'!$E:$F,2,0)=0,"Pendente",VLOOKUP(AX3,'SELIC - Bacen'!$E:$F,2,0))</f>
        <v>1.2199289497186738E-2</v>
      </c>
      <c r="AY64" s="360" t="str">
        <f>IF(VLOOKUP(AY3,'SELIC - Bacen'!$E:$F,2,0)=0,"Pendente",VLOOKUP(AY3,'SELIC - Bacen'!$E:$F,2,0))</f>
        <v>Pendente</v>
      </c>
      <c r="AZ64" s="360" t="str">
        <f>IF(VLOOKUP(AZ3,'SELIC - Bacen'!$E:$F,2,0)=0,"Pendente",VLOOKUP(AZ3,'SELIC - Bacen'!$E:$F,2,0))</f>
        <v>Pendente</v>
      </c>
      <c r="BA64" s="360" t="str">
        <f>IF(VLOOKUP(BA3,'SELIC - Bacen'!$E:$F,2,0)=0,"Pendente",VLOOKUP(BA3,'SELIC - Bacen'!$E:$F,2,0))</f>
        <v>Pendente</v>
      </c>
      <c r="BB64" s="360" t="str">
        <f>IF(VLOOKUP(BB3,'SELIC - Bacen'!$E:$F,2,0)=0,"Pendente",VLOOKUP(BB3,'SELIC - Bacen'!$E:$F,2,0))</f>
        <v>Pendente</v>
      </c>
      <c r="BC64" s="360" t="str">
        <f>IF(VLOOKUP(BC3,'SELIC - Bacen'!$E:$F,2,0)=0,"Pendente",VLOOKUP(BC3,'SELIC - Bacen'!$E:$F,2,0))</f>
        <v>Pendente</v>
      </c>
      <c r="BD64" s="360" t="str">
        <f>IF(VLOOKUP(BD3,'SELIC - Bacen'!$E:$F,2,0)=0,"Pendente",VLOOKUP(BD3,'SELIC - Bacen'!$E:$F,2,0))</f>
        <v>Pendente</v>
      </c>
      <c r="BE64" s="360" t="str">
        <f>IF(VLOOKUP(BE3,'SELIC - Bacen'!$E:$F,2,0)=0,"Pendente",VLOOKUP(BE3,'SELIC - Bacen'!$E:$F,2,0))</f>
        <v>Pendente</v>
      </c>
      <c r="BF64" s="360" t="str">
        <f>IF(VLOOKUP(BF3,'SELIC - Bacen'!$E:$F,2,0)=0,"Pendente",VLOOKUP(BF3,'SELIC - Bacen'!$E:$F,2,0))</f>
        <v>Pendente</v>
      </c>
      <c r="BG64" s="360" t="str">
        <f>IF(VLOOKUP(BG3,'SELIC - Bacen'!$E:$F,2,0)=0,"Pendente",VLOOKUP(BG3,'SELIC - Bacen'!$E:$F,2,0))</f>
        <v>Pendente</v>
      </c>
      <c r="BH64" s="360" t="str">
        <f>IF(VLOOKUP(BH3,'SELIC - Bacen'!$E:$F,2,0)=0,"Pendente",VLOOKUP(BH3,'SELIC - Bacen'!$E:$F,2,0))</f>
        <v>Pendente</v>
      </c>
      <c r="BI64" s="360" t="str">
        <f>IF(VLOOKUP(BI3,'SELIC - Bacen'!$E:$F,2,0)=0,"Pendente",VLOOKUP(BI3,'SELIC - Bacen'!$E:$F,2,0))</f>
        <v>Pendente</v>
      </c>
      <c r="BJ64" s="360" t="str">
        <f>IF(VLOOKUP(BJ3,'SELIC - Bacen'!$E:$F,2,0)=0,"Pendente",VLOOKUP(BJ3,'SELIC - Bacen'!$E:$F,2,0))</f>
        <v>Pendente</v>
      </c>
      <c r="BK64" s="360" t="str">
        <f>IF(VLOOKUP(BK3,'SELIC - Bacen'!$E:$F,2,0)=0,"Pendente",VLOOKUP(BK3,'SELIC - Bacen'!$E:$F,2,0))</f>
        <v>Pendente</v>
      </c>
      <c r="BL64" s="360" t="str">
        <f>IF(VLOOKUP(BL3,'SELIC - Bacen'!$E:$F,2,0)=0,"Pendente",VLOOKUP(BL3,'SELIC - Bacen'!$E:$F,2,0))</f>
        <v>Pendente</v>
      </c>
      <c r="BM64" s="360" t="str">
        <f>IF(VLOOKUP(BM3,'SELIC - Bacen'!$E:$F,2,0)=0,"Pendente",VLOOKUP(BM3,'SELIC - Bacen'!$E:$F,2,0))</f>
        <v>Pendente</v>
      </c>
      <c r="BN64" s="360" t="str">
        <f>IF(VLOOKUP(BN3,'SELIC - Bacen'!$E:$F,2,0)=0,"Pendente",VLOOKUP(BN3,'SELIC - Bacen'!$E:$F,2,0))</f>
        <v>Pendente</v>
      </c>
      <c r="BO64" s="360" t="str">
        <f>IF(VLOOKUP(BO3,'SELIC - Bacen'!$E:$F,2,0)=0,"Pendente",VLOOKUP(BO3,'SELIC - Bacen'!$E:$F,2,0))</f>
        <v>Pendente</v>
      </c>
      <c r="BP64" s="360" t="str">
        <f>IF(VLOOKUP(BP3,'SELIC - Bacen'!$E:$F,2,0)=0,"Pendente",VLOOKUP(BP3,'SELIC - Bacen'!$E:$F,2,0))</f>
        <v>Pendente</v>
      </c>
      <c r="BQ64" s="360" t="str">
        <f>IF(VLOOKUP(BQ3,'SELIC - Bacen'!$E:$F,2,0)=0,"Pendente",VLOOKUP(BQ3,'SELIC - Bacen'!$E:$F,2,0))</f>
        <v>Pendente</v>
      </c>
      <c r="BR64" s="360" t="str">
        <f>IF(VLOOKUP(BR3,'SELIC - Bacen'!$E:$F,2,0)=0,"Pendente",VLOOKUP(BR3,'SELIC - Bacen'!$E:$F,2,0))</f>
        <v>Pendente</v>
      </c>
      <c r="BS64" s="360" t="str">
        <f>IF(VLOOKUP(BS3,'SELIC - Bacen'!$E:$F,2,0)=0,"Pendente",VLOOKUP(BS3,'SELIC - Bacen'!$E:$F,2,0))</f>
        <v>Pendente</v>
      </c>
    </row>
    <row r="65" spans="2:71" ht="15.75">
      <c r="B65" s="341" t="s">
        <v>223</v>
      </c>
      <c r="C65" s="342">
        <f t="shared" ref="C65:N65" ca="1" si="34">+C60*(1+C64)</f>
        <v>-1870120.0913778713</v>
      </c>
      <c r="D65" s="342">
        <f t="shared" ca="1" si="34"/>
        <v>-1474659.6167530478</v>
      </c>
      <c r="E65" s="342">
        <f t="shared" ca="1" si="34"/>
        <v>-1460170.7277528069</v>
      </c>
      <c r="F65" s="342">
        <f t="shared" ca="1" si="34"/>
        <v>-2389758.1045332188</v>
      </c>
      <c r="G65" s="342">
        <f t="shared" ca="1" si="34"/>
        <v>-1226731.09716902</v>
      </c>
      <c r="H65" s="342">
        <f t="shared" ca="1" si="34"/>
        <v>321238.51579176472</v>
      </c>
      <c r="I65" s="342">
        <f t="shared" ca="1" si="34"/>
        <v>-2205435.3280550507</v>
      </c>
      <c r="J65" s="342">
        <f t="shared" ca="1" si="34"/>
        <v>-1601313.7782103119</v>
      </c>
      <c r="K65" s="342">
        <f ca="1">+K60*(1+K64)</f>
        <v>6085986.5136250015</v>
      </c>
      <c r="L65" s="342">
        <f t="shared" ca="1" si="34"/>
        <v>-4135081.8928515092</v>
      </c>
      <c r="M65" s="342">
        <f t="shared" ca="1" si="34"/>
        <v>298016.86427091353</v>
      </c>
      <c r="N65" s="342">
        <f t="shared" ca="1" si="34"/>
        <v>6314923.6250999998</v>
      </c>
      <c r="O65" s="336">
        <f t="shared" ref="O65:AX65" ca="1" si="35">+O60*(1+O64)</f>
        <v>-4126056.0157582215</v>
      </c>
      <c r="P65" s="336">
        <f t="shared" ca="1" si="35"/>
        <v>-5389798.6367454454</v>
      </c>
      <c r="Q65" s="336">
        <f t="shared" ca="1" si="35"/>
        <v>-4726115.8344249995</v>
      </c>
      <c r="R65" s="342">
        <f t="shared" ca="1" si="35"/>
        <v>-3677692.0148236826</v>
      </c>
      <c r="S65" s="342">
        <f t="shared" ca="1" si="35"/>
        <v>-925456.83734415227</v>
      </c>
      <c r="T65" s="342">
        <f t="shared" ca="1" si="35"/>
        <v>-2883493.2905249996</v>
      </c>
      <c r="U65" s="342">
        <f t="shared" ca="1" si="35"/>
        <v>-2995536.6714446386</v>
      </c>
      <c r="V65" s="342">
        <f t="shared" ca="1" si="35"/>
        <v>16266677.411633486</v>
      </c>
      <c r="W65" s="342">
        <f t="shared" ca="1" si="35"/>
        <v>7972622.2955249986</v>
      </c>
      <c r="X65" s="342">
        <f t="shared" ca="1" si="35"/>
        <v>683594.61221262789</v>
      </c>
      <c r="Y65" s="342">
        <f t="shared" ca="1" si="35"/>
        <v>-10331035.582908453</v>
      </c>
      <c r="Z65" s="342">
        <f t="shared" ca="1" si="35"/>
        <v>-8000188.023325</v>
      </c>
      <c r="AA65" s="342">
        <f ca="1">+AA60*(1+AA64)</f>
        <v>15902849.554731039</v>
      </c>
      <c r="AB65" s="342">
        <f t="shared" ca="1" si="35"/>
        <v>-2482903.1712299827</v>
      </c>
      <c r="AC65" s="342">
        <f t="shared" ca="1" si="35"/>
        <v>-2473347.6887000003</v>
      </c>
      <c r="AD65" s="342">
        <f t="shared" ca="1" si="35"/>
        <v>1901541.1548849843</v>
      </c>
      <c r="AE65" s="342">
        <f t="shared" ca="1" si="35"/>
        <v>-4014119.9405575013</v>
      </c>
      <c r="AF65" s="342">
        <f t="shared" ca="1" si="35"/>
        <v>701299.11797499994</v>
      </c>
      <c r="AG65" s="342">
        <f ca="1">+AG60*(1+AG64)</f>
        <v>-3054441.8724117959</v>
      </c>
      <c r="AH65" s="342">
        <f ca="1">+AH60*(1+AH64)</f>
        <v>-110337.68153647045</v>
      </c>
      <c r="AI65" s="342">
        <f t="shared" ca="1" si="35"/>
        <v>5877304.926275</v>
      </c>
      <c r="AJ65" s="342">
        <f t="shared" ca="1" si="35"/>
        <v>-3548659.7499922602</v>
      </c>
      <c r="AK65" s="342">
        <f t="shared" ca="1" si="35"/>
        <v>1817942.1649389821</v>
      </c>
      <c r="AL65" s="342">
        <f t="shared" ca="1" si="35"/>
        <v>3097575.2353000003</v>
      </c>
      <c r="AM65" s="342">
        <f t="shared" ca="1" si="35"/>
        <v>1908173.6441505393</v>
      </c>
      <c r="AN65" s="342">
        <f t="shared" ca="1" si="35"/>
        <v>1579584.0780358564</v>
      </c>
      <c r="AO65" s="342">
        <f t="shared" ca="1" si="35"/>
        <v>496298.92372499994</v>
      </c>
      <c r="AP65" s="342">
        <f t="shared" ca="1" si="35"/>
        <v>-817216.88042336027</v>
      </c>
      <c r="AQ65" s="342">
        <f t="shared" ca="1" si="35"/>
        <v>475823.21100058727</v>
      </c>
      <c r="AR65" s="342">
        <f t="shared" ca="1" si="35"/>
        <v>1656730.3513249997</v>
      </c>
      <c r="AS65" s="342">
        <f t="shared" ca="1" si="35"/>
        <v>-728960.63691281376</v>
      </c>
      <c r="AT65" s="342">
        <f t="shared" ca="1" si="35"/>
        <v>-1427769.4007346481</v>
      </c>
      <c r="AU65" s="342">
        <f t="shared" ca="1" si="35"/>
        <v>-945140.5544801366</v>
      </c>
      <c r="AV65" s="342">
        <f t="shared" ca="1" si="35"/>
        <v>-2803847.2903636158</v>
      </c>
      <c r="AW65" s="342">
        <f t="shared" ca="1" si="35"/>
        <v>-1077086.021477964</v>
      </c>
      <c r="AX65" s="342">
        <f t="shared" ca="1" si="35"/>
        <v>-226946.97442649552</v>
      </c>
      <c r="AY65" s="342" t="e">
        <f t="shared" ref="AY65:BS65" ca="1" si="36">+AY60*(1+AY64)</f>
        <v>#VALUE!</v>
      </c>
      <c r="AZ65" s="342" t="e">
        <f t="shared" si="36"/>
        <v>#VALUE!</v>
      </c>
      <c r="BA65" s="342" t="e">
        <f t="shared" si="36"/>
        <v>#VALUE!</v>
      </c>
      <c r="BB65" s="342" t="e">
        <f t="shared" si="36"/>
        <v>#VALUE!</v>
      </c>
      <c r="BC65" s="342" t="e">
        <f t="shared" si="36"/>
        <v>#VALUE!</v>
      </c>
      <c r="BD65" s="342" t="e">
        <f t="shared" si="36"/>
        <v>#VALUE!</v>
      </c>
      <c r="BE65" s="342" t="e">
        <f t="shared" si="36"/>
        <v>#VALUE!</v>
      </c>
      <c r="BF65" s="342" t="e">
        <f t="shared" si="36"/>
        <v>#VALUE!</v>
      </c>
      <c r="BG65" s="342" t="e">
        <f t="shared" si="36"/>
        <v>#VALUE!</v>
      </c>
      <c r="BH65" s="342" t="e">
        <f t="shared" si="36"/>
        <v>#VALUE!</v>
      </c>
      <c r="BI65" s="342" t="e">
        <f t="shared" si="36"/>
        <v>#VALUE!</v>
      </c>
      <c r="BJ65" s="342" t="e">
        <f t="shared" si="36"/>
        <v>#VALUE!</v>
      </c>
      <c r="BK65" s="342" t="e">
        <f t="shared" si="36"/>
        <v>#VALUE!</v>
      </c>
      <c r="BL65" s="342" t="e">
        <f t="shared" si="36"/>
        <v>#VALUE!</v>
      </c>
      <c r="BM65" s="342" t="e">
        <f t="shared" si="36"/>
        <v>#VALUE!</v>
      </c>
      <c r="BN65" s="342" t="e">
        <f t="shared" si="36"/>
        <v>#VALUE!</v>
      </c>
      <c r="BO65" s="342" t="e">
        <f t="shared" si="36"/>
        <v>#VALUE!</v>
      </c>
      <c r="BP65" s="342" t="e">
        <f t="shared" si="36"/>
        <v>#VALUE!</v>
      </c>
      <c r="BQ65" s="342" t="e">
        <f t="shared" si="36"/>
        <v>#VALUE!</v>
      </c>
      <c r="BR65" s="342" t="e">
        <f t="shared" si="36"/>
        <v>#VALUE!</v>
      </c>
      <c r="BS65" s="342" t="e">
        <f t="shared" si="36"/>
        <v>#VALUE!</v>
      </c>
    </row>
    <row r="66" spans="2:71">
      <c r="C66" s="252"/>
    </row>
    <row r="67" spans="2:71">
      <c r="B67" s="301" t="s">
        <v>316</v>
      </c>
      <c r="C67" s="301"/>
      <c r="D67" s="301"/>
      <c r="E67" s="301"/>
      <c r="F67" s="301"/>
      <c r="G67" s="301"/>
      <c r="H67" s="301"/>
      <c r="I67" s="301"/>
      <c r="J67" s="301"/>
      <c r="K67" s="343" t="s">
        <v>225</v>
      </c>
      <c r="L67" s="344">
        <f ca="1">SUM(L65:N65)</f>
        <v>2477858.5965194041</v>
      </c>
      <c r="M67" s="41"/>
    </row>
    <row r="68" spans="2:71" ht="15.75">
      <c r="B68" s="333"/>
      <c r="C68" s="334"/>
      <c r="D68" s="334"/>
      <c r="E68" s="334"/>
      <c r="F68" s="334"/>
      <c r="G68" s="334"/>
      <c r="H68" s="334"/>
      <c r="I68" s="334"/>
      <c r="J68" s="334"/>
      <c r="K68" s="334" t="s">
        <v>226</v>
      </c>
      <c r="L68" s="334"/>
      <c r="M68" s="334"/>
      <c r="N68" s="334"/>
      <c r="O68" s="335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  <c r="AA68" s="336"/>
      <c r="AB68" s="336"/>
      <c r="AC68" s="336"/>
    </row>
    <row r="69" spans="2:71" ht="26.25">
      <c r="B69" s="345" t="s">
        <v>224</v>
      </c>
      <c r="C69" s="346"/>
      <c r="D69" s="346"/>
      <c r="E69" s="346"/>
      <c r="F69" s="346"/>
      <c r="G69" s="346"/>
      <c r="H69" s="346"/>
      <c r="I69" s="346"/>
      <c r="J69" s="346"/>
      <c r="K69" s="346"/>
      <c r="L69" s="346"/>
      <c r="M69" s="346"/>
      <c r="N69" s="347"/>
      <c r="AA69" s="348"/>
    </row>
    <row r="70" spans="2:71" ht="26.25">
      <c r="B70" s="349"/>
      <c r="C70" s="350"/>
      <c r="D70" s="350"/>
      <c r="E70" s="350"/>
      <c r="F70" s="350"/>
      <c r="G70" s="350"/>
      <c r="H70" s="350"/>
      <c r="I70" s="350"/>
      <c r="J70" s="350"/>
      <c r="K70" s="350"/>
      <c r="L70" s="350"/>
      <c r="M70" s="350"/>
      <c r="N70" s="351"/>
    </row>
    <row r="71" spans="2:71" ht="26.25">
      <c r="B71" s="352"/>
      <c r="C71" s="353"/>
      <c r="D71" s="353"/>
      <c r="E71" s="353"/>
      <c r="F71" s="353"/>
      <c r="G71" s="353"/>
      <c r="H71" s="353"/>
      <c r="I71" s="353"/>
      <c r="J71" s="353"/>
      <c r="K71" s="353"/>
      <c r="L71" s="353"/>
      <c r="M71" s="353"/>
      <c r="N71" s="354"/>
    </row>
    <row r="72" spans="2:71">
      <c r="AM72" s="19"/>
      <c r="AN72" s="19"/>
      <c r="AO72" s="19"/>
    </row>
    <row r="73" spans="2:71">
      <c r="C73" s="133">
        <f ca="1">IF(C64&gt;0,C65,C60)</f>
        <v>-1870120.0913778713</v>
      </c>
      <c r="D73" s="133">
        <f t="shared" ref="D73:O73" ca="1" si="37">IF(D64&gt;0,D65,D60)</f>
        <v>-1474659.6167530478</v>
      </c>
      <c r="E73" s="133">
        <f t="shared" ca="1" si="37"/>
        <v>-1466482.65185</v>
      </c>
      <c r="F73" s="133">
        <f t="shared" ca="1" si="37"/>
        <v>-2410008.8639249997</v>
      </c>
      <c r="G73" s="133">
        <f t="shared" ca="1" si="37"/>
        <v>-1245664.732975</v>
      </c>
      <c r="H73" s="133">
        <f t="shared" ca="1" si="37"/>
        <v>328234.78207500011</v>
      </c>
      <c r="I73" s="133">
        <f t="shared" ca="1" si="37"/>
        <v>-2245011.0714000002</v>
      </c>
      <c r="J73" s="133">
        <f t="shared" ca="1" si="37"/>
        <v>-1621030.3228749998</v>
      </c>
      <c r="K73" s="133">
        <f t="shared" ca="1" si="37"/>
        <v>6085986.5136250015</v>
      </c>
      <c r="L73" s="133">
        <f t="shared" ca="1" si="37"/>
        <v>-4135081.8928515092</v>
      </c>
      <c r="M73" s="133">
        <f t="shared" ca="1" si="37"/>
        <v>298016.86427091353</v>
      </c>
      <c r="N73" s="133">
        <f t="shared" ca="1" si="37"/>
        <v>6314923.6250999998</v>
      </c>
      <c r="O73" s="133">
        <f t="shared" ca="1" si="37"/>
        <v>-4138734.2386999996</v>
      </c>
      <c r="P73" s="133">
        <f ca="1">IF(P64&gt;0,P65,P60)</f>
        <v>-5408297.8189000003</v>
      </c>
      <c r="Q73" s="133">
        <f t="shared" ref="Q73" ca="1" si="38">IF(Q64&gt;0,Q65,Q60)</f>
        <v>-4726115.8344249995</v>
      </c>
      <c r="R73" s="133">
        <f ca="1">IF(R64&gt;0,R65,R60)</f>
        <v>-3820981.5741500007</v>
      </c>
      <c r="S73" s="133">
        <f ca="1">IFERROR(IF(S64&gt;0,S65,S60),"")</f>
        <v>-939112.86962499982</v>
      </c>
      <c r="T73" s="133">
        <f ca="1">IFERROR(IF(T64&gt;0,T65,T60),"")</f>
        <v>-2883493.2905249996</v>
      </c>
      <c r="U73" s="133">
        <f t="shared" ref="U73:Y73" ca="1" si="39">IFERROR(IF(U64&gt;0,U65,U60),"")</f>
        <v>-2995536.6714446386</v>
      </c>
      <c r="V73" s="133">
        <f t="shared" ca="1" si="39"/>
        <v>16266677.411633486</v>
      </c>
      <c r="W73" s="133">
        <f t="shared" ca="1" si="39"/>
        <v>7972622.2955249986</v>
      </c>
      <c r="X73" s="133">
        <f t="shared" ca="1" si="39"/>
        <v>683594.61221262789</v>
      </c>
      <c r="Y73" s="133">
        <f t="shared" ca="1" si="39"/>
        <v>-10331035.582908453</v>
      </c>
      <c r="Z73" s="133">
        <f ca="1">IFERROR(IF(Z64&gt;0,Z65,Z60),"")</f>
        <v>-8000188.023325</v>
      </c>
      <c r="AA73" s="133">
        <f t="shared" ref="AA73:AH73" ca="1" si="40">IFERROR(IF(AA64&gt;0,AA65,AA60),"")</f>
        <v>16016270.860824998</v>
      </c>
      <c r="AB73" s="133">
        <f t="shared" ca="1" si="40"/>
        <v>-2490460.0884500006</v>
      </c>
      <c r="AC73" s="133">
        <f t="shared" ca="1" si="40"/>
        <v>-2473347.6887000003</v>
      </c>
      <c r="AD73" s="133">
        <f t="shared" ca="1" si="40"/>
        <v>1901541.1548849843</v>
      </c>
      <c r="AE73" s="133">
        <f t="shared" ca="1" si="40"/>
        <v>-4014119.9405575013</v>
      </c>
      <c r="AF73" s="133">
        <f t="shared" ca="1" si="40"/>
        <v>701299.11797499994</v>
      </c>
      <c r="AG73" s="133">
        <f t="shared" ca="1" si="40"/>
        <v>-3054441.8724117959</v>
      </c>
      <c r="AH73" s="133">
        <f t="shared" ca="1" si="40"/>
        <v>-110337.68153647045</v>
      </c>
      <c r="AI73" s="133">
        <f ca="1">IFERROR(IF(AI64&gt;0,AI65,AI60),"")</f>
        <v>5877304.926275</v>
      </c>
      <c r="AJ73" s="133">
        <f ca="1">IFERROR(IF(AND(AJ64&gt;0,SUM($AJ$64:$AL$64)&gt;0),AJ65,AJ60),"")</f>
        <v>-3548659.7499922602</v>
      </c>
      <c r="AK73" s="133">
        <f t="shared" ref="AK73:AL73" ca="1" si="41">IFERROR(IF(AND(AK64&gt;0,SUM($AJ$64:$AL$64)&gt;0),AK65,AK60),"")</f>
        <v>1817942.1649389821</v>
      </c>
      <c r="AL73" s="133">
        <f t="shared" ca="1" si="41"/>
        <v>3097575.2353000003</v>
      </c>
      <c r="AM73" s="133">
        <f ca="1">IFERROR(IF(AND(AM64&gt;0,SUM($AM$64:$AO$64)&gt;0),AM65,AM60),"")</f>
        <v>1898770.4444250001</v>
      </c>
      <c r="AN73" s="133">
        <f t="shared" ref="AN73:AO73" ca="1" si="42">IFERROR(IF(AND(AN64&gt;0,SUM($AM$64:$AO$64)&gt;0),AN65,AN60),"")</f>
        <v>1587515.5557000001</v>
      </c>
      <c r="AO73" s="133">
        <f t="shared" ca="1" si="42"/>
        <v>496298.92372499994</v>
      </c>
      <c r="AP73" s="133">
        <f ca="1">IFERROR(IF(AND(AP64&gt;0,SUM($AP$64:$AR$64)&gt;0),AP65,AP60),"")</f>
        <v>-839372.88450000028</v>
      </c>
      <c r="AQ73" s="133">
        <f ca="1">IFERROR(IF(AND(AQ64&gt;0,SUM($AP$64:$AR$64)&gt;0),AQ65,AQ60),"")</f>
        <v>484568.81417499983</v>
      </c>
      <c r="AR73" s="133">
        <f ca="1">IFERROR(IF(AND(AR64&gt;0,SUM($AP$64:$AR$64)&gt;0),AR65,AR60),"")</f>
        <v>1656730.3513249997</v>
      </c>
      <c r="AS73" s="133">
        <f ca="1">IFERROR(IF(AND(AS64&gt;0,SUM($AS$64:$AU$64)&gt;0),AS65,AS60),"")</f>
        <v>-728960.63691281376</v>
      </c>
      <c r="AT73" s="133">
        <f ca="1">IFERROR(IF(AND(AT64&gt;0,SUM($AS$64:$AU$64)&gt;0),AT65,AT60),"")</f>
        <v>-1427769.4007346481</v>
      </c>
      <c r="AU73" s="133">
        <f ca="1">IFERROR(IF(AND(AU64&gt;0,SUM($AS$64:$AU$64)&gt;0),AU65,AU60),"")</f>
        <v>-945140.5544801366</v>
      </c>
      <c r="AV73" s="133">
        <f ca="1">IFERROR(IF(AND(AV64&gt;0,SUM($AV$64:$AX$64)&gt;0),AV65,AV60),"")</f>
        <v>-2803847.2903636158</v>
      </c>
      <c r="AW73" s="133">
        <f t="shared" ref="AW73:AX73" ca="1" si="43">IFERROR(IF(AND(AW64&gt;0,SUM($AV$64:$AX$64)&gt;0),AW65,AW60),"")</f>
        <v>-1077086.021477964</v>
      </c>
      <c r="AX73" s="133">
        <f t="shared" ca="1" si="43"/>
        <v>-226946.97442649552</v>
      </c>
      <c r="AY73" s="133">
        <f ca="1">IFERROR(IF(AND(AY64&gt;0,SUM($AY$64:$BA$64)&gt;0),AY65,AY60),"")</f>
        <v>3780512.76205</v>
      </c>
      <c r="AZ73" s="133">
        <f t="shared" ref="AZ73:BA73" si="44">IFERROR(IF(AND(AZ64&gt;0,SUM($AY$64:$BA$64)&gt;0),AZ65,AZ60),"")</f>
        <v>0</v>
      </c>
      <c r="BA73" s="133">
        <f t="shared" si="44"/>
        <v>0</v>
      </c>
      <c r="BB73" s="133">
        <f>IFERROR(IF(AND(BB64&gt;0,SUM($BB$64:$BD$64)&gt;0),BB65,BB60),"")</f>
        <v>0</v>
      </c>
      <c r="BC73" s="133">
        <f t="shared" ref="BC73:BD73" si="45">IFERROR(IF(AND(BC64&gt;0,SUM($BB$64:$BD$64)&gt;0),BC65,BC60),"")</f>
        <v>0</v>
      </c>
      <c r="BD73" s="133">
        <f t="shared" si="45"/>
        <v>0</v>
      </c>
      <c r="BE73" s="133">
        <f>IFERROR(IF(AND(BE64&gt;0,SUM($BE$64:$BG$64)&gt;0),BE65,BE60),"")</f>
        <v>0</v>
      </c>
      <c r="BF73" s="133">
        <f t="shared" ref="BF73:BG73" si="46">IFERROR(IF(AND(BF64&gt;0,SUM($BE$64:$BG$64)&gt;0),BF65,BF60),"")</f>
        <v>0</v>
      </c>
      <c r="BG73" s="133">
        <f t="shared" si="46"/>
        <v>0</v>
      </c>
      <c r="BH73" s="133">
        <f>IFERROR(IF(AND(BH64&gt;0,SUM($BH$64:$BJ$64)&gt;0),BH65,BH60),"")</f>
        <v>0</v>
      </c>
      <c r="BI73" s="133">
        <f t="shared" ref="BI73:BJ73" si="47">IFERROR(IF(AND(BI64&gt;0,SUM($BH$64:$BJ$64)&gt;0),BI65,BI60),"")</f>
        <v>0</v>
      </c>
      <c r="BJ73" s="133">
        <f t="shared" si="47"/>
        <v>0</v>
      </c>
      <c r="BK73" s="133">
        <f>IFERROR(IF(AND(BK64&gt;0,SUM($BK$64:$BM$64)&gt;0),BK65,BK60),"")</f>
        <v>0</v>
      </c>
      <c r="BL73" s="133">
        <f t="shared" ref="BL73:BM73" si="48">IFERROR(IF(AND(BL64&gt;0,SUM($BK$64:$BM$64)&gt;0),BL65,BL60),"")</f>
        <v>0</v>
      </c>
      <c r="BM73" s="133">
        <f t="shared" si="48"/>
        <v>0</v>
      </c>
      <c r="BN73" s="133">
        <f>IFERROR(IF(AND(BN64&gt;0,SUM($BN$64:$BP$64)&gt;0),BN65,BN60),"")</f>
        <v>0</v>
      </c>
      <c r="BO73" s="133">
        <f t="shared" ref="BO73:BP73" si="49">IFERROR(IF(AND(BO64&gt;0,SUM($BN$64:$BP$64)&gt;0),BO65,BO60),"")</f>
        <v>0</v>
      </c>
      <c r="BP73" s="133">
        <f t="shared" si="49"/>
        <v>0</v>
      </c>
      <c r="BQ73" s="133">
        <f>IFERROR(IF(AND(BQ64&gt;0,SUM($BQ$64:$BS$64)&gt;0),BQ65,BQ60),"")</f>
        <v>0</v>
      </c>
      <c r="BR73" s="133">
        <f t="shared" ref="BR73:BS73" si="50">IFERROR(IF(AND(BR64&gt;0,SUM($BQ$64:$BS$64)&gt;0),BR65,BR60),"")</f>
        <v>0</v>
      </c>
      <c r="BS73" s="133">
        <f t="shared" si="50"/>
        <v>0</v>
      </c>
    </row>
    <row r="74" spans="2:71">
      <c r="C74" s="133"/>
      <c r="L74" s="133">
        <f ca="1">SUM(L73:N73)</f>
        <v>2477858.5965194041</v>
      </c>
      <c r="O74" s="133">
        <f ca="1">SUM(O73:Q73)</f>
        <v>-14273147.892024998</v>
      </c>
      <c r="P74" s="133"/>
      <c r="Q74" s="133"/>
      <c r="R74" s="133">
        <f ca="1">SUM(R73:T73)</f>
        <v>-7643587.7342999997</v>
      </c>
      <c r="S74" s="133"/>
      <c r="U74" s="133">
        <f ca="1">SUM(U73:W73)</f>
        <v>21243763.035713848</v>
      </c>
      <c r="X74" s="133">
        <f ca="1">SUM(X73:Z73)</f>
        <v>-17647628.994020827</v>
      </c>
      <c r="AA74" s="133">
        <f ca="1">SUM(AA73:AC73)</f>
        <v>11052463.083674999</v>
      </c>
      <c r="AD74" s="133">
        <f ca="1">SUM(AD73:AF73)</f>
        <v>-1411279.6676975172</v>
      </c>
      <c r="AG74" s="133">
        <f ca="1">SUM(AG73:AI73)</f>
        <v>2712525.3723267335</v>
      </c>
      <c r="AJ74" s="133">
        <f ca="1">SUM(AJ73:AL73)</f>
        <v>1366857.6502467222</v>
      </c>
      <c r="AM74" s="133">
        <f ca="1">SUM(AM73:AO73)</f>
        <v>3982584.9238500004</v>
      </c>
      <c r="AP74" s="133">
        <f ca="1">SUM(AP73:AR73)</f>
        <v>1301926.2809999993</v>
      </c>
      <c r="AS74" s="133">
        <f ca="1">SUM(AS73:AU73)</f>
        <v>-3101870.5921275988</v>
      </c>
      <c r="AV74" s="133">
        <f ca="1">SUM(AV73:AX73)</f>
        <v>-4107880.2862680755</v>
      </c>
      <c r="AY74" s="133">
        <f ca="1">SUM(AY73:BA73)</f>
        <v>3780512.76205</v>
      </c>
      <c r="BB74" s="133">
        <f>SUM(BB73:BD73)</f>
        <v>0</v>
      </c>
      <c r="BE74" s="133">
        <f>SUM(BE73:BG73)</f>
        <v>0</v>
      </c>
      <c r="BH74" s="133">
        <f>SUM(BH73:BJ73)</f>
        <v>0</v>
      </c>
      <c r="BK74" s="133">
        <f>SUM(BK73:BM73)</f>
        <v>0</v>
      </c>
      <c r="BN74" s="133">
        <f>SUM(BN73:BP73)</f>
        <v>0</v>
      </c>
      <c r="BQ74" s="133">
        <f>SUM(BQ73:BS73)</f>
        <v>0</v>
      </c>
      <c r="BS74" s="355" t="s">
        <v>899</v>
      </c>
    </row>
    <row r="75" spans="2:71">
      <c r="C75" s="133"/>
      <c r="O75"/>
      <c r="AS75" s="315"/>
    </row>
    <row r="76" spans="2:71">
      <c r="O76"/>
    </row>
    <row r="77" spans="2:71">
      <c r="AM77" s="315"/>
    </row>
    <row r="79" spans="2:71">
      <c r="AJ79" s="133"/>
    </row>
    <row r="80" spans="2:71">
      <c r="AP80" s="41"/>
      <c r="AQ80" s="41"/>
      <c r="AR80" s="41"/>
    </row>
    <row r="81" spans="39:44">
      <c r="AM81" s="137"/>
      <c r="AP81" s="41"/>
      <c r="AQ81" s="41"/>
      <c r="AR81" s="41"/>
    </row>
  </sheetData>
  <conditionalFormatting sqref="C29:BS29">
    <cfRule type="cellIs" dxfId="11" priority="3" operator="greaterThan">
      <formula>0</formula>
    </cfRule>
  </conditionalFormatting>
  <conditionalFormatting sqref="C28:XFD28 AM29">
    <cfRule type="cellIs" dxfId="10" priority="4" operator="greaterThan">
      <formula>1</formula>
    </cfRule>
  </conditionalFormatting>
  <conditionalFormatting sqref="AJ28:BS29">
    <cfRule type="cellIs" dxfId="9" priority="1" operator="lessThan">
      <formula>0</formula>
    </cfRule>
    <cfRule type="cellIs" dxfId="8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15" fitToHeight="0" orientation="landscape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1345-4ED2-4EA9-8660-298B19523885}">
  <dimension ref="A1:F133"/>
  <sheetViews>
    <sheetView showGridLines="0" workbookViewId="0">
      <selection activeCell="F12" sqref="F12"/>
    </sheetView>
  </sheetViews>
  <sheetFormatPr defaultRowHeight="15"/>
  <cols>
    <col min="1" max="1" width="18.140625" customWidth="1"/>
    <col min="2" max="2" width="11.42578125" bestFit="1" customWidth="1"/>
    <col min="3" max="3" width="10.85546875" bestFit="1" customWidth="1"/>
    <col min="5" max="5" width="12.28515625" customWidth="1"/>
    <col min="6" max="6" width="10.42578125" bestFit="1" customWidth="1"/>
  </cols>
  <sheetData>
    <row r="1" spans="1:6">
      <c r="A1" t="s">
        <v>1017</v>
      </c>
    </row>
    <row r="2" spans="1:6">
      <c r="A2" s="260" t="s">
        <v>1012</v>
      </c>
      <c r="B2" s="260" t="s">
        <v>1013</v>
      </c>
      <c r="C2" s="260" t="s">
        <v>1014</v>
      </c>
      <c r="E2" s="355" t="s">
        <v>1016</v>
      </c>
      <c r="F2" s="355" t="s">
        <v>1015</v>
      </c>
    </row>
    <row r="3" spans="1:6">
      <c r="A3" s="205">
        <v>45930</v>
      </c>
      <c r="B3">
        <v>14.9</v>
      </c>
      <c r="C3">
        <v>1.0005513100000001</v>
      </c>
      <c r="E3" s="362">
        <v>45839</v>
      </c>
      <c r="F3" s="363">
        <f>PRODUCT($C$3:C68)-1</f>
        <v>3.7046152015034473E-2</v>
      </c>
    </row>
    <row r="4" spans="1:6">
      <c r="A4" s="205">
        <v>45929</v>
      </c>
      <c r="B4">
        <v>14.9</v>
      </c>
      <c r="C4">
        <v>1.0005513100000001</v>
      </c>
      <c r="E4" s="362">
        <v>45870</v>
      </c>
      <c r="F4" s="363">
        <f>PRODUCT($C$3:C45)-1</f>
        <v>2.3982869662736217E-2</v>
      </c>
    </row>
    <row r="5" spans="1:6">
      <c r="A5" s="205">
        <v>45926</v>
      </c>
      <c r="B5">
        <v>14.9</v>
      </c>
      <c r="C5">
        <v>1.0005513100000001</v>
      </c>
      <c r="E5" s="362">
        <v>45901</v>
      </c>
      <c r="F5" s="363">
        <f>PRODUCT($C$3:C24)-1</f>
        <v>1.2199289497186738E-2</v>
      </c>
    </row>
    <row r="6" spans="1:6">
      <c r="A6" s="205">
        <v>45925</v>
      </c>
      <c r="B6">
        <v>14.9</v>
      </c>
      <c r="C6">
        <v>1.0005513100000001</v>
      </c>
      <c r="E6" s="362">
        <v>45931</v>
      </c>
      <c r="F6" s="363">
        <f>PRODUCT($C$70:C133)-1</f>
        <v>3.59036291001531E-2</v>
      </c>
    </row>
    <row r="7" spans="1:6">
      <c r="A7" s="205">
        <v>45924</v>
      </c>
      <c r="B7">
        <v>14.9</v>
      </c>
      <c r="C7">
        <v>1.0005513100000001</v>
      </c>
      <c r="E7" s="362">
        <v>45962</v>
      </c>
      <c r="F7" s="363">
        <f>PRODUCT($C$70:C110)-1</f>
        <v>2.2854738681523434E-2</v>
      </c>
    </row>
    <row r="8" spans="1:6">
      <c r="A8" s="205">
        <v>45923</v>
      </c>
      <c r="B8">
        <v>14.9</v>
      </c>
      <c r="C8">
        <v>1.0005513100000001</v>
      </c>
      <c r="E8" s="362">
        <v>45992</v>
      </c>
      <c r="F8" s="363">
        <f>PRODUCT($C$70:C91)-1</f>
        <v>1.2199289497186738E-2</v>
      </c>
    </row>
    <row r="9" spans="1:6">
      <c r="A9" s="205">
        <v>45922</v>
      </c>
      <c r="B9">
        <v>14.9</v>
      </c>
      <c r="C9">
        <v>1.0005513100000001</v>
      </c>
      <c r="E9" s="364">
        <v>46023</v>
      </c>
    </row>
    <row r="10" spans="1:6">
      <c r="A10" s="205">
        <v>45919</v>
      </c>
      <c r="B10">
        <v>14.9</v>
      </c>
      <c r="C10">
        <v>1.0005513100000001</v>
      </c>
      <c r="E10" s="364">
        <v>46054</v>
      </c>
    </row>
    <row r="11" spans="1:6">
      <c r="A11" s="205">
        <v>45918</v>
      </c>
      <c r="B11">
        <v>14.9</v>
      </c>
      <c r="C11">
        <v>1.0005513100000001</v>
      </c>
      <c r="E11" s="364">
        <v>46082</v>
      </c>
    </row>
    <row r="12" spans="1:6">
      <c r="A12" s="205">
        <v>45917</v>
      </c>
      <c r="B12">
        <v>14.9</v>
      </c>
      <c r="C12">
        <v>1.0005513100000001</v>
      </c>
      <c r="E12" s="364">
        <v>46113</v>
      </c>
    </row>
    <row r="13" spans="1:6">
      <c r="A13" s="205">
        <v>45916</v>
      </c>
      <c r="B13">
        <v>14.9</v>
      </c>
      <c r="C13">
        <v>1.0005513100000001</v>
      </c>
      <c r="E13" s="364">
        <v>46143</v>
      </c>
    </row>
    <row r="14" spans="1:6">
      <c r="A14" s="205">
        <v>45915</v>
      </c>
      <c r="B14">
        <v>14.9</v>
      </c>
      <c r="C14">
        <v>1.0005513100000001</v>
      </c>
      <c r="E14" s="364">
        <v>46174</v>
      </c>
    </row>
    <row r="15" spans="1:6">
      <c r="A15" s="205">
        <v>45912</v>
      </c>
      <c r="B15">
        <v>14.9</v>
      </c>
      <c r="C15">
        <v>1.0005513100000001</v>
      </c>
      <c r="E15" s="364">
        <v>46204</v>
      </c>
    </row>
    <row r="16" spans="1:6">
      <c r="A16" s="205">
        <v>45911</v>
      </c>
      <c r="B16">
        <v>14.9</v>
      </c>
      <c r="C16">
        <v>1.0005513100000001</v>
      </c>
      <c r="E16" s="364">
        <v>46235</v>
      </c>
    </row>
    <row r="17" spans="1:5">
      <c r="A17" s="205">
        <v>45910</v>
      </c>
      <c r="B17">
        <v>14.9</v>
      </c>
      <c r="C17">
        <v>1.0005513100000001</v>
      </c>
      <c r="E17" s="364">
        <v>46266</v>
      </c>
    </row>
    <row r="18" spans="1:5">
      <c r="A18" s="205">
        <v>45909</v>
      </c>
      <c r="B18">
        <v>14.9</v>
      </c>
      <c r="C18">
        <v>1.0005513100000001</v>
      </c>
      <c r="E18" s="364">
        <v>46296</v>
      </c>
    </row>
    <row r="19" spans="1:5">
      <c r="A19" s="205">
        <v>45908</v>
      </c>
      <c r="B19">
        <v>14.9</v>
      </c>
      <c r="C19">
        <v>1.0005513100000001</v>
      </c>
      <c r="E19" s="364">
        <v>46327</v>
      </c>
    </row>
    <row r="20" spans="1:5">
      <c r="A20" s="205">
        <v>45905</v>
      </c>
      <c r="B20">
        <v>14.9</v>
      </c>
      <c r="C20">
        <v>1.0005513100000001</v>
      </c>
      <c r="E20" s="364">
        <v>46357</v>
      </c>
    </row>
    <row r="21" spans="1:5">
      <c r="A21" s="205">
        <v>45904</v>
      </c>
      <c r="B21">
        <v>14.9</v>
      </c>
      <c r="C21">
        <v>1.0005513100000001</v>
      </c>
      <c r="E21" s="364">
        <v>46388</v>
      </c>
    </row>
    <row r="22" spans="1:5">
      <c r="A22" s="205">
        <v>45903</v>
      </c>
      <c r="B22">
        <v>14.9</v>
      </c>
      <c r="C22">
        <v>1.0005513100000001</v>
      </c>
      <c r="E22" s="364">
        <v>46419</v>
      </c>
    </row>
    <row r="23" spans="1:5">
      <c r="A23" s="205">
        <v>45902</v>
      </c>
      <c r="B23">
        <v>14.9</v>
      </c>
      <c r="C23">
        <v>1.0005513100000001</v>
      </c>
      <c r="E23" s="364">
        <v>46447</v>
      </c>
    </row>
    <row r="24" spans="1:5">
      <c r="A24" s="205">
        <v>45901</v>
      </c>
      <c r="B24">
        <v>14.9</v>
      </c>
      <c r="C24">
        <v>1.0005513100000001</v>
      </c>
      <c r="E24" s="364">
        <v>46478</v>
      </c>
    </row>
    <row r="25" spans="1:5">
      <c r="A25" s="205">
        <v>45898</v>
      </c>
      <c r="B25">
        <v>14.9</v>
      </c>
      <c r="C25">
        <v>1.0005513100000001</v>
      </c>
      <c r="E25" s="364">
        <v>46508</v>
      </c>
    </row>
    <row r="26" spans="1:5">
      <c r="A26" s="205">
        <v>45897</v>
      </c>
      <c r="B26">
        <v>14.9</v>
      </c>
      <c r="C26">
        <v>1.0005513100000001</v>
      </c>
      <c r="E26" s="364">
        <v>46539</v>
      </c>
    </row>
    <row r="27" spans="1:5">
      <c r="A27" s="205">
        <v>45896</v>
      </c>
      <c r="B27">
        <v>14.9</v>
      </c>
      <c r="C27">
        <v>1.0005513100000001</v>
      </c>
      <c r="E27" s="364">
        <v>46569</v>
      </c>
    </row>
    <row r="28" spans="1:5">
      <c r="A28" s="205">
        <v>45895</v>
      </c>
      <c r="B28">
        <v>14.9</v>
      </c>
      <c r="C28">
        <v>1.0005513100000001</v>
      </c>
      <c r="E28" s="364">
        <v>46600</v>
      </c>
    </row>
    <row r="29" spans="1:5">
      <c r="A29" s="205">
        <v>45894</v>
      </c>
      <c r="B29">
        <v>14.9</v>
      </c>
      <c r="C29">
        <v>1.0005513100000001</v>
      </c>
      <c r="E29" s="364">
        <v>46631</v>
      </c>
    </row>
    <row r="30" spans="1:5">
      <c r="A30" s="205">
        <v>45891</v>
      </c>
      <c r="B30">
        <v>14.9</v>
      </c>
      <c r="C30">
        <v>1.0005513100000001</v>
      </c>
      <c r="E30" s="364">
        <v>46661</v>
      </c>
    </row>
    <row r="31" spans="1:5">
      <c r="A31" s="205">
        <v>45890</v>
      </c>
      <c r="B31">
        <v>14.9</v>
      </c>
      <c r="C31">
        <v>1.0005513100000001</v>
      </c>
      <c r="E31" s="364">
        <v>46692</v>
      </c>
    </row>
    <row r="32" spans="1:5">
      <c r="A32" s="205">
        <v>45889</v>
      </c>
      <c r="B32">
        <v>14.9</v>
      </c>
      <c r="C32">
        <v>1.0005513100000001</v>
      </c>
      <c r="E32" s="364">
        <v>46722</v>
      </c>
    </row>
    <row r="33" spans="1:3">
      <c r="A33" s="205">
        <v>45888</v>
      </c>
      <c r="B33">
        <v>14.9</v>
      </c>
      <c r="C33">
        <v>1.0005513100000001</v>
      </c>
    </row>
    <row r="34" spans="1:3">
      <c r="A34" s="205">
        <v>45887</v>
      </c>
      <c r="B34">
        <v>14.9</v>
      </c>
      <c r="C34">
        <v>1.0005513100000001</v>
      </c>
    </row>
    <row r="35" spans="1:3">
      <c r="A35" s="205">
        <v>45884</v>
      </c>
      <c r="B35">
        <v>14.9</v>
      </c>
      <c r="C35">
        <v>1.0005513100000001</v>
      </c>
    </row>
    <row r="36" spans="1:3">
      <c r="A36" s="205">
        <v>45883</v>
      </c>
      <c r="B36">
        <v>14.9</v>
      </c>
      <c r="C36">
        <v>1.0005513100000001</v>
      </c>
    </row>
    <row r="37" spans="1:3">
      <c r="A37" s="205">
        <v>45882</v>
      </c>
      <c r="B37">
        <v>14.9</v>
      </c>
      <c r="C37">
        <v>1.0005513100000001</v>
      </c>
    </row>
    <row r="38" spans="1:3">
      <c r="A38" s="205">
        <v>45881</v>
      </c>
      <c r="B38">
        <v>14.9</v>
      </c>
      <c r="C38">
        <v>1.0005513100000001</v>
      </c>
    </row>
    <row r="39" spans="1:3">
      <c r="A39" s="205">
        <v>45880</v>
      </c>
      <c r="B39">
        <v>14.9</v>
      </c>
      <c r="C39">
        <v>1.0005513100000001</v>
      </c>
    </row>
    <row r="40" spans="1:3">
      <c r="A40" s="205">
        <v>45877</v>
      </c>
      <c r="B40">
        <v>14.9</v>
      </c>
      <c r="C40">
        <v>1.0005513100000001</v>
      </c>
    </row>
    <row r="41" spans="1:3">
      <c r="A41" s="205">
        <v>45876</v>
      </c>
      <c r="B41">
        <v>14.9</v>
      </c>
      <c r="C41">
        <v>1.0005513100000001</v>
      </c>
    </row>
    <row r="42" spans="1:3">
      <c r="A42" s="205">
        <v>45875</v>
      </c>
      <c r="B42">
        <v>14.9</v>
      </c>
      <c r="C42">
        <v>1.0005513100000001</v>
      </c>
    </row>
    <row r="43" spans="1:3">
      <c r="A43" s="205">
        <v>45874</v>
      </c>
      <c r="B43">
        <v>14.9</v>
      </c>
      <c r="C43">
        <v>1.0005513100000001</v>
      </c>
    </row>
    <row r="44" spans="1:3">
      <c r="A44" s="205">
        <v>45873</v>
      </c>
      <c r="B44">
        <v>14.9</v>
      </c>
      <c r="C44">
        <v>1.0005513100000001</v>
      </c>
    </row>
    <row r="45" spans="1:3">
      <c r="A45" s="205">
        <v>45870</v>
      </c>
      <c r="B45">
        <v>14.9</v>
      </c>
      <c r="C45">
        <v>1.0005513100000001</v>
      </c>
    </row>
    <row r="46" spans="1:3">
      <c r="A46" s="205">
        <v>45869</v>
      </c>
      <c r="B46">
        <v>14.9</v>
      </c>
      <c r="C46">
        <v>1.0005513100000001</v>
      </c>
    </row>
    <row r="47" spans="1:3">
      <c r="A47" s="205">
        <v>45868</v>
      </c>
      <c r="B47">
        <v>14.9</v>
      </c>
      <c r="C47">
        <v>1.0005513100000001</v>
      </c>
    </row>
    <row r="48" spans="1:3">
      <c r="A48" s="205">
        <v>45867</v>
      </c>
      <c r="B48">
        <v>14.9</v>
      </c>
      <c r="C48">
        <v>1.0005513100000001</v>
      </c>
    </row>
    <row r="49" spans="1:3">
      <c r="A49" s="205">
        <v>45866</v>
      </c>
      <c r="B49">
        <v>14.9</v>
      </c>
      <c r="C49">
        <v>1.0005513100000001</v>
      </c>
    </row>
    <row r="50" spans="1:3">
      <c r="A50" s="205">
        <v>45863</v>
      </c>
      <c r="B50">
        <v>14.9</v>
      </c>
      <c r="C50">
        <v>1.0005513100000001</v>
      </c>
    </row>
    <row r="51" spans="1:3">
      <c r="A51" s="205">
        <v>45862</v>
      </c>
      <c r="B51">
        <v>14.9</v>
      </c>
      <c r="C51">
        <v>1.0005513100000001</v>
      </c>
    </row>
    <row r="52" spans="1:3">
      <c r="A52" s="205">
        <v>45861</v>
      </c>
      <c r="B52">
        <v>14.9</v>
      </c>
      <c r="C52">
        <v>1.0005513100000001</v>
      </c>
    </row>
    <row r="53" spans="1:3">
      <c r="A53" s="205">
        <v>45860</v>
      </c>
      <c r="B53">
        <v>14.9</v>
      </c>
      <c r="C53">
        <v>1.0005513100000001</v>
      </c>
    </row>
    <row r="54" spans="1:3">
      <c r="A54" s="205">
        <v>45859</v>
      </c>
      <c r="B54">
        <v>14.9</v>
      </c>
      <c r="C54">
        <v>1.0005513100000001</v>
      </c>
    </row>
    <row r="55" spans="1:3">
      <c r="A55" s="205">
        <v>45856</v>
      </c>
      <c r="B55">
        <v>14.9</v>
      </c>
      <c r="C55">
        <v>1.0005513100000001</v>
      </c>
    </row>
    <row r="56" spans="1:3">
      <c r="A56" s="205">
        <v>45855</v>
      </c>
      <c r="B56">
        <v>14.9</v>
      </c>
      <c r="C56">
        <v>1.0005513100000001</v>
      </c>
    </row>
    <row r="57" spans="1:3">
      <c r="A57" s="205">
        <v>45854</v>
      </c>
      <c r="B57">
        <v>14.9</v>
      </c>
      <c r="C57">
        <v>1.0005513100000001</v>
      </c>
    </row>
    <row r="58" spans="1:3">
      <c r="A58" s="205">
        <v>45853</v>
      </c>
      <c r="B58">
        <v>14.9</v>
      </c>
      <c r="C58">
        <v>1.0005513100000001</v>
      </c>
    </row>
    <row r="59" spans="1:3">
      <c r="A59" s="205">
        <v>45852</v>
      </c>
      <c r="B59">
        <v>14.9</v>
      </c>
      <c r="C59">
        <v>1.0005513100000001</v>
      </c>
    </row>
    <row r="60" spans="1:3">
      <c r="A60" s="205">
        <v>45849</v>
      </c>
      <c r="B60">
        <v>14.9</v>
      </c>
      <c r="C60">
        <v>1.0005513100000001</v>
      </c>
    </row>
    <row r="61" spans="1:3">
      <c r="A61" s="205">
        <v>45848</v>
      </c>
      <c r="B61">
        <v>14.9</v>
      </c>
      <c r="C61">
        <v>1.0005513100000001</v>
      </c>
    </row>
    <row r="62" spans="1:3">
      <c r="A62" s="205">
        <v>45847</v>
      </c>
      <c r="B62">
        <v>14.9</v>
      </c>
      <c r="C62">
        <v>1.0005513100000001</v>
      </c>
    </row>
    <row r="63" spans="1:3">
      <c r="A63" s="205">
        <v>45846</v>
      </c>
      <c r="B63">
        <v>14.9</v>
      </c>
      <c r="C63">
        <v>1.0005513100000001</v>
      </c>
    </row>
    <row r="64" spans="1:3">
      <c r="A64" s="205">
        <v>45845</v>
      </c>
      <c r="B64">
        <v>14.9</v>
      </c>
      <c r="C64">
        <v>1.0005513100000001</v>
      </c>
    </row>
    <row r="65" spans="1:3">
      <c r="A65" s="205">
        <v>45842</v>
      </c>
      <c r="B65">
        <v>14.9</v>
      </c>
      <c r="C65">
        <v>1.0005513100000001</v>
      </c>
    </row>
    <row r="66" spans="1:3">
      <c r="A66" s="205">
        <v>45841</v>
      </c>
      <c r="B66">
        <v>14.9</v>
      </c>
      <c r="C66">
        <v>1.0005513100000001</v>
      </c>
    </row>
    <row r="67" spans="1:3">
      <c r="A67" s="205">
        <v>45840</v>
      </c>
      <c r="B67">
        <v>14.9</v>
      </c>
      <c r="C67">
        <v>1.0005513100000001</v>
      </c>
    </row>
    <row r="68" spans="1:3">
      <c r="A68" s="205">
        <v>45839</v>
      </c>
      <c r="B68">
        <v>14.9</v>
      </c>
      <c r="C68">
        <v>1.0005513100000001</v>
      </c>
    </row>
    <row r="69" spans="1:3">
      <c r="A69" t="s">
        <v>1012</v>
      </c>
      <c r="B69" t="s">
        <v>1013</v>
      </c>
      <c r="C69" t="s">
        <v>1014</v>
      </c>
    </row>
    <row r="70" spans="1:3">
      <c r="A70" s="205">
        <v>46022</v>
      </c>
      <c r="B70">
        <v>14.9</v>
      </c>
      <c r="C70">
        <v>1.0005513100000001</v>
      </c>
    </row>
    <row r="71" spans="1:3">
      <c r="A71" s="205">
        <v>46021</v>
      </c>
      <c r="B71">
        <v>14.9</v>
      </c>
      <c r="C71">
        <v>1.0005513100000001</v>
      </c>
    </row>
    <row r="72" spans="1:3">
      <c r="A72" s="205">
        <v>46020</v>
      </c>
      <c r="B72">
        <v>14.9</v>
      </c>
      <c r="C72">
        <v>1.0005513100000001</v>
      </c>
    </row>
    <row r="73" spans="1:3">
      <c r="A73" s="205">
        <v>46017</v>
      </c>
      <c r="B73">
        <v>14.9</v>
      </c>
      <c r="C73">
        <v>1.0005513100000001</v>
      </c>
    </row>
    <row r="74" spans="1:3">
      <c r="A74" s="205">
        <v>46015</v>
      </c>
      <c r="B74">
        <v>14.9</v>
      </c>
      <c r="C74">
        <v>1.0005513100000001</v>
      </c>
    </row>
    <row r="75" spans="1:3">
      <c r="A75" s="205">
        <v>46014</v>
      </c>
      <c r="B75">
        <v>14.9</v>
      </c>
      <c r="C75">
        <v>1.0005513100000001</v>
      </c>
    </row>
    <row r="76" spans="1:3">
      <c r="A76" s="205">
        <v>46013</v>
      </c>
      <c r="B76">
        <v>14.9</v>
      </c>
      <c r="C76">
        <v>1.0005513100000001</v>
      </c>
    </row>
    <row r="77" spans="1:3">
      <c r="A77" s="205">
        <v>46010</v>
      </c>
      <c r="B77">
        <v>14.9</v>
      </c>
      <c r="C77">
        <v>1.0005513100000001</v>
      </c>
    </row>
    <row r="78" spans="1:3">
      <c r="A78" s="205">
        <v>46009</v>
      </c>
      <c r="B78">
        <v>14.9</v>
      </c>
      <c r="C78">
        <v>1.0005513100000001</v>
      </c>
    </row>
    <row r="79" spans="1:3">
      <c r="A79" s="205">
        <v>46008</v>
      </c>
      <c r="B79">
        <v>14.9</v>
      </c>
      <c r="C79">
        <v>1.0005513100000001</v>
      </c>
    </row>
    <row r="80" spans="1:3">
      <c r="A80" s="205">
        <v>46007</v>
      </c>
      <c r="B80">
        <v>14.9</v>
      </c>
      <c r="C80">
        <v>1.0005513100000001</v>
      </c>
    </row>
    <row r="81" spans="1:3">
      <c r="A81" s="205">
        <v>46006</v>
      </c>
      <c r="B81">
        <v>14.9</v>
      </c>
      <c r="C81">
        <v>1.0005513100000001</v>
      </c>
    </row>
    <row r="82" spans="1:3">
      <c r="A82" s="205">
        <v>46003</v>
      </c>
      <c r="B82">
        <v>14.9</v>
      </c>
      <c r="C82">
        <v>1.0005513100000001</v>
      </c>
    </row>
    <row r="83" spans="1:3">
      <c r="A83" s="205">
        <v>46002</v>
      </c>
      <c r="B83">
        <v>14.9</v>
      </c>
      <c r="C83">
        <v>1.0005513100000001</v>
      </c>
    </row>
    <row r="84" spans="1:3">
      <c r="A84" s="205">
        <v>46001</v>
      </c>
      <c r="B84">
        <v>14.9</v>
      </c>
      <c r="C84">
        <v>1.0005513100000001</v>
      </c>
    </row>
    <row r="85" spans="1:3">
      <c r="A85" s="205">
        <v>46000</v>
      </c>
      <c r="B85">
        <v>14.9</v>
      </c>
      <c r="C85">
        <v>1.0005513100000001</v>
      </c>
    </row>
    <row r="86" spans="1:3">
      <c r="A86" s="205">
        <v>45999</v>
      </c>
      <c r="B86">
        <v>14.9</v>
      </c>
      <c r="C86">
        <v>1.0005513100000001</v>
      </c>
    </row>
    <row r="87" spans="1:3">
      <c r="A87" s="205">
        <v>45996</v>
      </c>
      <c r="B87">
        <v>14.9</v>
      </c>
      <c r="C87">
        <v>1.0005513100000001</v>
      </c>
    </row>
    <row r="88" spans="1:3">
      <c r="A88" s="205">
        <v>45995</v>
      </c>
      <c r="B88">
        <v>14.9</v>
      </c>
      <c r="C88">
        <v>1.0005513100000001</v>
      </c>
    </row>
    <row r="89" spans="1:3">
      <c r="A89" s="205">
        <v>45994</v>
      </c>
      <c r="B89">
        <v>14.9</v>
      </c>
      <c r="C89">
        <v>1.0005513100000001</v>
      </c>
    </row>
    <row r="90" spans="1:3">
      <c r="A90" s="205">
        <v>45993</v>
      </c>
      <c r="B90">
        <v>14.9</v>
      </c>
      <c r="C90">
        <v>1.0005513100000001</v>
      </c>
    </row>
    <row r="91" spans="1:3">
      <c r="A91" s="205">
        <v>45992</v>
      </c>
      <c r="B91">
        <v>14.9</v>
      </c>
      <c r="C91">
        <v>1.0005513100000001</v>
      </c>
    </row>
    <row r="92" spans="1:3">
      <c r="A92" s="205">
        <v>45989</v>
      </c>
      <c r="B92">
        <v>14.9</v>
      </c>
      <c r="C92">
        <v>1.0005513100000001</v>
      </c>
    </row>
    <row r="93" spans="1:3">
      <c r="A93" s="205">
        <v>45988</v>
      </c>
      <c r="B93">
        <v>14.9</v>
      </c>
      <c r="C93">
        <v>1.0005513100000001</v>
      </c>
    </row>
    <row r="94" spans="1:3">
      <c r="A94" s="205">
        <v>45987</v>
      </c>
      <c r="B94">
        <v>14.9</v>
      </c>
      <c r="C94">
        <v>1.0005513100000001</v>
      </c>
    </row>
    <row r="95" spans="1:3">
      <c r="A95" s="205">
        <v>45986</v>
      </c>
      <c r="B95">
        <v>14.9</v>
      </c>
      <c r="C95">
        <v>1.0005513100000001</v>
      </c>
    </row>
    <row r="96" spans="1:3">
      <c r="A96" s="205">
        <v>45985</v>
      </c>
      <c r="B96">
        <v>14.9</v>
      </c>
      <c r="C96">
        <v>1.0005513100000001</v>
      </c>
    </row>
    <row r="97" spans="1:3">
      <c r="A97" s="205">
        <v>45982</v>
      </c>
      <c r="B97">
        <v>14.9</v>
      </c>
      <c r="C97">
        <v>1.0005513100000001</v>
      </c>
    </row>
    <row r="98" spans="1:3">
      <c r="A98" s="205">
        <v>45980</v>
      </c>
      <c r="B98">
        <v>14.9</v>
      </c>
      <c r="C98">
        <v>1.0005513100000001</v>
      </c>
    </row>
    <row r="99" spans="1:3">
      <c r="A99" s="205">
        <v>45979</v>
      </c>
      <c r="B99">
        <v>14.9</v>
      </c>
      <c r="C99">
        <v>1.0005513100000001</v>
      </c>
    </row>
    <row r="100" spans="1:3">
      <c r="A100" s="205">
        <v>45978</v>
      </c>
      <c r="B100">
        <v>14.9</v>
      </c>
      <c r="C100">
        <v>1.0005513100000001</v>
      </c>
    </row>
    <row r="101" spans="1:3">
      <c r="A101" s="205">
        <v>45975</v>
      </c>
      <c r="B101">
        <v>14.9</v>
      </c>
      <c r="C101">
        <v>1.0005513100000001</v>
      </c>
    </row>
    <row r="102" spans="1:3">
      <c r="A102" s="205">
        <v>45974</v>
      </c>
      <c r="B102">
        <v>14.9</v>
      </c>
      <c r="C102">
        <v>1.0005513100000001</v>
      </c>
    </row>
    <row r="103" spans="1:3">
      <c r="A103" s="205">
        <v>45973</v>
      </c>
      <c r="B103">
        <v>14.9</v>
      </c>
      <c r="C103">
        <v>1.0005513100000001</v>
      </c>
    </row>
    <row r="104" spans="1:3">
      <c r="A104" s="205">
        <v>45972</v>
      </c>
      <c r="B104">
        <v>14.9</v>
      </c>
      <c r="C104">
        <v>1.0005513100000001</v>
      </c>
    </row>
    <row r="105" spans="1:3">
      <c r="A105" s="205">
        <v>45971</v>
      </c>
      <c r="B105">
        <v>14.9</v>
      </c>
      <c r="C105">
        <v>1.0005513100000001</v>
      </c>
    </row>
    <row r="106" spans="1:3">
      <c r="A106" s="205">
        <v>45968</v>
      </c>
      <c r="B106">
        <v>14.9</v>
      </c>
      <c r="C106">
        <v>1.0005513100000001</v>
      </c>
    </row>
    <row r="107" spans="1:3">
      <c r="A107" s="205">
        <v>45967</v>
      </c>
      <c r="B107">
        <v>14.9</v>
      </c>
      <c r="C107">
        <v>1.0005513100000001</v>
      </c>
    </row>
    <row r="108" spans="1:3">
      <c r="A108" s="205">
        <v>45966</v>
      </c>
      <c r="B108">
        <v>14.9</v>
      </c>
      <c r="C108">
        <v>1.0005513100000001</v>
      </c>
    </row>
    <row r="109" spans="1:3">
      <c r="A109" s="205">
        <v>45965</v>
      </c>
      <c r="B109">
        <v>14.9</v>
      </c>
      <c r="C109">
        <v>1.0005513100000001</v>
      </c>
    </row>
    <row r="110" spans="1:3">
      <c r="A110" s="205">
        <v>45964</v>
      </c>
      <c r="B110">
        <v>14.9</v>
      </c>
      <c r="C110">
        <v>1.0005513100000001</v>
      </c>
    </row>
    <row r="111" spans="1:3">
      <c r="A111" s="205">
        <v>45961</v>
      </c>
      <c r="B111">
        <v>14.9</v>
      </c>
      <c r="C111">
        <v>1.0005513100000001</v>
      </c>
    </row>
    <row r="112" spans="1:3">
      <c r="A112" s="205">
        <v>45960</v>
      </c>
      <c r="B112">
        <v>14.9</v>
      </c>
      <c r="C112">
        <v>1.0005513100000001</v>
      </c>
    </row>
    <row r="113" spans="1:3">
      <c r="A113" s="205">
        <v>45959</v>
      </c>
      <c r="B113">
        <v>14.9</v>
      </c>
      <c r="C113">
        <v>1.0005513100000001</v>
      </c>
    </row>
    <row r="114" spans="1:3">
      <c r="A114" s="205">
        <v>45958</v>
      </c>
      <c r="B114">
        <v>14.9</v>
      </c>
      <c r="C114">
        <v>1.0005513100000001</v>
      </c>
    </row>
    <row r="115" spans="1:3">
      <c r="A115" s="205">
        <v>45957</v>
      </c>
      <c r="B115">
        <v>14.9</v>
      </c>
      <c r="C115">
        <v>1.0005513100000001</v>
      </c>
    </row>
    <row r="116" spans="1:3">
      <c r="A116" s="205">
        <v>45954</v>
      </c>
      <c r="B116">
        <v>14.9</v>
      </c>
      <c r="C116">
        <v>1.0005513100000001</v>
      </c>
    </row>
    <row r="117" spans="1:3">
      <c r="A117" s="205">
        <v>45953</v>
      </c>
      <c r="B117">
        <v>14.9</v>
      </c>
      <c r="C117">
        <v>1.0005513100000001</v>
      </c>
    </row>
    <row r="118" spans="1:3">
      <c r="A118" s="205">
        <v>45952</v>
      </c>
      <c r="B118">
        <v>14.9</v>
      </c>
      <c r="C118">
        <v>1.0005513100000001</v>
      </c>
    </row>
    <row r="119" spans="1:3">
      <c r="A119" s="205">
        <v>45951</v>
      </c>
      <c r="B119">
        <v>14.9</v>
      </c>
      <c r="C119">
        <v>1.0005513100000001</v>
      </c>
    </row>
    <row r="120" spans="1:3">
      <c r="A120" s="205">
        <v>45950</v>
      </c>
      <c r="B120">
        <v>14.9</v>
      </c>
      <c r="C120">
        <v>1.0005513100000001</v>
      </c>
    </row>
    <row r="121" spans="1:3">
      <c r="A121" s="205">
        <v>45947</v>
      </c>
      <c r="B121">
        <v>14.9</v>
      </c>
      <c r="C121">
        <v>1.0005513100000001</v>
      </c>
    </row>
    <row r="122" spans="1:3">
      <c r="A122" s="205">
        <v>45946</v>
      </c>
      <c r="B122">
        <v>14.9</v>
      </c>
      <c r="C122">
        <v>1.0005513100000001</v>
      </c>
    </row>
    <row r="123" spans="1:3">
      <c r="A123" s="205">
        <v>45945</v>
      </c>
      <c r="B123">
        <v>14.9</v>
      </c>
      <c r="C123">
        <v>1.0005513100000001</v>
      </c>
    </row>
    <row r="124" spans="1:3">
      <c r="A124" s="205">
        <v>45944</v>
      </c>
      <c r="B124">
        <v>14.9</v>
      </c>
      <c r="C124">
        <v>1.0005513100000001</v>
      </c>
    </row>
    <row r="125" spans="1:3">
      <c r="A125" s="205">
        <v>45943</v>
      </c>
      <c r="B125">
        <v>14.9</v>
      </c>
      <c r="C125">
        <v>1.0005513100000001</v>
      </c>
    </row>
    <row r="126" spans="1:3">
      <c r="A126" s="205">
        <v>45940</v>
      </c>
      <c r="B126">
        <v>14.9</v>
      </c>
      <c r="C126">
        <v>1.0005513100000001</v>
      </c>
    </row>
    <row r="127" spans="1:3">
      <c r="A127" s="205">
        <v>45939</v>
      </c>
      <c r="B127">
        <v>14.9</v>
      </c>
      <c r="C127">
        <v>1.0005513100000001</v>
      </c>
    </row>
    <row r="128" spans="1:3">
      <c r="A128" s="205">
        <v>45938</v>
      </c>
      <c r="B128">
        <v>14.9</v>
      </c>
      <c r="C128">
        <v>1.0005513100000001</v>
      </c>
    </row>
    <row r="129" spans="1:3">
      <c r="A129" s="205">
        <v>45937</v>
      </c>
      <c r="B129">
        <v>14.9</v>
      </c>
      <c r="C129">
        <v>1.0005513100000001</v>
      </c>
    </row>
    <row r="130" spans="1:3">
      <c r="A130" s="205">
        <v>45936</v>
      </c>
      <c r="B130">
        <v>14.9</v>
      </c>
      <c r="C130">
        <v>1.0005513100000001</v>
      </c>
    </row>
    <row r="131" spans="1:3">
      <c r="A131" s="205">
        <v>45933</v>
      </c>
      <c r="B131">
        <v>14.9</v>
      </c>
      <c r="C131">
        <v>1.0005513100000001</v>
      </c>
    </row>
    <row r="132" spans="1:3">
      <c r="A132" s="205">
        <v>45932</v>
      </c>
      <c r="B132">
        <v>14.9</v>
      </c>
      <c r="C132">
        <v>1.0005513100000001</v>
      </c>
    </row>
    <row r="133" spans="1:3">
      <c r="A133" s="205">
        <v>45931</v>
      </c>
      <c r="B133">
        <v>14.9</v>
      </c>
      <c r="C133">
        <v>1.0005513100000001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83B7-14D2-4524-95A0-D1DEBFBBEF44}">
  <dimension ref="A2:D24"/>
  <sheetViews>
    <sheetView showGridLines="0" workbookViewId="0">
      <selection activeCell="B13" sqref="B13"/>
    </sheetView>
  </sheetViews>
  <sheetFormatPr defaultRowHeight="15"/>
  <cols>
    <col min="1" max="1" width="43.5703125" customWidth="1"/>
    <col min="2" max="2" width="23.42578125" bestFit="1" customWidth="1"/>
    <col min="3" max="3" width="21" bestFit="1" customWidth="1"/>
    <col min="4" max="4" width="21.7109375" bestFit="1" customWidth="1"/>
  </cols>
  <sheetData>
    <row r="2" spans="1:4">
      <c r="A2" s="104" t="s">
        <v>355</v>
      </c>
      <c r="B2" s="175">
        <f ca="1">+'Conta Gráfica out a dez22'!C13</f>
        <v>2504449.003380416</v>
      </c>
    </row>
    <row r="3" spans="1:4">
      <c r="A3" s="104" t="s">
        <v>356</v>
      </c>
      <c r="B3" s="175">
        <f ca="1">+'Conta Gráfica out a dez22 PMPV'!C13</f>
        <v>1181239.7385526046</v>
      </c>
    </row>
    <row r="5" spans="1:4">
      <c r="A5" s="104" t="s">
        <v>286</v>
      </c>
      <c r="B5" s="115">
        <v>44958</v>
      </c>
      <c r="C5" s="115">
        <v>44986</v>
      </c>
      <c r="D5" s="115">
        <v>45017</v>
      </c>
    </row>
    <row r="6" spans="1:4">
      <c r="A6" s="104" t="s">
        <v>288</v>
      </c>
      <c r="B6" s="105">
        <v>44240000</v>
      </c>
      <c r="C6" s="105">
        <v>48980000</v>
      </c>
      <c r="D6" s="105">
        <v>47400000</v>
      </c>
    </row>
    <row r="7" spans="1:4">
      <c r="A7" s="104" t="s">
        <v>259</v>
      </c>
      <c r="B7" s="104">
        <v>1.78E-2</v>
      </c>
      <c r="C7" s="104">
        <f>+B7</f>
        <v>1.78E-2</v>
      </c>
      <c r="D7" s="104">
        <f t="shared" ref="D7" si="0">+C7</f>
        <v>1.78E-2</v>
      </c>
    </row>
    <row r="8" spans="1:4">
      <c r="A8" s="104" t="s">
        <v>357</v>
      </c>
      <c r="B8" s="116">
        <f>+B6*B7</f>
        <v>787472</v>
      </c>
      <c r="C8" s="105">
        <f>+C6*C7</f>
        <v>871844</v>
      </c>
      <c r="D8" s="105">
        <f>+D6*D7</f>
        <v>843720</v>
      </c>
    </row>
    <row r="9" spans="1:4">
      <c r="A9" s="104" t="s">
        <v>359</v>
      </c>
      <c r="B9" s="176">
        <f>+B24*B7</f>
        <v>0</v>
      </c>
      <c r="C9" s="177">
        <f>+C24*C7</f>
        <v>0</v>
      </c>
      <c r="D9" s="177">
        <f>+D24*D7</f>
        <v>0</v>
      </c>
    </row>
    <row r="12" spans="1:4">
      <c r="A12" s="104" t="s">
        <v>288</v>
      </c>
      <c r="B12" s="105">
        <v>44240000</v>
      </c>
      <c r="C12" s="105">
        <v>48980000</v>
      </c>
      <c r="D12" s="105">
        <v>47400000</v>
      </c>
    </row>
    <row r="13" spans="1:4">
      <c r="A13" s="104" t="s">
        <v>259</v>
      </c>
      <c r="B13" s="104">
        <f ca="1">+'Conta Gráfica out a dez22 PMPV'!C15</f>
        <v>8.3999999999999995E-3</v>
      </c>
      <c r="C13" s="104">
        <f ca="1">+B13</f>
        <v>8.3999999999999995E-3</v>
      </c>
      <c r="D13" s="104">
        <f ca="1">+C13</f>
        <v>8.3999999999999995E-3</v>
      </c>
    </row>
    <row r="14" spans="1:4">
      <c r="A14" s="104" t="s">
        <v>358</v>
      </c>
      <c r="B14" s="178">
        <f ca="1">+B13*B12</f>
        <v>371616</v>
      </c>
      <c r="C14" s="178">
        <f t="shared" ref="C14:D14" ca="1" si="1">+C13*C12</f>
        <v>411432</v>
      </c>
      <c r="D14" s="178">
        <f t="shared" ca="1" si="1"/>
        <v>398160</v>
      </c>
    </row>
    <row r="15" spans="1:4">
      <c r="A15" s="180" t="s">
        <v>359</v>
      </c>
      <c r="B15" s="181">
        <f ca="1">+B24*B13</f>
        <v>0</v>
      </c>
      <c r="C15" s="181">
        <f ca="1">+C24*C13</f>
        <v>0</v>
      </c>
      <c r="D15" s="181">
        <f ca="1">+D24*D13</f>
        <v>0</v>
      </c>
    </row>
    <row r="16" spans="1:4">
      <c r="A16" s="104"/>
      <c r="B16" s="178"/>
      <c r="C16" s="178"/>
      <c r="D16" s="178"/>
    </row>
    <row r="17" spans="1:4">
      <c r="A17" s="179" t="s">
        <v>360</v>
      </c>
      <c r="B17" s="176">
        <f ca="1">+B14-B8</f>
        <v>-415856</v>
      </c>
      <c r="C17" s="176">
        <f t="shared" ref="C17:D17" ca="1" si="2">+C14-C8</f>
        <v>-460412</v>
      </c>
      <c r="D17" s="176">
        <f t="shared" ca="1" si="2"/>
        <v>-445560</v>
      </c>
    </row>
    <row r="23" spans="1:4">
      <c r="A23" s="55" t="s">
        <v>253</v>
      </c>
      <c r="B23" s="106">
        <f>+'Conta Gráfica out a dez22 PMPV'!B9</f>
        <v>44240000</v>
      </c>
      <c r="C23" s="106">
        <f>+'Conta Gráfica out a dez22 PMPV'!C9</f>
        <v>48980000</v>
      </c>
      <c r="D23" s="106">
        <f>+'Conta Gráfica out a dez22 PMPV'!D9</f>
        <v>47400000</v>
      </c>
    </row>
    <row r="24" spans="1:4">
      <c r="A24" s="55" t="s">
        <v>360</v>
      </c>
      <c r="B24" s="106">
        <f>+B23-B12</f>
        <v>0</v>
      </c>
      <c r="C24" s="106">
        <f>+IF(C12=0,0,C23-C12)</f>
        <v>0</v>
      </c>
      <c r="D24" s="106">
        <f>+IF(D12=0,0,D23-D12)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0EDD-C742-4039-B44D-C255A5BE04A8}">
  <sheetPr>
    <pageSetUpPr fitToPage="1"/>
  </sheetPr>
  <dimension ref="A1:AX64"/>
  <sheetViews>
    <sheetView showGridLines="0" topLeftCell="A3" zoomScale="90" zoomScaleNormal="90" workbookViewId="0">
      <pane xSplit="2" ySplit="2" topLeftCell="M33" activePane="bottomRight" state="frozen"/>
      <selection activeCell="B13" sqref="B13"/>
      <selection pane="topRight" activeCell="B13" sqref="B13"/>
      <selection pane="bottomLeft" activeCell="B13" sqref="B13"/>
      <selection pane="bottomRight" activeCell="U52" sqref="U52"/>
    </sheetView>
  </sheetViews>
  <sheetFormatPr defaultColWidth="9.140625" defaultRowHeight="14.25"/>
  <cols>
    <col min="1" max="1" width="1.85546875" style="47" customWidth="1"/>
    <col min="2" max="2" width="51.7109375" style="47" bestFit="1" customWidth="1"/>
    <col min="3" max="3" width="28.140625" style="47" customWidth="1"/>
    <col min="4" max="4" width="26.42578125" style="47" customWidth="1"/>
    <col min="5" max="5" width="25.5703125" style="47" customWidth="1"/>
    <col min="6" max="6" width="25.7109375" style="47" customWidth="1"/>
    <col min="7" max="7" width="25.140625" style="47" customWidth="1"/>
    <col min="8" max="8" width="23.85546875" style="47" customWidth="1"/>
    <col min="9" max="9" width="24.5703125" style="47" customWidth="1"/>
    <col min="10" max="10" width="24.42578125" style="47" customWidth="1"/>
    <col min="11" max="11" width="25.5703125" style="47" customWidth="1"/>
    <col min="12" max="12" width="25.28515625" style="47" bestFit="1" customWidth="1"/>
    <col min="13" max="13" width="24.5703125" style="47" bestFit="1" customWidth="1"/>
    <col min="14" max="14" width="23.85546875" style="47" bestFit="1" customWidth="1"/>
    <col min="15" max="15" width="24.7109375" style="78" bestFit="1" customWidth="1"/>
    <col min="16" max="16" width="23.28515625" style="78" bestFit="1" customWidth="1"/>
    <col min="17" max="17" width="22.5703125" style="47" bestFit="1" customWidth="1"/>
    <col min="18" max="50" width="12.7109375" style="47" bestFit="1" customWidth="1"/>
    <col min="51" max="16384" width="9.140625" style="47"/>
  </cols>
  <sheetData>
    <row r="1" spans="1:50" hidden="1"/>
    <row r="2" spans="1:50" hidden="1"/>
    <row r="3" spans="1:50" ht="18">
      <c r="B3" s="48" t="s">
        <v>182</v>
      </c>
      <c r="C3" s="49">
        <v>44562</v>
      </c>
      <c r="D3" s="49">
        <v>44593</v>
      </c>
      <c r="E3" s="49">
        <v>44621</v>
      </c>
      <c r="F3" s="49">
        <v>44652</v>
      </c>
      <c r="G3" s="49">
        <v>44682</v>
      </c>
      <c r="H3" s="49">
        <v>44713</v>
      </c>
      <c r="I3" s="49">
        <v>44743</v>
      </c>
      <c r="J3" s="49">
        <v>44774</v>
      </c>
      <c r="K3" s="49">
        <v>44805</v>
      </c>
      <c r="L3" s="49">
        <v>44835</v>
      </c>
      <c r="M3" s="49">
        <v>44866</v>
      </c>
      <c r="N3" s="49">
        <v>44896</v>
      </c>
      <c r="O3" s="138">
        <v>44927</v>
      </c>
      <c r="P3" s="138">
        <v>44958</v>
      </c>
      <c r="Q3" s="138">
        <v>44986</v>
      </c>
      <c r="R3" s="49">
        <v>45017</v>
      </c>
      <c r="S3" s="49">
        <v>45047</v>
      </c>
      <c r="T3" s="49">
        <v>45078</v>
      </c>
      <c r="U3" s="49">
        <v>45108</v>
      </c>
      <c r="V3" s="49">
        <v>45139</v>
      </c>
      <c r="W3" s="49">
        <v>45170</v>
      </c>
      <c r="X3" s="49">
        <v>45200</v>
      </c>
      <c r="Y3" s="49">
        <v>45231</v>
      </c>
      <c r="Z3" s="49">
        <v>45261</v>
      </c>
      <c r="AA3" s="49">
        <v>45292</v>
      </c>
      <c r="AB3" s="49">
        <v>45323</v>
      </c>
      <c r="AC3" s="49">
        <v>45352</v>
      </c>
      <c r="AD3" s="49">
        <v>45383</v>
      </c>
      <c r="AE3" s="49">
        <v>45413</v>
      </c>
      <c r="AF3" s="49">
        <v>45444</v>
      </c>
      <c r="AG3" s="49">
        <v>45474</v>
      </c>
      <c r="AH3" s="49">
        <v>45505</v>
      </c>
      <c r="AI3" s="49">
        <v>45536</v>
      </c>
      <c r="AJ3" s="49">
        <v>45566</v>
      </c>
      <c r="AK3" s="49">
        <v>45597</v>
      </c>
      <c r="AL3" s="49">
        <v>45627</v>
      </c>
      <c r="AM3" s="49">
        <v>45658</v>
      </c>
      <c r="AN3" s="49">
        <v>45689</v>
      </c>
      <c r="AO3" s="49">
        <v>45717</v>
      </c>
      <c r="AP3" s="49">
        <v>45748</v>
      </c>
      <c r="AQ3" s="49">
        <v>45778</v>
      </c>
      <c r="AR3" s="49">
        <v>45809</v>
      </c>
      <c r="AS3" s="49">
        <v>45839</v>
      </c>
      <c r="AT3" s="49">
        <v>45870</v>
      </c>
      <c r="AU3" s="49">
        <v>45901</v>
      </c>
      <c r="AV3" s="49">
        <v>45931</v>
      </c>
      <c r="AW3" s="49">
        <v>45962</v>
      </c>
      <c r="AX3" s="49">
        <v>45992</v>
      </c>
    </row>
    <row r="4" spans="1:50" ht="16.5" thickBot="1">
      <c r="B4" s="50" t="s">
        <v>183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139"/>
      <c r="P4" s="139"/>
      <c r="Q4" s="139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</row>
    <row r="5" spans="1:50" ht="15.75" thickTop="1">
      <c r="B5" s="52" t="s">
        <v>184</v>
      </c>
      <c r="C5" s="82">
        <f>+[1]Compra!C20</f>
        <v>51235311.235210001</v>
      </c>
      <c r="D5" s="82">
        <f>+[1]Compra!D20</f>
        <v>47584516</v>
      </c>
      <c r="E5" s="82">
        <f>+[1]Compra!E20</f>
        <v>53085048</v>
      </c>
      <c r="F5" s="82">
        <f>+[1]Compra!F20</f>
        <v>51281315</v>
      </c>
      <c r="G5" s="82">
        <f>+[1]Compra!G20</f>
        <v>52964161</v>
      </c>
      <c r="H5" s="82">
        <f>+[1]Compra!H20</f>
        <v>51923544</v>
      </c>
      <c r="I5" s="82">
        <f>+[1]Compra!I20</f>
        <v>51051841</v>
      </c>
      <c r="J5" s="82">
        <f>+[1]Compra!J20</f>
        <v>49323507</v>
      </c>
      <c r="K5" s="82">
        <f>+[1]Compra!K20</f>
        <v>52436099</v>
      </c>
      <c r="L5" s="82">
        <f>+[1]Compra!L20</f>
        <v>54048080</v>
      </c>
      <c r="M5" s="82">
        <f>+[1]Compra!M20</f>
        <v>49549904</v>
      </c>
      <c r="N5" s="82">
        <f>+[1]Compra!N20</f>
        <v>48255601</v>
      </c>
      <c r="O5" s="140">
        <f>[2]Compra!C20</f>
        <v>44009944</v>
      </c>
      <c r="P5" s="140">
        <f>[2]Compra!D20</f>
        <v>44641552</v>
      </c>
      <c r="Q5" s="140">
        <f>[2]Compra!E20</f>
        <v>49320186</v>
      </c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</row>
    <row r="6" spans="1:50">
      <c r="B6" s="54" t="s">
        <v>185</v>
      </c>
      <c r="C6" s="83">
        <f ca="1">SUMIF('jan22'!$C$17:$E$34,"Shell",'jan22'!$E$17:$E$34)</f>
        <v>26905255.235209998</v>
      </c>
      <c r="D6" s="83">
        <f ca="1">SUMIF('fev22'!$C$17:$E$34,"Shell",'fev22'!$E$17:$E$34)</f>
        <v>22919983</v>
      </c>
      <c r="E6" s="83">
        <f ca="1">SUMIF('mar22'!$C$17:$E$40,"Shell",'mar22'!$E$17:$E$40)</f>
        <v>25482782</v>
      </c>
      <c r="F6" s="83">
        <f ca="1">SUMIF('abr22'!$C$17:$E$40,"Shell",'abr22'!$E$17:$E$40)</f>
        <v>24763368</v>
      </c>
      <c r="G6" s="83">
        <f ca="1">SUMIF('mai22'!$C$17:$E$40,"Shell",'mai22'!$E$17:$E$40)</f>
        <v>25523958</v>
      </c>
      <c r="H6" s="83">
        <f ca="1">SUMIF('jun22'!$C$17:$E$42,"Shell",'jun22'!$E$17:$E$42)</f>
        <v>24961813</v>
      </c>
      <c r="I6" s="83">
        <f ca="1">SUMIF('jul22'!$C$17:$E$42,"Shell",'jul22'!$E$17:$E$42)</f>
        <v>24838604</v>
      </c>
      <c r="J6" s="83">
        <f ca="1">SUMIF('ago22'!$C$17:$E$42,"Shell",'ago22'!$E$17:$E$42)</f>
        <v>23937439</v>
      </c>
      <c r="K6" s="83">
        <f ca="1">SUMIF('set22'!$C$17:$E$43,"Shell",'set22'!$E$17:$E$43)</f>
        <v>27183472</v>
      </c>
      <c r="L6" s="83">
        <f ca="1">SUMIF('Out22'!$C$17:$E$43,"Shell",'Out22'!$E$17:$E$43)</f>
        <v>28457289</v>
      </c>
      <c r="M6" s="83">
        <f ca="1">SUMIF('Nov22'!$C$17:$E$43,"Shell",'Nov22'!$E$17:$E$43)</f>
        <v>24099191</v>
      </c>
      <c r="N6" s="83">
        <f ca="1">SUMIF('Dez22'!$C$17:$E$43,"Shell",'Dez22'!$E$17:$E$43)</f>
        <v>23188293</v>
      </c>
      <c r="O6" s="141">
        <f ca="1">SUMIF('Jan23'!$C$17:$E$43,"Shell",'Jan23'!$E$17:$E$43)</f>
        <v>30256043</v>
      </c>
      <c r="P6" s="141">
        <f ca="1">SUMIF('Fev23'!$C$17:$E$32,"Shell",'Fev23'!$E$17:$E$32)</f>
        <v>29113490</v>
      </c>
      <c r="Q6" s="141">
        <f ca="1">SUMIF('Mar23'!$C$17:$E$39,"Shell",'Mar23'!$E$17:$E$39)</f>
        <v>32889497</v>
      </c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</row>
    <row r="7" spans="1:50">
      <c r="B7" s="55" t="s">
        <v>186</v>
      </c>
      <c r="C7" s="84">
        <f ca="1">SUMIF('jan22'!$C$17:$F$34,"Shell",'jan22'!$G$17:$G$34)</f>
        <v>55307815.538233496</v>
      </c>
      <c r="D7" s="84">
        <f ca="1">SUMIF('fev22'!$C$17:$F$34,"Shell",'fev22'!$G$17:$G$34)</f>
        <v>39422466.344126254</v>
      </c>
      <c r="E7" s="84">
        <f ca="1">SUMIF('mar22'!$C$17:$F$40,"Shell",'mar22'!$G$17:$G$40)</f>
        <v>43830491.315638497</v>
      </c>
      <c r="F7" s="84">
        <f ca="1">SUMIF('abr22'!$C$17:$F$40,"Shell",'abr22'!$G$17:$G$40)</f>
        <v>42593514.225520499</v>
      </c>
      <c r="G7" s="84">
        <f ca="1">SUMIF('mai22'!$C$17:$F$40,"Shell",'mai22'!$G$17:$G$40)</f>
        <v>49892459.116301998</v>
      </c>
      <c r="H7" s="84">
        <f ca="1">SUMIF('jun22'!$C$17:$F$42,"Shell",'jun22'!$G$17:$G$42)</f>
        <v>48793617.144582748</v>
      </c>
      <c r="I7" s="84">
        <f ca="1">SUMIF('jul22'!$C$17:$F$42,"Shell",'jul22'!$G$17:$G$42)</f>
        <v>48552779.332975507</v>
      </c>
      <c r="J7" s="84">
        <f ca="1">SUMIF('ago22'!$C$17:$F$42,"Shell",'ago22'!$G$17:$G$42)</f>
        <v>54904606.232099995</v>
      </c>
      <c r="K7" s="84">
        <f ca="1">SUMIF('set22'!$C$17:$F$43,"Shell",'set22'!$G$17:$G$43)</f>
        <v>62349937.530499995</v>
      </c>
      <c r="L7" s="84">
        <f ca="1">SUMIF('Out22'!$C$17:$F$43,"Shell",'Out22'!$G$17:$G$43)</f>
        <v>65271654.467599988</v>
      </c>
      <c r="M7" s="84">
        <f ca="1">SUMIF('Nov22'!$C$17:$F$43,"Shell",'Nov22'!$G$17:$G$43)</f>
        <v>53914925.308612496</v>
      </c>
      <c r="N7" s="84">
        <f ca="1">SUMIF('Dez22'!$C$17:$F$43,"Shell",'Dez22'!$G$17:$G$43)</f>
        <v>51877056.167342998</v>
      </c>
      <c r="O7" s="142">
        <f ca="1">SUMIF('Jan23'!$C$17:$F$43,"Shell",'Jan23'!$G$17:$G$43)</f>
        <v>68419400.417799756</v>
      </c>
      <c r="P7" s="142">
        <f ca="1">SUMIF('Fev23'!$C$17:$F$32,"Shell",'Fev23'!$G$17:$G$32)</f>
        <v>52944486.630205497</v>
      </c>
      <c r="Q7" s="142">
        <f ca="1">SUMIF('Mar23'!$C$17:$F$39,"Shell",'Mar23'!$G$17:$G$39)</f>
        <v>59863931.908382259</v>
      </c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</row>
    <row r="8" spans="1:50">
      <c r="B8" s="54" t="s">
        <v>187</v>
      </c>
      <c r="C8" s="83">
        <f ca="1">SUMIF('jan22'!$C$17:$E$34,"Petrobras",'jan22'!$E$17:$E$34)</f>
        <v>23850180</v>
      </c>
      <c r="D8" s="83">
        <f ca="1">SUMIF('fev22'!$C$17:$E$34,"Petrobras",'fev22'!$E$17:$E$34)</f>
        <v>24021296</v>
      </c>
      <c r="E8" s="83">
        <f ca="1">SUMIF('mar22'!$C$17:$E$40,"Petrobras",'mar22'!$E$17:$E$40)</f>
        <v>26838623</v>
      </c>
      <c r="F8" s="83">
        <f ca="1">SUMIF('abr22'!$C$17:$E$40,"Petrobras",'abr22'!$E$17:$E$40)</f>
        <v>26058027</v>
      </c>
      <c r="G8" s="83">
        <f ca="1">SUMIF('mai22'!$C$17:$E$40,"Petrobras",'mai22'!$E$17:$E$40)</f>
        <v>26724558</v>
      </c>
      <c r="H8" s="83">
        <f ca="1">SUMIF('jun22'!$C$17:$E$42,"Petrobras",'jun22'!$E$17:$E$42)</f>
        <v>26293504</v>
      </c>
      <c r="I8" s="83">
        <f ca="1">SUMIF('jul22'!$C$17:$E$42,"Petrobras",'jul22'!$E$17:$E$42)</f>
        <v>25511820</v>
      </c>
      <c r="J8" s="83">
        <f ca="1">SUMIF('ago22'!$C$17:$E$42,"Petrobras",'ago22'!$E$17:$E$42)</f>
        <v>24533928</v>
      </c>
      <c r="K8" s="83">
        <f ca="1">SUMIF('set22'!$C$17:$E$43,"Petrobras",'set22'!$E$17:$E$43)</f>
        <v>24430685</v>
      </c>
      <c r="L8" s="83">
        <f ca="1">SUMIF('Out22'!$C$17:$E$43,"Petrobras",'Out22'!$E$17:$E$43)</f>
        <v>24753456</v>
      </c>
      <c r="M8" s="83">
        <f ca="1">SUMIF('Nov22'!$C$17:$E$43,"Petrobras",'Nov22'!$E$17:$E$43)</f>
        <v>24571904</v>
      </c>
      <c r="N8" s="83">
        <f ca="1">SUMIF('Dez22'!$C$17:$E$43,"Petrobras",'Dez22'!$E$17:$E$43)</f>
        <v>24180286</v>
      </c>
      <c r="O8" s="141">
        <f ca="1">SUMIF('Jan23'!$C$17:$E$43,"Petrobras",'Jan23'!$E$17:$E$43)</f>
        <v>12883774</v>
      </c>
      <c r="P8" s="141">
        <f ca="1">SUMIF('Fev23'!$C$17:$E$32,"Petrobras",'Fev23'!$E$17:$E$32)</f>
        <v>14817306</v>
      </c>
      <c r="Q8" s="141">
        <f ca="1">SUMIF('Mar23'!$C$17:$E$39,"Petrobras",'Mar23'!$E$17:$E$39)</f>
        <v>15550561</v>
      </c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</row>
    <row r="9" spans="1:50">
      <c r="B9" s="55" t="s">
        <v>188</v>
      </c>
      <c r="C9" s="84">
        <f ca="1">SUMIF('jan22'!$C$17:$F$34,"Petrobras",'jan22'!$G$17:$G$34)</f>
        <v>47958630.803674981</v>
      </c>
      <c r="D9" s="84">
        <f ca="1">SUMIF('fev22'!$C$17:$F$34,"Petrobras",'fev22'!$G$17:$G$34)</f>
        <v>55567164.297875002</v>
      </c>
      <c r="E9" s="84">
        <f ca="1">SUMIF('mar22'!$C$17:$F$40,"Petrobras",'mar22'!$G$17:$G$40)</f>
        <v>62270377.897125006</v>
      </c>
      <c r="F9" s="84">
        <f ca="1">SUMIF('abr22'!$C$17:$F$40,"Petrobras",'abr22'!$G$17:$G$40)</f>
        <v>60456918.901499994</v>
      </c>
      <c r="G9" s="84">
        <f ca="1">SUMIF('mai22'!$C$17:$F$40,"Petrobras",'mai22'!$G$17:$G$40)</f>
        <v>74170330.202870414</v>
      </c>
      <c r="H9" s="84">
        <f ca="1">SUMIF('jun22'!$C$17:$F$42,"Petrobras",'jun22'!$G$17:$G$42)</f>
        <v>73202409.099248379</v>
      </c>
      <c r="I9" s="84">
        <f ca="1">SUMIF('jul22'!$C$17:$F$42,"Petrobras",'jul22'!$G$17:$G$42)</f>
        <v>70018278.719706401</v>
      </c>
      <c r="J9" s="84">
        <f ca="1">SUMIF('ago22'!$C$17:$F$42,"Petrobras",'ago22'!$G$17:$G$42)</f>
        <v>69736614.449599996</v>
      </c>
      <c r="K9" s="84">
        <f ca="1">SUMIF('set22'!$C$17:$F$43,"Petrobras",'set22'!$G$17:$G$43)</f>
        <v>69314273.211299986</v>
      </c>
      <c r="L9" s="84">
        <f ca="1">SUMIF('Out22'!$C$17:$F$43,"Petrobras",'Out22'!$G$17:$G$43)</f>
        <v>70000506.905599996</v>
      </c>
      <c r="M9" s="84">
        <f ca="1">SUMIF('Nov22'!$C$17:$F$43,"Petrobras",'Nov22'!$G$17:$G$43)</f>
        <v>67792514.532903761</v>
      </c>
      <c r="N9" s="84">
        <f ca="1">SUMIF('Dez22'!$C$17:$F$43,"Petrobras",'Dez22'!$G$17:$G$43)</f>
        <v>66167244.16196426</v>
      </c>
      <c r="O9" s="142">
        <f ca="1">SUMIF('Jan23'!$C$17:$F$43,"Petrobras",'Jan23'!$G$17:$G$43)</f>
        <v>34595342.197064757</v>
      </c>
      <c r="P9" s="142">
        <f ca="1">SUMIF('Fev23'!$C$17:$F$32,"Petrobras",'Fev23'!$G$17:$G$32)</f>
        <v>36121632.115122244</v>
      </c>
      <c r="Q9" s="142">
        <f ca="1">SUMIF('Mar23'!$C$17:$F$39,"Petrobras",'Mar23'!$G$17:$G$39)</f>
        <v>37614716.70192001</v>
      </c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</row>
    <row r="10" spans="1:50">
      <c r="B10" s="54" t="s">
        <v>189</v>
      </c>
      <c r="C10" s="83">
        <f ca="1">SUMIF('jan22'!$C$17:$E$34,"New Fortress (Petrolina)",'jan22'!$E$17:$E$34)</f>
        <v>453796</v>
      </c>
      <c r="D10" s="83">
        <f ca="1">SUMIF('fev22'!$C$17:$E$34,"New Fortress (Petrolina)",'fev22'!$E$17:$E$34)</f>
        <v>581205</v>
      </c>
      <c r="E10" s="83">
        <f ca="1">SUMIF('mar22'!$C$17:$E$40,"New Fortress (Petrolina)",'mar22'!$E$17:$E$40)</f>
        <v>693387</v>
      </c>
      <c r="F10" s="83">
        <f ca="1">SUMIF('abr22'!$C$17:$E$40,"New Fortress (Petrolina)",'abr22'!$E$17:$E$40)</f>
        <v>388544</v>
      </c>
      <c r="G10" s="83">
        <f ca="1">SUMIF('mai22'!$C$17:$E$40,"New Fortress (Petrolina)",'mai22'!$E$17:$E$40)</f>
        <v>643817</v>
      </c>
      <c r="H10" s="83">
        <f ca="1">SUMIF('jun22'!$C$17:$E$42,"New Fortress (Petrolina)",'jun22'!$E$17:$E$42)</f>
        <v>608037</v>
      </c>
      <c r="I10" s="83">
        <f ca="1">SUMIF('jul22'!$C$17:$E$42,"New Fortress (Petrolina)",'jul22'!$E$17:$E$42)</f>
        <v>628068</v>
      </c>
      <c r="J10" s="83">
        <f ca="1">SUMIF('ago22'!$C$17:$E$42,"New Fortress (Petrolina)",'ago22'!$E$17:$E$42)</f>
        <v>778714</v>
      </c>
      <c r="K10" s="83">
        <f ca="1">SUMIF('set22'!$C$17:$E$43,"New Fortress (Petrolina)",'set22'!$E$17:$E$43)</f>
        <v>748197</v>
      </c>
      <c r="L10" s="83">
        <f ca="1">SUMIF('Out22'!$C$17:$E$43,"New Fortress (Petrolina)",'Out22'!$E$17:$E$43)</f>
        <v>764125</v>
      </c>
      <c r="M10" s="83">
        <f ca="1">SUMIF('Nov22'!$C$17:$E$43,"New Fortress (Petrolina)",'Nov22'!$E$17:$E$43)</f>
        <v>811765</v>
      </c>
      <c r="N10" s="83">
        <f ca="1">SUMIF('Dez22'!$C$17:$E$43,"New Fortress (Petrolina)",'Dez22'!$E$17:$E$43)</f>
        <v>819589</v>
      </c>
      <c r="O10" s="141">
        <f ca="1">SUMIF('Jan23'!$C$17:$E$43,"New Fortress (Petrolina)",'Jan23'!$E$17:$E$43)</f>
        <v>804469</v>
      </c>
      <c r="P10" s="141">
        <f ca="1">SUMIF('Fev23'!$C$17:$E$32,"New Fortress (Petrolina)",'Fev23'!$E$17:$E$32)</f>
        <v>644993</v>
      </c>
      <c r="Q10" s="141">
        <f ca="1">SUMIF('Mar23'!$C$17:$E$39,"New Fortress (Petrolina)",'Mar23'!$E$17:$E$39)</f>
        <v>802881</v>
      </c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</row>
    <row r="11" spans="1:50">
      <c r="B11" s="55" t="s">
        <v>190</v>
      </c>
      <c r="C11" s="84">
        <f ca="1">SUMIF('jan22'!$C$17:$F$34,"New Fortress (Petrolina)",'jan22'!$G$17:$G$34)</f>
        <v>1441709.7061290001</v>
      </c>
      <c r="D11" s="84">
        <f ca="1">SUMIF('fev22'!$C$17:$F$34,"New Fortress (Petrolina)",'fev22'!$G$17:$G$34)</f>
        <v>2009152.6936965</v>
      </c>
      <c r="E11" s="84">
        <f ca="1">SUMIF('mar22'!$C$17:$F$40,"New Fortress (Petrolina)",'mar22'!$G$17:$G$40)</f>
        <v>2396951.7766755</v>
      </c>
      <c r="F11" s="84">
        <f ca="1">SUMIF('abr22'!$C$17:$F$40,"New Fortress (Petrolina)",'abr22'!$G$17:$G$40)</f>
        <v>1343147.8125450001</v>
      </c>
      <c r="G11" s="84">
        <f ca="1">SUMIF('mai22'!$C$17:$F$40,"New Fortress (Petrolina)",'mai22'!$G$17:$G$40)</f>
        <v>2488091.4437445002</v>
      </c>
      <c r="H11" s="84">
        <f ca="1">SUMIF('jun22'!$C$17:$F$42,"New Fortress (Petrolina)",'jun22'!$G$17:$G$42)</f>
        <v>2309575.000821</v>
      </c>
      <c r="I11" s="84">
        <f ca="1">SUMIF('jul22'!$C$17:$F$42,"New Fortress (Petrolina)",'jul22'!$G$17:$G$42)</f>
        <v>2362184.4238</v>
      </c>
      <c r="J11" s="84">
        <f ca="1">SUMIF('ago22'!$C$17:$F$42,"New Fortress (Petrolina)",'ago22'!$G$17:$G$42)</f>
        <v>3073602.1179999998</v>
      </c>
      <c r="K11" s="84">
        <f ca="1">SUMIF('set22'!$C$17:$F$42,"New Fortress (Petrolina)",'set22'!$G$17:$G$42)</f>
        <v>2982454.1334000002</v>
      </c>
      <c r="L11" s="84">
        <f ca="1">SUMIF('Out22'!$C$17:$F$42,"New Fortress (Petrolina)",'Out22'!$G$17:$G$42)</f>
        <v>3045946.1398</v>
      </c>
      <c r="M11" s="84">
        <f ca="1">SUMIF('Nov22'!$C$17:$F$42,"New Fortress (Petrolina)",'Nov22'!$G$17:$G$42)</f>
        <v>3211201.8898739996</v>
      </c>
      <c r="N11" s="84">
        <f ca="1">SUMIF('Dez22'!$C$17:$F$42,"New Fortress (Petrolina)",'Dez22'!$G$17:$G$42)</f>
        <v>3242152.2864554999</v>
      </c>
      <c r="O11" s="142">
        <f ca="1">SUMIF('Jan23'!$C$17:$F$42,"New Fortress (Petrolina)",'Jan23'!$G$17:$G$42)</f>
        <v>3182340.180954</v>
      </c>
      <c r="P11" s="142">
        <f ca="1">SUMIF('Fev23'!$C$17:$F$31,"New Fortress (Petrolina)",'Fev23'!$G$17:$G$31)</f>
        <v>2368371.572259</v>
      </c>
      <c r="Q11" s="142">
        <f ca="1">SUMIF('Mar23'!$C$17:$F$38,"New Fortress (Petrolina)",'Mar23'!$G$17:$G$38)</f>
        <v>2948125.8518415</v>
      </c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</row>
    <row r="12" spans="1:50">
      <c r="B12" s="54" t="s">
        <v>191</v>
      </c>
      <c r="C12" s="83">
        <f ca="1">SUMIF('jan22'!$C$17:$E$34,"New Fortress (Garanhuns)",'jan22'!$E$17:$E$34)</f>
        <v>26080</v>
      </c>
      <c r="D12" s="83">
        <f ca="1">SUMIF('fev22'!$C$17:$E$34,"New Fortress (Garanhuns)",'fev22'!$E$17:$E$34)</f>
        <v>62032</v>
      </c>
      <c r="E12" s="83">
        <f ca="1">SUMIF('mar22'!$C$17:$E$40,"New Fortress (Garanhuns)",'mar22'!$E$17:$E$40)</f>
        <v>70256</v>
      </c>
      <c r="F12" s="83">
        <f ca="1">SUMIF('abr22'!$C$17:$E$40,"New Fortress (Garanhuns)",'abr22'!$E$17:$E$40)</f>
        <v>71376</v>
      </c>
      <c r="G12" s="83">
        <f ca="1">SUMIF('mai22'!$C$17:$E$40,"New Fortress (Garanhuns)",'mai22'!$E$17:$E$40)</f>
        <v>71828</v>
      </c>
      <c r="H12" s="83">
        <f ca="1">SUMIF('jun22'!$C$17:$E$42,"New Fortress (Garanhuns)",'jun22'!$E$17:$E$42)</f>
        <v>60190</v>
      </c>
      <c r="I12" s="83">
        <f ca="1">SUMIF('jul22'!$C$17:$E$42,"New Fortress (Garanhuns)",'jul22'!$E$17:$E$42)</f>
        <v>73349</v>
      </c>
      <c r="J12" s="83">
        <f ca="1">SUMIF('ago22'!$C$17:$E$42,"New Fortress (Garanhuns)",'ago22'!$E$17:$E$42)</f>
        <v>73426</v>
      </c>
      <c r="K12" s="83">
        <f ca="1">SUMIF('set22'!$C$17:$E$43,"New Fortress (Garanhuns)",'set22'!$E$17:$E$43)</f>
        <v>73745</v>
      </c>
      <c r="L12" s="83">
        <f ca="1">SUMIF('Out22'!$C$17:$E$43,"New Fortress (Garanhuns)",'Out22'!$E$17:$E$43)</f>
        <v>73210</v>
      </c>
      <c r="M12" s="83">
        <f ca="1">SUMIF('Nov22'!$C$17:$E$43,"New Fortress (Garanhuns)",'Nov22'!$E$17:$E$43)</f>
        <v>67044</v>
      </c>
      <c r="N12" s="83">
        <f ca="1">SUMIF('Dez22'!$C$17:$E$43,"New Fortress (Garanhuns)",'Dez22'!$E$17:$E$43)</f>
        <v>67433</v>
      </c>
      <c r="O12" s="141">
        <f ca="1">SUMIF('Jan23'!$C$17:$E$43,"New Fortress (Garanhuns)",'Jan23'!$E$17:$E$43)</f>
        <v>65658</v>
      </c>
      <c r="P12" s="141">
        <f ca="1">SUMIF('Fev23'!$C$17:$E$32,"New Fortress (Garanhuns)",'Fev23'!$E$17:$E$32)</f>
        <v>65763</v>
      </c>
      <c r="Q12" s="141">
        <f ca="1">SUMIF('Mar23'!$C$17:$E$39,"New Fortress (Garanhuns)",'Mar23'!$E$17:$E$39)</f>
        <v>77247</v>
      </c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</row>
    <row r="13" spans="1:50" ht="15" thickBot="1">
      <c r="B13" s="56" t="s">
        <v>192</v>
      </c>
      <c r="C13" s="85">
        <f ca="1">SUMIF('jan22'!$C$17:$F$34,"New Fortress (Garanhuns)",'jan22'!$G$17:$G$34)</f>
        <v>80383.641112500001</v>
      </c>
      <c r="D13" s="85">
        <f ca="1">SUMIF('fev22'!$C$17:$F$34,"New Fortress (Garanhuns)",'fev22'!$G$17:$G$34)</f>
        <v>208551.28943549999</v>
      </c>
      <c r="E13" s="85">
        <f ca="1">SUMIF('mar22'!$C$17:$F$40,"New Fortress (Garanhuns)",'mar22'!$G$17:$G$40)</f>
        <v>236200.338957</v>
      </c>
      <c r="F13" s="85">
        <f ca="1">SUMIF('abr22'!$C$17:$F$40,"New Fortress (Garanhuns)",'abr22'!$G$17:$G$40)</f>
        <v>239965.7751645</v>
      </c>
      <c r="G13" s="85">
        <f ca="1">SUMIF('mai22'!$C$17:$F$40,"New Fortress (Garanhuns)",'mai22'!$G$17:$G$40)</f>
        <v>270771.09226200002</v>
      </c>
      <c r="H13" s="85">
        <f ca="1">SUMIF('jun22'!$C$17:$F$42,"New Fortress (Garanhuns)",'jun22'!$G$17:$G$42)</f>
        <v>222837.31998100001</v>
      </c>
      <c r="I13" s="85">
        <f ca="1">SUMIF('jul22'!$C$17:$F$42,"New Fortress (Garanhuns)",'jul22'!$G$17:$G$42)</f>
        <v>267998.88794250001</v>
      </c>
      <c r="J13" s="85">
        <f ca="1">SUMIF('ago22'!$C$17:$F$42,"New Fortress (Garanhuns)",'ago22'!$G$17:$G$42)</f>
        <v>282733.34000000003</v>
      </c>
      <c r="K13" s="85">
        <f ca="1">SUMIF('set22'!$C$17:$F$43,"New Fortress (Garanhuns)",'set22'!$G$17:$G$43)</f>
        <v>286970.07860000001</v>
      </c>
      <c r="L13" s="85">
        <f ca="1">SUMIF('Out22'!$C$17:$F$43,"New Fortress (Garanhuns)",'Out22'!$G$17:$G$43)</f>
        <v>284888.19099999999</v>
      </c>
      <c r="M13" s="85">
        <f ca="1">SUMIF('Nov22'!$C$17:$F$43,"New Fortress (Garanhuns)",'Nov22'!$G$17:$G$43)</f>
        <v>258329.53678950001</v>
      </c>
      <c r="N13" s="85">
        <f ca="1">SUMIF('Dez22'!$C$17:$F$43,"New Fortress (Garanhuns)",'Dez22'!$G$17:$G$43)</f>
        <v>259828.40371950003</v>
      </c>
      <c r="O13" s="143">
        <f ca="1">SUMIF('Jan23'!$C$17:$F$43,"New Fortress (Garanhuns)",'Jan23'!$G$17:$G$43)</f>
        <v>252989.09222399999</v>
      </c>
      <c r="P13" s="143">
        <f ca="1">SUMIF('Fev23'!$C$17:$F$32,"New Fortress (Garanhuns)",'Fev23'!$G$17:$G$32)</f>
        <v>234723.99744750001</v>
      </c>
      <c r="Q13" s="143">
        <f ca="1">SUMIF('Mar23'!$C$17:$F$39,"New Fortress (Garanhuns)",'Mar23'!$G$17:$G$39)</f>
        <v>275713.16356650001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</row>
    <row r="14" spans="1:50" s="76" customFormat="1" ht="15.75" thickBot="1">
      <c r="A14" s="47"/>
      <c r="B14" s="119" t="s">
        <v>193</v>
      </c>
      <c r="C14" s="86">
        <f t="shared" ref="C14:AX14" ca="1" si="0">+C13+C11+C9+C7</f>
        <v>104788539.68914998</v>
      </c>
      <c r="D14" s="86">
        <f t="shared" ca="1" si="0"/>
        <v>97207334.625133246</v>
      </c>
      <c r="E14" s="87">
        <f t="shared" ca="1" si="0"/>
        <v>108734021.32839599</v>
      </c>
      <c r="F14" s="87">
        <f t="shared" ca="1" si="0"/>
        <v>104633546.71472999</v>
      </c>
      <c r="G14" s="87">
        <f t="shared" ca="1" si="0"/>
        <v>126821651.85517891</v>
      </c>
      <c r="H14" s="87">
        <f t="shared" ca="1" si="0"/>
        <v>124528438.56463313</v>
      </c>
      <c r="I14" s="87">
        <f t="shared" ca="1" si="0"/>
        <v>121201241.36442441</v>
      </c>
      <c r="J14" s="87">
        <f t="shared" ca="1" si="0"/>
        <v>127997556.1397</v>
      </c>
      <c r="K14" s="87">
        <f t="shared" ca="1" si="0"/>
        <v>134933634.95379996</v>
      </c>
      <c r="L14" s="87">
        <f t="shared" ca="1" si="0"/>
        <v>138602995.704</v>
      </c>
      <c r="M14" s="87">
        <f t="shared" ca="1" si="0"/>
        <v>125176971.26817976</v>
      </c>
      <c r="N14" s="87">
        <f t="shared" ca="1" si="0"/>
        <v>121546281.01948225</v>
      </c>
      <c r="O14" s="144">
        <f t="shared" ca="1" si="0"/>
        <v>106450071.88804251</v>
      </c>
      <c r="P14" s="144">
        <f t="shared" ca="1" si="0"/>
        <v>91669214.31503424</v>
      </c>
      <c r="Q14" s="144">
        <f t="shared" ca="1" si="0"/>
        <v>100702487.62571028</v>
      </c>
      <c r="R14" s="75">
        <f t="shared" si="0"/>
        <v>0</v>
      </c>
      <c r="S14" s="75">
        <f t="shared" si="0"/>
        <v>0</v>
      </c>
      <c r="T14" s="75">
        <f t="shared" si="0"/>
        <v>0</v>
      </c>
      <c r="U14" s="75">
        <f t="shared" si="0"/>
        <v>0</v>
      </c>
      <c r="V14" s="75">
        <f t="shared" si="0"/>
        <v>0</v>
      </c>
      <c r="W14" s="75">
        <f t="shared" si="0"/>
        <v>0</v>
      </c>
      <c r="X14" s="75">
        <f t="shared" si="0"/>
        <v>0</v>
      </c>
      <c r="Y14" s="75">
        <f t="shared" si="0"/>
        <v>0</v>
      </c>
      <c r="Z14" s="75">
        <f t="shared" si="0"/>
        <v>0</v>
      </c>
      <c r="AA14" s="75">
        <f t="shared" si="0"/>
        <v>0</v>
      </c>
      <c r="AB14" s="75">
        <f t="shared" si="0"/>
        <v>0</v>
      </c>
      <c r="AC14" s="75">
        <f t="shared" si="0"/>
        <v>0</v>
      </c>
      <c r="AD14" s="75">
        <f t="shared" si="0"/>
        <v>0</v>
      </c>
      <c r="AE14" s="75">
        <f t="shared" si="0"/>
        <v>0</v>
      </c>
      <c r="AF14" s="75">
        <f t="shared" si="0"/>
        <v>0</v>
      </c>
      <c r="AG14" s="75">
        <f t="shared" si="0"/>
        <v>0</v>
      </c>
      <c r="AH14" s="75">
        <f t="shared" si="0"/>
        <v>0</v>
      </c>
      <c r="AI14" s="75">
        <f t="shared" si="0"/>
        <v>0</v>
      </c>
      <c r="AJ14" s="75">
        <f t="shared" si="0"/>
        <v>0</v>
      </c>
      <c r="AK14" s="75">
        <f t="shared" si="0"/>
        <v>0</v>
      </c>
      <c r="AL14" s="75">
        <f t="shared" si="0"/>
        <v>0</v>
      </c>
      <c r="AM14" s="75">
        <f t="shared" si="0"/>
        <v>0</v>
      </c>
      <c r="AN14" s="75">
        <f t="shared" si="0"/>
        <v>0</v>
      </c>
      <c r="AO14" s="75">
        <f t="shared" si="0"/>
        <v>0</v>
      </c>
      <c r="AP14" s="75">
        <f t="shared" si="0"/>
        <v>0</v>
      </c>
      <c r="AQ14" s="75">
        <f t="shared" si="0"/>
        <v>0</v>
      </c>
      <c r="AR14" s="75">
        <f t="shared" si="0"/>
        <v>0</v>
      </c>
      <c r="AS14" s="75">
        <f t="shared" si="0"/>
        <v>0</v>
      </c>
      <c r="AT14" s="75">
        <f t="shared" si="0"/>
        <v>0</v>
      </c>
      <c r="AU14" s="75">
        <f t="shared" si="0"/>
        <v>0</v>
      </c>
      <c r="AV14" s="75">
        <f t="shared" si="0"/>
        <v>0</v>
      </c>
      <c r="AW14" s="75">
        <f t="shared" si="0"/>
        <v>0</v>
      </c>
      <c r="AX14" s="75">
        <f t="shared" si="0"/>
        <v>0</v>
      </c>
    </row>
    <row r="15" spans="1:50">
      <c r="E15" s="68"/>
      <c r="F15" s="70"/>
      <c r="G15" s="71"/>
      <c r="Q15" s="78"/>
    </row>
    <row r="16" spans="1:50" s="57" customFormat="1">
      <c r="A16" s="47"/>
      <c r="B16" s="47" t="s">
        <v>194</v>
      </c>
      <c r="C16" s="57">
        <f t="shared" ref="C16:L16" ca="1" si="1">C5-C6-C8-C10-C12</f>
        <v>3.7252902984619141E-9</v>
      </c>
      <c r="D16" s="57">
        <f t="shared" ca="1" si="1"/>
        <v>0</v>
      </c>
      <c r="E16" s="57">
        <f t="shared" ca="1" si="1"/>
        <v>0</v>
      </c>
      <c r="F16" s="57">
        <f t="shared" ca="1" si="1"/>
        <v>0</v>
      </c>
      <c r="G16" s="57">
        <f t="shared" ca="1" si="1"/>
        <v>0</v>
      </c>
      <c r="H16" s="57">
        <f t="shared" ca="1" si="1"/>
        <v>0</v>
      </c>
      <c r="I16" s="57">
        <f t="shared" ca="1" si="1"/>
        <v>0</v>
      </c>
      <c r="J16" s="57">
        <f t="shared" ca="1" si="1"/>
        <v>0</v>
      </c>
      <c r="K16" s="57">
        <f t="shared" ca="1" si="1"/>
        <v>0</v>
      </c>
      <c r="L16" s="57">
        <f t="shared" ca="1" si="1"/>
        <v>0</v>
      </c>
      <c r="M16" s="57">
        <f ca="1">M5-M6-M8-M10-M12</f>
        <v>0</v>
      </c>
      <c r="N16" s="57">
        <f ca="1">N5-N6-N8-N10-N12</f>
        <v>0</v>
      </c>
      <c r="O16" s="145">
        <f t="shared" ref="O16:AX16" ca="1" si="2">O5-O6-O8-O10-O12</f>
        <v>0</v>
      </c>
      <c r="P16" s="145">
        <f t="shared" ca="1" si="2"/>
        <v>0</v>
      </c>
      <c r="Q16" s="145">
        <f t="shared" ca="1" si="2"/>
        <v>0</v>
      </c>
      <c r="R16" s="57">
        <f t="shared" si="2"/>
        <v>0</v>
      </c>
      <c r="S16" s="57">
        <f t="shared" si="2"/>
        <v>0</v>
      </c>
      <c r="T16" s="57">
        <f t="shared" si="2"/>
        <v>0</v>
      </c>
      <c r="U16" s="57">
        <f t="shared" si="2"/>
        <v>0</v>
      </c>
      <c r="V16" s="57">
        <f t="shared" si="2"/>
        <v>0</v>
      </c>
      <c r="W16" s="57">
        <f t="shared" si="2"/>
        <v>0</v>
      </c>
      <c r="X16" s="57">
        <f t="shared" si="2"/>
        <v>0</v>
      </c>
      <c r="Y16" s="57">
        <f t="shared" si="2"/>
        <v>0</v>
      </c>
      <c r="Z16" s="57">
        <f t="shared" si="2"/>
        <v>0</v>
      </c>
      <c r="AA16" s="57">
        <f t="shared" si="2"/>
        <v>0</v>
      </c>
      <c r="AB16" s="57">
        <f t="shared" si="2"/>
        <v>0</v>
      </c>
      <c r="AC16" s="57">
        <f t="shared" si="2"/>
        <v>0</v>
      </c>
      <c r="AD16" s="57">
        <f t="shared" si="2"/>
        <v>0</v>
      </c>
      <c r="AE16" s="57">
        <f t="shared" si="2"/>
        <v>0</v>
      </c>
      <c r="AF16" s="57">
        <f t="shared" si="2"/>
        <v>0</v>
      </c>
      <c r="AG16" s="57">
        <f t="shared" si="2"/>
        <v>0</v>
      </c>
      <c r="AH16" s="57">
        <f t="shared" si="2"/>
        <v>0</v>
      </c>
      <c r="AI16" s="57">
        <f t="shared" si="2"/>
        <v>0</v>
      </c>
      <c r="AJ16" s="57">
        <f t="shared" si="2"/>
        <v>0</v>
      </c>
      <c r="AK16" s="57">
        <f t="shared" si="2"/>
        <v>0</v>
      </c>
      <c r="AL16" s="57">
        <f t="shared" si="2"/>
        <v>0</v>
      </c>
      <c r="AM16" s="57">
        <f t="shared" si="2"/>
        <v>0</v>
      </c>
      <c r="AN16" s="57">
        <f t="shared" si="2"/>
        <v>0</v>
      </c>
      <c r="AO16" s="57">
        <f t="shared" si="2"/>
        <v>0</v>
      </c>
      <c r="AP16" s="57">
        <f t="shared" si="2"/>
        <v>0</v>
      </c>
      <c r="AQ16" s="57">
        <f t="shared" si="2"/>
        <v>0</v>
      </c>
      <c r="AR16" s="57">
        <f t="shared" si="2"/>
        <v>0</v>
      </c>
      <c r="AS16" s="57">
        <f t="shared" si="2"/>
        <v>0</v>
      </c>
      <c r="AT16" s="57">
        <f t="shared" si="2"/>
        <v>0</v>
      </c>
      <c r="AU16" s="57">
        <f t="shared" si="2"/>
        <v>0</v>
      </c>
      <c r="AV16" s="57">
        <f t="shared" si="2"/>
        <v>0</v>
      </c>
      <c r="AW16" s="57">
        <f t="shared" si="2"/>
        <v>0</v>
      </c>
      <c r="AX16" s="57">
        <f t="shared" si="2"/>
        <v>0</v>
      </c>
    </row>
    <row r="17" spans="1:50">
      <c r="B17" s="47" t="s">
        <v>195</v>
      </c>
      <c r="C17" s="58">
        <f ca="1">+C14-'jan22'!$G$45</f>
        <v>0</v>
      </c>
      <c r="D17" s="58">
        <f ca="1">+D14-'fev22'!$G$45</f>
        <v>0</v>
      </c>
      <c r="E17" s="58">
        <f ca="1">+E14-'mar22'!$G$45</f>
        <v>0</v>
      </c>
      <c r="F17" s="58">
        <f ca="1">+F14-'abr22'!$G$45</f>
        <v>0</v>
      </c>
      <c r="G17" s="58">
        <f ca="1">+'mai22'!$G$45-G14</f>
        <v>0</v>
      </c>
      <c r="H17" s="58">
        <f ca="1">+'jun22'!$G$45-H14</f>
        <v>0</v>
      </c>
      <c r="I17" s="58">
        <f ca="1">+'jul22'!$G$45-I14</f>
        <v>0</v>
      </c>
      <c r="J17" s="58">
        <f ca="1">+'ago22'!$G$44-J14</f>
        <v>0</v>
      </c>
      <c r="K17" s="58">
        <f ca="1">+'set22'!$G$46-K14</f>
        <v>0</v>
      </c>
      <c r="L17" s="58">
        <f ca="1">+'Out22'!$G$46-L14</f>
        <v>0</v>
      </c>
      <c r="M17" s="58">
        <f ca="1">+'Nov22'!$G$46-M14</f>
        <v>0</v>
      </c>
      <c r="N17" s="58">
        <f ca="1">+'Dez22'!$G$46-N14</f>
        <v>0</v>
      </c>
      <c r="O17" s="146">
        <f ca="1">+'Jan23'!$G$46-O14</f>
        <v>0</v>
      </c>
      <c r="P17" s="146">
        <f ca="1">+'Fev23'!$G$35-P14</f>
        <v>0</v>
      </c>
      <c r="Q17" s="146">
        <f ca="1">+'Mar23'!$G$42-Q14</f>
        <v>0</v>
      </c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</row>
    <row r="18" spans="1:50">
      <c r="C18" s="58"/>
      <c r="Q18" s="78"/>
    </row>
    <row r="19" spans="1:50">
      <c r="B19" s="47" t="s">
        <v>196</v>
      </c>
      <c r="C19" s="88">
        <f>+[1]Compra!C16</f>
        <v>52283426.392000005</v>
      </c>
      <c r="D19" s="88">
        <f>+[1]Compra!D16</f>
        <v>48822586.794814646</v>
      </c>
      <c r="E19" s="88">
        <f>+[1]Compra!E16</f>
        <v>54539154.124132246</v>
      </c>
      <c r="F19" s="88">
        <f>+[1]Compra!F16</f>
        <v>52424997.251474768</v>
      </c>
      <c r="G19" s="88">
        <f>+[1]Compra!G16</f>
        <v>53833411.612000056</v>
      </c>
      <c r="H19" s="88">
        <f>+[1]Compra!H16</f>
        <v>52335788.546073273</v>
      </c>
      <c r="I19" s="89">
        <f>+[1]Compra!I16-0.41</f>
        <v>51544765.099828444</v>
      </c>
      <c r="J19" s="88">
        <f>+[1]Compra!J16</f>
        <v>49548351.465792149</v>
      </c>
      <c r="K19" s="88">
        <f>+[1]Compra!K16</f>
        <v>53997153.128999993</v>
      </c>
      <c r="L19" s="88">
        <f>+[1]Compra!L16</f>
        <v>54709167.033999994</v>
      </c>
      <c r="M19" s="88">
        <f>+[1]Compra!M16</f>
        <v>50225945.735999994</v>
      </c>
      <c r="N19" s="88">
        <f>+[1]Compra!N16</f>
        <v>47635714.031482354</v>
      </c>
      <c r="O19" s="147">
        <f>[2]Compra!C16</f>
        <v>44625467.967178933</v>
      </c>
      <c r="P19" s="147">
        <f>[2]Compra!D16</f>
        <v>45807977.101466507</v>
      </c>
      <c r="Q19" s="147">
        <f>[2]Compra!E16</f>
        <v>50590613.600520179</v>
      </c>
    </row>
    <row r="20" spans="1:50">
      <c r="B20" s="47" t="s">
        <v>197</v>
      </c>
      <c r="C20" s="90">
        <v>2.0249999999999999</v>
      </c>
      <c r="D20" s="90">
        <v>2.0249999999999999</v>
      </c>
      <c r="E20" s="90">
        <v>2.0249999999999999</v>
      </c>
      <c r="F20" s="90">
        <v>2.0249999999999999</v>
      </c>
      <c r="G20" s="90">
        <v>2.3624999999999998</v>
      </c>
      <c r="H20" s="90">
        <v>2.3624999999999998</v>
      </c>
      <c r="I20" s="90">
        <v>2.3624999999999998</v>
      </c>
      <c r="J20" s="90">
        <v>2.5874999999999999</v>
      </c>
      <c r="K20" s="91">
        <v>2.5874999999999999</v>
      </c>
      <c r="L20" s="91">
        <v>2.5874999999999999</v>
      </c>
      <c r="M20" s="91">
        <v>2.4807999999999999</v>
      </c>
      <c r="N20" s="91">
        <f>M20</f>
        <v>2.4807999999999999</v>
      </c>
      <c r="O20" s="148">
        <f>+N20</f>
        <v>2.4807999999999999</v>
      </c>
      <c r="P20" s="148">
        <v>2.0659000000000001</v>
      </c>
      <c r="Q20" s="148">
        <f>P20</f>
        <v>2.0659000000000001</v>
      </c>
    </row>
    <row r="21" spans="1:50" s="76" customFormat="1" ht="15">
      <c r="A21" s="47"/>
      <c r="B21" s="120" t="s">
        <v>198</v>
      </c>
      <c r="C21" s="92">
        <f>+C20*C19</f>
        <v>105873938.4438</v>
      </c>
      <c r="D21" s="92">
        <f t="shared" ref="D21:AX21" si="3">+D20*D19</f>
        <v>98865738.259499654</v>
      </c>
      <c r="E21" s="92">
        <f t="shared" si="3"/>
        <v>110441787.10136779</v>
      </c>
      <c r="F21" s="92">
        <f t="shared" si="3"/>
        <v>106160619.43423641</v>
      </c>
      <c r="G21" s="92">
        <f t="shared" si="3"/>
        <v>127181434.93335012</v>
      </c>
      <c r="H21" s="92">
        <f t="shared" si="3"/>
        <v>123643300.44009809</v>
      </c>
      <c r="I21" s="92">
        <f t="shared" si="3"/>
        <v>121774507.54834469</v>
      </c>
      <c r="J21" s="92">
        <f t="shared" si="3"/>
        <v>128206359.41773719</v>
      </c>
      <c r="K21" s="92">
        <f t="shared" si="3"/>
        <v>139717633.72128749</v>
      </c>
      <c r="L21" s="92">
        <f t="shared" si="3"/>
        <v>141559969.70047498</v>
      </c>
      <c r="M21" s="92">
        <f t="shared" si="3"/>
        <v>124600526.18186878</v>
      </c>
      <c r="N21" s="92">
        <f t="shared" si="3"/>
        <v>118174679.36930142</v>
      </c>
      <c r="O21" s="149">
        <f t="shared" si="3"/>
        <v>110706860.9329775</v>
      </c>
      <c r="P21" s="149">
        <f t="shared" si="3"/>
        <v>94634699.893919662</v>
      </c>
      <c r="Q21" s="149">
        <f t="shared" si="3"/>
        <v>104515148.63731465</v>
      </c>
      <c r="R21" s="77">
        <f t="shared" si="3"/>
        <v>0</v>
      </c>
      <c r="S21" s="77">
        <f t="shared" si="3"/>
        <v>0</v>
      </c>
      <c r="T21" s="77">
        <f t="shared" si="3"/>
        <v>0</v>
      </c>
      <c r="U21" s="77">
        <f t="shared" si="3"/>
        <v>0</v>
      </c>
      <c r="V21" s="77">
        <f t="shared" si="3"/>
        <v>0</v>
      </c>
      <c r="W21" s="77">
        <f t="shared" si="3"/>
        <v>0</v>
      </c>
      <c r="X21" s="77">
        <f t="shared" si="3"/>
        <v>0</v>
      </c>
      <c r="Y21" s="77">
        <f t="shared" si="3"/>
        <v>0</v>
      </c>
      <c r="Z21" s="77">
        <f t="shared" si="3"/>
        <v>0</v>
      </c>
      <c r="AA21" s="77">
        <f t="shared" si="3"/>
        <v>0</v>
      </c>
      <c r="AB21" s="77">
        <f t="shared" si="3"/>
        <v>0</v>
      </c>
      <c r="AC21" s="77">
        <f t="shared" si="3"/>
        <v>0</v>
      </c>
      <c r="AD21" s="77">
        <f t="shared" si="3"/>
        <v>0</v>
      </c>
      <c r="AE21" s="77">
        <f t="shared" si="3"/>
        <v>0</v>
      </c>
      <c r="AF21" s="77">
        <f t="shared" si="3"/>
        <v>0</v>
      </c>
      <c r="AG21" s="77">
        <f t="shared" si="3"/>
        <v>0</v>
      </c>
      <c r="AH21" s="77">
        <f t="shared" si="3"/>
        <v>0</v>
      </c>
      <c r="AI21" s="77">
        <f t="shared" si="3"/>
        <v>0</v>
      </c>
      <c r="AJ21" s="77">
        <f t="shared" si="3"/>
        <v>0</v>
      </c>
      <c r="AK21" s="77">
        <f t="shared" si="3"/>
        <v>0</v>
      </c>
      <c r="AL21" s="77">
        <f t="shared" si="3"/>
        <v>0</v>
      </c>
      <c r="AM21" s="77">
        <f t="shared" si="3"/>
        <v>0</v>
      </c>
      <c r="AN21" s="77">
        <f t="shared" si="3"/>
        <v>0</v>
      </c>
      <c r="AO21" s="77">
        <f t="shared" si="3"/>
        <v>0</v>
      </c>
      <c r="AP21" s="77">
        <f t="shared" si="3"/>
        <v>0</v>
      </c>
      <c r="AQ21" s="77">
        <f t="shared" si="3"/>
        <v>0</v>
      </c>
      <c r="AR21" s="77">
        <f t="shared" si="3"/>
        <v>0</v>
      </c>
      <c r="AS21" s="77">
        <f t="shared" si="3"/>
        <v>0</v>
      </c>
      <c r="AT21" s="77">
        <f t="shared" si="3"/>
        <v>0</v>
      </c>
      <c r="AU21" s="77">
        <f t="shared" si="3"/>
        <v>0</v>
      </c>
      <c r="AV21" s="77">
        <f t="shared" si="3"/>
        <v>0</v>
      </c>
      <c r="AW21" s="77">
        <f t="shared" si="3"/>
        <v>0</v>
      </c>
      <c r="AX21" s="77">
        <f t="shared" si="3"/>
        <v>0</v>
      </c>
    </row>
    <row r="22" spans="1:50" s="78" customFormat="1" ht="15">
      <c r="A22" s="47"/>
      <c r="B22" s="129" t="s">
        <v>199</v>
      </c>
      <c r="C22" s="128">
        <f ca="1">+ROUND(C14-C21,2)-0.02</f>
        <v>-1085398.77</v>
      </c>
      <c r="D22" s="127">
        <f t="shared" ref="D22:AX22" ca="1" si="4">+ROUND(D14-D21,2)</f>
        <v>-1658403.63</v>
      </c>
      <c r="E22" s="127">
        <f t="shared" ca="1" si="4"/>
        <v>-1707765.77</v>
      </c>
      <c r="F22" s="127">
        <f t="shared" ca="1" si="4"/>
        <v>-1527072.72</v>
      </c>
      <c r="G22" s="127">
        <f t="shared" ca="1" si="4"/>
        <v>-359783.08</v>
      </c>
      <c r="H22" s="127">
        <f t="shared" ca="1" si="4"/>
        <v>885138.12</v>
      </c>
      <c r="I22" s="127">
        <f ca="1">+ROUND(I14-I21,2)-0.01</f>
        <v>-573266.19000000006</v>
      </c>
      <c r="J22" s="127">
        <f t="shared" ca="1" si="4"/>
        <v>-208803.28</v>
      </c>
      <c r="K22" s="127">
        <f t="shared" ca="1" si="4"/>
        <v>-4783998.7699999996</v>
      </c>
      <c r="L22" s="127">
        <f ca="1">+ROUND(L14-L21,2)</f>
        <v>-2956974</v>
      </c>
      <c r="M22" s="127">
        <f t="shared" ca="1" si="4"/>
        <v>576445.09</v>
      </c>
      <c r="N22" s="127">
        <f t="shared" ca="1" si="4"/>
        <v>3371601.65</v>
      </c>
      <c r="O22" s="131">
        <f t="shared" ca="1" si="4"/>
        <v>-4256789.04</v>
      </c>
      <c r="P22" s="131">
        <f ca="1">+ROUND(P14-P21,2)</f>
        <v>-2965485.58</v>
      </c>
      <c r="Q22" s="131">
        <f t="shared" ca="1" si="4"/>
        <v>-3812661.01</v>
      </c>
      <c r="R22" s="131">
        <f t="shared" si="4"/>
        <v>0</v>
      </c>
      <c r="S22" s="131">
        <f t="shared" si="4"/>
        <v>0</v>
      </c>
      <c r="T22" s="131">
        <f t="shared" si="4"/>
        <v>0</v>
      </c>
      <c r="U22" s="131">
        <f t="shared" si="4"/>
        <v>0</v>
      </c>
      <c r="V22" s="131">
        <f t="shared" si="4"/>
        <v>0</v>
      </c>
      <c r="W22" s="131">
        <f t="shared" si="4"/>
        <v>0</v>
      </c>
      <c r="X22" s="131">
        <f t="shared" si="4"/>
        <v>0</v>
      </c>
      <c r="Y22" s="131">
        <f t="shared" si="4"/>
        <v>0</v>
      </c>
      <c r="Z22" s="131">
        <f t="shared" si="4"/>
        <v>0</v>
      </c>
      <c r="AA22" s="131">
        <f t="shared" si="4"/>
        <v>0</v>
      </c>
      <c r="AB22" s="131">
        <f t="shared" si="4"/>
        <v>0</v>
      </c>
      <c r="AC22" s="131">
        <f t="shared" si="4"/>
        <v>0</v>
      </c>
      <c r="AD22" s="131">
        <f t="shared" si="4"/>
        <v>0</v>
      </c>
      <c r="AE22" s="131">
        <f t="shared" si="4"/>
        <v>0</v>
      </c>
      <c r="AF22" s="131">
        <f t="shared" si="4"/>
        <v>0</v>
      </c>
      <c r="AG22" s="131">
        <f t="shared" si="4"/>
        <v>0</v>
      </c>
      <c r="AH22" s="131">
        <f t="shared" si="4"/>
        <v>0</v>
      </c>
      <c r="AI22" s="131">
        <f t="shared" si="4"/>
        <v>0</v>
      </c>
      <c r="AJ22" s="131">
        <f t="shared" si="4"/>
        <v>0</v>
      </c>
      <c r="AK22" s="131">
        <f t="shared" si="4"/>
        <v>0</v>
      </c>
      <c r="AL22" s="131">
        <f t="shared" si="4"/>
        <v>0</v>
      </c>
      <c r="AM22" s="131">
        <f t="shared" si="4"/>
        <v>0</v>
      </c>
      <c r="AN22" s="131">
        <f t="shared" si="4"/>
        <v>0</v>
      </c>
      <c r="AO22" s="131">
        <f t="shared" si="4"/>
        <v>0</v>
      </c>
      <c r="AP22" s="131">
        <f t="shared" si="4"/>
        <v>0</v>
      </c>
      <c r="AQ22" s="131">
        <f t="shared" si="4"/>
        <v>0</v>
      </c>
      <c r="AR22" s="131">
        <f t="shared" si="4"/>
        <v>0</v>
      </c>
      <c r="AS22" s="131">
        <f t="shared" si="4"/>
        <v>0</v>
      </c>
      <c r="AT22" s="131">
        <f t="shared" si="4"/>
        <v>0</v>
      </c>
      <c r="AU22" s="131">
        <f t="shared" si="4"/>
        <v>0</v>
      </c>
      <c r="AV22" s="131">
        <f t="shared" si="4"/>
        <v>0</v>
      </c>
      <c r="AW22" s="131">
        <f t="shared" si="4"/>
        <v>0</v>
      </c>
      <c r="AX22" s="131">
        <f t="shared" si="4"/>
        <v>0</v>
      </c>
    </row>
    <row r="23" spans="1:50" ht="15">
      <c r="C23" s="45"/>
      <c r="D23" s="45"/>
      <c r="E23" s="45"/>
      <c r="F23" s="45"/>
      <c r="G23" s="45"/>
      <c r="H23" s="45"/>
      <c r="I23" s="45"/>
      <c r="J23" s="45"/>
      <c r="K23" s="45"/>
      <c r="Q23" s="78"/>
    </row>
    <row r="24" spans="1:50">
      <c r="C24" s="72"/>
      <c r="D24" s="72"/>
      <c r="E24" s="72"/>
      <c r="F24" s="72"/>
      <c r="G24" s="72"/>
      <c r="H24" s="72"/>
      <c r="I24" s="72"/>
      <c r="J24" s="72"/>
      <c r="K24" s="72"/>
      <c r="Q24" s="78"/>
    </row>
    <row r="25" spans="1:50" ht="16.5" thickBot="1">
      <c r="B25" s="50" t="s">
        <v>200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139"/>
      <c r="P25" s="139"/>
      <c r="Q25" s="139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</row>
    <row r="26" spans="1:50" ht="15" customHeight="1" thickTop="1">
      <c r="B26" s="47" t="s">
        <v>201</v>
      </c>
      <c r="C26" s="93"/>
      <c r="D26" s="93">
        <f>243025.843*(1-0.0925)</f>
        <v>220545.95252249998</v>
      </c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150">
        <f>135045.54*(1-0.0925)</f>
        <v>122553.82755</v>
      </c>
      <c r="P26" s="150">
        <f>1681442.02*(1-0.0925)</f>
        <v>1525908.6331499999</v>
      </c>
      <c r="Q26" s="150">
        <f>131984.6*(1-0.0925)</f>
        <v>119776.0245</v>
      </c>
    </row>
    <row r="27" spans="1:50">
      <c r="B27" s="47" t="s">
        <v>202</v>
      </c>
      <c r="C27" s="93"/>
      <c r="D27" s="93"/>
      <c r="E27" s="93"/>
      <c r="F27" s="93"/>
      <c r="G27" s="93"/>
      <c r="H27" s="93"/>
      <c r="I27" s="93"/>
      <c r="J27" s="93"/>
      <c r="K27" s="93">
        <f>805908.11+1914773.18+1753466.83+1778422.71+2524809.58+2284401.24+1797977.17+2097618.41-1189527.68-0.01</f>
        <v>13767849.540000001</v>
      </c>
      <c r="L27" s="93">
        <v>668514.68000000005</v>
      </c>
      <c r="M27" s="93">
        <v>715429.65</v>
      </c>
      <c r="N27" s="93">
        <v>4156982.04</v>
      </c>
      <c r="O27" s="150">
        <f>4824093.72-152202.14</f>
        <v>4671891.58</v>
      </c>
      <c r="P27" s="150"/>
      <c r="Q27" s="15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</row>
    <row r="28" spans="1:50" s="76" customFormat="1" ht="15">
      <c r="A28" s="47"/>
      <c r="B28" s="121" t="s">
        <v>203</v>
      </c>
      <c r="C28" s="132">
        <f>+C27+C26</f>
        <v>0</v>
      </c>
      <c r="D28" s="132">
        <f t="shared" ref="D28:AX28" si="5">+D27+D26</f>
        <v>220545.95252249998</v>
      </c>
      <c r="E28" s="132">
        <f t="shared" si="5"/>
        <v>0</v>
      </c>
      <c r="F28" s="132">
        <f t="shared" si="5"/>
        <v>0</v>
      </c>
      <c r="G28" s="132">
        <f t="shared" si="5"/>
        <v>0</v>
      </c>
      <c r="H28" s="132">
        <f t="shared" si="5"/>
        <v>0</v>
      </c>
      <c r="I28" s="132">
        <f t="shared" si="5"/>
        <v>0</v>
      </c>
      <c r="J28" s="127">
        <f t="shared" si="5"/>
        <v>0</v>
      </c>
      <c r="K28" s="128">
        <f t="shared" si="5"/>
        <v>13767849.540000001</v>
      </c>
      <c r="L28" s="128">
        <f t="shared" si="5"/>
        <v>668514.68000000005</v>
      </c>
      <c r="M28" s="128">
        <f t="shared" si="5"/>
        <v>715429.65</v>
      </c>
      <c r="N28" s="128">
        <f t="shared" si="5"/>
        <v>4156982.04</v>
      </c>
      <c r="O28" s="131">
        <f t="shared" si="5"/>
        <v>4794445.4075499997</v>
      </c>
      <c r="P28" s="131">
        <f t="shared" si="5"/>
        <v>1525908.6331499999</v>
      </c>
      <c r="Q28" s="131">
        <f t="shared" si="5"/>
        <v>119776.0245</v>
      </c>
      <c r="R28" s="127">
        <f t="shared" si="5"/>
        <v>0</v>
      </c>
      <c r="S28" s="127">
        <f t="shared" si="5"/>
        <v>0</v>
      </c>
      <c r="T28" s="127">
        <f t="shared" si="5"/>
        <v>0</v>
      </c>
      <c r="U28" s="127">
        <f t="shared" si="5"/>
        <v>0</v>
      </c>
      <c r="V28" s="127">
        <f t="shared" si="5"/>
        <v>0</v>
      </c>
      <c r="W28" s="127">
        <f t="shared" si="5"/>
        <v>0</v>
      </c>
      <c r="X28" s="127">
        <f t="shared" si="5"/>
        <v>0</v>
      </c>
      <c r="Y28" s="127">
        <f t="shared" si="5"/>
        <v>0</v>
      </c>
      <c r="Z28" s="127">
        <f t="shared" si="5"/>
        <v>0</v>
      </c>
      <c r="AA28" s="127">
        <f t="shared" si="5"/>
        <v>0</v>
      </c>
      <c r="AB28" s="127">
        <f t="shared" si="5"/>
        <v>0</v>
      </c>
      <c r="AC28" s="127">
        <f t="shared" si="5"/>
        <v>0</v>
      </c>
      <c r="AD28" s="127">
        <f t="shared" si="5"/>
        <v>0</v>
      </c>
      <c r="AE28" s="127">
        <f t="shared" si="5"/>
        <v>0</v>
      </c>
      <c r="AF28" s="127">
        <f t="shared" si="5"/>
        <v>0</v>
      </c>
      <c r="AG28" s="127">
        <f t="shared" si="5"/>
        <v>0</v>
      </c>
      <c r="AH28" s="127">
        <f t="shared" si="5"/>
        <v>0</v>
      </c>
      <c r="AI28" s="127">
        <f t="shared" si="5"/>
        <v>0</v>
      </c>
      <c r="AJ28" s="127">
        <f t="shared" si="5"/>
        <v>0</v>
      </c>
      <c r="AK28" s="127">
        <f t="shared" si="5"/>
        <v>0</v>
      </c>
      <c r="AL28" s="127">
        <f t="shared" si="5"/>
        <v>0</v>
      </c>
      <c r="AM28" s="127">
        <f t="shared" si="5"/>
        <v>0</v>
      </c>
      <c r="AN28" s="127">
        <f t="shared" si="5"/>
        <v>0</v>
      </c>
      <c r="AO28" s="127">
        <f t="shared" si="5"/>
        <v>0</v>
      </c>
      <c r="AP28" s="127">
        <f t="shared" si="5"/>
        <v>0</v>
      </c>
      <c r="AQ28" s="127">
        <f t="shared" si="5"/>
        <v>0</v>
      </c>
      <c r="AR28" s="127">
        <f t="shared" si="5"/>
        <v>0</v>
      </c>
      <c r="AS28" s="127">
        <f t="shared" si="5"/>
        <v>0</v>
      </c>
      <c r="AT28" s="127">
        <f t="shared" si="5"/>
        <v>0</v>
      </c>
      <c r="AU28" s="127">
        <f t="shared" si="5"/>
        <v>0</v>
      </c>
      <c r="AV28" s="127">
        <f t="shared" si="5"/>
        <v>0</v>
      </c>
      <c r="AW28" s="127">
        <f t="shared" si="5"/>
        <v>0</v>
      </c>
      <c r="AX28" s="127">
        <f t="shared" si="5"/>
        <v>0</v>
      </c>
    </row>
    <row r="29" spans="1:50">
      <c r="Q29" s="78"/>
    </row>
    <row r="30" spans="1:50" ht="16.5" thickBot="1">
      <c r="B30" s="50" t="s">
        <v>204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139"/>
      <c r="P30" s="139"/>
      <c r="Q30" s="139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</row>
    <row r="31" spans="1:50" ht="15.75" thickTop="1">
      <c r="B31" s="52" t="s">
        <v>205</v>
      </c>
      <c r="C31" s="61"/>
      <c r="D31" s="61"/>
      <c r="E31" s="61"/>
      <c r="F31" s="61"/>
      <c r="G31" s="61"/>
      <c r="H31" s="61"/>
      <c r="I31" s="52"/>
      <c r="J31" s="52"/>
      <c r="K31" s="52"/>
      <c r="L31" s="52"/>
      <c r="M31" s="52"/>
      <c r="N31" s="52"/>
      <c r="O31" s="151"/>
      <c r="P31" s="151"/>
      <c r="Q31" s="151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</row>
    <row r="32" spans="1:50">
      <c r="B32" s="47" t="s">
        <v>206</v>
      </c>
      <c r="C32" s="94">
        <f>SUM([5]Janeiro.22!$H$9:$H$23)*(1-0.0925)</f>
        <v>700291.01505000016</v>
      </c>
      <c r="D32" s="94">
        <f>[5]Fevereiro.22!$H$31*(1-0.0925)</f>
        <v>395889.75112500001</v>
      </c>
      <c r="E32" s="94">
        <f>[5]Março.22!$H$31*(1-0.0925)</f>
        <v>324342.50557499996</v>
      </c>
      <c r="F32" s="94">
        <f>[5]Abril.22!$H$33*(1-0.0925)</f>
        <v>640982.90437499993</v>
      </c>
      <c r="G32" s="94">
        <f>[5]Maio.22!$H$34*(1-0.0925)</f>
        <v>845714.71380000003</v>
      </c>
      <c r="H32" s="94">
        <f>[5]Junho.22!$H$39*(1-0.0925)</f>
        <v>1585190.843775</v>
      </c>
      <c r="I32" s="94">
        <f>+[5]Julho.22!$H$31*(1-0.0925)</f>
        <v>1608753.9633000002</v>
      </c>
      <c r="J32" s="93">
        <f>+[5]Agosto.22!$H$31*(1-0.0925)</f>
        <v>887626.10392499994</v>
      </c>
      <c r="K32" s="93">
        <f>+[5]Setembro.22!$H$35*(1-0.0925)+31262.82*(1-0.0925)</f>
        <v>851792.94915</v>
      </c>
      <c r="L32" s="93">
        <f>[5]Outubro.22!$H$33*(1-0.0925)</f>
        <v>1849371.1269</v>
      </c>
      <c r="M32" s="93">
        <f>[5]Novembro.22!$D$35*(1-0.0925)</f>
        <v>1763785.5914250002</v>
      </c>
      <c r="N32" s="93">
        <f>+[5]Dezembro.22!$D$33*(1-0.0925)</f>
        <v>1552302.1181249998</v>
      </c>
      <c r="O32" s="150">
        <f>[5]Janeiro.23!$D$41*(1-0.0925)</f>
        <v>727853.60504999978</v>
      </c>
      <c r="P32" s="150">
        <f>[5]Fevereiro.23!$D$38*(1-0.0925)</f>
        <v>644214.97470000002</v>
      </c>
      <c r="Q32" s="150">
        <f>[5]Março.23!$D$33*(1-0.0925)</f>
        <v>868252.70317499992</v>
      </c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</row>
    <row r="33" spans="1:50">
      <c r="B33" s="47" t="s">
        <v>207</v>
      </c>
      <c r="C33" s="94">
        <f>[5]Janeiro.22!$H$24*(1-0.0925)</f>
        <v>38019.358574999998</v>
      </c>
      <c r="D33" s="94">
        <f>[5]Fevereiro.22!$H$32*(1-0.0925)</f>
        <v>54574.245824999998</v>
      </c>
      <c r="E33" s="94">
        <f>[5]Março.22!$H$32*(1-0.0925)</f>
        <v>156880.77734999999</v>
      </c>
      <c r="F33" s="94">
        <f>[5]Abril.22!$H$34*(1-0.0925)</f>
        <v>241953.23955</v>
      </c>
      <c r="G33" s="94">
        <f>([5]Maio.22!$H$35-61888)*(1-0.0925)</f>
        <v>435496.23644999991</v>
      </c>
      <c r="H33" s="94">
        <f>[5]Junho.22!$H$40*(1-0.0925)</f>
        <v>157100.70997500001</v>
      </c>
      <c r="I33" s="94">
        <f>+[5]Julho.22!$H$32*(1-0.0925)</f>
        <v>341793.08624999999</v>
      </c>
      <c r="J33" s="93">
        <f>+[5]Agosto.22!$H$32*(1-0.0925)</f>
        <v>752332.56449999998</v>
      </c>
      <c r="K33" s="93">
        <f>+[5]Setembro.22!$H$36*(1-0.0925)</f>
        <v>1995042.9633750001</v>
      </c>
      <c r="L33" s="93">
        <f>[5]Outubro.22!$H$34*(1-0.0925)</f>
        <v>114397.099575</v>
      </c>
      <c r="M33" s="93">
        <f>[5]Novembro.22!$D$36*(1-0.0925)</f>
        <v>115414.570425</v>
      </c>
      <c r="N33" s="93">
        <f>+[5]Dezembro.22!$D$34*(1-0.0925)</f>
        <v>559149.56377500005</v>
      </c>
      <c r="O33" s="150">
        <f>[5]Janeiro.23!$D$42*(1-0.0925)</f>
        <v>4105757.2470749998</v>
      </c>
      <c r="P33" s="150">
        <f>[5]Fevereiro.23!$D$39*(1-0.0925)</f>
        <v>3395112.5009999997</v>
      </c>
      <c r="Q33" s="150">
        <f>[5]Março.23!$D$34*(1-0.0925)</f>
        <v>164978.14575</v>
      </c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</row>
    <row r="34" spans="1:50">
      <c r="B34" s="47" t="s">
        <v>17</v>
      </c>
      <c r="C34" s="93"/>
      <c r="D34" s="93"/>
      <c r="E34" s="93"/>
      <c r="F34" s="93"/>
      <c r="G34" s="93"/>
      <c r="H34" s="93"/>
      <c r="I34" s="91"/>
      <c r="J34" s="93"/>
      <c r="K34" s="93"/>
      <c r="L34" s="93"/>
      <c r="M34" s="93"/>
      <c r="N34" s="93"/>
      <c r="O34" s="150"/>
      <c r="P34" s="150"/>
      <c r="Q34" s="150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</row>
    <row r="35" spans="1:50">
      <c r="B35" s="47" t="s">
        <v>33</v>
      </c>
      <c r="C35" s="93"/>
      <c r="D35" s="93"/>
      <c r="E35" s="93"/>
      <c r="F35" s="93"/>
      <c r="G35" s="93"/>
      <c r="H35" s="93"/>
      <c r="I35" s="91"/>
      <c r="J35" s="93"/>
      <c r="K35" s="93">
        <f>56229.58*(1-0.0925)</f>
        <v>51028.343849999997</v>
      </c>
      <c r="L35" s="93"/>
      <c r="M35" s="93"/>
      <c r="N35" s="93"/>
      <c r="O35" s="150"/>
      <c r="P35" s="150"/>
      <c r="Q35" s="150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</row>
    <row r="36" spans="1:50">
      <c r="B36" s="47" t="s">
        <v>208</v>
      </c>
      <c r="C36" s="93">
        <f>8279.03*(1-0.0925)</f>
        <v>7513.2197249999999</v>
      </c>
      <c r="D36" s="93"/>
      <c r="E36" s="93"/>
      <c r="F36" s="93"/>
      <c r="G36" s="93"/>
      <c r="H36" s="93"/>
      <c r="I36" s="91"/>
      <c r="J36" s="93"/>
      <c r="K36" s="93"/>
      <c r="L36" s="91"/>
      <c r="M36" s="91"/>
      <c r="N36" s="91"/>
      <c r="O36" s="148"/>
      <c r="P36" s="148"/>
      <c r="Q36" s="148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</row>
    <row r="37" spans="1:50">
      <c r="B37" s="47" t="s">
        <v>209</v>
      </c>
      <c r="C37" s="93"/>
      <c r="D37" s="93"/>
      <c r="E37" s="93"/>
      <c r="F37" s="93"/>
      <c r="G37" s="93"/>
      <c r="H37" s="93"/>
      <c r="I37" s="91"/>
      <c r="J37" s="93"/>
      <c r="K37" s="93"/>
      <c r="L37" s="91"/>
      <c r="M37" s="91"/>
      <c r="N37" s="91"/>
      <c r="O37" s="148"/>
      <c r="P37" s="148"/>
      <c r="Q37" s="148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</row>
    <row r="38" spans="1:50" ht="15">
      <c r="B38" s="52" t="s">
        <v>210</v>
      </c>
      <c r="C38" s="95">
        <f>SUM(C32:C37)</f>
        <v>745823.5933500001</v>
      </c>
      <c r="D38" s="95">
        <f t="shared" ref="D38:AJ38" si="6">SUM(D32:D37)</f>
        <v>450463.99695</v>
      </c>
      <c r="E38" s="95">
        <f t="shared" si="6"/>
        <v>481223.28292499995</v>
      </c>
      <c r="F38" s="95">
        <f t="shared" si="6"/>
        <v>882936.14392499998</v>
      </c>
      <c r="G38" s="95">
        <f t="shared" si="6"/>
        <v>1281210.95025</v>
      </c>
      <c r="H38" s="95">
        <f t="shared" si="6"/>
        <v>1742291.55375</v>
      </c>
      <c r="I38" s="95">
        <f t="shared" si="6"/>
        <v>1950547.0495500001</v>
      </c>
      <c r="J38" s="95">
        <f t="shared" si="6"/>
        <v>1639958.6684249998</v>
      </c>
      <c r="K38" s="95">
        <f t="shared" si="6"/>
        <v>2897864.2563749999</v>
      </c>
      <c r="L38" s="95">
        <f t="shared" si="6"/>
        <v>1963768.2264749999</v>
      </c>
      <c r="M38" s="95">
        <f t="shared" si="6"/>
        <v>1879200.1618500003</v>
      </c>
      <c r="N38" s="95">
        <f t="shared" si="6"/>
        <v>2111451.6818999997</v>
      </c>
      <c r="O38" s="152">
        <f t="shared" si="6"/>
        <v>4833610.8521249993</v>
      </c>
      <c r="P38" s="152">
        <f t="shared" si="6"/>
        <v>4039327.4756999998</v>
      </c>
      <c r="Q38" s="152">
        <f t="shared" si="6"/>
        <v>1033230.8489249999</v>
      </c>
      <c r="R38" s="61">
        <f t="shared" si="6"/>
        <v>0</v>
      </c>
      <c r="S38" s="61">
        <f t="shared" si="6"/>
        <v>0</v>
      </c>
      <c r="T38" s="61">
        <f t="shared" si="6"/>
        <v>0</v>
      </c>
      <c r="U38" s="61">
        <f t="shared" si="6"/>
        <v>0</v>
      </c>
      <c r="V38" s="61">
        <f t="shared" si="6"/>
        <v>0</v>
      </c>
      <c r="W38" s="61">
        <f t="shared" si="6"/>
        <v>0</v>
      </c>
      <c r="X38" s="61">
        <f t="shared" si="6"/>
        <v>0</v>
      </c>
      <c r="Y38" s="61">
        <f t="shared" si="6"/>
        <v>0</v>
      </c>
      <c r="Z38" s="61">
        <f t="shared" si="6"/>
        <v>0</v>
      </c>
      <c r="AA38" s="61">
        <f t="shared" si="6"/>
        <v>0</v>
      </c>
      <c r="AB38" s="61">
        <f t="shared" si="6"/>
        <v>0</v>
      </c>
      <c r="AC38" s="61">
        <f t="shared" si="6"/>
        <v>0</v>
      </c>
      <c r="AD38" s="61">
        <f t="shared" si="6"/>
        <v>0</v>
      </c>
      <c r="AE38" s="61">
        <f t="shared" si="6"/>
        <v>0</v>
      </c>
      <c r="AF38" s="61">
        <f t="shared" si="6"/>
        <v>0</v>
      </c>
      <c r="AG38" s="61">
        <f t="shared" si="6"/>
        <v>0</v>
      </c>
      <c r="AH38" s="61">
        <f t="shared" si="6"/>
        <v>0</v>
      </c>
      <c r="AI38" s="61">
        <f t="shared" si="6"/>
        <v>0</v>
      </c>
      <c r="AJ38" s="61">
        <f t="shared" si="6"/>
        <v>0</v>
      </c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</row>
    <row r="39" spans="1:50" ht="15">
      <c r="B39" s="52" t="s">
        <v>211</v>
      </c>
      <c r="C39" s="95"/>
      <c r="D39" s="95"/>
      <c r="E39" s="95"/>
      <c r="F39" s="95"/>
      <c r="G39" s="95"/>
      <c r="H39" s="95"/>
      <c r="I39" s="96"/>
      <c r="J39" s="96"/>
      <c r="K39" s="96"/>
      <c r="L39" s="96"/>
      <c r="M39" s="96"/>
      <c r="N39" s="96"/>
      <c r="O39" s="153"/>
      <c r="P39" s="153"/>
      <c r="Q39" s="153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</row>
    <row r="40" spans="1:50">
      <c r="B40" s="47" t="s">
        <v>17</v>
      </c>
      <c r="C40" s="94">
        <f>26042.77*(1-0.0925)</f>
        <v>23633.813774999999</v>
      </c>
      <c r="D40" s="94">
        <f>(192374.9 + 23529.42)*(1-0.0925)</f>
        <v>195933.1704</v>
      </c>
      <c r="E40" s="94"/>
      <c r="F40" s="94"/>
      <c r="G40" s="94"/>
      <c r="H40" s="94">
        <f>(12648.9+36486.88)*(1-0.0925)</f>
        <v>44590.720349999996</v>
      </c>
      <c r="I40" s="94"/>
      <c r="J40" s="97"/>
      <c r="K40" s="97"/>
      <c r="L40" s="91"/>
      <c r="M40" s="94">
        <f>110071.45*(1-0.0925)</f>
        <v>99889.840874999994</v>
      </c>
      <c r="N40" s="94">
        <f>5449.28*(1-0.0925)</f>
        <v>4945.2215999999999</v>
      </c>
      <c r="O40" s="154"/>
      <c r="P40" s="154">
        <f>(2245.39*(1-0.0925))+(5259.94*(1-0.0925))</f>
        <v>6811.0869749999993</v>
      </c>
      <c r="Q40" s="154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</row>
    <row r="41" spans="1:50">
      <c r="B41" s="47" t="s">
        <v>33</v>
      </c>
      <c r="C41" s="94"/>
      <c r="D41" s="94">
        <f>270663.93*(1-0.0925)</f>
        <v>245627.51647499998</v>
      </c>
      <c r="E41" s="94">
        <f xml:space="preserve"> (459879.86+336269.75)*(1-0.0925)</f>
        <v>722505.77107499994</v>
      </c>
      <c r="F41" s="94"/>
      <c r="G41" s="94">
        <f>435624.57*(1-0.0925)</f>
        <v>395329.29727500002</v>
      </c>
      <c r="H41" s="94">
        <f>(624941.56+14970.26+ 617165.31)*(1-0.0925)</f>
        <v>1140797.495475</v>
      </c>
      <c r="I41" s="94">
        <f>307220.02*(1-0.0925)</f>
        <v>278802.16814999998</v>
      </c>
      <c r="J41" s="94">
        <f>250943.94*(1-0.0925)</f>
        <v>227731.62555</v>
      </c>
      <c r="K41" s="94"/>
      <c r="L41" s="94">
        <f>135032.8*(1-0.0925)</f>
        <v>122542.26599999999</v>
      </c>
      <c r="M41" s="94">
        <f>117346.72*(1-0.0925)</f>
        <v>106492.14839999999</v>
      </c>
      <c r="N41" s="94">
        <f>275222.32*(1-0.0925)</f>
        <v>249764.25539999999</v>
      </c>
      <c r="O41" s="154">
        <f>173245.45*(1-0.0925)</f>
        <v>157220.24587499999</v>
      </c>
      <c r="P41" s="154">
        <f>70298.09*(1-0.0925)</f>
        <v>63795.516674999992</v>
      </c>
      <c r="Q41" s="154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</row>
    <row r="42" spans="1:50">
      <c r="B42" s="47" t="s">
        <v>208</v>
      </c>
      <c r="C42" s="93"/>
      <c r="D42" s="93"/>
      <c r="E42" s="93"/>
      <c r="F42" s="93"/>
      <c r="G42" s="93"/>
      <c r="H42" s="93"/>
      <c r="I42" s="93"/>
      <c r="J42" s="93"/>
      <c r="K42" s="91"/>
      <c r="L42" s="91"/>
      <c r="M42" s="91"/>
      <c r="N42" s="91"/>
      <c r="O42" s="148"/>
      <c r="P42" s="148"/>
      <c r="Q42" s="148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</row>
    <row r="43" spans="1:50">
      <c r="B43" s="47" t="s">
        <v>209</v>
      </c>
      <c r="C43" s="93"/>
      <c r="D43" s="93"/>
      <c r="E43" s="93"/>
      <c r="F43" s="93"/>
      <c r="G43" s="93"/>
      <c r="H43" s="93"/>
      <c r="I43" s="91"/>
      <c r="J43" s="91"/>
      <c r="K43" s="91"/>
      <c r="L43" s="91"/>
      <c r="M43" s="91"/>
      <c r="N43" s="91"/>
      <c r="O43" s="148"/>
      <c r="P43" s="148"/>
      <c r="Q43" s="148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</row>
    <row r="44" spans="1:50" ht="15">
      <c r="B44" s="52" t="s">
        <v>212</v>
      </c>
      <c r="C44" s="95">
        <f>SUM(C40:C43)</f>
        <v>23633.813774999999</v>
      </c>
      <c r="D44" s="95">
        <f t="shared" ref="D44:AJ44" si="7">SUM(D40:D43)</f>
        <v>441560.68687500001</v>
      </c>
      <c r="E44" s="95">
        <f t="shared" si="7"/>
        <v>722505.77107499994</v>
      </c>
      <c r="F44" s="95">
        <f t="shared" si="7"/>
        <v>0</v>
      </c>
      <c r="G44" s="95">
        <f t="shared" si="7"/>
        <v>395329.29727500002</v>
      </c>
      <c r="H44" s="95">
        <f t="shared" si="7"/>
        <v>1185388.2158250001</v>
      </c>
      <c r="I44" s="95">
        <f t="shared" si="7"/>
        <v>278802.16814999998</v>
      </c>
      <c r="J44" s="95">
        <f t="shared" si="7"/>
        <v>227731.62555</v>
      </c>
      <c r="K44" s="95">
        <f t="shared" si="7"/>
        <v>0</v>
      </c>
      <c r="L44" s="95">
        <f t="shared" si="7"/>
        <v>122542.26599999999</v>
      </c>
      <c r="M44" s="95">
        <f t="shared" si="7"/>
        <v>206381.989275</v>
      </c>
      <c r="N44" s="95">
        <f t="shared" si="7"/>
        <v>254709.47699999998</v>
      </c>
      <c r="O44" s="152">
        <f t="shared" si="7"/>
        <v>157220.24587499999</v>
      </c>
      <c r="P44" s="152">
        <f t="shared" si="7"/>
        <v>70606.60364999999</v>
      </c>
      <c r="Q44" s="152">
        <f t="shared" si="7"/>
        <v>0</v>
      </c>
      <c r="R44" s="61">
        <f t="shared" si="7"/>
        <v>0</v>
      </c>
      <c r="S44" s="61">
        <f t="shared" si="7"/>
        <v>0</v>
      </c>
      <c r="T44" s="61">
        <f t="shared" si="7"/>
        <v>0</v>
      </c>
      <c r="U44" s="61">
        <f t="shared" si="7"/>
        <v>0</v>
      </c>
      <c r="V44" s="61">
        <f t="shared" si="7"/>
        <v>0</v>
      </c>
      <c r="W44" s="61">
        <f t="shared" si="7"/>
        <v>0</v>
      </c>
      <c r="X44" s="61">
        <f t="shared" si="7"/>
        <v>0</v>
      </c>
      <c r="Y44" s="61">
        <f t="shared" si="7"/>
        <v>0</v>
      </c>
      <c r="Z44" s="61">
        <f t="shared" si="7"/>
        <v>0</v>
      </c>
      <c r="AA44" s="61">
        <f t="shared" si="7"/>
        <v>0</v>
      </c>
      <c r="AB44" s="61">
        <f t="shared" si="7"/>
        <v>0</v>
      </c>
      <c r="AC44" s="61">
        <f t="shared" si="7"/>
        <v>0</v>
      </c>
      <c r="AD44" s="61">
        <f t="shared" si="7"/>
        <v>0</v>
      </c>
      <c r="AE44" s="61">
        <f t="shared" si="7"/>
        <v>0</v>
      </c>
      <c r="AF44" s="61">
        <f t="shared" si="7"/>
        <v>0</v>
      </c>
      <c r="AG44" s="61">
        <f t="shared" si="7"/>
        <v>0</v>
      </c>
      <c r="AH44" s="61">
        <f t="shared" si="7"/>
        <v>0</v>
      </c>
      <c r="AI44" s="61">
        <f t="shared" si="7"/>
        <v>0</v>
      </c>
      <c r="AJ44" s="61">
        <f t="shared" si="7"/>
        <v>0</v>
      </c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</row>
    <row r="45" spans="1:50" s="76" customFormat="1" ht="15">
      <c r="A45" s="47"/>
      <c r="B45" s="121" t="s">
        <v>213</v>
      </c>
      <c r="C45" s="125">
        <f>SUM(C40:C43)-SUM(C32:C37)</f>
        <v>-722189.77957500005</v>
      </c>
      <c r="D45" s="125">
        <f t="shared" ref="D45:N45" si="8">SUM(D40:D43)-SUM(D32:D37)</f>
        <v>-8903.3100749999867</v>
      </c>
      <c r="E45" s="125">
        <f>SUM(E40:E43)-SUM(E32:E37)+0.63</f>
        <v>241283.11814999999</v>
      </c>
      <c r="F45" s="125">
        <f t="shared" si="8"/>
        <v>-882936.14392499998</v>
      </c>
      <c r="G45" s="125">
        <f t="shared" si="8"/>
        <v>-885881.65297499998</v>
      </c>
      <c r="H45" s="125">
        <f t="shared" si="8"/>
        <v>-556903.33792499988</v>
      </c>
      <c r="I45" s="125">
        <f t="shared" si="8"/>
        <v>-1671744.8814000001</v>
      </c>
      <c r="J45" s="125">
        <f t="shared" si="8"/>
        <v>-1412227.0428749998</v>
      </c>
      <c r="K45" s="125">
        <f t="shared" si="8"/>
        <v>-2897864.2563749999</v>
      </c>
      <c r="L45" s="125">
        <f t="shared" si="8"/>
        <v>-1841225.9604749999</v>
      </c>
      <c r="M45" s="125">
        <f t="shared" si="8"/>
        <v>-1672818.1725750002</v>
      </c>
      <c r="N45" s="125">
        <f t="shared" si="8"/>
        <v>-1856742.2048999998</v>
      </c>
      <c r="O45" s="155">
        <f t="shared" ref="O45:AJ45" si="9">SUM(O40:O43)-SUM(O32:O37)</f>
        <v>-4676390.6062499993</v>
      </c>
      <c r="P45" s="155">
        <f t="shared" si="9"/>
        <v>-3968720.8720499999</v>
      </c>
      <c r="Q45" s="155">
        <f t="shared" si="9"/>
        <v>-1033230.8489249999</v>
      </c>
      <c r="R45" s="125">
        <f t="shared" si="9"/>
        <v>0</v>
      </c>
      <c r="S45" s="125">
        <f t="shared" si="9"/>
        <v>0</v>
      </c>
      <c r="T45" s="125">
        <f t="shared" si="9"/>
        <v>0</v>
      </c>
      <c r="U45" s="125">
        <f t="shared" si="9"/>
        <v>0</v>
      </c>
      <c r="V45" s="125">
        <f t="shared" si="9"/>
        <v>0</v>
      </c>
      <c r="W45" s="125">
        <f t="shared" si="9"/>
        <v>0</v>
      </c>
      <c r="X45" s="125">
        <f t="shared" si="9"/>
        <v>0</v>
      </c>
      <c r="Y45" s="125">
        <f t="shared" si="9"/>
        <v>0</v>
      </c>
      <c r="Z45" s="125">
        <f t="shared" si="9"/>
        <v>0</v>
      </c>
      <c r="AA45" s="125">
        <f t="shared" si="9"/>
        <v>0</v>
      </c>
      <c r="AB45" s="125">
        <f t="shared" si="9"/>
        <v>0</v>
      </c>
      <c r="AC45" s="125">
        <f t="shared" si="9"/>
        <v>0</v>
      </c>
      <c r="AD45" s="125">
        <f t="shared" si="9"/>
        <v>0</v>
      </c>
      <c r="AE45" s="125">
        <f t="shared" si="9"/>
        <v>0</v>
      </c>
      <c r="AF45" s="125">
        <f t="shared" si="9"/>
        <v>0</v>
      </c>
      <c r="AG45" s="125">
        <f t="shared" si="9"/>
        <v>0</v>
      </c>
      <c r="AH45" s="125">
        <f t="shared" si="9"/>
        <v>0</v>
      </c>
      <c r="AI45" s="125">
        <f t="shared" si="9"/>
        <v>0</v>
      </c>
      <c r="AJ45" s="125">
        <f t="shared" si="9"/>
        <v>0</v>
      </c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</row>
    <row r="46" spans="1:50" ht="15">
      <c r="C46" s="68"/>
      <c r="D46" s="68"/>
      <c r="E46" s="45"/>
      <c r="F46" s="45"/>
      <c r="G46" s="45"/>
      <c r="H46" s="45"/>
      <c r="I46" s="45"/>
      <c r="J46" s="45"/>
      <c r="K46" s="45"/>
      <c r="L46" s="45"/>
      <c r="Q46" s="78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</row>
    <row r="47" spans="1:50"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62"/>
      <c r="N47" s="62"/>
      <c r="O47" s="156"/>
      <c r="P47" s="156"/>
      <c r="Q47" s="156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</row>
    <row r="48" spans="1:50" s="78" customFormat="1" ht="15.75">
      <c r="A48" s="47"/>
      <c r="B48" s="130" t="s">
        <v>214</v>
      </c>
      <c r="C48" s="98">
        <f ca="1">+C22+C28+C45</f>
        <v>-1807588.5495750001</v>
      </c>
      <c r="D48" s="98">
        <f ca="1">+D22+D28+D45</f>
        <v>-1446760.9875524999</v>
      </c>
      <c r="E48" s="98">
        <f t="shared" ref="E48:AJ48" ca="1" si="10">+E22+E28+E45</f>
        <v>-1466482.65185</v>
      </c>
      <c r="F48" s="98">
        <f t="shared" ca="1" si="10"/>
        <v>-2410008.8639249997</v>
      </c>
      <c r="G48" s="98">
        <f t="shared" ca="1" si="10"/>
        <v>-1245664.732975</v>
      </c>
      <c r="H48" s="98">
        <f t="shared" ca="1" si="10"/>
        <v>328234.78207500011</v>
      </c>
      <c r="I48" s="98">
        <f t="shared" ca="1" si="10"/>
        <v>-2245011.0714000002</v>
      </c>
      <c r="J48" s="98">
        <f t="shared" ca="1" si="10"/>
        <v>-1621030.3228749998</v>
      </c>
      <c r="K48" s="98">
        <f t="shared" ca="1" si="10"/>
        <v>6085986.5136250015</v>
      </c>
      <c r="L48" s="98">
        <f t="shared" ca="1" si="10"/>
        <v>-4129685.2804749999</v>
      </c>
      <c r="M48" s="98">
        <f t="shared" ca="1" si="10"/>
        <v>-380943.43257500022</v>
      </c>
      <c r="N48" s="98">
        <f t="shared" ca="1" si="10"/>
        <v>5671841.4850999992</v>
      </c>
      <c r="O48" s="157">
        <f t="shared" ca="1" si="10"/>
        <v>-4138734.2386999996</v>
      </c>
      <c r="P48" s="81">
        <f t="shared" ca="1" si="10"/>
        <v>-5408297.8189000003</v>
      </c>
      <c r="Q48" s="81">
        <f t="shared" ca="1" si="10"/>
        <v>-4726115.8344249995</v>
      </c>
      <c r="R48" s="81">
        <f t="shared" si="10"/>
        <v>0</v>
      </c>
      <c r="S48" s="81">
        <f t="shared" si="10"/>
        <v>0</v>
      </c>
      <c r="T48" s="81">
        <f t="shared" si="10"/>
        <v>0</v>
      </c>
      <c r="U48" s="81">
        <f t="shared" si="10"/>
        <v>0</v>
      </c>
      <c r="V48" s="81">
        <f t="shared" si="10"/>
        <v>0</v>
      </c>
      <c r="W48" s="81">
        <f t="shared" si="10"/>
        <v>0</v>
      </c>
      <c r="X48" s="81">
        <f t="shared" si="10"/>
        <v>0</v>
      </c>
      <c r="Y48" s="81">
        <f t="shared" si="10"/>
        <v>0</v>
      </c>
      <c r="Z48" s="81">
        <f t="shared" si="10"/>
        <v>0</v>
      </c>
      <c r="AA48" s="81">
        <f t="shared" si="10"/>
        <v>0</v>
      </c>
      <c r="AB48" s="81">
        <f t="shared" si="10"/>
        <v>0</v>
      </c>
      <c r="AC48" s="81">
        <f t="shared" si="10"/>
        <v>0</v>
      </c>
      <c r="AD48" s="81">
        <f t="shared" si="10"/>
        <v>0</v>
      </c>
      <c r="AE48" s="81">
        <f t="shared" si="10"/>
        <v>0</v>
      </c>
      <c r="AF48" s="81">
        <f t="shared" si="10"/>
        <v>0</v>
      </c>
      <c r="AG48" s="81">
        <f t="shared" si="10"/>
        <v>0</v>
      </c>
      <c r="AH48" s="81">
        <f t="shared" si="10"/>
        <v>0</v>
      </c>
      <c r="AI48" s="81">
        <f t="shared" si="10"/>
        <v>0</v>
      </c>
      <c r="AJ48" s="81">
        <f t="shared" si="10"/>
        <v>0</v>
      </c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</row>
    <row r="49" spans="2:50">
      <c r="K49" s="58"/>
      <c r="L49" s="58"/>
      <c r="Q49" s="78"/>
    </row>
    <row r="50" spans="2:50">
      <c r="Q50" s="78"/>
    </row>
    <row r="51" spans="2:50">
      <c r="Q51" s="78"/>
    </row>
    <row r="52" spans="2:50" ht="30">
      <c r="B52" s="63" t="s">
        <v>215</v>
      </c>
      <c r="C52" s="99">
        <f>(VLOOKUP('IGP-DI'!$I$1,'IGP-DI'!$A:$B,2,FALSE)/VLOOKUP('Conta Gráfica PMPV'!C3,'IGP-DI'!$A:$B,2,FALSE))-1</f>
        <v>1.6576939079501418E-2</v>
      </c>
      <c r="D52" s="99">
        <f>(VLOOKUP('IGP-DI'!$I$1,'IGP-DI'!$A:$B,2,FALSE)/VLOOKUP('Conta Gráfica PMPV'!D3,'IGP-DI'!$A:$B,2,FALSE))-1</f>
        <v>1.5331694285307673E-3</v>
      </c>
      <c r="E52" s="99">
        <f>(VLOOKUP('IGP-DI'!$I$1,'IGP-DI'!$A:$B,2,FALSE)/VLOOKUP('Conta Gráfica PMPV'!E3,'IGP-DI'!$A:$B,2,FALSE))-1</f>
        <v>-2.1643697178917565E-2</v>
      </c>
      <c r="F52" s="99">
        <f>(VLOOKUP('IGP-DI'!$I$1,'IGP-DI'!$A:$B,2,FALSE)/VLOOKUP('Conta Gráfica PMPV'!F3,'IGP-DI'!$A:$B,2,FALSE))-1</f>
        <v>-2.5670970336956866E-2</v>
      </c>
      <c r="G52" s="99">
        <f>(VLOOKUP('IGP-DI'!$I$1,'IGP-DI'!$A:$B,2,FALSE)/VLOOKUP('Conta Gráfica PMPV'!G3,'IGP-DI'!$A:$B,2,FALSE))-1</f>
        <v>-3.2349456770523366E-2</v>
      </c>
      <c r="H52" s="99">
        <f>(VLOOKUP('IGP-DI'!$I$1,'IGP-DI'!$A:$B,2,FALSE)/VLOOKUP('Conta Gráfica PMPV'!H3,'IGP-DI'!$A:$B,2,FALSE))-1</f>
        <v>-3.8358162290823672E-2</v>
      </c>
      <c r="I52" s="99">
        <f>(VLOOKUP('IGP-DI'!$I$1,'IGP-DI'!$A:$B,2,FALSE)/VLOOKUP('Conta Gráfica PMPV'!I3,'IGP-DI'!$A:$B,2,FALSE))-1</f>
        <v>-3.4735844764867463E-2</v>
      </c>
      <c r="J52" s="99">
        <f>(VLOOKUP('IGP-DI'!$I$1,'IGP-DI'!$A:$B,2,FALSE)/VLOOKUP('Conta Gráfica PMPV'!J3,'IGP-DI'!$A:$B,2,FALSE))-1</f>
        <v>-2.9365685374167061E-2</v>
      </c>
      <c r="K52" s="99">
        <f>(VLOOKUP('IGP-DI'!$I$1,'IGP-DI'!$A:$B,2,FALSE)/VLOOKUP('Conta Gráfica PMPV'!K3,'IGP-DI'!$A:$B,2,FALSE))-1</f>
        <v>-1.7414526845581979E-2</v>
      </c>
      <c r="L52" s="99">
        <f>('IGP-DI'!$B$343/VLOOKUP('Conta Gráfica PMPV'!L3,'IGP-DI'!$A:$B,2,FALSE))-1</f>
        <v>1.3067853867760881E-3</v>
      </c>
      <c r="M52" s="99">
        <f>('IGP-DI'!$B$343/VLOOKUP('Conta Gráfica PMPV'!M3,'IGP-DI'!$A:$B,2,FALSE))-1</f>
        <v>3.0629954006811122E-3</v>
      </c>
      <c r="N52" s="99">
        <f>('IGP-DI'!$B$343/VLOOKUP('Conta Gráfica PMPV'!N3,'IGP-DI'!$A:$B,2,FALSE))-1</f>
        <v>0</v>
      </c>
      <c r="O52" s="158">
        <f>('IGP-DI'!$B$346/VLOOKUP('Conta Gráfica PMPV'!O3,'IGP-DI'!$A:$B,2,FALSE))-1</f>
        <v>-3.0633092657238459E-3</v>
      </c>
      <c r="P52" s="158">
        <f>('IGP-DI'!$B$346/VLOOKUP('Conta Gráfica PMPV'!P3,'IGP-DI'!$A:$B,2,FALSE))-1</f>
        <v>-3.4205183911852899E-3</v>
      </c>
      <c r="Q52" s="158">
        <f>('IGP-DI'!$B$346/VLOOKUP('Conta Gráfica PMPV'!Q3,'IGP-DI'!$A:$B,2,FALSE))-1</f>
        <v>0</v>
      </c>
      <c r="R52" s="99">
        <f>(VLOOKUP('IGP-DI'!$I$1,'IGP-DI'!$A:$B,2,FALSE)/VLOOKUP('Conta Gráfica PMPV'!R3,'IGP-DI'!$A:$B,2,FALSE))-1</f>
        <v>0</v>
      </c>
      <c r="S52" s="99">
        <f>(VLOOKUP('IGP-DI'!$I$1,'IGP-DI'!$A:$B,2,FALSE)/VLOOKUP('Conta Gráfica PMPV'!S3,'IGP-DI'!$A:$B,2,FALSE))-1</f>
        <v>2.3853838437160491E-2</v>
      </c>
      <c r="T52" s="99">
        <f>(VLOOKUP('IGP-DI'!$I$1,'IGP-DI'!$A:$B,2,FALSE)/VLOOKUP('Conta Gráfica PMPV'!T3,'IGP-DI'!$A:$B,2,FALSE))-1</f>
        <v>3.8961815929327459E-2</v>
      </c>
      <c r="U52" s="99">
        <f>(VLOOKUP('IGP-DI'!$I$1,'IGP-DI'!$A:$B,2,FALSE)/VLOOKUP('Conta Gráfica PMPV'!U3,'IGP-DI'!$A:$B,2,FALSE))-1</f>
        <v>4.3156625281280503E-2</v>
      </c>
      <c r="V52" s="99">
        <f>(VLOOKUP('IGP-DI'!$I$1,'IGP-DI'!$A:$B,2,FALSE)/VLOOKUP('Conta Gráfica PMPV'!V3,'IGP-DI'!$A:$B,2,FALSE))-1</f>
        <v>4.2686401999643353E-2</v>
      </c>
      <c r="W52" s="99">
        <f>(VLOOKUP('IGP-DI'!$I$1,'IGP-DI'!$A:$B,2,FALSE)/VLOOKUP('Conta Gráfica PMPV'!W3,'IGP-DI'!$A:$B,2,FALSE))-1</f>
        <v>3.8058926687872807E-2</v>
      </c>
      <c r="X52" s="99">
        <f>(VLOOKUP('IGP-DI'!$I$1,'IGP-DI'!$A:$B,2,FALSE)/VLOOKUP('Conta Gráfica PMPV'!X3,'IGP-DI'!$A:$B,2,FALSE))-1</f>
        <v>3.2783030520396661E-2</v>
      </c>
      <c r="Y52" s="99">
        <f>(VLOOKUP('IGP-DI'!$I$1,'IGP-DI'!$A:$B,2,FALSE)/VLOOKUP('Conta Gráfica PMPV'!Y3,'IGP-DI'!$A:$B,2,FALSE))-1</f>
        <v>2.7606328745175102E-2</v>
      </c>
      <c r="Z52" s="99">
        <f>(VLOOKUP('IGP-DI'!$I$1,'IGP-DI'!$A:$B,2,FALSE)/VLOOKUP('Conta Gráfica PMPV'!Z3,'IGP-DI'!$A:$B,2,FALSE))-1</f>
        <v>2.1043091120094282E-2</v>
      </c>
      <c r="AA52" s="99">
        <f>(VLOOKUP('IGP-DI'!$I$1,'IGP-DI'!$A:$B,2,FALSE)/VLOOKUP('Conta Gráfica PMPV'!AA3,'IGP-DI'!$A:$B,2,FALSE))-1</f>
        <v>2.3793479059398548E-2</v>
      </c>
      <c r="AB52" s="99">
        <f>(VLOOKUP('IGP-DI'!$I$1,'IGP-DI'!$A:$B,2,FALSE)/VLOOKUP('Conta Gráfica PMPV'!AB3,'IGP-DI'!$A:$B,2,FALSE))-1</f>
        <v>2.7966614910367449E-2</v>
      </c>
      <c r="AC52" s="99">
        <f>(VLOOKUP('IGP-DI'!$I$1,'IGP-DI'!$A:$B,2,FALSE)/VLOOKUP('Conta Gráfica PMPV'!AC3,'IGP-DI'!$A:$B,2,FALSE))-1</f>
        <v>3.1095314693682763E-2</v>
      </c>
      <c r="AD52" s="99">
        <f>(VLOOKUP('IGP-DI'!$I$1,'IGP-DI'!$A:$B,2,FALSE)/VLOOKUP('Conta Gráfica PMPV'!AD3,'IGP-DI'!$A:$B,2,FALSE))-1</f>
        <v>2.3710844684671661E-2</v>
      </c>
      <c r="AE52" s="99">
        <f>(VLOOKUP('IGP-DI'!$I$1,'IGP-DI'!$A:$B,2,FALSE)/VLOOKUP('Conta Gráfica PMPV'!AE3,'IGP-DI'!$A:$B,2,FALSE))-1</f>
        <v>1.4875119126822822E-2</v>
      </c>
      <c r="AF52" s="99">
        <f>(VLOOKUP('IGP-DI'!$I$1,'IGP-DI'!$A:$B,2,FALSE)/VLOOKUP('Conta Gráfica PMPV'!AF3,'IGP-DI'!$A:$B,2,FALSE))-1</f>
        <v>9.8569763291218582E-3</v>
      </c>
      <c r="AG52" s="99">
        <f>(VLOOKUP('IGP-DI'!$I$1,'IGP-DI'!$A:$B,2,FALSE)/VLOOKUP('Conta Gráfica PMPV'!AG3,'IGP-DI'!$A:$B,2,FALSE))-1</f>
        <v>1.5118432154703765E-3</v>
      </c>
      <c r="AH52" s="99">
        <f>(VLOOKUP('IGP-DI'!$I$1,'IGP-DI'!$A:$B,2,FALSE)/VLOOKUP('Conta Gráfica PMPV'!AH3,'IGP-DI'!$A:$B,2,FALSE))-1</f>
        <v>3.5182309944636891E-4</v>
      </c>
      <c r="AI52" s="99">
        <f>(VLOOKUP('IGP-DI'!$I$1,'IGP-DI'!$A:$B,2,FALSE)/VLOOKUP('Conta Gráfica PMPV'!AI3,'IGP-DI'!$A:$B,2,FALSE))-1</f>
        <v>-9.8036721664658266E-3</v>
      </c>
      <c r="AJ52" s="99">
        <f>(VLOOKUP('IGP-DI'!$I$1,'IGP-DI'!$A:$B,2,FALSE)/VLOOKUP('Conta Gráfica PMPV'!AJ3,'IGP-DI'!$A:$B,2,FALSE))-1</f>
        <v>-2.4803976791681559E-2</v>
      </c>
      <c r="AK52" s="99">
        <f>(VLOOKUP('IGP-DI'!$I$1,'IGP-DI'!$A:$B,2,FALSE)/VLOOKUP('Conta Gráfica PMPV'!AK3,'IGP-DI'!$A:$B,2,FALSE))-1</f>
        <v>-3.6206145780859122E-2</v>
      </c>
      <c r="AL52" s="99">
        <f>(VLOOKUP('IGP-DI'!$I$1,'IGP-DI'!$A:$B,2,FALSE)/VLOOKUP('Conta Gráfica PMPV'!AL3,'IGP-DI'!$A:$B,2,FALSE))-1</f>
        <v>-4.45192144912816E-2</v>
      </c>
      <c r="AM52" s="99">
        <f>(VLOOKUP('IGP-DI'!$I$1,'IGP-DI'!$A:$B,2,FALSE)/VLOOKUP('Conta Gráfica PMPV'!AM3,'IGP-DI'!$A:$B,2,FALSE))-1</f>
        <v>-4.5563810726874987E-2</v>
      </c>
      <c r="AN52" s="99">
        <f>(VLOOKUP('IGP-DI'!$I$1,'IGP-DI'!$A:$B,2,FALSE)/VLOOKUP('Conta Gráfica PMPV'!AN3,'IGP-DI'!$A:$B,2,FALSE))-1</f>
        <v>-5.5012147158937763E-2</v>
      </c>
      <c r="AO52" s="99">
        <f>(VLOOKUP('IGP-DI'!$I$1,'IGP-DI'!$A:$B,2,FALSE)/VLOOKUP('Conta Gráfica PMPV'!AO3,'IGP-DI'!$A:$B,2,FALSE))-1</f>
        <v>-5.0267132219931732E-2</v>
      </c>
      <c r="AP52" s="99">
        <f>(VLOOKUP('IGP-DI'!$I$1,'IGP-DI'!$A:$B,2,FALSE)/VLOOKUP('Conta Gráfica PMPV'!AP3,'IGP-DI'!$A:$B,2,FALSE))-1</f>
        <v>-5.307869696555334E-2</v>
      </c>
      <c r="AQ52" s="99">
        <f>(VLOOKUP('IGP-DI'!$I$1,'IGP-DI'!$A:$B,2,FALSE)/VLOOKUP('Conta Gráfica PMPV'!AQ3,'IGP-DI'!$A:$B,2,FALSE))-1</f>
        <v>-4.4959790853212223E-2</v>
      </c>
      <c r="AR52" s="99">
        <f>(VLOOKUP('IGP-DI'!$I$1,'IGP-DI'!$A:$B,2,FALSE)/VLOOKUP('Conta Gráfica PMPV'!AR3,'IGP-DI'!$A:$B,2,FALSE))-1</f>
        <v>-2.7406206892392149E-2</v>
      </c>
      <c r="AS52" s="99" t="e">
        <f>(VLOOKUP('IGP-DI'!$I$1,'IGP-DI'!$A:$B,2,FALSE)/VLOOKUP('Conta Gráfica PMPV'!AS3,'IGP-DI'!$A:$B,2,FALSE))-1</f>
        <v>#N/A</v>
      </c>
      <c r="AT52" s="99" t="e">
        <f>(VLOOKUP('IGP-DI'!$I$1,'IGP-DI'!$A:$B,2,FALSE)/VLOOKUP('Conta Gráfica PMPV'!AT3,'IGP-DI'!$A:$B,2,FALSE))-1</f>
        <v>#N/A</v>
      </c>
      <c r="AU52" s="99" t="e">
        <f>(VLOOKUP('IGP-DI'!$I$1,'IGP-DI'!$A:$B,2,FALSE)/VLOOKUP('Conta Gráfica PMPV'!AU3,'IGP-DI'!$A:$B,2,FALSE))-1</f>
        <v>#N/A</v>
      </c>
      <c r="AV52" s="99" t="e">
        <f>(VLOOKUP('IGP-DI'!$I$1,'IGP-DI'!$A:$B,2,FALSE)/VLOOKUP('Conta Gráfica PMPV'!AV3,'IGP-DI'!$A:$B,2,FALSE))-1</f>
        <v>#N/A</v>
      </c>
      <c r="AW52" s="99" t="e">
        <f>(VLOOKUP('IGP-DI'!$I$1,'IGP-DI'!$A:$B,2,FALSE)/VLOOKUP('Conta Gráfica PMPV'!AW3,'IGP-DI'!$A:$B,2,FALSE))-1</f>
        <v>#N/A</v>
      </c>
      <c r="AX52" s="99" t="e">
        <f>(VLOOKUP('IGP-DI'!$I$1,'IGP-DI'!$A:$B,2,FALSE)/VLOOKUP('Conta Gráfica PMPV'!AX3,'IGP-DI'!$A:$B,2,FALSE))-1</f>
        <v>#N/A</v>
      </c>
    </row>
    <row r="53" spans="2:50" ht="15.75">
      <c r="B53" s="122" t="s">
        <v>223</v>
      </c>
      <c r="C53" s="126">
        <f t="shared" ref="C53:AX53" ca="1" si="11">+C48*(1+C52)</f>
        <v>-1837552.8348421091</v>
      </c>
      <c r="D53" s="126">
        <f t="shared" ca="1" si="11"/>
        <v>-1448979.1172690063</v>
      </c>
      <c r="E53" s="126">
        <f t="shared" ca="1" si="11"/>
        <v>-1434742.5454152226</v>
      </c>
      <c r="F53" s="126">
        <f t="shared" ca="1" si="11"/>
        <v>-2348141.597867378</v>
      </c>
      <c r="G53" s="126">
        <f t="shared" ca="1" si="11"/>
        <v>-1205368.1555450598</v>
      </c>
      <c r="H53" s="126">
        <f t="shared" ca="1" si="11"/>
        <v>315644.29903467413</v>
      </c>
      <c r="I53" s="126">
        <f t="shared" ca="1" si="11"/>
        <v>-2167028.715328441</v>
      </c>
      <c r="J53" s="126">
        <f t="shared" ca="1" si="11"/>
        <v>-1573427.6564314682</v>
      </c>
      <c r="K53" s="126">
        <f t="shared" ca="1" si="11"/>
        <v>5980001.9381016288</v>
      </c>
      <c r="L53" s="126">
        <f t="shared" ca="1" si="11"/>
        <v>-4135081.8928515092</v>
      </c>
      <c r="M53" s="126">
        <f t="shared" ca="1" si="11"/>
        <v>-382110.26055689709</v>
      </c>
      <c r="N53" s="126">
        <f t="shared" ca="1" si="11"/>
        <v>5671841.4850999992</v>
      </c>
      <c r="O53" s="81">
        <f t="shared" ca="1" si="11"/>
        <v>-4126056.0157582215</v>
      </c>
      <c r="P53" s="81">
        <f t="shared" ca="1" si="11"/>
        <v>-5389798.6367454454</v>
      </c>
      <c r="Q53" s="81">
        <f t="shared" ca="1" si="11"/>
        <v>-4726115.8344249995</v>
      </c>
      <c r="R53" s="126">
        <f t="shared" si="11"/>
        <v>0</v>
      </c>
      <c r="S53" s="126">
        <f t="shared" si="11"/>
        <v>0</v>
      </c>
      <c r="T53" s="126">
        <f t="shared" si="11"/>
        <v>0</v>
      </c>
      <c r="U53" s="126">
        <f t="shared" si="11"/>
        <v>0</v>
      </c>
      <c r="V53" s="126">
        <f t="shared" si="11"/>
        <v>0</v>
      </c>
      <c r="W53" s="126">
        <f t="shared" si="11"/>
        <v>0</v>
      </c>
      <c r="X53" s="126">
        <f t="shared" si="11"/>
        <v>0</v>
      </c>
      <c r="Y53" s="126">
        <f t="shared" si="11"/>
        <v>0</v>
      </c>
      <c r="Z53" s="126">
        <f t="shared" si="11"/>
        <v>0</v>
      </c>
      <c r="AA53" s="126">
        <f t="shared" si="11"/>
        <v>0</v>
      </c>
      <c r="AB53" s="126">
        <f t="shared" si="11"/>
        <v>0</v>
      </c>
      <c r="AC53" s="126">
        <f t="shared" si="11"/>
        <v>0</v>
      </c>
      <c r="AD53" s="126">
        <f t="shared" si="11"/>
        <v>0</v>
      </c>
      <c r="AE53" s="126">
        <f t="shared" si="11"/>
        <v>0</v>
      </c>
      <c r="AF53" s="126">
        <f t="shared" si="11"/>
        <v>0</v>
      </c>
      <c r="AG53" s="126">
        <f t="shared" si="11"/>
        <v>0</v>
      </c>
      <c r="AH53" s="126">
        <f t="shared" si="11"/>
        <v>0</v>
      </c>
      <c r="AI53" s="126">
        <f t="shared" si="11"/>
        <v>0</v>
      </c>
      <c r="AJ53" s="126">
        <f t="shared" si="11"/>
        <v>0</v>
      </c>
      <c r="AK53" s="126">
        <f t="shared" si="11"/>
        <v>0</v>
      </c>
      <c r="AL53" s="126">
        <f t="shared" si="11"/>
        <v>0</v>
      </c>
      <c r="AM53" s="126">
        <f t="shared" si="11"/>
        <v>0</v>
      </c>
      <c r="AN53" s="126">
        <f t="shared" si="11"/>
        <v>0</v>
      </c>
      <c r="AO53" s="126">
        <f t="shared" si="11"/>
        <v>0</v>
      </c>
      <c r="AP53" s="126">
        <f t="shared" si="11"/>
        <v>0</v>
      </c>
      <c r="AQ53" s="126">
        <f t="shared" si="11"/>
        <v>0</v>
      </c>
      <c r="AR53" s="126">
        <f t="shared" si="11"/>
        <v>0</v>
      </c>
      <c r="AS53" s="126" t="e">
        <f t="shared" si="11"/>
        <v>#N/A</v>
      </c>
      <c r="AT53" s="126" t="e">
        <f t="shared" si="11"/>
        <v>#N/A</v>
      </c>
      <c r="AU53" s="126" t="e">
        <f t="shared" si="11"/>
        <v>#N/A</v>
      </c>
      <c r="AV53" s="126" t="e">
        <f t="shared" si="11"/>
        <v>#N/A</v>
      </c>
      <c r="AW53" s="126" t="e">
        <f t="shared" si="11"/>
        <v>#N/A</v>
      </c>
      <c r="AX53" s="126" t="e">
        <f t="shared" si="11"/>
        <v>#N/A</v>
      </c>
    </row>
    <row r="54" spans="2:50">
      <c r="C54" s="65"/>
    </row>
    <row r="55" spans="2:50" ht="15">
      <c r="B55" s="120" t="s">
        <v>316</v>
      </c>
      <c r="C55" s="120"/>
      <c r="D55" s="120"/>
      <c r="E55" s="120"/>
      <c r="F55" s="120"/>
      <c r="G55" s="120"/>
      <c r="H55" s="120"/>
      <c r="I55" s="120"/>
      <c r="J55" s="120"/>
      <c r="K55" s="123" t="s">
        <v>225</v>
      </c>
      <c r="L55" s="124">
        <f ca="1">SUM(L53:N53)</f>
        <v>1154649.3316915929</v>
      </c>
      <c r="M55" s="60"/>
    </row>
    <row r="56" spans="2:50">
      <c r="K56" s="73" t="s">
        <v>226</v>
      </c>
    </row>
    <row r="57" spans="2:50" ht="14.25" customHeight="1">
      <c r="B57" s="160" t="s">
        <v>224</v>
      </c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2"/>
      <c r="O57" s="159"/>
      <c r="P57" s="159"/>
      <c r="Q57"/>
      <c r="R57"/>
      <c r="S57"/>
    </row>
    <row r="58" spans="2:50" ht="14.25" customHeight="1">
      <c r="B58" s="163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5"/>
      <c r="O58" s="159"/>
      <c r="P58" s="159"/>
      <c r="Q58"/>
      <c r="R58"/>
      <c r="S58"/>
    </row>
    <row r="59" spans="2:50" ht="14.25" customHeight="1">
      <c r="B59" s="166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8"/>
      <c r="O59" s="159"/>
      <c r="P59" s="159"/>
      <c r="Q59"/>
      <c r="R59"/>
      <c r="S59"/>
    </row>
    <row r="61" spans="2:50">
      <c r="C61" s="58">
        <f ca="1">IF(C52&gt;0,C53,C48)</f>
        <v>-1837552.8348421091</v>
      </c>
      <c r="D61" s="58">
        <f t="shared" ref="D61:O61" ca="1" si="12">IF(D52&gt;0,D53,D48)</f>
        <v>-1448979.1172690063</v>
      </c>
      <c r="E61" s="58">
        <f t="shared" ca="1" si="12"/>
        <v>-1466482.65185</v>
      </c>
      <c r="F61" s="58">
        <f t="shared" ca="1" si="12"/>
        <v>-2410008.8639249997</v>
      </c>
      <c r="G61" s="58">
        <f t="shared" ca="1" si="12"/>
        <v>-1245664.732975</v>
      </c>
      <c r="H61" s="58">
        <f t="shared" ca="1" si="12"/>
        <v>328234.78207500011</v>
      </c>
      <c r="I61" s="58">
        <f t="shared" ca="1" si="12"/>
        <v>-2245011.0714000002</v>
      </c>
      <c r="J61" s="58">
        <f t="shared" ca="1" si="12"/>
        <v>-1621030.3228749998</v>
      </c>
      <c r="K61" s="58">
        <f t="shared" ca="1" si="12"/>
        <v>6085986.5136250015</v>
      </c>
      <c r="L61" s="58">
        <f t="shared" ca="1" si="12"/>
        <v>-4135081.8928515092</v>
      </c>
      <c r="M61" s="58">
        <f t="shared" ca="1" si="12"/>
        <v>-382110.26055689709</v>
      </c>
      <c r="N61" s="58">
        <f t="shared" ca="1" si="12"/>
        <v>5671841.4850999992</v>
      </c>
      <c r="O61" s="58">
        <f t="shared" ca="1" si="12"/>
        <v>-4138734.2386999996</v>
      </c>
      <c r="P61" s="58">
        <f ca="1">IF(P52&gt;0,P53,P48)</f>
        <v>-5408297.8189000003</v>
      </c>
      <c r="Q61" s="58">
        <f ca="1">IF(Q52&gt;0,Q53,Q48)</f>
        <v>-4726115.8344249995</v>
      </c>
      <c r="R61" s="58">
        <f t="shared" ref="R61" si="13">IF(R52&gt;0,R53,R48)</f>
        <v>0</v>
      </c>
      <c r="S61" s="58"/>
      <c r="T61" s="58"/>
    </row>
    <row r="62" spans="2:50">
      <c r="C62" s="58"/>
      <c r="L62" s="58">
        <f ca="1">SUM(L61:N61)</f>
        <v>1154649.3316915929</v>
      </c>
      <c r="O62" s="58">
        <f ca="1">SUM(O61:Q61)</f>
        <v>-14273147.892024998</v>
      </c>
      <c r="P62" s="58"/>
      <c r="Q62" s="58"/>
      <c r="R62" s="58">
        <f>SUM(R61:T61)</f>
        <v>0</v>
      </c>
    </row>
    <row r="63" spans="2:50">
      <c r="C63" s="58"/>
      <c r="O63" s="47"/>
    </row>
    <row r="64" spans="2:50">
      <c r="O64" s="47"/>
    </row>
  </sheetData>
  <conditionalFormatting sqref="C17:AX17">
    <cfRule type="cellIs" dxfId="7" priority="1" operator="greaterThan">
      <formula>0</formula>
    </cfRule>
  </conditionalFormatting>
  <conditionalFormatting sqref="C16:XFD16">
    <cfRule type="cellIs" dxfId="6" priority="2" operator="greaterThan">
      <formula>1</formula>
    </cfRule>
  </conditionalFormatting>
  <pageMargins left="0.511811024" right="0.511811024" top="0.78740157499999996" bottom="0.78740157499999996" header="0.31496062000000002" footer="0.31496062000000002"/>
  <pageSetup paperSize="9" scale="15" fitToHeight="0" orientation="landscape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15"/>
  <sheetViews>
    <sheetView workbookViewId="0">
      <pane ySplit="2" topLeftCell="A353" activePane="bottomLeft" state="frozen"/>
      <selection activeCell="E41" sqref="E41"/>
      <selection pane="bottomLeft" activeCell="A374" sqref="A374:J375"/>
    </sheetView>
  </sheetViews>
  <sheetFormatPr defaultColWidth="9.140625" defaultRowHeight="14.25"/>
  <cols>
    <col min="1" max="1" width="9.85546875" style="47" bestFit="1" customWidth="1"/>
    <col min="2" max="2" width="12.28515625" style="47" bestFit="1" customWidth="1"/>
    <col min="3" max="3" width="17.140625" style="47" bestFit="1" customWidth="1"/>
    <col min="4" max="4" width="9.140625" style="47" bestFit="1" customWidth="1"/>
    <col min="5" max="5" width="15.140625" style="47" bestFit="1" customWidth="1"/>
    <col min="6" max="7" width="9.140625" style="47"/>
    <col min="8" max="8" width="9.140625" style="47" hidden="1" customWidth="1"/>
    <col min="9" max="9" width="10.85546875" style="47" hidden="1" customWidth="1"/>
    <col min="10" max="16384" width="9.140625" style="47"/>
  </cols>
  <sheetData>
    <row r="1" spans="1:9" ht="15.75">
      <c r="A1" s="59" t="s">
        <v>16</v>
      </c>
      <c r="B1" s="59" t="s">
        <v>216</v>
      </c>
      <c r="C1" s="59" t="s">
        <v>217</v>
      </c>
      <c r="D1" s="59"/>
      <c r="E1" s="59" t="s">
        <v>222</v>
      </c>
      <c r="H1" s="66" t="s">
        <v>16</v>
      </c>
      <c r="I1" s="69">
        <v>45017</v>
      </c>
    </row>
    <row r="2" spans="1:9">
      <c r="C2" s="74" t="s">
        <v>218</v>
      </c>
      <c r="D2" s="74" t="s">
        <v>219</v>
      </c>
      <c r="E2" s="74" t="s">
        <v>220</v>
      </c>
    </row>
    <row r="3" spans="1:9">
      <c r="A3" s="64">
        <v>34547</v>
      </c>
      <c r="B3" s="47">
        <v>100</v>
      </c>
      <c r="C3" s="47" t="s">
        <v>221</v>
      </c>
      <c r="D3" s="47" t="s">
        <v>221</v>
      </c>
      <c r="E3" s="47" t="s">
        <v>221</v>
      </c>
    </row>
    <row r="4" spans="1:9">
      <c r="A4" s="64">
        <v>34578</v>
      </c>
      <c r="B4" s="47">
        <v>101.54900000000001</v>
      </c>
      <c r="C4" s="47">
        <v>1.55</v>
      </c>
      <c r="D4" s="47" t="s">
        <v>221</v>
      </c>
      <c r="E4" s="47" t="s">
        <v>221</v>
      </c>
    </row>
    <row r="5" spans="1:9">
      <c r="A5" s="64">
        <v>34608</v>
      </c>
      <c r="B5" s="47">
        <v>104.143</v>
      </c>
      <c r="C5" s="47">
        <v>2.5499999999999998</v>
      </c>
      <c r="D5" s="47" t="s">
        <v>221</v>
      </c>
      <c r="E5" s="47" t="s">
        <v>221</v>
      </c>
    </row>
    <row r="6" spans="1:9">
      <c r="A6" s="64">
        <v>34639</v>
      </c>
      <c r="B6" s="47">
        <v>106.72</v>
      </c>
      <c r="C6" s="47">
        <v>2.4700000000000002</v>
      </c>
      <c r="D6" s="47" t="s">
        <v>221</v>
      </c>
      <c r="E6" s="47" t="s">
        <v>221</v>
      </c>
    </row>
    <row r="7" spans="1:9">
      <c r="A7" s="64">
        <v>34669</v>
      </c>
      <c r="B7" s="47">
        <v>107.325</v>
      </c>
      <c r="C7" s="47">
        <v>0.56999999999999995</v>
      </c>
      <c r="D7" s="47" t="s">
        <v>221</v>
      </c>
      <c r="E7" s="47" t="s">
        <v>221</v>
      </c>
    </row>
    <row r="8" spans="1:9">
      <c r="A8" s="64">
        <v>34700</v>
      </c>
      <c r="B8" s="47">
        <v>108.785</v>
      </c>
      <c r="C8" s="47">
        <v>1.36</v>
      </c>
      <c r="D8" s="47">
        <v>1.36</v>
      </c>
      <c r="E8" s="47" t="s">
        <v>221</v>
      </c>
    </row>
    <row r="9" spans="1:9">
      <c r="A9" s="64">
        <v>34731</v>
      </c>
      <c r="B9" s="47">
        <v>110.039</v>
      </c>
      <c r="C9" s="47">
        <v>1.1499999999999999</v>
      </c>
      <c r="D9" s="47">
        <v>2.5299999999999998</v>
      </c>
      <c r="E9" s="47" t="s">
        <v>221</v>
      </c>
    </row>
    <row r="10" spans="1:9">
      <c r="A10" s="64">
        <v>34759</v>
      </c>
      <c r="B10" s="47">
        <v>112.035</v>
      </c>
      <c r="C10" s="47">
        <v>1.81</v>
      </c>
      <c r="D10" s="47">
        <v>4.3899999999999997</v>
      </c>
      <c r="E10" s="47" t="s">
        <v>221</v>
      </c>
    </row>
    <row r="11" spans="1:9">
      <c r="A11" s="64">
        <v>34790</v>
      </c>
      <c r="B11" s="47">
        <v>114.614</v>
      </c>
      <c r="C11" s="47">
        <v>2.2999999999999998</v>
      </c>
      <c r="D11" s="47">
        <v>6.79</v>
      </c>
      <c r="E11" s="47" t="s">
        <v>221</v>
      </c>
    </row>
    <row r="12" spans="1:9">
      <c r="A12" s="64">
        <v>34820</v>
      </c>
      <c r="B12" s="47">
        <v>115.071</v>
      </c>
      <c r="C12" s="47">
        <v>0.4</v>
      </c>
      <c r="D12" s="47">
        <v>7.22</v>
      </c>
      <c r="E12" s="47" t="s">
        <v>221</v>
      </c>
    </row>
    <row r="13" spans="1:9">
      <c r="A13" s="64">
        <v>34851</v>
      </c>
      <c r="B13" s="47">
        <v>118.09</v>
      </c>
      <c r="C13" s="47">
        <v>2.62</v>
      </c>
      <c r="D13" s="47">
        <v>10.029999999999999</v>
      </c>
      <c r="E13" s="47" t="s">
        <v>221</v>
      </c>
    </row>
    <row r="14" spans="1:9">
      <c r="A14" s="64">
        <v>34881</v>
      </c>
      <c r="B14" s="47">
        <v>120.733</v>
      </c>
      <c r="C14" s="47">
        <v>2.2400000000000002</v>
      </c>
      <c r="D14" s="47">
        <v>12.49</v>
      </c>
      <c r="E14" s="47" t="s">
        <v>221</v>
      </c>
    </row>
    <row r="15" spans="1:9">
      <c r="A15" s="64">
        <v>34912</v>
      </c>
      <c r="B15" s="47">
        <v>122.289</v>
      </c>
      <c r="C15" s="47">
        <v>1.29</v>
      </c>
      <c r="D15" s="47">
        <v>13.94</v>
      </c>
      <c r="E15" s="47">
        <v>22.29</v>
      </c>
      <c r="F15" s="67"/>
    </row>
    <row r="16" spans="1:9">
      <c r="A16" s="64">
        <v>34943</v>
      </c>
      <c r="B16" s="47">
        <v>120.967</v>
      </c>
      <c r="C16" s="47">
        <v>-1.08</v>
      </c>
      <c r="D16" s="47">
        <v>12.71</v>
      </c>
      <c r="E16" s="47">
        <v>19.12</v>
      </c>
      <c r="F16" s="67"/>
    </row>
    <row r="17" spans="1:6">
      <c r="A17" s="64">
        <v>34973</v>
      </c>
      <c r="B17" s="47">
        <v>121.241</v>
      </c>
      <c r="C17" s="47">
        <v>0.23</v>
      </c>
      <c r="D17" s="47">
        <v>12.97</v>
      </c>
      <c r="E17" s="47">
        <v>16.420000000000002</v>
      </c>
      <c r="F17" s="67"/>
    </row>
    <row r="18" spans="1:6">
      <c r="A18" s="64">
        <v>35004</v>
      </c>
      <c r="B18" s="47">
        <v>122.85</v>
      </c>
      <c r="C18" s="47">
        <v>1.33</v>
      </c>
      <c r="D18" s="47">
        <v>14.47</v>
      </c>
      <c r="E18" s="47">
        <v>15.11</v>
      </c>
      <c r="F18" s="67"/>
    </row>
    <row r="19" spans="1:6">
      <c r="A19" s="64">
        <v>35034</v>
      </c>
      <c r="B19" s="47">
        <v>123.187</v>
      </c>
      <c r="C19" s="47">
        <v>0.27</v>
      </c>
      <c r="D19" s="47">
        <v>14.78</v>
      </c>
      <c r="E19" s="47">
        <v>14.78</v>
      </c>
      <c r="F19" s="67"/>
    </row>
    <row r="20" spans="1:6">
      <c r="A20" s="64">
        <v>35065</v>
      </c>
      <c r="B20" s="47">
        <v>125.39700000000001</v>
      </c>
      <c r="C20" s="47">
        <v>1.79</v>
      </c>
      <c r="D20" s="47">
        <v>1.79</v>
      </c>
      <c r="E20" s="47">
        <v>15.27</v>
      </c>
      <c r="F20" s="67"/>
    </row>
    <row r="21" spans="1:6">
      <c r="A21" s="64">
        <v>35096</v>
      </c>
      <c r="B21" s="47">
        <v>126.35299999999999</v>
      </c>
      <c r="C21" s="47">
        <v>0.76</v>
      </c>
      <c r="D21" s="47">
        <v>2.57</v>
      </c>
      <c r="E21" s="47">
        <v>14.83</v>
      </c>
      <c r="F21" s="67"/>
    </row>
    <row r="22" spans="1:6">
      <c r="A22" s="64">
        <v>35125</v>
      </c>
      <c r="B22" s="47">
        <v>126.627</v>
      </c>
      <c r="C22" s="47">
        <v>0.22</v>
      </c>
      <c r="D22" s="47">
        <v>2.79</v>
      </c>
      <c r="E22" s="47">
        <v>13.02</v>
      </c>
      <c r="F22" s="67"/>
    </row>
    <row r="23" spans="1:6">
      <c r="A23" s="64">
        <v>35156</v>
      </c>
      <c r="B23" s="47">
        <v>127.509</v>
      </c>
      <c r="C23" s="47">
        <v>0.7</v>
      </c>
      <c r="D23" s="47">
        <v>3.51</v>
      </c>
      <c r="E23" s="47">
        <v>11.25</v>
      </c>
      <c r="F23" s="67"/>
    </row>
    <row r="24" spans="1:6">
      <c r="A24" s="64">
        <v>35186</v>
      </c>
      <c r="B24" s="47">
        <v>129.655</v>
      </c>
      <c r="C24" s="47">
        <v>1.68</v>
      </c>
      <c r="D24" s="47">
        <v>5.25</v>
      </c>
      <c r="E24" s="47">
        <v>12.67</v>
      </c>
      <c r="F24" s="67"/>
    </row>
    <row r="25" spans="1:6">
      <c r="A25" s="64">
        <v>35217</v>
      </c>
      <c r="B25" s="47">
        <v>131.24</v>
      </c>
      <c r="C25" s="47">
        <v>1.22</v>
      </c>
      <c r="D25" s="47">
        <v>6.54</v>
      </c>
      <c r="E25" s="47">
        <v>11.14</v>
      </c>
      <c r="F25" s="67"/>
    </row>
    <row r="26" spans="1:6">
      <c r="A26" s="64">
        <v>35247</v>
      </c>
      <c r="B26" s="47">
        <v>132.67400000000001</v>
      </c>
      <c r="C26" s="47">
        <v>1.0900000000000001</v>
      </c>
      <c r="D26" s="47">
        <v>7.7</v>
      </c>
      <c r="E26" s="47">
        <v>9.89</v>
      </c>
      <c r="F26" s="67"/>
    </row>
    <row r="27" spans="1:6">
      <c r="A27" s="64">
        <v>35278</v>
      </c>
      <c r="B27" s="47">
        <v>132.679</v>
      </c>
      <c r="C27" s="47">
        <v>0</v>
      </c>
      <c r="D27" s="47">
        <v>7.71</v>
      </c>
      <c r="E27" s="47">
        <v>8.5</v>
      </c>
      <c r="F27" s="67"/>
    </row>
    <row r="28" spans="1:6">
      <c r="A28" s="64">
        <v>35309</v>
      </c>
      <c r="B28" s="47">
        <v>132.84899999999999</v>
      </c>
      <c r="C28" s="47">
        <v>0.13</v>
      </c>
      <c r="D28" s="47">
        <v>7.84</v>
      </c>
      <c r="E28" s="47">
        <v>9.82</v>
      </c>
      <c r="F28" s="67"/>
    </row>
    <row r="29" spans="1:6">
      <c r="A29" s="64">
        <v>35339</v>
      </c>
      <c r="B29" s="47">
        <v>133.14099999999999</v>
      </c>
      <c r="C29" s="47">
        <v>0.22</v>
      </c>
      <c r="D29" s="47">
        <v>8.08</v>
      </c>
      <c r="E29" s="47">
        <v>9.82</v>
      </c>
      <c r="F29" s="67"/>
    </row>
    <row r="30" spans="1:6">
      <c r="A30" s="64">
        <v>35370</v>
      </c>
      <c r="B30" s="47">
        <v>133.517</v>
      </c>
      <c r="C30" s="47">
        <v>0.28000000000000003</v>
      </c>
      <c r="D30" s="47">
        <v>8.39</v>
      </c>
      <c r="E30" s="47">
        <v>8.68</v>
      </c>
      <c r="F30" s="67"/>
    </row>
    <row r="31" spans="1:6">
      <c r="A31" s="64">
        <v>35400</v>
      </c>
      <c r="B31" s="47">
        <v>134.68899999999999</v>
      </c>
      <c r="C31" s="47">
        <v>0.88</v>
      </c>
      <c r="D31" s="47">
        <v>9.34</v>
      </c>
      <c r="E31" s="47">
        <v>9.34</v>
      </c>
      <c r="F31" s="67"/>
    </row>
    <row r="32" spans="1:6">
      <c r="A32" s="64">
        <v>35431</v>
      </c>
      <c r="B32" s="47">
        <v>136.81399999999999</v>
      </c>
      <c r="C32" s="47">
        <v>1.58</v>
      </c>
      <c r="D32" s="47">
        <v>1.58</v>
      </c>
      <c r="E32" s="47">
        <v>9.1</v>
      </c>
      <c r="F32" s="67"/>
    </row>
    <row r="33" spans="1:6">
      <c r="A33" s="64">
        <v>35462</v>
      </c>
      <c r="B33" s="47">
        <v>137.38999999999999</v>
      </c>
      <c r="C33" s="47">
        <v>0.42</v>
      </c>
      <c r="D33" s="47">
        <v>2.0099999999999998</v>
      </c>
      <c r="E33" s="47">
        <v>8.74</v>
      </c>
      <c r="F33" s="67"/>
    </row>
    <row r="34" spans="1:6">
      <c r="A34" s="64">
        <v>35490</v>
      </c>
      <c r="B34" s="47">
        <v>138.99</v>
      </c>
      <c r="C34" s="47">
        <v>1.1599999999999999</v>
      </c>
      <c r="D34" s="47">
        <v>3.19</v>
      </c>
      <c r="E34" s="47">
        <v>9.76</v>
      </c>
      <c r="F34" s="67"/>
    </row>
    <row r="35" spans="1:6">
      <c r="A35" s="64">
        <v>35521</v>
      </c>
      <c r="B35" s="47">
        <v>139.80699999999999</v>
      </c>
      <c r="C35" s="47">
        <v>0.59</v>
      </c>
      <c r="D35" s="47">
        <v>3.8</v>
      </c>
      <c r="E35" s="47">
        <v>9.64</v>
      </c>
      <c r="F35" s="67"/>
    </row>
    <row r="36" spans="1:6">
      <c r="A36" s="64">
        <v>35551</v>
      </c>
      <c r="B36" s="47">
        <v>140.22900000000001</v>
      </c>
      <c r="C36" s="47">
        <v>0.3</v>
      </c>
      <c r="D36" s="47">
        <v>4.1100000000000003</v>
      </c>
      <c r="E36" s="47">
        <v>8.16</v>
      </c>
      <c r="F36" s="67"/>
    </row>
    <row r="37" spans="1:6">
      <c r="A37" s="64">
        <v>35582</v>
      </c>
      <c r="B37" s="47">
        <v>141.20699999999999</v>
      </c>
      <c r="C37" s="47">
        <v>0.7</v>
      </c>
      <c r="D37" s="47">
        <v>4.84</v>
      </c>
      <c r="E37" s="47">
        <v>7.59</v>
      </c>
      <c r="F37" s="67"/>
    </row>
    <row r="38" spans="1:6">
      <c r="A38" s="64">
        <v>35612</v>
      </c>
      <c r="B38" s="47">
        <v>141.33000000000001</v>
      </c>
      <c r="C38" s="47">
        <v>0.09</v>
      </c>
      <c r="D38" s="47">
        <v>4.93</v>
      </c>
      <c r="E38" s="47">
        <v>6.52</v>
      </c>
      <c r="F38" s="67"/>
    </row>
    <row r="39" spans="1:6">
      <c r="A39" s="64">
        <v>35643</v>
      </c>
      <c r="B39" s="47">
        <v>141.268</v>
      </c>
      <c r="C39" s="47">
        <v>-0.04</v>
      </c>
      <c r="D39" s="47">
        <v>4.88</v>
      </c>
      <c r="E39" s="47">
        <v>6.47</v>
      </c>
      <c r="F39" s="67"/>
    </row>
    <row r="40" spans="1:6">
      <c r="A40" s="64">
        <v>35674</v>
      </c>
      <c r="B40" s="47">
        <v>142.101</v>
      </c>
      <c r="C40" s="47">
        <v>0.59</v>
      </c>
      <c r="D40" s="47">
        <v>5.5</v>
      </c>
      <c r="E40" s="47">
        <v>6.96</v>
      </c>
      <c r="F40" s="67"/>
    </row>
    <row r="41" spans="1:6">
      <c r="A41" s="64">
        <v>35704</v>
      </c>
      <c r="B41" s="47">
        <v>142.58699999999999</v>
      </c>
      <c r="C41" s="47">
        <v>0.34</v>
      </c>
      <c r="D41" s="47">
        <v>5.86</v>
      </c>
      <c r="E41" s="47">
        <v>7.09</v>
      </c>
      <c r="F41" s="67"/>
    </row>
    <row r="42" spans="1:6">
      <c r="A42" s="64">
        <v>35735</v>
      </c>
      <c r="B42" s="47">
        <v>143.77099999999999</v>
      </c>
      <c r="C42" s="47">
        <v>0.83</v>
      </c>
      <c r="D42" s="47">
        <v>6.74</v>
      </c>
      <c r="E42" s="47">
        <v>7.68</v>
      </c>
      <c r="F42" s="67"/>
    </row>
    <row r="43" spans="1:6">
      <c r="A43" s="64">
        <v>35765</v>
      </c>
      <c r="B43" s="47">
        <v>144.76499999999999</v>
      </c>
      <c r="C43" s="47">
        <v>0.69</v>
      </c>
      <c r="D43" s="47">
        <v>7.48</v>
      </c>
      <c r="E43" s="47">
        <v>7.48</v>
      </c>
      <c r="F43" s="67"/>
    </row>
    <row r="44" spans="1:6">
      <c r="A44" s="64">
        <v>35796</v>
      </c>
      <c r="B44" s="47">
        <v>146.03800000000001</v>
      </c>
      <c r="C44" s="47">
        <v>0.88</v>
      </c>
      <c r="D44" s="47">
        <v>0.88</v>
      </c>
      <c r="E44" s="47">
        <v>6.74</v>
      </c>
      <c r="F44" s="67"/>
    </row>
    <row r="45" spans="1:6">
      <c r="A45" s="64">
        <v>35827</v>
      </c>
      <c r="B45" s="47">
        <v>146.06700000000001</v>
      </c>
      <c r="C45" s="47">
        <v>0.02</v>
      </c>
      <c r="D45" s="47">
        <v>0.9</v>
      </c>
      <c r="E45" s="47">
        <v>6.32</v>
      </c>
      <c r="F45" s="67"/>
    </row>
    <row r="46" spans="1:6">
      <c r="A46" s="64">
        <v>35855</v>
      </c>
      <c r="B46" s="47">
        <v>146.40799999999999</v>
      </c>
      <c r="C46" s="47">
        <v>0.23</v>
      </c>
      <c r="D46" s="47">
        <v>1.1299999999999999</v>
      </c>
      <c r="E46" s="47">
        <v>5.34</v>
      </c>
      <c r="F46" s="67"/>
    </row>
    <row r="47" spans="1:6">
      <c r="A47" s="64">
        <v>35886</v>
      </c>
      <c r="B47" s="47">
        <v>146.21100000000001</v>
      </c>
      <c r="C47" s="47">
        <v>-0.13</v>
      </c>
      <c r="D47" s="47">
        <v>1</v>
      </c>
      <c r="E47" s="47">
        <v>4.58</v>
      </c>
      <c r="F47" s="67"/>
    </row>
    <row r="48" spans="1:6">
      <c r="A48" s="64">
        <v>35916</v>
      </c>
      <c r="B48" s="47">
        <v>146.54400000000001</v>
      </c>
      <c r="C48" s="47">
        <v>0.23</v>
      </c>
      <c r="D48" s="47">
        <v>1.23</v>
      </c>
      <c r="E48" s="47">
        <v>4.5</v>
      </c>
      <c r="F48" s="67"/>
    </row>
    <row r="49" spans="1:6">
      <c r="A49" s="64">
        <v>35947</v>
      </c>
      <c r="B49" s="47">
        <v>146.95099999999999</v>
      </c>
      <c r="C49" s="47">
        <v>0.28000000000000003</v>
      </c>
      <c r="D49" s="47">
        <v>1.51</v>
      </c>
      <c r="E49" s="47">
        <v>4.07</v>
      </c>
      <c r="F49" s="67"/>
    </row>
    <row r="50" spans="1:6">
      <c r="A50" s="64">
        <v>35977</v>
      </c>
      <c r="B50" s="47">
        <v>146.398</v>
      </c>
      <c r="C50" s="47">
        <v>-0.38</v>
      </c>
      <c r="D50" s="47">
        <v>1.1299999999999999</v>
      </c>
      <c r="E50" s="47">
        <v>3.59</v>
      </c>
      <c r="F50" s="67"/>
    </row>
    <row r="51" spans="1:6">
      <c r="A51" s="64">
        <v>36008</v>
      </c>
      <c r="B51" s="47">
        <v>146.14400000000001</v>
      </c>
      <c r="C51" s="47">
        <v>-0.17</v>
      </c>
      <c r="D51" s="47">
        <v>0.95</v>
      </c>
      <c r="E51" s="47">
        <v>3.45</v>
      </c>
      <c r="F51" s="67"/>
    </row>
    <row r="52" spans="1:6">
      <c r="A52" s="64">
        <v>36039</v>
      </c>
      <c r="B52" s="47">
        <v>146.11099999999999</v>
      </c>
      <c r="C52" s="47">
        <v>-0.02</v>
      </c>
      <c r="D52" s="47">
        <v>0.93</v>
      </c>
      <c r="E52" s="47">
        <v>2.82</v>
      </c>
      <c r="F52" s="67"/>
    </row>
    <row r="53" spans="1:6">
      <c r="A53" s="64">
        <v>36069</v>
      </c>
      <c r="B53" s="47">
        <v>146.06299999999999</v>
      </c>
      <c r="C53" s="47">
        <v>-0.03</v>
      </c>
      <c r="D53" s="47">
        <v>0.9</v>
      </c>
      <c r="E53" s="47">
        <v>2.44</v>
      </c>
      <c r="F53" s="67"/>
    </row>
    <row r="54" spans="1:6">
      <c r="A54" s="64">
        <v>36100</v>
      </c>
      <c r="B54" s="47">
        <v>145.797</v>
      </c>
      <c r="C54" s="47">
        <v>-0.18</v>
      </c>
      <c r="D54" s="47">
        <v>0.71</v>
      </c>
      <c r="E54" s="47">
        <v>1.41</v>
      </c>
      <c r="F54" s="67"/>
    </row>
    <row r="55" spans="1:6">
      <c r="A55" s="64">
        <v>36130</v>
      </c>
      <c r="B55" s="47">
        <v>147.23099999999999</v>
      </c>
      <c r="C55" s="47">
        <v>0.98</v>
      </c>
      <c r="D55" s="47">
        <v>1.7</v>
      </c>
      <c r="E55" s="47">
        <v>1.7</v>
      </c>
      <c r="F55" s="67"/>
    </row>
    <row r="56" spans="1:6">
      <c r="A56" s="64">
        <v>36161</v>
      </c>
      <c r="B56" s="47">
        <v>148.92099999999999</v>
      </c>
      <c r="C56" s="47">
        <v>1.1499999999999999</v>
      </c>
      <c r="D56" s="47">
        <v>1.1499999999999999</v>
      </c>
      <c r="E56" s="47">
        <v>1.97</v>
      </c>
      <c r="F56" s="67"/>
    </row>
    <row r="57" spans="1:6">
      <c r="A57" s="64">
        <v>36192</v>
      </c>
      <c r="B57" s="47">
        <v>155.52799999999999</v>
      </c>
      <c r="C57" s="47">
        <v>4.4400000000000004</v>
      </c>
      <c r="D57" s="47">
        <v>5.64</v>
      </c>
      <c r="E57" s="47">
        <v>6.48</v>
      </c>
      <c r="F57" s="67"/>
    </row>
    <row r="58" spans="1:6">
      <c r="A58" s="64">
        <v>36220</v>
      </c>
      <c r="B58" s="47">
        <v>158.6</v>
      </c>
      <c r="C58" s="47">
        <v>1.98</v>
      </c>
      <c r="D58" s="47">
        <v>7.72</v>
      </c>
      <c r="E58" s="47">
        <v>8.33</v>
      </c>
      <c r="F58" s="67"/>
    </row>
    <row r="59" spans="1:6">
      <c r="A59" s="64">
        <v>36251</v>
      </c>
      <c r="B59" s="47">
        <v>158.64699999999999</v>
      </c>
      <c r="C59" s="47">
        <v>0.03</v>
      </c>
      <c r="D59" s="47">
        <v>7.75</v>
      </c>
      <c r="E59" s="47">
        <v>8.51</v>
      </c>
      <c r="F59" s="67"/>
    </row>
    <row r="60" spans="1:6">
      <c r="A60" s="64">
        <v>36281</v>
      </c>
      <c r="B60" s="47">
        <v>158.1</v>
      </c>
      <c r="C60" s="47">
        <v>-0.34</v>
      </c>
      <c r="D60" s="47">
        <v>7.38</v>
      </c>
      <c r="E60" s="47">
        <v>7.89</v>
      </c>
      <c r="F60" s="67"/>
    </row>
    <row r="61" spans="1:6">
      <c r="A61" s="64">
        <v>36312</v>
      </c>
      <c r="B61" s="47">
        <v>159.71100000000001</v>
      </c>
      <c r="C61" s="47">
        <v>1.02</v>
      </c>
      <c r="D61" s="47">
        <v>8.48</v>
      </c>
      <c r="E61" s="47">
        <v>8.68</v>
      </c>
      <c r="F61" s="67"/>
    </row>
    <row r="62" spans="1:6">
      <c r="A62" s="64">
        <v>36342</v>
      </c>
      <c r="B62" s="47">
        <v>162.25299999999999</v>
      </c>
      <c r="C62" s="47">
        <v>1.59</v>
      </c>
      <c r="D62" s="47">
        <v>10.199999999999999</v>
      </c>
      <c r="E62" s="47">
        <v>10.83</v>
      </c>
      <c r="F62" s="67"/>
    </row>
    <row r="63" spans="1:6">
      <c r="A63" s="64">
        <v>36373</v>
      </c>
      <c r="B63" s="47">
        <v>164.61199999999999</v>
      </c>
      <c r="C63" s="47">
        <v>1.45</v>
      </c>
      <c r="D63" s="47">
        <v>11.81</v>
      </c>
      <c r="E63" s="47">
        <v>12.64</v>
      </c>
      <c r="F63" s="67"/>
    </row>
    <row r="64" spans="1:6">
      <c r="A64" s="64">
        <v>36404</v>
      </c>
      <c r="B64" s="47">
        <v>167.02799999999999</v>
      </c>
      <c r="C64" s="47">
        <v>1.47</v>
      </c>
      <c r="D64" s="47">
        <v>13.45</v>
      </c>
      <c r="E64" s="47">
        <v>14.32</v>
      </c>
      <c r="F64" s="67"/>
    </row>
    <row r="65" spans="1:6">
      <c r="A65" s="64">
        <v>36434</v>
      </c>
      <c r="B65" s="47">
        <v>170.18199999999999</v>
      </c>
      <c r="C65" s="47">
        <v>1.89</v>
      </c>
      <c r="D65" s="47">
        <v>15.59</v>
      </c>
      <c r="E65" s="47">
        <v>16.510000000000002</v>
      </c>
      <c r="F65" s="67"/>
    </row>
    <row r="66" spans="1:6">
      <c r="A66" s="64">
        <v>36465</v>
      </c>
      <c r="B66" s="47">
        <v>174.49600000000001</v>
      </c>
      <c r="C66" s="47">
        <v>2.5299999999999998</v>
      </c>
      <c r="D66" s="47">
        <v>18.52</v>
      </c>
      <c r="E66" s="47">
        <v>19.68</v>
      </c>
      <c r="F66" s="67"/>
    </row>
    <row r="67" spans="1:6">
      <c r="A67" s="64">
        <v>36495</v>
      </c>
      <c r="B67" s="47">
        <v>176.64699999999999</v>
      </c>
      <c r="C67" s="47">
        <v>1.23</v>
      </c>
      <c r="D67" s="47">
        <v>19.98</v>
      </c>
      <c r="E67" s="47">
        <v>19.98</v>
      </c>
      <c r="F67" s="67"/>
    </row>
    <row r="68" spans="1:6">
      <c r="A68" s="64">
        <v>36526</v>
      </c>
      <c r="B68" s="47">
        <v>178.45400000000001</v>
      </c>
      <c r="C68" s="47">
        <v>1.02</v>
      </c>
      <c r="D68" s="47">
        <v>1.02</v>
      </c>
      <c r="E68" s="47">
        <v>19.829999999999998</v>
      </c>
      <c r="F68" s="67"/>
    </row>
    <row r="69" spans="1:6">
      <c r="A69" s="64">
        <v>36557</v>
      </c>
      <c r="B69" s="47">
        <v>178.8</v>
      </c>
      <c r="C69" s="47">
        <v>0.19</v>
      </c>
      <c r="D69" s="47">
        <v>1.22</v>
      </c>
      <c r="E69" s="47">
        <v>14.96</v>
      </c>
      <c r="F69" s="67"/>
    </row>
    <row r="70" spans="1:6">
      <c r="A70" s="64">
        <v>36586</v>
      </c>
      <c r="B70" s="47">
        <v>179.12799999999999</v>
      </c>
      <c r="C70" s="47">
        <v>0.18</v>
      </c>
      <c r="D70" s="47">
        <v>1.4</v>
      </c>
      <c r="E70" s="47">
        <v>12.94</v>
      </c>
      <c r="F70" s="67"/>
    </row>
    <row r="71" spans="1:6">
      <c r="A71" s="64">
        <v>36617</v>
      </c>
      <c r="B71" s="47">
        <v>179.357</v>
      </c>
      <c r="C71" s="47">
        <v>0.13</v>
      </c>
      <c r="D71" s="47">
        <v>1.53</v>
      </c>
      <c r="E71" s="47">
        <v>13.05</v>
      </c>
      <c r="F71" s="67"/>
    </row>
    <row r="72" spans="1:6">
      <c r="A72" s="64">
        <v>36647</v>
      </c>
      <c r="B72" s="47">
        <v>180.56299999999999</v>
      </c>
      <c r="C72" s="47">
        <v>0.67</v>
      </c>
      <c r="D72" s="47">
        <v>2.2200000000000002</v>
      </c>
      <c r="E72" s="47">
        <v>14.21</v>
      </c>
      <c r="F72" s="67"/>
    </row>
    <row r="73" spans="1:6">
      <c r="A73" s="64">
        <v>36678</v>
      </c>
      <c r="B73" s="47">
        <v>182.23599999999999</v>
      </c>
      <c r="C73" s="47">
        <v>0.93</v>
      </c>
      <c r="D73" s="47">
        <v>3.16</v>
      </c>
      <c r="E73" s="47">
        <v>14.1</v>
      </c>
      <c r="F73" s="67"/>
    </row>
    <row r="74" spans="1:6">
      <c r="A74" s="64">
        <v>36708</v>
      </c>
      <c r="B74" s="47">
        <v>186.35300000000001</v>
      </c>
      <c r="C74" s="47">
        <v>2.2599999999999998</v>
      </c>
      <c r="D74" s="47">
        <v>5.49</v>
      </c>
      <c r="E74" s="47">
        <v>14.85</v>
      </c>
      <c r="F74" s="67"/>
    </row>
    <row r="75" spans="1:6">
      <c r="A75" s="64">
        <v>36739</v>
      </c>
      <c r="B75" s="47">
        <v>189.74600000000001</v>
      </c>
      <c r="C75" s="47">
        <v>1.82</v>
      </c>
      <c r="D75" s="47">
        <v>7.42</v>
      </c>
      <c r="E75" s="47">
        <v>15.27</v>
      </c>
      <c r="F75" s="67"/>
    </row>
    <row r="76" spans="1:6">
      <c r="A76" s="64">
        <v>36770</v>
      </c>
      <c r="B76" s="47">
        <v>191.04900000000001</v>
      </c>
      <c r="C76" s="47">
        <v>0.69</v>
      </c>
      <c r="D76" s="47">
        <v>8.15</v>
      </c>
      <c r="E76" s="47">
        <v>14.38</v>
      </c>
      <c r="F76" s="67"/>
    </row>
    <row r="77" spans="1:6">
      <c r="A77" s="64">
        <v>36800</v>
      </c>
      <c r="B77" s="47">
        <v>191.76300000000001</v>
      </c>
      <c r="C77" s="47">
        <v>0.37</v>
      </c>
      <c r="D77" s="47">
        <v>8.56</v>
      </c>
      <c r="E77" s="47">
        <v>12.68</v>
      </c>
      <c r="F77" s="67"/>
    </row>
    <row r="78" spans="1:6">
      <c r="A78" s="64">
        <v>36831</v>
      </c>
      <c r="B78" s="47">
        <v>192.506</v>
      </c>
      <c r="C78" s="47">
        <v>0.39</v>
      </c>
      <c r="D78" s="47">
        <v>8.98</v>
      </c>
      <c r="E78" s="47">
        <v>10.32</v>
      </c>
      <c r="F78" s="67"/>
    </row>
    <row r="79" spans="1:6">
      <c r="A79" s="64">
        <v>36861</v>
      </c>
      <c r="B79" s="47">
        <v>193.97</v>
      </c>
      <c r="C79" s="47">
        <v>0.76</v>
      </c>
      <c r="D79" s="47">
        <v>9.81</v>
      </c>
      <c r="E79" s="47">
        <v>9.81</v>
      </c>
      <c r="F79" s="67"/>
    </row>
    <row r="80" spans="1:6">
      <c r="A80" s="64">
        <v>36892</v>
      </c>
      <c r="B80" s="47">
        <v>194.92</v>
      </c>
      <c r="C80" s="47">
        <v>0.49</v>
      </c>
      <c r="D80" s="47">
        <v>0.49</v>
      </c>
      <c r="E80" s="47">
        <v>9.23</v>
      </c>
      <c r="F80" s="67"/>
    </row>
    <row r="81" spans="1:6">
      <c r="A81" s="64">
        <v>36923</v>
      </c>
      <c r="B81" s="47">
        <v>195.58</v>
      </c>
      <c r="C81" s="47">
        <v>0.34</v>
      </c>
      <c r="D81" s="47">
        <v>0.83</v>
      </c>
      <c r="E81" s="47">
        <v>9.3800000000000008</v>
      </c>
      <c r="F81" s="67"/>
    </row>
    <row r="82" spans="1:6">
      <c r="A82" s="64">
        <v>36951</v>
      </c>
      <c r="B82" s="47">
        <v>197.15100000000001</v>
      </c>
      <c r="C82" s="47">
        <v>0.8</v>
      </c>
      <c r="D82" s="47">
        <v>1.64</v>
      </c>
      <c r="E82" s="47">
        <v>10.06</v>
      </c>
      <c r="F82" s="67"/>
    </row>
    <row r="83" spans="1:6">
      <c r="A83" s="64">
        <v>36982</v>
      </c>
      <c r="B83" s="47">
        <v>199.374</v>
      </c>
      <c r="C83" s="47">
        <v>1.1299999999999999</v>
      </c>
      <c r="D83" s="47">
        <v>2.79</v>
      </c>
      <c r="E83" s="47">
        <v>11.16</v>
      </c>
      <c r="F83" s="67"/>
    </row>
    <row r="84" spans="1:6">
      <c r="A84" s="64">
        <v>37012</v>
      </c>
      <c r="B84" s="47">
        <v>200.251</v>
      </c>
      <c r="C84" s="47">
        <v>0.44</v>
      </c>
      <c r="D84" s="47">
        <v>3.24</v>
      </c>
      <c r="E84" s="47">
        <v>10.9</v>
      </c>
      <c r="F84" s="67"/>
    </row>
    <row r="85" spans="1:6">
      <c r="A85" s="64">
        <v>37043</v>
      </c>
      <c r="B85" s="47">
        <v>203.167</v>
      </c>
      <c r="C85" s="47">
        <v>1.46</v>
      </c>
      <c r="D85" s="47">
        <v>4.74</v>
      </c>
      <c r="E85" s="47">
        <v>11.49</v>
      </c>
      <c r="F85" s="67"/>
    </row>
    <row r="86" spans="1:6">
      <c r="A86" s="64">
        <v>37073</v>
      </c>
      <c r="B86" s="47">
        <v>206.45</v>
      </c>
      <c r="C86" s="47">
        <v>1.62</v>
      </c>
      <c r="D86" s="47">
        <v>6.43</v>
      </c>
      <c r="E86" s="47">
        <v>10.78</v>
      </c>
      <c r="F86" s="67"/>
    </row>
    <row r="87" spans="1:6">
      <c r="A87" s="64">
        <v>37104</v>
      </c>
      <c r="B87" s="47">
        <v>208.315</v>
      </c>
      <c r="C87" s="47">
        <v>0.9</v>
      </c>
      <c r="D87" s="47">
        <v>7.4</v>
      </c>
      <c r="E87" s="47">
        <v>9.7899999999999991</v>
      </c>
      <c r="F87" s="67"/>
    </row>
    <row r="88" spans="1:6">
      <c r="A88" s="64">
        <v>37135</v>
      </c>
      <c r="B88" s="47">
        <v>209.11099999999999</v>
      </c>
      <c r="C88" s="47">
        <v>0.38</v>
      </c>
      <c r="D88" s="47">
        <v>7.81</v>
      </c>
      <c r="E88" s="47">
        <v>9.4499999999999993</v>
      </c>
      <c r="F88" s="67"/>
    </row>
    <row r="89" spans="1:6">
      <c r="A89" s="64">
        <v>37165</v>
      </c>
      <c r="B89" s="47">
        <v>212.13499999999999</v>
      </c>
      <c r="C89" s="47">
        <v>1.45</v>
      </c>
      <c r="D89" s="47">
        <v>9.36</v>
      </c>
      <c r="E89" s="47">
        <v>10.62</v>
      </c>
      <c r="F89" s="67"/>
    </row>
    <row r="90" spans="1:6">
      <c r="A90" s="64">
        <v>37196</v>
      </c>
      <c r="B90" s="47">
        <v>213.756</v>
      </c>
      <c r="C90" s="47">
        <v>0.76</v>
      </c>
      <c r="D90" s="47">
        <v>10.199999999999999</v>
      </c>
      <c r="E90" s="47">
        <v>11.04</v>
      </c>
      <c r="F90" s="67"/>
    </row>
    <row r="91" spans="1:6">
      <c r="A91" s="64">
        <v>37226</v>
      </c>
      <c r="B91" s="47">
        <v>214.137</v>
      </c>
      <c r="C91" s="47">
        <v>0.18</v>
      </c>
      <c r="D91" s="47">
        <v>10.4</v>
      </c>
      <c r="E91" s="47">
        <v>10.4</v>
      </c>
      <c r="F91" s="67"/>
    </row>
    <row r="92" spans="1:6">
      <c r="A92" s="64">
        <v>37257</v>
      </c>
      <c r="B92" s="47">
        <v>214.535</v>
      </c>
      <c r="C92" s="47">
        <v>0.19</v>
      </c>
      <c r="D92" s="47">
        <v>0.19</v>
      </c>
      <c r="E92" s="47">
        <v>10.06</v>
      </c>
      <c r="F92" s="67"/>
    </row>
    <row r="93" spans="1:6">
      <c r="A93" s="64">
        <v>37288</v>
      </c>
      <c r="B93" s="47">
        <v>214.92699999999999</v>
      </c>
      <c r="C93" s="47">
        <v>0.18</v>
      </c>
      <c r="D93" s="47">
        <v>0.37</v>
      </c>
      <c r="E93" s="47">
        <v>9.89</v>
      </c>
      <c r="F93" s="67"/>
    </row>
    <row r="94" spans="1:6">
      <c r="A94" s="64">
        <v>37316</v>
      </c>
      <c r="B94" s="47">
        <v>215.17</v>
      </c>
      <c r="C94" s="47">
        <v>0.11</v>
      </c>
      <c r="D94" s="47">
        <v>0.48</v>
      </c>
      <c r="E94" s="47">
        <v>9.14</v>
      </c>
      <c r="F94" s="67"/>
    </row>
    <row r="95" spans="1:6">
      <c r="A95" s="64">
        <v>37347</v>
      </c>
      <c r="B95" s="47">
        <v>216.673</v>
      </c>
      <c r="C95" s="47">
        <v>0.7</v>
      </c>
      <c r="D95" s="47">
        <v>1.18</v>
      </c>
      <c r="E95" s="47">
        <v>8.68</v>
      </c>
      <c r="F95" s="67"/>
    </row>
    <row r="96" spans="1:6">
      <c r="A96" s="64">
        <v>37377</v>
      </c>
      <c r="B96" s="47">
        <v>219.07</v>
      </c>
      <c r="C96" s="47">
        <v>1.1100000000000001</v>
      </c>
      <c r="D96" s="47">
        <v>2.2999999999999998</v>
      </c>
      <c r="E96" s="47">
        <v>9.4</v>
      </c>
      <c r="F96" s="67"/>
    </row>
    <row r="97" spans="1:6">
      <c r="A97" s="64">
        <v>37408</v>
      </c>
      <c r="B97" s="47">
        <v>222.87200000000001</v>
      </c>
      <c r="C97" s="47">
        <v>1.74</v>
      </c>
      <c r="D97" s="47">
        <v>4.08</v>
      </c>
      <c r="E97" s="47">
        <v>9.6999999999999993</v>
      </c>
      <c r="F97" s="67"/>
    </row>
    <row r="98" spans="1:6">
      <c r="A98" s="64">
        <v>37438</v>
      </c>
      <c r="B98" s="47">
        <v>227.441</v>
      </c>
      <c r="C98" s="47">
        <v>2.0499999999999998</v>
      </c>
      <c r="D98" s="47">
        <v>6.21</v>
      </c>
      <c r="E98" s="47">
        <v>10.17</v>
      </c>
      <c r="F98" s="67"/>
    </row>
    <row r="99" spans="1:6">
      <c r="A99" s="64">
        <v>37469</v>
      </c>
      <c r="B99" s="47">
        <v>232.81800000000001</v>
      </c>
      <c r="C99" s="47">
        <v>2.36</v>
      </c>
      <c r="D99" s="47">
        <v>8.7200000000000006</v>
      </c>
      <c r="E99" s="47">
        <v>11.76</v>
      </c>
      <c r="F99" s="67"/>
    </row>
    <row r="100" spans="1:6">
      <c r="A100" s="64">
        <v>37500</v>
      </c>
      <c r="B100" s="47">
        <v>238.97300000000001</v>
      </c>
      <c r="C100" s="47">
        <v>2.64</v>
      </c>
      <c r="D100" s="47">
        <v>11.6</v>
      </c>
      <c r="E100" s="47">
        <v>14.28</v>
      </c>
      <c r="F100" s="67"/>
    </row>
    <row r="101" spans="1:6">
      <c r="A101" s="64">
        <v>37530</v>
      </c>
      <c r="B101" s="47">
        <v>249.042</v>
      </c>
      <c r="C101" s="47">
        <v>4.21</v>
      </c>
      <c r="D101" s="47">
        <v>16.3</v>
      </c>
      <c r="E101" s="47">
        <v>17.399999999999999</v>
      </c>
      <c r="F101" s="67"/>
    </row>
    <row r="102" spans="1:6">
      <c r="A102" s="64">
        <v>37561</v>
      </c>
      <c r="B102" s="47">
        <v>263.58</v>
      </c>
      <c r="C102" s="47">
        <v>5.84</v>
      </c>
      <c r="D102" s="47">
        <v>23.09</v>
      </c>
      <c r="E102" s="47">
        <v>23.31</v>
      </c>
      <c r="F102" s="67"/>
    </row>
    <row r="103" spans="1:6">
      <c r="A103" s="64">
        <v>37591</v>
      </c>
      <c r="B103" s="47">
        <v>270.69200000000001</v>
      </c>
      <c r="C103" s="47">
        <v>2.7</v>
      </c>
      <c r="D103" s="47">
        <v>26.41</v>
      </c>
      <c r="E103" s="47">
        <v>26.41</v>
      </c>
      <c r="F103" s="67"/>
    </row>
    <row r="104" spans="1:6">
      <c r="A104" s="64">
        <v>37622</v>
      </c>
      <c r="B104" s="47">
        <v>276.57799999999997</v>
      </c>
      <c r="C104" s="47">
        <v>2.17</v>
      </c>
      <c r="D104" s="47">
        <v>2.17</v>
      </c>
      <c r="E104" s="47">
        <v>28.92</v>
      </c>
      <c r="F104" s="67"/>
    </row>
    <row r="105" spans="1:6">
      <c r="A105" s="64">
        <v>37653</v>
      </c>
      <c r="B105" s="47">
        <v>280.98399999999998</v>
      </c>
      <c r="C105" s="47">
        <v>1.59</v>
      </c>
      <c r="D105" s="47">
        <v>3.8</v>
      </c>
      <c r="E105" s="47">
        <v>30.73</v>
      </c>
      <c r="F105" s="67"/>
    </row>
    <row r="106" spans="1:6">
      <c r="A106" s="64">
        <v>37681</v>
      </c>
      <c r="B106" s="47">
        <v>285.64</v>
      </c>
      <c r="C106" s="47">
        <v>1.66</v>
      </c>
      <c r="D106" s="47">
        <v>5.52</v>
      </c>
      <c r="E106" s="47">
        <v>32.75</v>
      </c>
      <c r="F106" s="67"/>
    </row>
    <row r="107" spans="1:6">
      <c r="A107" s="64">
        <v>37712</v>
      </c>
      <c r="B107" s="47">
        <v>286.815</v>
      </c>
      <c r="C107" s="47">
        <v>0.41</v>
      </c>
      <c r="D107" s="47">
        <v>5.96</v>
      </c>
      <c r="E107" s="47">
        <v>32.369999999999997</v>
      </c>
      <c r="F107" s="67"/>
    </row>
    <row r="108" spans="1:6">
      <c r="A108" s="64">
        <v>37742</v>
      </c>
      <c r="B108" s="47">
        <v>284.89999999999998</v>
      </c>
      <c r="C108" s="47">
        <v>-0.67</v>
      </c>
      <c r="D108" s="47">
        <v>5.25</v>
      </c>
      <c r="E108" s="47">
        <v>30.05</v>
      </c>
      <c r="F108" s="67"/>
    </row>
    <row r="109" spans="1:6">
      <c r="A109" s="64">
        <v>37773</v>
      </c>
      <c r="B109" s="47">
        <v>282.91300000000001</v>
      </c>
      <c r="C109" s="47">
        <v>-0.7</v>
      </c>
      <c r="D109" s="47">
        <v>4.51</v>
      </c>
      <c r="E109" s="47">
        <v>26.94</v>
      </c>
      <c r="F109" s="67"/>
    </row>
    <row r="110" spans="1:6">
      <c r="A110" s="64">
        <v>37803</v>
      </c>
      <c r="B110" s="47">
        <v>282.34899999999999</v>
      </c>
      <c r="C110" s="47">
        <v>-0.2</v>
      </c>
      <c r="D110" s="47">
        <v>4.3099999999999996</v>
      </c>
      <c r="E110" s="47">
        <v>24.14</v>
      </c>
      <c r="F110" s="67"/>
    </row>
    <row r="111" spans="1:6">
      <c r="A111" s="64">
        <v>37834</v>
      </c>
      <c r="B111" s="47">
        <v>284.10500000000002</v>
      </c>
      <c r="C111" s="47">
        <v>0.62</v>
      </c>
      <c r="D111" s="47">
        <v>4.96</v>
      </c>
      <c r="E111" s="47">
        <v>22.03</v>
      </c>
      <c r="F111" s="67"/>
    </row>
    <row r="112" spans="1:6">
      <c r="A112" s="64">
        <v>37865</v>
      </c>
      <c r="B112" s="47">
        <v>287.08100000000002</v>
      </c>
      <c r="C112" s="47">
        <v>1.05</v>
      </c>
      <c r="D112" s="47">
        <v>6.05</v>
      </c>
      <c r="E112" s="47">
        <v>20.13</v>
      </c>
      <c r="F112" s="67"/>
    </row>
    <row r="113" spans="1:6">
      <c r="A113" s="64">
        <v>37895</v>
      </c>
      <c r="B113" s="47">
        <v>288.33699999999999</v>
      </c>
      <c r="C113" s="47">
        <v>0.44</v>
      </c>
      <c r="D113" s="47">
        <v>6.52</v>
      </c>
      <c r="E113" s="47">
        <v>15.78</v>
      </c>
      <c r="F113" s="67"/>
    </row>
    <row r="114" spans="1:6">
      <c r="A114" s="64">
        <v>37926</v>
      </c>
      <c r="B114" s="47">
        <v>289.71800000000002</v>
      </c>
      <c r="C114" s="47">
        <v>0.48</v>
      </c>
      <c r="D114" s="47">
        <v>7.03</v>
      </c>
      <c r="E114" s="47">
        <v>9.92</v>
      </c>
      <c r="F114" s="67"/>
    </row>
    <row r="115" spans="1:6">
      <c r="A115" s="64">
        <v>37956</v>
      </c>
      <c r="B115" s="47">
        <v>291.46199999999999</v>
      </c>
      <c r="C115" s="47">
        <v>0.6</v>
      </c>
      <c r="D115" s="47">
        <v>7.67</v>
      </c>
      <c r="E115" s="47">
        <v>7.67</v>
      </c>
      <c r="F115" s="67"/>
    </row>
    <row r="116" spans="1:6">
      <c r="A116" s="64">
        <v>37987</v>
      </c>
      <c r="B116" s="47">
        <v>293.79300000000001</v>
      </c>
      <c r="C116" s="47">
        <v>0.8</v>
      </c>
      <c r="D116" s="47">
        <v>0.8</v>
      </c>
      <c r="E116" s="47">
        <v>6.22</v>
      </c>
      <c r="F116" s="67"/>
    </row>
    <row r="117" spans="1:6">
      <c r="A117" s="64">
        <v>38018</v>
      </c>
      <c r="B117" s="47">
        <v>296.976</v>
      </c>
      <c r="C117" s="47">
        <v>1.08</v>
      </c>
      <c r="D117" s="47">
        <v>1.89</v>
      </c>
      <c r="E117" s="47">
        <v>5.69</v>
      </c>
      <c r="F117" s="67"/>
    </row>
    <row r="118" spans="1:6">
      <c r="A118" s="64">
        <v>38047</v>
      </c>
      <c r="B118" s="47">
        <v>299.74599999999998</v>
      </c>
      <c r="C118" s="47">
        <v>0.93</v>
      </c>
      <c r="D118" s="47">
        <v>2.84</v>
      </c>
      <c r="E118" s="47">
        <v>4.9400000000000004</v>
      </c>
      <c r="F118" s="67"/>
    </row>
    <row r="119" spans="1:6">
      <c r="A119" s="64">
        <v>38078</v>
      </c>
      <c r="B119" s="47">
        <v>303.18400000000003</v>
      </c>
      <c r="C119" s="47">
        <v>1.1499999999999999</v>
      </c>
      <c r="D119" s="47">
        <v>4.0199999999999996</v>
      </c>
      <c r="E119" s="47">
        <v>5.71</v>
      </c>
      <c r="F119" s="67"/>
    </row>
    <row r="120" spans="1:6">
      <c r="A120" s="64">
        <v>38108</v>
      </c>
      <c r="B120" s="47">
        <v>307.61599999999999</v>
      </c>
      <c r="C120" s="47">
        <v>1.46</v>
      </c>
      <c r="D120" s="47">
        <v>5.54</v>
      </c>
      <c r="E120" s="47">
        <v>7.97</v>
      </c>
      <c r="F120" s="67"/>
    </row>
    <row r="121" spans="1:6">
      <c r="A121" s="64">
        <v>38139</v>
      </c>
      <c r="B121" s="47">
        <v>311.57600000000002</v>
      </c>
      <c r="C121" s="47">
        <v>1.29</v>
      </c>
      <c r="D121" s="47">
        <v>6.9</v>
      </c>
      <c r="E121" s="47">
        <v>10.130000000000001</v>
      </c>
      <c r="F121" s="67"/>
    </row>
    <row r="122" spans="1:6">
      <c r="A122" s="64">
        <v>38169</v>
      </c>
      <c r="B122" s="47">
        <v>315.113</v>
      </c>
      <c r="C122" s="47">
        <v>1.1399999999999999</v>
      </c>
      <c r="D122" s="47">
        <v>8.11</v>
      </c>
      <c r="E122" s="47">
        <v>11.6</v>
      </c>
      <c r="F122" s="67"/>
    </row>
    <row r="123" spans="1:6">
      <c r="A123" s="64">
        <v>38200</v>
      </c>
      <c r="B123" s="47">
        <v>319.24400000000003</v>
      </c>
      <c r="C123" s="47">
        <v>1.31</v>
      </c>
      <c r="D123" s="47">
        <v>9.5299999999999994</v>
      </c>
      <c r="E123" s="47">
        <v>12.37</v>
      </c>
      <c r="F123" s="67"/>
    </row>
    <row r="124" spans="1:6">
      <c r="A124" s="64">
        <v>38231</v>
      </c>
      <c r="B124" s="47">
        <v>320.78800000000001</v>
      </c>
      <c r="C124" s="47">
        <v>0.48</v>
      </c>
      <c r="D124" s="47">
        <v>10.06</v>
      </c>
      <c r="E124" s="47">
        <v>11.74</v>
      </c>
      <c r="F124" s="67"/>
    </row>
    <row r="125" spans="1:6">
      <c r="A125" s="64">
        <v>38261</v>
      </c>
      <c r="B125" s="47">
        <v>322.49200000000002</v>
      </c>
      <c r="C125" s="47">
        <v>0.53</v>
      </c>
      <c r="D125" s="47">
        <v>10.65</v>
      </c>
      <c r="E125" s="47">
        <v>11.85</v>
      </c>
      <c r="F125" s="67"/>
    </row>
    <row r="126" spans="1:6">
      <c r="A126" s="64">
        <v>38292</v>
      </c>
      <c r="B126" s="47">
        <v>325.14800000000002</v>
      </c>
      <c r="C126" s="47">
        <v>0.82</v>
      </c>
      <c r="D126" s="47">
        <v>11.56</v>
      </c>
      <c r="E126" s="47">
        <v>12.23</v>
      </c>
      <c r="F126" s="67"/>
    </row>
    <row r="127" spans="1:6">
      <c r="A127" s="64">
        <v>38322</v>
      </c>
      <c r="B127" s="47">
        <v>326.83300000000003</v>
      </c>
      <c r="C127" s="47">
        <v>0.52</v>
      </c>
      <c r="D127" s="47">
        <v>12.14</v>
      </c>
      <c r="E127" s="47">
        <v>12.14</v>
      </c>
      <c r="F127" s="67"/>
    </row>
    <row r="128" spans="1:6">
      <c r="A128" s="64">
        <v>38353</v>
      </c>
      <c r="B128" s="47">
        <v>327.91500000000002</v>
      </c>
      <c r="C128" s="47">
        <v>0.33</v>
      </c>
      <c r="D128" s="47">
        <v>0.33</v>
      </c>
      <c r="E128" s="47">
        <v>11.61</v>
      </c>
      <c r="F128" s="67"/>
    </row>
    <row r="129" spans="1:6">
      <c r="A129" s="64">
        <v>38384</v>
      </c>
      <c r="B129" s="47">
        <v>329.24099999999999</v>
      </c>
      <c r="C129" s="47">
        <v>0.4</v>
      </c>
      <c r="D129" s="47">
        <v>0.74</v>
      </c>
      <c r="E129" s="47">
        <v>10.86</v>
      </c>
      <c r="F129" s="67"/>
    </row>
    <row r="130" spans="1:6">
      <c r="A130" s="64">
        <v>38412</v>
      </c>
      <c r="B130" s="47">
        <v>332.49</v>
      </c>
      <c r="C130" s="47">
        <v>0.99</v>
      </c>
      <c r="D130" s="47">
        <v>1.73</v>
      </c>
      <c r="E130" s="47">
        <v>10.92</v>
      </c>
      <c r="F130" s="67"/>
    </row>
    <row r="131" spans="1:6">
      <c r="A131" s="64">
        <v>38443</v>
      </c>
      <c r="B131" s="47">
        <v>334.17</v>
      </c>
      <c r="C131" s="47">
        <v>0.51</v>
      </c>
      <c r="D131" s="47">
        <v>2.2400000000000002</v>
      </c>
      <c r="E131" s="47">
        <v>10.220000000000001</v>
      </c>
      <c r="F131" s="67"/>
    </row>
    <row r="132" spans="1:6">
      <c r="A132" s="64">
        <v>38473</v>
      </c>
      <c r="B132" s="47">
        <v>333.32100000000003</v>
      </c>
      <c r="C132" s="47">
        <v>-0.25</v>
      </c>
      <c r="D132" s="47">
        <v>1.99</v>
      </c>
      <c r="E132" s="47">
        <v>8.36</v>
      </c>
      <c r="F132" s="67"/>
    </row>
    <row r="133" spans="1:6">
      <c r="A133" s="64">
        <v>38504</v>
      </c>
      <c r="B133" s="47">
        <v>331.82299999999998</v>
      </c>
      <c r="C133" s="47">
        <v>-0.45</v>
      </c>
      <c r="D133" s="47">
        <v>1.53</v>
      </c>
      <c r="E133" s="47">
        <v>6.5</v>
      </c>
      <c r="F133" s="67"/>
    </row>
    <row r="134" spans="1:6">
      <c r="A134" s="64">
        <v>38534</v>
      </c>
      <c r="B134" s="47">
        <v>330.48399999999998</v>
      </c>
      <c r="C134" s="47">
        <v>-0.4</v>
      </c>
      <c r="D134" s="47">
        <v>1.1200000000000001</v>
      </c>
      <c r="E134" s="47">
        <v>4.88</v>
      </c>
      <c r="F134" s="67"/>
    </row>
    <row r="135" spans="1:6">
      <c r="A135" s="64">
        <v>38565</v>
      </c>
      <c r="B135" s="47">
        <v>327.887</v>
      </c>
      <c r="C135" s="47">
        <v>-0.79</v>
      </c>
      <c r="D135" s="47">
        <v>0.32</v>
      </c>
      <c r="E135" s="47">
        <v>2.71</v>
      </c>
      <c r="F135" s="67"/>
    </row>
    <row r="136" spans="1:6">
      <c r="A136" s="64">
        <v>38596</v>
      </c>
      <c r="B136" s="47">
        <v>327.45400000000001</v>
      </c>
      <c r="C136" s="47">
        <v>-0.13</v>
      </c>
      <c r="D136" s="47">
        <v>0.19</v>
      </c>
      <c r="E136" s="47">
        <v>2.08</v>
      </c>
      <c r="F136" s="67"/>
    </row>
    <row r="137" spans="1:6">
      <c r="A137" s="64">
        <v>38626</v>
      </c>
      <c r="B137" s="47">
        <v>329.529</v>
      </c>
      <c r="C137" s="47">
        <v>0.63</v>
      </c>
      <c r="D137" s="47">
        <v>0.82</v>
      </c>
      <c r="E137" s="47">
        <v>2.1800000000000002</v>
      </c>
      <c r="F137" s="67"/>
    </row>
    <row r="138" spans="1:6">
      <c r="A138" s="64">
        <v>38657</v>
      </c>
      <c r="B138" s="47">
        <v>330.61900000000003</v>
      </c>
      <c r="C138" s="47">
        <v>0.33</v>
      </c>
      <c r="D138" s="47">
        <v>1.1599999999999999</v>
      </c>
      <c r="E138" s="47">
        <v>1.68</v>
      </c>
      <c r="F138" s="67"/>
    </row>
    <row r="139" spans="1:6">
      <c r="A139" s="64">
        <v>38687</v>
      </c>
      <c r="B139" s="47">
        <v>330.83499999999998</v>
      </c>
      <c r="C139" s="47">
        <v>7.0000000000000007E-2</v>
      </c>
      <c r="D139" s="47">
        <v>1.22</v>
      </c>
      <c r="E139" s="47">
        <v>1.22</v>
      </c>
      <c r="F139" s="67"/>
    </row>
    <row r="140" spans="1:6">
      <c r="A140" s="64">
        <v>38718</v>
      </c>
      <c r="B140" s="47">
        <v>333.22199999999998</v>
      </c>
      <c r="C140" s="47">
        <v>0.72</v>
      </c>
      <c r="D140" s="47">
        <v>0.72</v>
      </c>
      <c r="E140" s="47">
        <v>1.62</v>
      </c>
      <c r="F140" s="67"/>
    </row>
    <row r="141" spans="1:6">
      <c r="A141" s="64">
        <v>38749</v>
      </c>
      <c r="B141" s="47">
        <v>333.03</v>
      </c>
      <c r="C141" s="47">
        <v>-0.06</v>
      </c>
      <c r="D141" s="47">
        <v>0.66</v>
      </c>
      <c r="E141" s="47">
        <v>1.1499999999999999</v>
      </c>
      <c r="F141" s="67"/>
    </row>
    <row r="142" spans="1:6">
      <c r="A142" s="64">
        <v>38777</v>
      </c>
      <c r="B142" s="47">
        <v>331.53100000000001</v>
      </c>
      <c r="C142" s="47">
        <v>-0.45</v>
      </c>
      <c r="D142" s="47">
        <v>0.21</v>
      </c>
      <c r="E142" s="47">
        <v>-0.28999999999999998</v>
      </c>
      <c r="F142" s="67"/>
    </row>
    <row r="143" spans="1:6">
      <c r="A143" s="64">
        <v>38808</v>
      </c>
      <c r="B143" s="47">
        <v>331.60700000000003</v>
      </c>
      <c r="C143" s="47">
        <v>0.02</v>
      </c>
      <c r="D143" s="47">
        <v>0.23</v>
      </c>
      <c r="E143" s="47">
        <v>-0.77</v>
      </c>
      <c r="F143" s="67"/>
    </row>
    <row r="144" spans="1:6">
      <c r="A144" s="64">
        <v>38838</v>
      </c>
      <c r="B144" s="47">
        <v>332.851</v>
      </c>
      <c r="C144" s="47">
        <v>0.38</v>
      </c>
      <c r="D144" s="47">
        <v>0.61</v>
      </c>
      <c r="E144" s="47">
        <v>-0.14000000000000001</v>
      </c>
      <c r="F144" s="67"/>
    </row>
    <row r="145" spans="1:6">
      <c r="A145" s="64">
        <v>38869</v>
      </c>
      <c r="B145" s="47">
        <v>335.06700000000001</v>
      </c>
      <c r="C145" s="47">
        <v>0.67</v>
      </c>
      <c r="D145" s="47">
        <v>1.28</v>
      </c>
      <c r="E145" s="47">
        <v>0.98</v>
      </c>
      <c r="F145" s="67"/>
    </row>
    <row r="146" spans="1:6">
      <c r="A146" s="64">
        <v>38899</v>
      </c>
      <c r="B146" s="47">
        <v>335.637</v>
      </c>
      <c r="C146" s="47">
        <v>0.17</v>
      </c>
      <c r="D146" s="47">
        <v>1.45</v>
      </c>
      <c r="E146" s="47">
        <v>1.56</v>
      </c>
      <c r="F146" s="67"/>
    </row>
    <row r="147" spans="1:6">
      <c r="A147" s="64">
        <v>38930</v>
      </c>
      <c r="B147" s="47">
        <v>337.01100000000002</v>
      </c>
      <c r="C147" s="47">
        <v>0.41</v>
      </c>
      <c r="D147" s="47">
        <v>1.87</v>
      </c>
      <c r="E147" s="47">
        <v>2.78</v>
      </c>
      <c r="F147" s="67"/>
    </row>
    <row r="148" spans="1:6">
      <c r="A148" s="64">
        <v>38961</v>
      </c>
      <c r="B148" s="47">
        <v>337.81700000000001</v>
      </c>
      <c r="C148" s="47">
        <v>0.24</v>
      </c>
      <c r="D148" s="47">
        <v>2.11</v>
      </c>
      <c r="E148" s="47">
        <v>3.16</v>
      </c>
      <c r="F148" s="67"/>
    </row>
    <row r="149" spans="1:6">
      <c r="A149" s="64">
        <v>38991</v>
      </c>
      <c r="B149" s="47">
        <v>340.541</v>
      </c>
      <c r="C149" s="47">
        <v>0.81</v>
      </c>
      <c r="D149" s="47">
        <v>2.93</v>
      </c>
      <c r="E149" s="47">
        <v>3.34</v>
      </c>
      <c r="F149" s="67"/>
    </row>
    <row r="150" spans="1:6">
      <c r="A150" s="64">
        <v>39022</v>
      </c>
      <c r="B150" s="47">
        <v>342.48200000000003</v>
      </c>
      <c r="C150" s="47">
        <v>0.56999999999999995</v>
      </c>
      <c r="D150" s="47">
        <v>3.52</v>
      </c>
      <c r="E150" s="47">
        <v>3.59</v>
      </c>
      <c r="F150" s="67"/>
    </row>
    <row r="151" spans="1:6">
      <c r="A151" s="64">
        <v>39052</v>
      </c>
      <c r="B151" s="47">
        <v>343.38400000000001</v>
      </c>
      <c r="C151" s="47">
        <v>0.26</v>
      </c>
      <c r="D151" s="47">
        <v>3.79</v>
      </c>
      <c r="E151" s="47">
        <v>3.79</v>
      </c>
      <c r="F151" s="67"/>
    </row>
    <row r="152" spans="1:6">
      <c r="A152" s="64">
        <v>39083</v>
      </c>
      <c r="B152" s="47">
        <v>344.85</v>
      </c>
      <c r="C152" s="47">
        <v>0.43</v>
      </c>
      <c r="D152" s="47">
        <v>0.43</v>
      </c>
      <c r="E152" s="47">
        <v>3.49</v>
      </c>
      <c r="F152" s="67"/>
    </row>
    <row r="153" spans="1:6">
      <c r="A153" s="64">
        <v>39114</v>
      </c>
      <c r="B153" s="47">
        <v>345.65199999999999</v>
      </c>
      <c r="C153" s="47">
        <v>0.23</v>
      </c>
      <c r="D153" s="47">
        <v>0.66</v>
      </c>
      <c r="E153" s="47">
        <v>3.79</v>
      </c>
      <c r="F153" s="67"/>
    </row>
    <row r="154" spans="1:6">
      <c r="A154" s="64">
        <v>39142</v>
      </c>
      <c r="B154" s="47">
        <v>346.40699999999998</v>
      </c>
      <c r="C154" s="47">
        <v>0.22</v>
      </c>
      <c r="D154" s="47">
        <v>0.88</v>
      </c>
      <c r="E154" s="47">
        <v>4.49</v>
      </c>
      <c r="F154" s="67"/>
    </row>
    <row r="155" spans="1:6">
      <c r="A155" s="64">
        <v>39173</v>
      </c>
      <c r="B155" s="47">
        <v>346.87799999999999</v>
      </c>
      <c r="C155" s="47">
        <v>0.14000000000000001</v>
      </c>
      <c r="D155" s="47">
        <v>1.02</v>
      </c>
      <c r="E155" s="47">
        <v>4.6100000000000003</v>
      </c>
      <c r="F155" s="67"/>
    </row>
    <row r="156" spans="1:6">
      <c r="A156" s="64">
        <v>39203</v>
      </c>
      <c r="B156" s="47">
        <v>347.42099999999999</v>
      </c>
      <c r="C156" s="47">
        <v>0.16</v>
      </c>
      <c r="D156" s="47">
        <v>1.18</v>
      </c>
      <c r="E156" s="47">
        <v>4.38</v>
      </c>
      <c r="F156" s="67"/>
    </row>
    <row r="157" spans="1:6">
      <c r="A157" s="64">
        <v>39234</v>
      </c>
      <c r="B157" s="47">
        <v>348.32799999999997</v>
      </c>
      <c r="C157" s="47">
        <v>0.26</v>
      </c>
      <c r="D157" s="47">
        <v>1.44</v>
      </c>
      <c r="E157" s="47">
        <v>3.96</v>
      </c>
      <c r="F157" s="67"/>
    </row>
    <row r="158" spans="1:6">
      <c r="A158" s="64">
        <v>39264</v>
      </c>
      <c r="B158" s="47">
        <v>349.62799999999999</v>
      </c>
      <c r="C158" s="47">
        <v>0.37</v>
      </c>
      <c r="D158" s="47">
        <v>1.82</v>
      </c>
      <c r="E158" s="47">
        <v>4.17</v>
      </c>
      <c r="F158" s="67"/>
    </row>
    <row r="159" spans="1:6">
      <c r="A159" s="64">
        <v>39295</v>
      </c>
      <c r="B159" s="47">
        <v>354.495</v>
      </c>
      <c r="C159" s="47">
        <v>1.39</v>
      </c>
      <c r="D159" s="47">
        <v>3.24</v>
      </c>
      <c r="E159" s="47">
        <v>5.19</v>
      </c>
      <c r="F159" s="67"/>
    </row>
    <row r="160" spans="1:6">
      <c r="A160" s="64">
        <v>39326</v>
      </c>
      <c r="B160" s="47">
        <v>358.63299999999998</v>
      </c>
      <c r="C160" s="47">
        <v>1.17</v>
      </c>
      <c r="D160" s="47">
        <v>4.4400000000000004</v>
      </c>
      <c r="E160" s="47">
        <v>6.16</v>
      </c>
      <c r="F160" s="67"/>
    </row>
    <row r="161" spans="1:6">
      <c r="A161" s="64">
        <v>39356</v>
      </c>
      <c r="B161" s="47">
        <v>361.30799999999999</v>
      </c>
      <c r="C161" s="47">
        <v>0.75</v>
      </c>
      <c r="D161" s="47">
        <v>5.22</v>
      </c>
      <c r="E161" s="47">
        <v>6.1</v>
      </c>
      <c r="F161" s="67"/>
    </row>
    <row r="162" spans="1:6">
      <c r="A162" s="64">
        <v>39387</v>
      </c>
      <c r="B162" s="47">
        <v>365.1</v>
      </c>
      <c r="C162" s="47">
        <v>1.05</v>
      </c>
      <c r="D162" s="47">
        <v>6.32</v>
      </c>
      <c r="E162" s="47">
        <v>6.6</v>
      </c>
      <c r="F162" s="67"/>
    </row>
    <row r="163" spans="1:6">
      <c r="A163" s="64">
        <v>39417</v>
      </c>
      <c r="B163" s="47">
        <v>370.48500000000001</v>
      </c>
      <c r="C163" s="47">
        <v>1.47</v>
      </c>
      <c r="D163" s="47">
        <v>7.89</v>
      </c>
      <c r="E163" s="47">
        <v>7.89</v>
      </c>
      <c r="F163" s="67"/>
    </row>
    <row r="164" spans="1:6">
      <c r="A164" s="64">
        <v>39448</v>
      </c>
      <c r="B164" s="47">
        <v>374.13900000000001</v>
      </c>
      <c r="C164" s="47">
        <v>0.99</v>
      </c>
      <c r="D164" s="47">
        <v>0.99</v>
      </c>
      <c r="E164" s="47">
        <v>8.49</v>
      </c>
      <c r="F164" s="67"/>
    </row>
    <row r="165" spans="1:6">
      <c r="A165" s="64">
        <v>39479</v>
      </c>
      <c r="B165" s="47">
        <v>375.55799999999999</v>
      </c>
      <c r="C165" s="47">
        <v>0.38</v>
      </c>
      <c r="D165" s="47">
        <v>1.37</v>
      </c>
      <c r="E165" s="47">
        <v>8.65</v>
      </c>
      <c r="F165" s="67"/>
    </row>
    <row r="166" spans="1:6">
      <c r="A166" s="64">
        <v>39508</v>
      </c>
      <c r="B166" s="47">
        <v>378.19400000000002</v>
      </c>
      <c r="C166" s="47">
        <v>0.7</v>
      </c>
      <c r="D166" s="47">
        <v>2.08</v>
      </c>
      <c r="E166" s="47">
        <v>9.18</v>
      </c>
      <c r="F166" s="67"/>
    </row>
    <row r="167" spans="1:6">
      <c r="A167" s="64">
        <v>39539</v>
      </c>
      <c r="B167" s="47">
        <v>382.41399999999999</v>
      </c>
      <c r="C167" s="47">
        <v>1.1200000000000001</v>
      </c>
      <c r="D167" s="47">
        <v>3.22</v>
      </c>
      <c r="E167" s="47">
        <v>10.24</v>
      </c>
      <c r="F167" s="67"/>
    </row>
    <row r="168" spans="1:6">
      <c r="A168" s="64">
        <v>39569</v>
      </c>
      <c r="B168" s="47">
        <v>389.58499999999998</v>
      </c>
      <c r="C168" s="47">
        <v>1.88</v>
      </c>
      <c r="D168" s="47">
        <v>5.16</v>
      </c>
      <c r="E168" s="47">
        <v>12.14</v>
      </c>
      <c r="F168" s="67"/>
    </row>
    <row r="169" spans="1:6">
      <c r="A169" s="64">
        <v>39600</v>
      </c>
      <c r="B169" s="47">
        <v>396.95400000000001</v>
      </c>
      <c r="C169" s="47">
        <v>1.89</v>
      </c>
      <c r="D169" s="47">
        <v>7.14</v>
      </c>
      <c r="E169" s="47">
        <v>13.96</v>
      </c>
      <c r="F169" s="67"/>
    </row>
    <row r="170" spans="1:6">
      <c r="A170" s="64">
        <v>39630</v>
      </c>
      <c r="B170" s="47">
        <v>401.40600000000001</v>
      </c>
      <c r="C170" s="47">
        <v>1.1200000000000001</v>
      </c>
      <c r="D170" s="47">
        <v>8.35</v>
      </c>
      <c r="E170" s="47">
        <v>14.81</v>
      </c>
      <c r="F170" s="67"/>
    </row>
    <row r="171" spans="1:6">
      <c r="A171" s="64">
        <v>39661</v>
      </c>
      <c r="B171" s="47">
        <v>399.87</v>
      </c>
      <c r="C171" s="47">
        <v>-0.38</v>
      </c>
      <c r="D171" s="47">
        <v>7.93</v>
      </c>
      <c r="E171" s="47">
        <v>12.8</v>
      </c>
      <c r="F171" s="67"/>
    </row>
    <row r="172" spans="1:6">
      <c r="A172" s="64">
        <v>39692</v>
      </c>
      <c r="B172" s="47">
        <v>401.327</v>
      </c>
      <c r="C172" s="47">
        <v>0.36</v>
      </c>
      <c r="D172" s="47">
        <v>8.32</v>
      </c>
      <c r="E172" s="47">
        <v>11.9</v>
      </c>
      <c r="F172" s="67"/>
    </row>
    <row r="173" spans="1:6">
      <c r="A173" s="64">
        <v>39722</v>
      </c>
      <c r="B173" s="47">
        <v>405.70699999999999</v>
      </c>
      <c r="C173" s="47">
        <v>1.0900000000000001</v>
      </c>
      <c r="D173" s="47">
        <v>9.51</v>
      </c>
      <c r="E173" s="47">
        <v>12.29</v>
      </c>
      <c r="F173" s="67"/>
    </row>
    <row r="174" spans="1:6">
      <c r="A174" s="64">
        <v>39753</v>
      </c>
      <c r="B174" s="47">
        <v>405.98200000000003</v>
      </c>
      <c r="C174" s="47">
        <v>7.0000000000000007E-2</v>
      </c>
      <c r="D174" s="47">
        <v>9.58</v>
      </c>
      <c r="E174" s="47">
        <v>11.2</v>
      </c>
      <c r="F174" s="67"/>
    </row>
    <row r="175" spans="1:6">
      <c r="A175" s="64">
        <v>39783</v>
      </c>
      <c r="B175" s="47">
        <v>404.185</v>
      </c>
      <c r="C175" s="47">
        <v>-0.44</v>
      </c>
      <c r="D175" s="47">
        <v>9.1</v>
      </c>
      <c r="E175" s="47">
        <v>9.1</v>
      </c>
      <c r="F175" s="67"/>
    </row>
    <row r="176" spans="1:6">
      <c r="A176" s="64">
        <v>39814</v>
      </c>
      <c r="B176" s="47">
        <v>404.24400000000003</v>
      </c>
      <c r="C176" s="47">
        <v>0.01</v>
      </c>
      <c r="D176" s="47">
        <v>0.01</v>
      </c>
      <c r="E176" s="47">
        <v>8.0500000000000007</v>
      </c>
      <c r="F176" s="67"/>
    </row>
    <row r="177" spans="1:6">
      <c r="A177" s="64">
        <v>39845</v>
      </c>
      <c r="B177" s="47">
        <v>403.73700000000002</v>
      </c>
      <c r="C177" s="47">
        <v>-0.13</v>
      </c>
      <c r="D177" s="47">
        <v>-0.11</v>
      </c>
      <c r="E177" s="47">
        <v>7.5</v>
      </c>
      <c r="F177" s="67"/>
    </row>
    <row r="178" spans="1:6">
      <c r="A178" s="64">
        <v>39873</v>
      </c>
      <c r="B178" s="47">
        <v>400.35300000000001</v>
      </c>
      <c r="C178" s="47">
        <v>-0.84</v>
      </c>
      <c r="D178" s="47">
        <v>-0.95</v>
      </c>
      <c r="E178" s="47">
        <v>5.86</v>
      </c>
      <c r="F178" s="67"/>
    </row>
    <row r="179" spans="1:6">
      <c r="A179" s="64">
        <v>39904</v>
      </c>
      <c r="B179" s="47">
        <v>400.53</v>
      </c>
      <c r="C179" s="47">
        <v>0.04</v>
      </c>
      <c r="D179" s="47">
        <v>-0.9</v>
      </c>
      <c r="E179" s="47">
        <v>4.74</v>
      </c>
      <c r="F179" s="67"/>
    </row>
    <row r="180" spans="1:6">
      <c r="A180" s="64">
        <v>39934</v>
      </c>
      <c r="B180" s="47">
        <v>401.23200000000003</v>
      </c>
      <c r="C180" s="47">
        <v>0.18</v>
      </c>
      <c r="D180" s="47">
        <v>-0.73</v>
      </c>
      <c r="E180" s="47">
        <v>2.99</v>
      </c>
      <c r="F180" s="67"/>
    </row>
    <row r="181" spans="1:6">
      <c r="A181" s="64">
        <v>39965</v>
      </c>
      <c r="B181" s="47">
        <v>399.96600000000001</v>
      </c>
      <c r="C181" s="47">
        <v>-0.32</v>
      </c>
      <c r="D181" s="47">
        <v>-1.04</v>
      </c>
      <c r="E181" s="47">
        <v>0.76</v>
      </c>
      <c r="F181" s="67"/>
    </row>
    <row r="182" spans="1:6">
      <c r="A182" s="64">
        <v>39995</v>
      </c>
      <c r="B182" s="47">
        <v>397.39299999999997</v>
      </c>
      <c r="C182" s="47">
        <v>-0.64</v>
      </c>
      <c r="D182" s="47">
        <v>-1.68</v>
      </c>
      <c r="E182" s="47">
        <v>-1</v>
      </c>
      <c r="F182" s="67"/>
    </row>
    <row r="183" spans="1:6">
      <c r="A183" s="64">
        <v>40026</v>
      </c>
      <c r="B183" s="47">
        <v>397.75799999999998</v>
      </c>
      <c r="C183" s="47">
        <v>0.09</v>
      </c>
      <c r="D183" s="47">
        <v>-1.59</v>
      </c>
      <c r="E183" s="47">
        <v>-0.53</v>
      </c>
      <c r="F183" s="67"/>
    </row>
    <row r="184" spans="1:6">
      <c r="A184" s="64">
        <v>40057</v>
      </c>
      <c r="B184" s="47">
        <v>398.738</v>
      </c>
      <c r="C184" s="47">
        <v>0.25</v>
      </c>
      <c r="D184" s="47">
        <v>-1.35</v>
      </c>
      <c r="E184" s="47">
        <v>-0.65</v>
      </c>
      <c r="F184" s="67"/>
    </row>
    <row r="185" spans="1:6">
      <c r="A185" s="64">
        <v>40087</v>
      </c>
      <c r="B185" s="47">
        <v>398.57499999999999</v>
      </c>
      <c r="C185" s="47">
        <v>-0.04</v>
      </c>
      <c r="D185" s="47">
        <v>-1.39</v>
      </c>
      <c r="E185" s="47">
        <v>-1.76</v>
      </c>
      <c r="F185" s="67"/>
    </row>
    <row r="186" spans="1:6">
      <c r="A186" s="64">
        <v>40118</v>
      </c>
      <c r="B186" s="47">
        <v>398.85700000000003</v>
      </c>
      <c r="C186" s="47">
        <v>7.0000000000000007E-2</v>
      </c>
      <c r="D186" s="47">
        <v>-1.32</v>
      </c>
      <c r="E186" s="47">
        <v>-1.76</v>
      </c>
      <c r="F186" s="67"/>
    </row>
    <row r="187" spans="1:6">
      <c r="A187" s="64">
        <v>40148</v>
      </c>
      <c r="B187" s="47">
        <v>398.40699999999998</v>
      </c>
      <c r="C187" s="47">
        <v>-0.11</v>
      </c>
      <c r="D187" s="47">
        <v>-1.43</v>
      </c>
      <c r="E187" s="47">
        <v>-1.43</v>
      </c>
      <c r="F187" s="67"/>
    </row>
    <row r="188" spans="1:6">
      <c r="A188" s="64">
        <v>40179</v>
      </c>
      <c r="B188" s="47">
        <v>402.42500000000001</v>
      </c>
      <c r="C188" s="47">
        <v>1.01</v>
      </c>
      <c r="D188" s="47">
        <v>1.01</v>
      </c>
      <c r="E188" s="47">
        <v>-0.45</v>
      </c>
      <c r="F188" s="67"/>
    </row>
    <row r="189" spans="1:6">
      <c r="A189" s="64">
        <v>40210</v>
      </c>
      <c r="B189" s="47">
        <v>406.82600000000002</v>
      </c>
      <c r="C189" s="47">
        <v>1.0900000000000001</v>
      </c>
      <c r="D189" s="47">
        <v>2.11</v>
      </c>
      <c r="E189" s="47">
        <v>0.77</v>
      </c>
      <c r="F189" s="67"/>
    </row>
    <row r="190" spans="1:6">
      <c r="A190" s="64">
        <v>40238</v>
      </c>
      <c r="B190" s="47">
        <v>409.399</v>
      </c>
      <c r="C190" s="47">
        <v>0.63</v>
      </c>
      <c r="D190" s="47">
        <v>2.76</v>
      </c>
      <c r="E190" s="47">
        <v>2.2599999999999998</v>
      </c>
      <c r="F190" s="67"/>
    </row>
    <row r="191" spans="1:6">
      <c r="A191" s="64">
        <v>40269</v>
      </c>
      <c r="B191" s="47">
        <v>412.34100000000001</v>
      </c>
      <c r="C191" s="47">
        <v>0.72</v>
      </c>
      <c r="D191" s="47">
        <v>3.5</v>
      </c>
      <c r="E191" s="47">
        <v>2.95</v>
      </c>
      <c r="F191" s="67"/>
    </row>
    <row r="192" spans="1:6">
      <c r="A192" s="64">
        <v>40299</v>
      </c>
      <c r="B192" s="47">
        <v>418.81099999999998</v>
      </c>
      <c r="C192" s="47">
        <v>1.57</v>
      </c>
      <c r="D192" s="47">
        <v>5.12</v>
      </c>
      <c r="E192" s="47">
        <v>4.38</v>
      </c>
      <c r="F192" s="67"/>
    </row>
    <row r="193" spans="1:6">
      <c r="A193" s="64">
        <v>40330</v>
      </c>
      <c r="B193" s="47">
        <v>420.24099999999999</v>
      </c>
      <c r="C193" s="47">
        <v>0.34</v>
      </c>
      <c r="D193" s="47">
        <v>5.48</v>
      </c>
      <c r="E193" s="47">
        <v>5.07</v>
      </c>
      <c r="F193" s="67"/>
    </row>
    <row r="194" spans="1:6">
      <c r="A194" s="64">
        <v>40360</v>
      </c>
      <c r="B194" s="47">
        <v>421.154</v>
      </c>
      <c r="C194" s="47">
        <v>0.22</v>
      </c>
      <c r="D194" s="47">
        <v>5.71</v>
      </c>
      <c r="E194" s="47">
        <v>5.98</v>
      </c>
      <c r="F194" s="67"/>
    </row>
    <row r="195" spans="1:6">
      <c r="A195" s="64">
        <v>40391</v>
      </c>
      <c r="B195" s="47">
        <v>425.78800000000001</v>
      </c>
      <c r="C195" s="47">
        <v>1.1000000000000001</v>
      </c>
      <c r="D195" s="47">
        <v>6.87</v>
      </c>
      <c r="E195" s="47">
        <v>7.05</v>
      </c>
      <c r="F195" s="67"/>
    </row>
    <row r="196" spans="1:6">
      <c r="A196" s="64">
        <v>40422</v>
      </c>
      <c r="B196" s="47">
        <v>430.45299999999997</v>
      </c>
      <c r="C196" s="47">
        <v>1.1000000000000001</v>
      </c>
      <c r="D196" s="47">
        <v>8.0399999999999991</v>
      </c>
      <c r="E196" s="47">
        <v>7.95</v>
      </c>
      <c r="F196" s="67"/>
    </row>
    <row r="197" spans="1:6">
      <c r="A197" s="64">
        <v>40452</v>
      </c>
      <c r="B197" s="47">
        <v>434.88200000000001</v>
      </c>
      <c r="C197" s="47">
        <v>1.03</v>
      </c>
      <c r="D197" s="47">
        <v>9.16</v>
      </c>
      <c r="E197" s="47">
        <v>9.11</v>
      </c>
      <c r="F197" s="67"/>
    </row>
    <row r="198" spans="1:6">
      <c r="A198" s="64">
        <v>40483</v>
      </c>
      <c r="B198" s="47">
        <v>441.75400000000002</v>
      </c>
      <c r="C198" s="47">
        <v>1.58</v>
      </c>
      <c r="D198" s="47">
        <v>10.88</v>
      </c>
      <c r="E198" s="47">
        <v>10.75</v>
      </c>
      <c r="F198" s="67"/>
    </row>
    <row r="199" spans="1:6">
      <c r="A199" s="64">
        <v>40513</v>
      </c>
      <c r="B199" s="47">
        <v>443.42700000000002</v>
      </c>
      <c r="C199" s="47">
        <v>0.38</v>
      </c>
      <c r="D199" s="47">
        <v>11.3</v>
      </c>
      <c r="E199" s="47">
        <v>11.3</v>
      </c>
      <c r="F199" s="67"/>
    </row>
    <row r="200" spans="1:6">
      <c r="A200" s="64">
        <v>40544</v>
      </c>
      <c r="B200" s="47">
        <v>447.76400000000001</v>
      </c>
      <c r="C200" s="47">
        <v>0.98</v>
      </c>
      <c r="D200" s="47">
        <v>0.98</v>
      </c>
      <c r="E200" s="47">
        <v>11.27</v>
      </c>
      <c r="F200" s="67"/>
    </row>
    <row r="201" spans="1:6">
      <c r="A201" s="64">
        <v>40575</v>
      </c>
      <c r="B201" s="47">
        <v>452.04700000000003</v>
      </c>
      <c r="C201" s="47">
        <v>0.96</v>
      </c>
      <c r="D201" s="47">
        <v>1.94</v>
      </c>
      <c r="E201" s="47">
        <v>11.12</v>
      </c>
      <c r="F201" s="67"/>
    </row>
    <row r="202" spans="1:6">
      <c r="A202" s="64">
        <v>40603</v>
      </c>
      <c r="B202" s="47">
        <v>454.80500000000001</v>
      </c>
      <c r="C202" s="47">
        <v>0.61</v>
      </c>
      <c r="D202" s="47">
        <v>2.57</v>
      </c>
      <c r="E202" s="47">
        <v>11.09</v>
      </c>
      <c r="F202" s="67"/>
    </row>
    <row r="203" spans="1:6">
      <c r="A203" s="64">
        <v>40634</v>
      </c>
      <c r="B203" s="47">
        <v>457.05900000000003</v>
      </c>
      <c r="C203" s="47">
        <v>0.5</v>
      </c>
      <c r="D203" s="47">
        <v>3.07</v>
      </c>
      <c r="E203" s="47">
        <v>10.84</v>
      </c>
      <c r="F203" s="67"/>
    </row>
    <row r="204" spans="1:6">
      <c r="A204" s="64">
        <v>40664</v>
      </c>
      <c r="B204" s="47">
        <v>457.09</v>
      </c>
      <c r="C204" s="47">
        <v>0.01</v>
      </c>
      <c r="D204" s="47">
        <v>3.08</v>
      </c>
      <c r="E204" s="47">
        <v>9.14</v>
      </c>
      <c r="F204" s="67"/>
    </row>
    <row r="205" spans="1:6">
      <c r="A205" s="64">
        <v>40695</v>
      </c>
      <c r="B205" s="47">
        <v>456.49</v>
      </c>
      <c r="C205" s="47">
        <v>-0.13</v>
      </c>
      <c r="D205" s="47">
        <v>2.95</v>
      </c>
      <c r="E205" s="47">
        <v>8.6300000000000008</v>
      </c>
      <c r="F205" s="67"/>
    </row>
    <row r="206" spans="1:6">
      <c r="A206" s="64">
        <v>40725</v>
      </c>
      <c r="B206" s="47">
        <v>456.25799999999998</v>
      </c>
      <c r="C206" s="47">
        <v>-0.05</v>
      </c>
      <c r="D206" s="47">
        <v>2.89</v>
      </c>
      <c r="E206" s="47">
        <v>8.34</v>
      </c>
      <c r="F206" s="67"/>
    </row>
    <row r="207" spans="1:6">
      <c r="A207" s="64">
        <v>40756</v>
      </c>
      <c r="B207" s="47">
        <v>459.05500000000001</v>
      </c>
      <c r="C207" s="47">
        <v>0.61</v>
      </c>
      <c r="D207" s="47">
        <v>3.52</v>
      </c>
      <c r="E207" s="47">
        <v>7.81</v>
      </c>
      <c r="F207" s="67"/>
    </row>
    <row r="208" spans="1:6">
      <c r="A208" s="64">
        <v>40787</v>
      </c>
      <c r="B208" s="47">
        <v>462.50900000000001</v>
      </c>
      <c r="C208" s="47">
        <v>0.75</v>
      </c>
      <c r="D208" s="47">
        <v>4.3</v>
      </c>
      <c r="E208" s="47">
        <v>7.45</v>
      </c>
      <c r="F208" s="67"/>
    </row>
    <row r="209" spans="1:6">
      <c r="A209" s="64">
        <v>40817</v>
      </c>
      <c r="B209" s="47">
        <v>464.34899999999999</v>
      </c>
      <c r="C209" s="47">
        <v>0.4</v>
      </c>
      <c r="D209" s="47">
        <v>4.72</v>
      </c>
      <c r="E209" s="47">
        <v>6.78</v>
      </c>
      <c r="F209" s="67"/>
    </row>
    <row r="210" spans="1:6">
      <c r="A210" s="64">
        <v>40848</v>
      </c>
      <c r="B210" s="47">
        <v>466.33100000000002</v>
      </c>
      <c r="C210" s="47">
        <v>0.43</v>
      </c>
      <c r="D210" s="47">
        <v>5.17</v>
      </c>
      <c r="E210" s="47">
        <v>5.56</v>
      </c>
      <c r="F210" s="67"/>
    </row>
    <row r="211" spans="1:6">
      <c r="A211" s="64">
        <v>40878</v>
      </c>
      <c r="B211" s="47">
        <v>465.58600000000001</v>
      </c>
      <c r="C211" s="47">
        <v>-0.16</v>
      </c>
      <c r="D211" s="47">
        <v>5</v>
      </c>
      <c r="E211" s="47">
        <v>5</v>
      </c>
      <c r="F211" s="67"/>
    </row>
    <row r="212" spans="1:6">
      <c r="A212" s="64">
        <v>40909</v>
      </c>
      <c r="B212" s="47">
        <v>466.97899999999998</v>
      </c>
      <c r="C212" s="47">
        <v>0.3</v>
      </c>
      <c r="D212" s="47">
        <v>0.3</v>
      </c>
      <c r="E212" s="47">
        <v>4.29</v>
      </c>
      <c r="F212" s="67"/>
    </row>
    <row r="213" spans="1:6">
      <c r="A213" s="64">
        <v>40940</v>
      </c>
      <c r="B213" s="47">
        <v>467.30799999999999</v>
      </c>
      <c r="C213" s="47">
        <v>7.0000000000000007E-2</v>
      </c>
      <c r="D213" s="47">
        <v>0.37</v>
      </c>
      <c r="E213" s="47">
        <v>3.38</v>
      </c>
      <c r="F213" s="67"/>
    </row>
    <row r="214" spans="1:6">
      <c r="A214" s="64">
        <v>40969</v>
      </c>
      <c r="B214" s="47">
        <v>469.91</v>
      </c>
      <c r="C214" s="47">
        <v>0.56000000000000005</v>
      </c>
      <c r="D214" s="47">
        <v>0.93</v>
      </c>
      <c r="E214" s="47">
        <v>3.32</v>
      </c>
      <c r="F214" s="67"/>
    </row>
    <row r="215" spans="1:6">
      <c r="A215" s="64">
        <v>41000</v>
      </c>
      <c r="B215" s="47">
        <v>474.68299999999999</v>
      </c>
      <c r="C215" s="47">
        <v>1.02</v>
      </c>
      <c r="D215" s="47">
        <v>1.95</v>
      </c>
      <c r="E215" s="47">
        <v>3.86</v>
      </c>
      <c r="F215" s="67"/>
    </row>
    <row r="216" spans="1:6">
      <c r="A216" s="64">
        <v>41030</v>
      </c>
      <c r="B216" s="47">
        <v>479.01900000000001</v>
      </c>
      <c r="C216" s="47">
        <v>0.91</v>
      </c>
      <c r="D216" s="47">
        <v>2.89</v>
      </c>
      <c r="E216" s="47">
        <v>4.8</v>
      </c>
      <c r="F216" s="67"/>
    </row>
    <row r="217" spans="1:6">
      <c r="A217" s="64">
        <v>41061</v>
      </c>
      <c r="B217" s="47">
        <v>482.31099999999998</v>
      </c>
      <c r="C217" s="47">
        <v>0.69</v>
      </c>
      <c r="D217" s="47">
        <v>3.59</v>
      </c>
      <c r="E217" s="47">
        <v>5.66</v>
      </c>
      <c r="F217" s="67"/>
    </row>
    <row r="218" spans="1:6">
      <c r="A218" s="64">
        <v>41091</v>
      </c>
      <c r="B218" s="47">
        <v>489.62099999999998</v>
      </c>
      <c r="C218" s="47">
        <v>1.52</v>
      </c>
      <c r="D218" s="47">
        <v>5.16</v>
      </c>
      <c r="E218" s="47">
        <v>7.31</v>
      </c>
      <c r="F218" s="67"/>
    </row>
    <row r="219" spans="1:6">
      <c r="A219" s="64">
        <v>41122</v>
      </c>
      <c r="B219" s="47">
        <v>495.94900000000001</v>
      </c>
      <c r="C219" s="47">
        <v>1.29</v>
      </c>
      <c r="D219" s="47">
        <v>6.52</v>
      </c>
      <c r="E219" s="47">
        <v>8.0399999999999991</v>
      </c>
      <c r="F219" s="67"/>
    </row>
    <row r="220" spans="1:6">
      <c r="A220" s="64">
        <v>41153</v>
      </c>
      <c r="B220" s="47">
        <v>500.31400000000002</v>
      </c>
      <c r="C220" s="47">
        <v>0.88</v>
      </c>
      <c r="D220" s="47">
        <v>7.46</v>
      </c>
      <c r="E220" s="47">
        <v>8.17</v>
      </c>
      <c r="F220" s="67"/>
    </row>
    <row r="221" spans="1:6">
      <c r="A221" s="64">
        <v>41183</v>
      </c>
      <c r="B221" s="47">
        <v>498.73899999999998</v>
      </c>
      <c r="C221" s="47">
        <v>-0.31</v>
      </c>
      <c r="D221" s="47">
        <v>7.12</v>
      </c>
      <c r="E221" s="47">
        <v>7.41</v>
      </c>
      <c r="F221" s="67"/>
    </row>
    <row r="222" spans="1:6">
      <c r="A222" s="64">
        <v>41214</v>
      </c>
      <c r="B222" s="47">
        <v>499.98899999999998</v>
      </c>
      <c r="C222" s="47">
        <v>0.25</v>
      </c>
      <c r="D222" s="47">
        <v>7.39</v>
      </c>
      <c r="E222" s="47">
        <v>7.22</v>
      </c>
      <c r="F222" s="67"/>
    </row>
    <row r="223" spans="1:6">
      <c r="A223" s="64">
        <v>41244</v>
      </c>
      <c r="B223" s="47">
        <v>503.28300000000002</v>
      </c>
      <c r="C223" s="47">
        <v>0.66</v>
      </c>
      <c r="D223" s="47">
        <v>8.1</v>
      </c>
      <c r="E223" s="47">
        <v>8.1</v>
      </c>
      <c r="F223" s="67"/>
    </row>
    <row r="224" spans="1:6">
      <c r="A224" s="64">
        <v>41275</v>
      </c>
      <c r="B224" s="47">
        <v>504.83</v>
      </c>
      <c r="C224" s="47">
        <v>0.31</v>
      </c>
      <c r="D224" s="47">
        <v>0.31</v>
      </c>
      <c r="E224" s="47">
        <v>8.11</v>
      </c>
      <c r="F224" s="67"/>
    </row>
    <row r="225" spans="1:6">
      <c r="A225" s="64">
        <v>41306</v>
      </c>
      <c r="B225" s="47">
        <v>505.83199999999999</v>
      </c>
      <c r="C225" s="47">
        <v>0.2</v>
      </c>
      <c r="D225" s="47">
        <v>0.51</v>
      </c>
      <c r="E225" s="47">
        <v>8.24</v>
      </c>
      <c r="F225" s="67"/>
    </row>
    <row r="226" spans="1:6">
      <c r="A226" s="64">
        <v>41334</v>
      </c>
      <c r="B226" s="47">
        <v>507.375</v>
      </c>
      <c r="C226" s="47">
        <v>0.31</v>
      </c>
      <c r="D226" s="47">
        <v>0.81</v>
      </c>
      <c r="E226" s="47">
        <v>7.97</v>
      </c>
      <c r="F226" s="67"/>
    </row>
    <row r="227" spans="1:6">
      <c r="A227" s="64">
        <v>41365</v>
      </c>
      <c r="B227" s="47">
        <v>507.08699999999999</v>
      </c>
      <c r="C227" s="47">
        <v>-0.06</v>
      </c>
      <c r="D227" s="47">
        <v>0.76</v>
      </c>
      <c r="E227" s="47">
        <v>6.83</v>
      </c>
      <c r="F227" s="67"/>
    </row>
    <row r="228" spans="1:6">
      <c r="A228" s="64">
        <v>41395</v>
      </c>
      <c r="B228" s="47">
        <v>508.71499999999997</v>
      </c>
      <c r="C228" s="47">
        <v>0.32</v>
      </c>
      <c r="D228" s="47">
        <v>1.08</v>
      </c>
      <c r="E228" s="47">
        <v>6.2</v>
      </c>
      <c r="F228" s="67"/>
    </row>
    <row r="229" spans="1:6">
      <c r="A229" s="64">
        <v>41426</v>
      </c>
      <c r="B229" s="47">
        <v>512.59799999999996</v>
      </c>
      <c r="C229" s="47">
        <v>0.76</v>
      </c>
      <c r="D229" s="47">
        <v>1.85</v>
      </c>
      <c r="E229" s="47">
        <v>6.28</v>
      </c>
      <c r="F229" s="67"/>
    </row>
    <row r="230" spans="1:6">
      <c r="A230" s="64">
        <v>41456</v>
      </c>
      <c r="B230" s="47">
        <v>513.31299999999999</v>
      </c>
      <c r="C230" s="47">
        <v>0.14000000000000001</v>
      </c>
      <c r="D230" s="47">
        <v>1.99</v>
      </c>
      <c r="E230" s="47">
        <v>4.84</v>
      </c>
      <c r="F230" s="67"/>
    </row>
    <row r="231" spans="1:6">
      <c r="A231" s="64">
        <v>41487</v>
      </c>
      <c r="B231" s="47">
        <v>515.68799999999999</v>
      </c>
      <c r="C231" s="47">
        <v>0.46</v>
      </c>
      <c r="D231" s="47">
        <v>2.46</v>
      </c>
      <c r="E231" s="47">
        <v>3.98</v>
      </c>
      <c r="F231" s="67"/>
    </row>
    <row r="232" spans="1:6">
      <c r="A232" s="64">
        <v>41518</v>
      </c>
      <c r="B232" s="47">
        <v>522.69000000000005</v>
      </c>
      <c r="C232" s="47">
        <v>1.36</v>
      </c>
      <c r="D232" s="47">
        <v>3.86</v>
      </c>
      <c r="E232" s="47">
        <v>4.47</v>
      </c>
      <c r="F232" s="67"/>
    </row>
    <row r="233" spans="1:6">
      <c r="A233" s="64">
        <v>41548</v>
      </c>
      <c r="B233" s="47">
        <v>525.96600000000001</v>
      </c>
      <c r="C233" s="47">
        <v>0.63</v>
      </c>
      <c r="D233" s="47">
        <v>4.51</v>
      </c>
      <c r="E233" s="47">
        <v>5.46</v>
      </c>
      <c r="F233" s="67"/>
    </row>
    <row r="234" spans="1:6">
      <c r="A234" s="64">
        <v>41579</v>
      </c>
      <c r="B234" s="47">
        <v>527.42200000000003</v>
      </c>
      <c r="C234" s="47">
        <v>0.28000000000000003</v>
      </c>
      <c r="D234" s="47">
        <v>4.8</v>
      </c>
      <c r="E234" s="47">
        <v>5.49</v>
      </c>
      <c r="F234" s="67"/>
    </row>
    <row r="235" spans="1:6">
      <c r="A235" s="64">
        <v>41609</v>
      </c>
      <c r="B235" s="47">
        <v>531.05600000000004</v>
      </c>
      <c r="C235" s="47">
        <v>0.69</v>
      </c>
      <c r="D235" s="47">
        <v>5.52</v>
      </c>
      <c r="E235" s="47">
        <v>5.52</v>
      </c>
      <c r="F235" s="67"/>
    </row>
    <row r="236" spans="1:6">
      <c r="A236" s="64">
        <v>41640</v>
      </c>
      <c r="B236" s="47">
        <v>533.197</v>
      </c>
      <c r="C236" s="47">
        <v>0.4</v>
      </c>
      <c r="D236" s="47">
        <v>0.4</v>
      </c>
      <c r="E236" s="47">
        <v>5.62</v>
      </c>
      <c r="F236" s="67"/>
    </row>
    <row r="237" spans="1:6">
      <c r="A237" s="64">
        <v>41671</v>
      </c>
      <c r="B237" s="47">
        <v>537.70299999999997</v>
      </c>
      <c r="C237" s="47">
        <v>0.85</v>
      </c>
      <c r="D237" s="47">
        <v>1.25</v>
      </c>
      <c r="E237" s="47">
        <v>6.3</v>
      </c>
      <c r="F237" s="67"/>
    </row>
    <row r="238" spans="1:6">
      <c r="A238" s="64">
        <v>41699</v>
      </c>
      <c r="B238" s="47">
        <v>545.68399999999997</v>
      </c>
      <c r="C238" s="47">
        <v>1.48</v>
      </c>
      <c r="D238" s="47">
        <v>2.75</v>
      </c>
      <c r="E238" s="47">
        <v>7.55</v>
      </c>
      <c r="F238" s="67"/>
    </row>
    <row r="239" spans="1:6">
      <c r="A239" s="64">
        <v>41730</v>
      </c>
      <c r="B239" s="47">
        <v>548.14499999999998</v>
      </c>
      <c r="C239" s="47">
        <v>0.45</v>
      </c>
      <c r="D239" s="47">
        <v>3.22</v>
      </c>
      <c r="E239" s="47">
        <v>8.1</v>
      </c>
      <c r="F239" s="67"/>
    </row>
    <row r="240" spans="1:6">
      <c r="A240" s="64">
        <v>41760</v>
      </c>
      <c r="B240" s="47">
        <v>545.65200000000004</v>
      </c>
      <c r="C240" s="47">
        <v>-0.45</v>
      </c>
      <c r="D240" s="47">
        <v>2.75</v>
      </c>
      <c r="E240" s="47">
        <v>7.26</v>
      </c>
      <c r="F240" s="67"/>
    </row>
    <row r="241" spans="1:6">
      <c r="A241" s="64">
        <v>41791</v>
      </c>
      <c r="B241" s="47">
        <v>542.19399999999996</v>
      </c>
      <c r="C241" s="47">
        <v>-0.63</v>
      </c>
      <c r="D241" s="47">
        <v>2.1</v>
      </c>
      <c r="E241" s="47">
        <v>5.77</v>
      </c>
      <c r="F241" s="67"/>
    </row>
    <row r="242" spans="1:6">
      <c r="A242" s="64">
        <v>41821</v>
      </c>
      <c r="B242" s="47">
        <v>539.21</v>
      </c>
      <c r="C242" s="47">
        <v>-0.55000000000000004</v>
      </c>
      <c r="D242" s="47">
        <v>1.54</v>
      </c>
      <c r="E242" s="47">
        <v>5.05</v>
      </c>
      <c r="F242" s="67"/>
    </row>
    <row r="243" spans="1:6">
      <c r="A243" s="64">
        <v>41852</v>
      </c>
      <c r="B243" s="47">
        <v>539.54999999999995</v>
      </c>
      <c r="C243" s="47">
        <v>0.06</v>
      </c>
      <c r="D243" s="47">
        <v>1.6</v>
      </c>
      <c r="E243" s="47">
        <v>4.63</v>
      </c>
      <c r="F243" s="67"/>
    </row>
    <row r="244" spans="1:6">
      <c r="A244" s="64">
        <v>41883</v>
      </c>
      <c r="B244" s="47">
        <v>539.649</v>
      </c>
      <c r="C244" s="47">
        <v>0.02</v>
      </c>
      <c r="D244" s="47">
        <v>1.62</v>
      </c>
      <c r="E244" s="47">
        <v>3.24</v>
      </c>
      <c r="F244" s="67"/>
    </row>
    <row r="245" spans="1:6">
      <c r="A245" s="64">
        <v>41913</v>
      </c>
      <c r="B245" s="47">
        <v>542.85299999999995</v>
      </c>
      <c r="C245" s="47">
        <v>0.59</v>
      </c>
      <c r="D245" s="47">
        <v>2.2200000000000002</v>
      </c>
      <c r="E245" s="47">
        <v>3.21</v>
      </c>
      <c r="F245" s="67"/>
    </row>
    <row r="246" spans="1:6">
      <c r="A246" s="64">
        <v>41944</v>
      </c>
      <c r="B246" s="47">
        <v>549.04</v>
      </c>
      <c r="C246" s="47">
        <v>1.1399999999999999</v>
      </c>
      <c r="D246" s="47">
        <v>3.39</v>
      </c>
      <c r="E246" s="47">
        <v>4.0999999999999996</v>
      </c>
      <c r="F246" s="67"/>
    </row>
    <row r="247" spans="1:6">
      <c r="A247" s="64">
        <v>41974</v>
      </c>
      <c r="B247" s="47">
        <v>551.149</v>
      </c>
      <c r="C247" s="47">
        <v>0.38</v>
      </c>
      <c r="D247" s="47">
        <v>3.78</v>
      </c>
      <c r="E247" s="47">
        <v>3.78</v>
      </c>
      <c r="F247" s="67"/>
    </row>
    <row r="248" spans="1:6">
      <c r="A248" s="64">
        <v>42005</v>
      </c>
      <c r="B248" s="47">
        <v>554.83500000000004</v>
      </c>
      <c r="C248" s="47">
        <v>0.67</v>
      </c>
      <c r="D248" s="47">
        <v>0.67</v>
      </c>
      <c r="E248" s="47">
        <v>4.0599999999999996</v>
      </c>
      <c r="F248" s="67"/>
    </row>
    <row r="249" spans="1:6">
      <c r="A249" s="64">
        <v>42036</v>
      </c>
      <c r="B249" s="47">
        <v>557.803</v>
      </c>
      <c r="C249" s="47">
        <v>0.53</v>
      </c>
      <c r="D249" s="47">
        <v>1.21</v>
      </c>
      <c r="E249" s="47">
        <v>3.74</v>
      </c>
      <c r="F249" s="67"/>
    </row>
    <row r="250" spans="1:6">
      <c r="A250" s="64">
        <v>42064</v>
      </c>
      <c r="B250" s="47">
        <v>564.56799999999998</v>
      </c>
      <c r="C250" s="47">
        <v>1.21</v>
      </c>
      <c r="D250" s="47">
        <v>2.4300000000000002</v>
      </c>
      <c r="E250" s="47">
        <v>3.46</v>
      </c>
      <c r="F250" s="67"/>
    </row>
    <row r="251" spans="1:6">
      <c r="A251" s="64">
        <v>42095</v>
      </c>
      <c r="B251" s="47">
        <v>569.73800000000006</v>
      </c>
      <c r="C251" s="47">
        <v>0.92</v>
      </c>
      <c r="D251" s="47">
        <v>3.37</v>
      </c>
      <c r="E251" s="47">
        <v>3.94</v>
      </c>
      <c r="F251" s="67"/>
    </row>
    <row r="252" spans="1:6">
      <c r="A252" s="64">
        <v>42125</v>
      </c>
      <c r="B252" s="47">
        <v>572.03399999999999</v>
      </c>
      <c r="C252" s="47">
        <v>0.4</v>
      </c>
      <c r="D252" s="47">
        <v>3.79</v>
      </c>
      <c r="E252" s="47">
        <v>4.83</v>
      </c>
      <c r="F252" s="67"/>
    </row>
    <row r="253" spans="1:6">
      <c r="A253" s="64">
        <v>42156</v>
      </c>
      <c r="B253" s="47">
        <v>575.93799999999999</v>
      </c>
      <c r="C253" s="47">
        <v>0.68</v>
      </c>
      <c r="D253" s="47">
        <v>4.5</v>
      </c>
      <c r="E253" s="47">
        <v>6.22</v>
      </c>
      <c r="F253" s="67"/>
    </row>
    <row r="254" spans="1:6">
      <c r="A254" s="64">
        <v>42186</v>
      </c>
      <c r="B254" s="47">
        <v>579.29300000000001</v>
      </c>
      <c r="C254" s="47">
        <v>0.57999999999999996</v>
      </c>
      <c r="D254" s="47">
        <v>5.1100000000000003</v>
      </c>
      <c r="E254" s="47">
        <v>7.43</v>
      </c>
      <c r="F254" s="67"/>
    </row>
    <row r="255" spans="1:6">
      <c r="A255" s="64">
        <v>42217</v>
      </c>
      <c r="B255" s="47">
        <v>581.61800000000005</v>
      </c>
      <c r="C255" s="47">
        <v>0.4</v>
      </c>
      <c r="D255" s="47">
        <v>5.53</v>
      </c>
      <c r="E255" s="47">
        <v>7.8</v>
      </c>
      <c r="F255" s="67"/>
    </row>
    <row r="256" spans="1:6">
      <c r="A256" s="64">
        <v>42248</v>
      </c>
      <c r="B256" s="47">
        <v>589.89700000000005</v>
      </c>
      <c r="C256" s="47">
        <v>1.42</v>
      </c>
      <c r="D256" s="47">
        <v>7.03</v>
      </c>
      <c r="E256" s="47">
        <v>9.31</v>
      </c>
      <c r="F256" s="67"/>
    </row>
    <row r="257" spans="1:6">
      <c r="A257" s="64">
        <v>42278</v>
      </c>
      <c r="B257" s="47">
        <v>600.26900000000001</v>
      </c>
      <c r="C257" s="47">
        <v>1.76</v>
      </c>
      <c r="D257" s="47">
        <v>8.91</v>
      </c>
      <c r="E257" s="47">
        <v>10.58</v>
      </c>
      <c r="F257" s="67"/>
    </row>
    <row r="258" spans="1:6">
      <c r="A258" s="64">
        <v>42309</v>
      </c>
      <c r="B258" s="47">
        <v>607.44100000000003</v>
      </c>
      <c r="C258" s="47">
        <v>1.19</v>
      </c>
      <c r="D258" s="47">
        <v>10.210000000000001</v>
      </c>
      <c r="E258" s="47">
        <v>10.64</v>
      </c>
      <c r="F258" s="67"/>
    </row>
    <row r="259" spans="1:6">
      <c r="A259" s="64">
        <v>42339</v>
      </c>
      <c r="B259" s="47">
        <v>610.12800000000004</v>
      </c>
      <c r="C259" s="47">
        <v>0.44</v>
      </c>
      <c r="D259" s="47">
        <v>10.7</v>
      </c>
      <c r="E259" s="47">
        <v>10.7</v>
      </c>
      <c r="F259" s="67"/>
    </row>
    <row r="260" spans="1:6">
      <c r="A260" s="64">
        <v>42370</v>
      </c>
      <c r="B260" s="47">
        <v>619.476</v>
      </c>
      <c r="C260" s="47">
        <v>1.53</v>
      </c>
      <c r="D260" s="47">
        <v>1.53</v>
      </c>
      <c r="E260" s="47">
        <v>11.65</v>
      </c>
      <c r="F260" s="67"/>
    </row>
    <row r="261" spans="1:6">
      <c r="A261" s="64">
        <v>42401</v>
      </c>
      <c r="B261" s="47">
        <v>624.36599999999999</v>
      </c>
      <c r="C261" s="47">
        <v>0.79</v>
      </c>
      <c r="D261" s="47">
        <v>2.33</v>
      </c>
      <c r="E261" s="47">
        <v>11.93</v>
      </c>
      <c r="F261" s="67"/>
    </row>
    <row r="262" spans="1:6">
      <c r="A262" s="64">
        <v>42430</v>
      </c>
      <c r="B262" s="47">
        <v>627.05999999999995</v>
      </c>
      <c r="C262" s="47">
        <v>0.43</v>
      </c>
      <c r="D262" s="47">
        <v>2.78</v>
      </c>
      <c r="E262" s="47">
        <v>11.07</v>
      </c>
      <c r="F262" s="67"/>
    </row>
    <row r="263" spans="1:6">
      <c r="A263" s="64">
        <v>42461</v>
      </c>
      <c r="B263" s="47">
        <v>629.34500000000003</v>
      </c>
      <c r="C263" s="47">
        <v>0.36</v>
      </c>
      <c r="D263" s="47">
        <v>3.15</v>
      </c>
      <c r="E263" s="47">
        <v>10.46</v>
      </c>
      <c r="F263" s="67"/>
    </row>
    <row r="264" spans="1:6">
      <c r="A264" s="64">
        <v>42491</v>
      </c>
      <c r="B264" s="47">
        <v>636.46799999999996</v>
      </c>
      <c r="C264" s="47">
        <v>1.1299999999999999</v>
      </c>
      <c r="D264" s="47">
        <v>4.32</v>
      </c>
      <c r="E264" s="47">
        <v>11.26</v>
      </c>
      <c r="F264" s="67"/>
    </row>
    <row r="265" spans="1:6">
      <c r="A265" s="64">
        <v>42522</v>
      </c>
      <c r="B265" s="47">
        <v>646.86800000000005</v>
      </c>
      <c r="C265" s="47">
        <v>1.63</v>
      </c>
      <c r="D265" s="47">
        <v>6.02</v>
      </c>
      <c r="E265" s="47">
        <v>12.32</v>
      </c>
      <c r="F265" s="67"/>
    </row>
    <row r="266" spans="1:6">
      <c r="A266" s="64">
        <v>42552</v>
      </c>
      <c r="B266" s="47">
        <v>644.35599999999999</v>
      </c>
      <c r="C266" s="47">
        <v>-0.39</v>
      </c>
      <c r="D266" s="47">
        <v>5.61</v>
      </c>
      <c r="E266" s="47">
        <v>11.23</v>
      </c>
      <c r="F266" s="67"/>
    </row>
    <row r="267" spans="1:6">
      <c r="A267" s="64">
        <v>42583</v>
      </c>
      <c r="B267" s="47">
        <v>647.15300000000002</v>
      </c>
      <c r="C267" s="47">
        <v>0.43</v>
      </c>
      <c r="D267" s="47">
        <v>6.07</v>
      </c>
      <c r="E267" s="47">
        <v>11.27</v>
      </c>
      <c r="F267" s="67"/>
    </row>
    <row r="268" spans="1:6">
      <c r="A268" s="64">
        <v>42614</v>
      </c>
      <c r="B268" s="47">
        <v>647.36</v>
      </c>
      <c r="C268" s="47">
        <v>0.03</v>
      </c>
      <c r="D268" s="47">
        <v>6.1</v>
      </c>
      <c r="E268" s="47">
        <v>9.74</v>
      </c>
      <c r="F268" s="67"/>
    </row>
    <row r="269" spans="1:6">
      <c r="A269" s="64">
        <v>42644</v>
      </c>
      <c r="B269" s="47">
        <v>648.21299999999997</v>
      </c>
      <c r="C269" s="47">
        <v>0.13</v>
      </c>
      <c r="D269" s="47">
        <v>6.24</v>
      </c>
      <c r="E269" s="47">
        <v>7.99</v>
      </c>
      <c r="F269" s="67"/>
    </row>
    <row r="270" spans="1:6">
      <c r="A270" s="64">
        <v>42675</v>
      </c>
      <c r="B270" s="47">
        <v>648.56100000000004</v>
      </c>
      <c r="C270" s="47">
        <v>0.05</v>
      </c>
      <c r="D270" s="47">
        <v>6.3</v>
      </c>
      <c r="E270" s="47">
        <v>6.77</v>
      </c>
      <c r="F270" s="67"/>
    </row>
    <row r="271" spans="1:6">
      <c r="A271" s="64">
        <v>42705</v>
      </c>
      <c r="B271" s="47">
        <v>653.95100000000002</v>
      </c>
      <c r="C271" s="47">
        <v>0.83</v>
      </c>
      <c r="D271" s="47">
        <v>7.18</v>
      </c>
      <c r="E271" s="47">
        <v>7.18</v>
      </c>
      <c r="F271" s="67"/>
    </row>
    <row r="272" spans="1:6">
      <c r="A272" s="64">
        <v>42736</v>
      </c>
      <c r="B272" s="47">
        <v>656.77800000000002</v>
      </c>
      <c r="C272" s="47">
        <v>0.43</v>
      </c>
      <c r="D272" s="47">
        <v>0.43</v>
      </c>
      <c r="E272" s="47">
        <v>6.02</v>
      </c>
      <c r="F272" s="67"/>
    </row>
    <row r="273" spans="1:6">
      <c r="A273" s="64">
        <v>42767</v>
      </c>
      <c r="B273" s="47">
        <v>657.19100000000003</v>
      </c>
      <c r="C273" s="47">
        <v>0.06</v>
      </c>
      <c r="D273" s="47">
        <v>0.5</v>
      </c>
      <c r="E273" s="47">
        <v>5.26</v>
      </c>
      <c r="F273" s="67"/>
    </row>
    <row r="274" spans="1:6">
      <c r="A274" s="64">
        <v>42795</v>
      </c>
      <c r="B274" s="47">
        <v>654.70899999999995</v>
      </c>
      <c r="C274" s="47">
        <v>-0.38</v>
      </c>
      <c r="D274" s="47">
        <v>0.12</v>
      </c>
      <c r="E274" s="47">
        <v>4.41</v>
      </c>
      <c r="F274" s="67"/>
    </row>
    <row r="275" spans="1:6">
      <c r="A275" s="64">
        <v>42826</v>
      </c>
      <c r="B275" s="47">
        <v>646.57299999999998</v>
      </c>
      <c r="C275" s="47">
        <v>-1.24</v>
      </c>
      <c r="D275" s="47">
        <v>-1.1299999999999999</v>
      </c>
      <c r="E275" s="47">
        <v>2.74</v>
      </c>
      <c r="F275" s="67"/>
    </row>
    <row r="276" spans="1:6">
      <c r="A276" s="64">
        <v>42856</v>
      </c>
      <c r="B276" s="47">
        <v>643.26</v>
      </c>
      <c r="C276" s="47">
        <v>-0.51</v>
      </c>
      <c r="D276" s="47">
        <v>-1.63</v>
      </c>
      <c r="E276" s="47">
        <v>1.07</v>
      </c>
      <c r="F276" s="67"/>
    </row>
    <row r="277" spans="1:6">
      <c r="A277" s="64">
        <v>42887</v>
      </c>
      <c r="B277" s="47">
        <v>637.07899999999995</v>
      </c>
      <c r="C277" s="47">
        <v>-0.96</v>
      </c>
      <c r="D277" s="47">
        <v>-2.58</v>
      </c>
      <c r="E277" s="47">
        <v>-1.51</v>
      </c>
      <c r="F277" s="67"/>
    </row>
    <row r="278" spans="1:6">
      <c r="A278" s="64">
        <v>42917</v>
      </c>
      <c r="B278" s="47">
        <v>635.19799999999998</v>
      </c>
      <c r="C278" s="47">
        <v>-0.3</v>
      </c>
      <c r="D278" s="47">
        <v>-2.87</v>
      </c>
      <c r="E278" s="47">
        <v>-1.42</v>
      </c>
      <c r="F278" s="67"/>
    </row>
    <row r="279" spans="1:6">
      <c r="A279" s="64">
        <v>42948</v>
      </c>
      <c r="B279" s="47">
        <v>636.71400000000006</v>
      </c>
      <c r="C279" s="47">
        <v>0.24</v>
      </c>
      <c r="D279" s="47">
        <v>-2.64</v>
      </c>
      <c r="E279" s="47">
        <v>-1.61</v>
      </c>
      <c r="F279" s="67"/>
    </row>
    <row r="280" spans="1:6">
      <c r="A280" s="64">
        <v>42979</v>
      </c>
      <c r="B280" s="47">
        <v>640.654</v>
      </c>
      <c r="C280" s="47">
        <v>0.62</v>
      </c>
      <c r="D280" s="47">
        <v>-2.0299999999999998</v>
      </c>
      <c r="E280" s="47">
        <v>-1.04</v>
      </c>
      <c r="F280" s="67"/>
    </row>
    <row r="281" spans="1:6">
      <c r="A281" s="64">
        <v>43009</v>
      </c>
      <c r="B281" s="47">
        <v>641.279</v>
      </c>
      <c r="C281" s="47">
        <v>0.1</v>
      </c>
      <c r="D281" s="47">
        <v>-1.94</v>
      </c>
      <c r="E281" s="47">
        <v>-1.07</v>
      </c>
      <c r="F281" s="67"/>
    </row>
    <row r="282" spans="1:6">
      <c r="A282" s="64">
        <v>43040</v>
      </c>
      <c r="B282" s="47">
        <v>646.42200000000003</v>
      </c>
      <c r="C282" s="47">
        <v>0.8</v>
      </c>
      <c r="D282" s="47">
        <v>-1.1499999999999999</v>
      </c>
      <c r="E282" s="47">
        <v>-0.33</v>
      </c>
      <c r="F282" s="67"/>
    </row>
    <row r="283" spans="1:6">
      <c r="A283" s="64">
        <v>43070</v>
      </c>
      <c r="B283" s="47">
        <v>651.21400000000006</v>
      </c>
      <c r="C283" s="47">
        <v>0.74</v>
      </c>
      <c r="D283" s="47">
        <v>-0.42</v>
      </c>
      <c r="E283" s="47">
        <v>-0.42</v>
      </c>
      <c r="F283" s="67"/>
    </row>
    <row r="284" spans="1:6">
      <c r="A284" s="64">
        <v>43101</v>
      </c>
      <c r="B284" s="47">
        <v>654.96799999999996</v>
      </c>
      <c r="C284" s="47">
        <v>0.57999999999999996</v>
      </c>
      <c r="D284" s="47">
        <v>0.57999999999999996</v>
      </c>
      <c r="E284" s="47">
        <v>-0.28000000000000003</v>
      </c>
      <c r="F284" s="67"/>
    </row>
    <row r="285" spans="1:6">
      <c r="A285" s="64">
        <v>43132</v>
      </c>
      <c r="B285" s="47">
        <v>655.97500000000002</v>
      </c>
      <c r="C285" s="47">
        <v>0.15</v>
      </c>
      <c r="D285" s="47">
        <v>0.73</v>
      </c>
      <c r="E285" s="47">
        <v>-0.19</v>
      </c>
      <c r="F285" s="67"/>
    </row>
    <row r="286" spans="1:6">
      <c r="A286" s="64">
        <v>43160</v>
      </c>
      <c r="B286" s="47">
        <v>659.66499999999996</v>
      </c>
      <c r="C286" s="47">
        <v>0.56000000000000005</v>
      </c>
      <c r="D286" s="47">
        <v>1.3</v>
      </c>
      <c r="E286" s="47">
        <v>0.76</v>
      </c>
      <c r="F286" s="67"/>
    </row>
    <row r="287" spans="1:6">
      <c r="A287" s="64">
        <v>43191</v>
      </c>
      <c r="B287" s="47">
        <v>665.77</v>
      </c>
      <c r="C287" s="47">
        <v>0.93</v>
      </c>
      <c r="D287" s="47">
        <v>2.2400000000000002</v>
      </c>
      <c r="E287" s="47">
        <v>2.97</v>
      </c>
      <c r="F287" s="67"/>
    </row>
    <row r="288" spans="1:6">
      <c r="A288" s="64">
        <v>43221</v>
      </c>
      <c r="B288" s="47">
        <v>676.69500000000005</v>
      </c>
      <c r="C288" s="47">
        <v>1.64</v>
      </c>
      <c r="D288" s="47">
        <v>3.91</v>
      </c>
      <c r="E288" s="47">
        <v>5.2</v>
      </c>
      <c r="F288" s="67"/>
    </row>
    <row r="289" spans="1:6">
      <c r="A289" s="64">
        <v>43252</v>
      </c>
      <c r="B289" s="47">
        <v>686.69600000000003</v>
      </c>
      <c r="C289" s="47">
        <v>1.48</v>
      </c>
      <c r="D289" s="47">
        <v>5.45</v>
      </c>
      <c r="E289" s="47">
        <v>7.79</v>
      </c>
      <c r="F289" s="67"/>
    </row>
    <row r="290" spans="1:6">
      <c r="A290" s="64">
        <v>43282</v>
      </c>
      <c r="B290" s="47">
        <v>689.74599999999998</v>
      </c>
      <c r="C290" s="47">
        <v>0.44</v>
      </c>
      <c r="D290" s="47">
        <v>5.92</v>
      </c>
      <c r="E290" s="47">
        <v>8.59</v>
      </c>
      <c r="F290" s="67"/>
    </row>
    <row r="291" spans="1:6">
      <c r="A291" s="64">
        <v>43313</v>
      </c>
      <c r="B291" s="47">
        <v>694.41399999999999</v>
      </c>
      <c r="C291" s="47">
        <v>0.68</v>
      </c>
      <c r="D291" s="47">
        <v>6.63</v>
      </c>
      <c r="E291" s="47">
        <v>9.06</v>
      </c>
      <c r="F291" s="67"/>
    </row>
    <row r="292" spans="1:6">
      <c r="A292" s="64">
        <v>43344</v>
      </c>
      <c r="B292" s="47">
        <v>706.83399999999995</v>
      </c>
      <c r="C292" s="47">
        <v>1.79</v>
      </c>
      <c r="D292" s="47">
        <v>8.5399999999999991</v>
      </c>
      <c r="E292" s="47">
        <v>10.33</v>
      </c>
      <c r="F292" s="67"/>
    </row>
    <row r="293" spans="1:6">
      <c r="A293" s="64">
        <v>43374</v>
      </c>
      <c r="B293" s="47">
        <v>708.69399999999996</v>
      </c>
      <c r="C293" s="47">
        <v>0.26</v>
      </c>
      <c r="D293" s="47">
        <v>8.83</v>
      </c>
      <c r="E293" s="47">
        <v>10.51</v>
      </c>
      <c r="F293" s="67"/>
    </row>
    <row r="294" spans="1:6">
      <c r="A294" s="64">
        <v>43405</v>
      </c>
      <c r="B294" s="47">
        <v>700.601</v>
      </c>
      <c r="C294" s="47">
        <v>-1.1399999999999999</v>
      </c>
      <c r="D294" s="47">
        <v>7.58</v>
      </c>
      <c r="E294" s="47">
        <v>8.3800000000000008</v>
      </c>
      <c r="F294" s="67"/>
    </row>
    <row r="295" spans="1:6">
      <c r="A295" s="64">
        <v>43435</v>
      </c>
      <c r="B295" s="47">
        <v>697.44600000000003</v>
      </c>
      <c r="C295" s="47">
        <v>-0.45</v>
      </c>
      <c r="D295" s="47">
        <v>7.1</v>
      </c>
      <c r="E295" s="47">
        <v>7.1</v>
      </c>
      <c r="F295" s="67"/>
    </row>
    <row r="296" spans="1:6">
      <c r="A296" s="64">
        <v>43466</v>
      </c>
      <c r="B296" s="47">
        <v>697.923</v>
      </c>
      <c r="C296" s="47">
        <v>7.0000000000000007E-2</v>
      </c>
      <c r="D296" s="47">
        <v>7.0000000000000007E-2</v>
      </c>
      <c r="E296" s="47">
        <v>6.56</v>
      </c>
      <c r="F296" s="67"/>
    </row>
    <row r="297" spans="1:6">
      <c r="A297" s="64">
        <v>43497</v>
      </c>
      <c r="B297" s="47">
        <v>706.66</v>
      </c>
      <c r="C297" s="47">
        <v>1.25</v>
      </c>
      <c r="D297" s="47">
        <v>1.32</v>
      </c>
      <c r="E297" s="47">
        <v>7.73</v>
      </c>
      <c r="F297" s="67"/>
    </row>
    <row r="298" spans="1:6">
      <c r="A298" s="64">
        <v>43525</v>
      </c>
      <c r="B298" s="47">
        <v>714.24300000000005</v>
      </c>
      <c r="C298" s="47">
        <v>1.07</v>
      </c>
      <c r="D298" s="47">
        <v>2.41</v>
      </c>
      <c r="E298" s="47">
        <v>8.27</v>
      </c>
      <c r="F298" s="67"/>
    </row>
    <row r="299" spans="1:6">
      <c r="A299" s="64">
        <v>43556</v>
      </c>
      <c r="B299" s="47">
        <v>720.69500000000005</v>
      </c>
      <c r="C299" s="47">
        <v>0.9</v>
      </c>
      <c r="D299" s="47">
        <v>3.33</v>
      </c>
      <c r="E299" s="47">
        <v>8.25</v>
      </c>
      <c r="F299" s="67"/>
    </row>
    <row r="300" spans="1:6">
      <c r="A300" s="64">
        <v>43586</v>
      </c>
      <c r="B300" s="47">
        <v>723.577</v>
      </c>
      <c r="C300" s="47">
        <v>0.4</v>
      </c>
      <c r="D300" s="47">
        <v>3.75</v>
      </c>
      <c r="E300" s="47">
        <v>6.93</v>
      </c>
      <c r="F300" s="67"/>
    </row>
    <row r="301" spans="1:6">
      <c r="A301" s="64">
        <v>43617</v>
      </c>
      <c r="B301" s="47">
        <v>728.14200000000005</v>
      </c>
      <c r="C301" s="47">
        <v>0.63</v>
      </c>
      <c r="D301" s="47">
        <v>4.4000000000000004</v>
      </c>
      <c r="E301" s="47">
        <v>6.04</v>
      </c>
      <c r="F301" s="67"/>
    </row>
    <row r="302" spans="1:6">
      <c r="A302" s="64">
        <v>43647</v>
      </c>
      <c r="B302" s="47">
        <v>728.08399999999995</v>
      </c>
      <c r="C302" s="47">
        <v>-0.01</v>
      </c>
      <c r="D302" s="47">
        <v>4.3899999999999997</v>
      </c>
      <c r="E302" s="47">
        <v>5.56</v>
      </c>
      <c r="F302" s="67"/>
    </row>
    <row r="303" spans="1:6">
      <c r="A303" s="64">
        <v>43678</v>
      </c>
      <c r="B303" s="47">
        <v>724.39499999999998</v>
      </c>
      <c r="C303" s="47">
        <v>-0.51</v>
      </c>
      <c r="D303" s="47">
        <v>3.86</v>
      </c>
      <c r="E303" s="47">
        <v>4.32</v>
      </c>
      <c r="F303" s="67"/>
    </row>
    <row r="304" spans="1:6">
      <c r="A304" s="64">
        <v>43709</v>
      </c>
      <c r="B304" s="47">
        <v>728.04</v>
      </c>
      <c r="C304" s="47">
        <v>0.5</v>
      </c>
      <c r="D304" s="47">
        <v>4.3899999999999997</v>
      </c>
      <c r="E304" s="47">
        <v>3</v>
      </c>
      <c r="F304" s="67"/>
    </row>
    <row r="305" spans="1:6">
      <c r="A305" s="64">
        <v>43739</v>
      </c>
      <c r="B305" s="47">
        <v>732.04100000000005</v>
      </c>
      <c r="C305" s="47">
        <v>0.55000000000000004</v>
      </c>
      <c r="D305" s="47">
        <v>4.96</v>
      </c>
      <c r="E305" s="47">
        <v>3.29</v>
      </c>
      <c r="F305" s="67"/>
    </row>
    <row r="306" spans="1:6">
      <c r="A306" s="64">
        <v>43770</v>
      </c>
      <c r="B306" s="47">
        <v>738.26400000000001</v>
      </c>
      <c r="C306" s="47">
        <v>0.85</v>
      </c>
      <c r="D306" s="47">
        <v>5.85</v>
      </c>
      <c r="E306" s="47">
        <v>5.38</v>
      </c>
      <c r="F306" s="67"/>
    </row>
    <row r="307" spans="1:6">
      <c r="A307" s="64">
        <v>43800</v>
      </c>
      <c r="B307" s="47">
        <v>751.12099999999998</v>
      </c>
      <c r="C307" s="47">
        <v>1.74</v>
      </c>
      <c r="D307" s="47">
        <v>7.7</v>
      </c>
      <c r="E307" s="47">
        <v>7.7</v>
      </c>
      <c r="F307" s="67"/>
    </row>
    <row r="308" spans="1:6">
      <c r="A308" s="64">
        <v>43831</v>
      </c>
      <c r="B308" s="47">
        <v>751.82</v>
      </c>
      <c r="C308" s="47">
        <v>0.09</v>
      </c>
      <c r="D308" s="47">
        <v>0.09</v>
      </c>
      <c r="E308" s="47">
        <v>7.72</v>
      </c>
      <c r="F308" s="67"/>
    </row>
    <row r="309" spans="1:6">
      <c r="A309" s="64">
        <v>43862</v>
      </c>
      <c r="B309" s="47">
        <v>751.91</v>
      </c>
      <c r="C309" s="47">
        <v>0.01</v>
      </c>
      <c r="D309" s="47">
        <v>0.11</v>
      </c>
      <c r="E309" s="47">
        <v>6.4</v>
      </c>
      <c r="F309" s="67"/>
    </row>
    <row r="310" spans="1:6">
      <c r="A310" s="64">
        <v>43891</v>
      </c>
      <c r="B310" s="47">
        <v>764.27599999999995</v>
      </c>
      <c r="C310" s="47">
        <v>1.64</v>
      </c>
      <c r="D310" s="47">
        <v>1.75</v>
      </c>
      <c r="E310" s="47">
        <v>7.01</v>
      </c>
      <c r="F310" s="67"/>
    </row>
    <row r="311" spans="1:6">
      <c r="A311" s="64">
        <v>43922</v>
      </c>
      <c r="B311" s="47">
        <v>764.65599999999995</v>
      </c>
      <c r="C311" s="47">
        <v>0.05</v>
      </c>
      <c r="D311" s="47">
        <v>1.8</v>
      </c>
      <c r="E311" s="47">
        <v>6.1</v>
      </c>
      <c r="F311" s="67"/>
    </row>
    <row r="312" spans="1:6">
      <c r="A312" s="64">
        <v>43952</v>
      </c>
      <c r="B312" s="47">
        <v>772.84299999999996</v>
      </c>
      <c r="C312" s="47">
        <v>1.07</v>
      </c>
      <c r="D312" s="47">
        <v>2.89</v>
      </c>
      <c r="E312" s="47">
        <v>6.81</v>
      </c>
      <c r="F312" s="67"/>
    </row>
    <row r="313" spans="1:6">
      <c r="A313" s="64">
        <v>43983</v>
      </c>
      <c r="B313" s="47">
        <v>785.221</v>
      </c>
      <c r="C313" s="47">
        <v>1.6</v>
      </c>
      <c r="D313" s="47">
        <v>4.54</v>
      </c>
      <c r="E313" s="47">
        <v>7.84</v>
      </c>
      <c r="F313" s="67"/>
    </row>
    <row r="314" spans="1:6">
      <c r="A314" s="64">
        <v>44013</v>
      </c>
      <c r="B314" s="47">
        <v>803.58399999999995</v>
      </c>
      <c r="C314" s="47">
        <v>2.34</v>
      </c>
      <c r="D314" s="47">
        <v>6.98</v>
      </c>
      <c r="E314" s="47">
        <v>10.37</v>
      </c>
      <c r="F314" s="67"/>
    </row>
    <row r="315" spans="1:6">
      <c r="A315" s="64">
        <v>44044</v>
      </c>
      <c r="B315" s="47">
        <v>834.71299999999997</v>
      </c>
      <c r="C315" s="47">
        <v>3.87</v>
      </c>
      <c r="D315" s="47">
        <v>11.13</v>
      </c>
      <c r="E315" s="47">
        <v>15.23</v>
      </c>
      <c r="F315" s="67"/>
    </row>
    <row r="316" spans="1:6">
      <c r="A316" s="64">
        <v>44075</v>
      </c>
      <c r="B316" s="47">
        <v>862.25900000000001</v>
      </c>
      <c r="C316" s="47">
        <v>3.3</v>
      </c>
      <c r="D316" s="47">
        <v>14.8</v>
      </c>
      <c r="E316" s="47">
        <v>18.440000000000001</v>
      </c>
      <c r="F316" s="67"/>
    </row>
    <row r="317" spans="1:6">
      <c r="A317" s="64">
        <v>44105</v>
      </c>
      <c r="B317" s="47">
        <v>893.97699999999998</v>
      </c>
      <c r="C317" s="47">
        <v>3.68</v>
      </c>
      <c r="D317" s="47">
        <v>19.02</v>
      </c>
      <c r="E317" s="47">
        <v>22.12</v>
      </c>
      <c r="F317" s="67"/>
    </row>
    <row r="318" spans="1:6">
      <c r="A318" s="64">
        <v>44136</v>
      </c>
      <c r="B318" s="47">
        <v>917.53800000000001</v>
      </c>
      <c r="C318" s="47">
        <v>2.64</v>
      </c>
      <c r="D318" s="47">
        <v>22.16</v>
      </c>
      <c r="E318" s="47">
        <v>24.28</v>
      </c>
      <c r="F318" s="67"/>
    </row>
    <row r="319" spans="1:6">
      <c r="A319" s="64">
        <v>44166</v>
      </c>
      <c r="B319" s="47">
        <v>924.50400000000002</v>
      </c>
      <c r="C319" s="47">
        <v>0.76</v>
      </c>
      <c r="D319" s="47">
        <v>23.08</v>
      </c>
      <c r="E319" s="47">
        <v>23.08</v>
      </c>
      <c r="F319" s="67"/>
    </row>
    <row r="320" spans="1:6">
      <c r="A320" s="64">
        <v>44197</v>
      </c>
      <c r="B320" s="47">
        <v>951.39499999999998</v>
      </c>
      <c r="C320" s="47">
        <v>2.91</v>
      </c>
      <c r="D320" s="47">
        <v>2.91</v>
      </c>
      <c r="E320" s="47">
        <v>26.55</v>
      </c>
      <c r="F320" s="67"/>
    </row>
    <row r="321" spans="1:6">
      <c r="A321" s="64">
        <v>44228</v>
      </c>
      <c r="B321" s="47">
        <v>977.13300000000004</v>
      </c>
      <c r="C321" s="47">
        <v>2.71</v>
      </c>
      <c r="D321" s="47">
        <v>5.69</v>
      </c>
      <c r="E321" s="47">
        <v>29.95</v>
      </c>
      <c r="F321" s="67"/>
    </row>
    <row r="322" spans="1:6">
      <c r="A322" s="64">
        <v>44256</v>
      </c>
      <c r="B322" s="68">
        <v>998.34400000000005</v>
      </c>
      <c r="C322" s="47">
        <v>2.17</v>
      </c>
      <c r="D322" s="47">
        <v>7.99</v>
      </c>
      <c r="E322" s="47">
        <v>30.63</v>
      </c>
      <c r="F322" s="67"/>
    </row>
    <row r="323" spans="1:6">
      <c r="A323" s="64">
        <v>44287</v>
      </c>
      <c r="B323" s="68">
        <v>1020.495</v>
      </c>
      <c r="C323" s="47">
        <v>2.2200000000000002</v>
      </c>
      <c r="D323" s="47">
        <v>10.38</v>
      </c>
      <c r="E323" s="47">
        <v>33.46</v>
      </c>
      <c r="F323" s="67"/>
    </row>
    <row r="324" spans="1:6">
      <c r="A324" s="64">
        <v>44317</v>
      </c>
      <c r="B324" s="68">
        <v>1055.1669999999999</v>
      </c>
      <c r="C324" s="47">
        <v>3.4</v>
      </c>
      <c r="D324" s="47">
        <v>14.13</v>
      </c>
      <c r="E324" s="47">
        <v>36.53</v>
      </c>
      <c r="F324" s="67"/>
    </row>
    <row r="325" spans="1:6">
      <c r="A325" s="64">
        <v>44348</v>
      </c>
      <c r="B325" s="68">
        <v>1056.3430000000001</v>
      </c>
      <c r="C325" s="47">
        <v>0.11</v>
      </c>
      <c r="D325" s="47">
        <v>14.26</v>
      </c>
      <c r="E325" s="47">
        <v>34.53</v>
      </c>
      <c r="F325" s="67"/>
    </row>
    <row r="326" spans="1:6">
      <c r="A326" s="64">
        <v>44378</v>
      </c>
      <c r="B326" s="68">
        <v>1071.615</v>
      </c>
      <c r="C326" s="47">
        <v>1.45</v>
      </c>
      <c r="D326" s="47">
        <v>15.91</v>
      </c>
      <c r="E326" s="47">
        <v>33.35</v>
      </c>
      <c r="F326" s="67"/>
    </row>
    <row r="327" spans="1:6">
      <c r="A327" s="64">
        <v>44409</v>
      </c>
      <c r="B327" s="68">
        <v>1070.1469999999999</v>
      </c>
      <c r="C327" s="47">
        <v>-0.14000000000000001</v>
      </c>
      <c r="D327" s="47">
        <v>15.75</v>
      </c>
      <c r="E327" s="47">
        <v>28.21</v>
      </c>
      <c r="F327" s="67"/>
    </row>
    <row r="328" spans="1:6">
      <c r="A328" s="64">
        <v>44440</v>
      </c>
      <c r="B328" s="68">
        <v>1064.31</v>
      </c>
      <c r="C328" s="47">
        <v>-0.55000000000000004</v>
      </c>
      <c r="D328" s="47">
        <v>15.12</v>
      </c>
      <c r="E328" s="47">
        <v>23.43</v>
      </c>
      <c r="F328" s="67"/>
    </row>
    <row r="329" spans="1:6">
      <c r="A329" s="64">
        <v>44470</v>
      </c>
      <c r="B329" s="68">
        <v>1081.3009999999999</v>
      </c>
      <c r="C329" s="47">
        <v>1.6</v>
      </c>
      <c r="D329" s="47">
        <v>16.96</v>
      </c>
      <c r="E329" s="47">
        <v>20.95</v>
      </c>
      <c r="F329" s="67"/>
    </row>
    <row r="330" spans="1:6">
      <c r="A330" s="64">
        <v>44501</v>
      </c>
      <c r="B330" s="68">
        <v>1075.0219999999999</v>
      </c>
      <c r="C330" s="47">
        <v>-0.57999999999999996</v>
      </c>
      <c r="D330" s="47">
        <v>16.28</v>
      </c>
      <c r="E330" s="47">
        <v>17.16</v>
      </c>
      <c r="F330" s="67"/>
    </row>
    <row r="331" spans="1:6">
      <c r="A331" s="64">
        <v>44531</v>
      </c>
      <c r="B331" s="68">
        <v>1088.489</v>
      </c>
      <c r="C331" s="47">
        <v>1.25</v>
      </c>
      <c r="D331" s="47">
        <v>17.739999999999998</v>
      </c>
      <c r="E331" s="47">
        <v>17.739999999999998</v>
      </c>
      <c r="F331" s="67"/>
    </row>
    <row r="332" spans="1:6">
      <c r="A332" s="64">
        <v>44562</v>
      </c>
      <c r="B332" s="68">
        <v>1110.3979999999999</v>
      </c>
      <c r="C332" s="47">
        <v>2.0099999999999998</v>
      </c>
      <c r="D332" s="47">
        <v>2.0099999999999998</v>
      </c>
      <c r="E332" s="47">
        <v>16.71</v>
      </c>
      <c r="F332" s="67"/>
    </row>
    <row r="333" spans="1:6">
      <c r="A333" s="64">
        <v>44593</v>
      </c>
      <c r="B333" s="68">
        <v>1127.077</v>
      </c>
      <c r="C333" s="173">
        <v>1.5</v>
      </c>
      <c r="D333" s="47">
        <v>3.55</v>
      </c>
      <c r="E333" s="47">
        <v>15.35</v>
      </c>
      <c r="F333" s="67"/>
    </row>
    <row r="334" spans="1:6">
      <c r="A334" s="64">
        <v>44621</v>
      </c>
      <c r="B334" s="68">
        <v>1153.777</v>
      </c>
      <c r="C334" s="47">
        <v>2.37</v>
      </c>
      <c r="D334" s="47">
        <v>6</v>
      </c>
      <c r="E334" s="47">
        <v>15.57</v>
      </c>
      <c r="F334" s="67"/>
    </row>
    <row r="335" spans="1:6">
      <c r="A335" s="64">
        <v>44652</v>
      </c>
      <c r="B335" s="68">
        <v>1158.546</v>
      </c>
      <c r="C335" s="47">
        <v>0.41</v>
      </c>
      <c r="D335" s="47">
        <v>6.44</v>
      </c>
      <c r="E335" s="47">
        <v>13.53</v>
      </c>
      <c r="F335" s="67"/>
    </row>
    <row r="336" spans="1:6">
      <c r="A336" s="64">
        <v>44682</v>
      </c>
      <c r="B336" s="68">
        <v>1166.5419999999999</v>
      </c>
      <c r="C336" s="47">
        <v>0.69</v>
      </c>
      <c r="D336" s="47">
        <v>7.17</v>
      </c>
      <c r="E336" s="47">
        <v>10.56</v>
      </c>
      <c r="F336" s="67"/>
    </row>
    <row r="337" spans="1:6">
      <c r="A337" s="64">
        <v>44713</v>
      </c>
      <c r="B337" s="68">
        <v>1173.8309999999999</v>
      </c>
      <c r="C337" s="47">
        <v>0.62</v>
      </c>
      <c r="D337" s="47">
        <v>7.84</v>
      </c>
      <c r="E337" s="47">
        <v>11.12</v>
      </c>
      <c r="F337" s="67"/>
    </row>
    <row r="338" spans="1:6">
      <c r="A338" s="64">
        <v>44743</v>
      </c>
      <c r="B338" s="68">
        <v>1169.4259999999999</v>
      </c>
      <c r="C338" s="47">
        <v>-0.38</v>
      </c>
      <c r="D338" s="47">
        <v>7.44</v>
      </c>
      <c r="E338" s="47">
        <v>9.1300000000000008</v>
      </c>
      <c r="F338" s="67"/>
    </row>
    <row r="339" spans="1:6">
      <c r="A339" s="64">
        <v>44774</v>
      </c>
      <c r="B339" s="68">
        <v>1162.9559999999999</v>
      </c>
      <c r="C339" s="47">
        <v>-0.55000000000000004</v>
      </c>
      <c r="D339" s="47">
        <v>6.84</v>
      </c>
      <c r="E339" s="47">
        <v>8.67</v>
      </c>
      <c r="F339" s="67"/>
    </row>
    <row r="340" spans="1:6">
      <c r="A340" s="64">
        <v>44805</v>
      </c>
      <c r="B340" s="68">
        <v>1148.8109999999999</v>
      </c>
      <c r="C340" s="47">
        <v>-1.22</v>
      </c>
      <c r="D340" s="47">
        <v>5.54</v>
      </c>
      <c r="E340" s="47">
        <v>7.94</v>
      </c>
      <c r="F340" s="67"/>
    </row>
    <row r="341" spans="1:6">
      <c r="A341" s="64">
        <v>44835</v>
      </c>
      <c r="B341" s="68">
        <v>1141.7329999999999</v>
      </c>
      <c r="C341" s="47">
        <v>-0.62</v>
      </c>
      <c r="D341" s="47">
        <v>4.8899999999999997</v>
      </c>
      <c r="E341" s="47">
        <v>5.59</v>
      </c>
    </row>
    <row r="342" spans="1:6">
      <c r="A342" s="64">
        <v>44866</v>
      </c>
      <c r="B342" s="47">
        <v>1139.7339999999999</v>
      </c>
      <c r="C342" s="47">
        <v>-0.18</v>
      </c>
      <c r="D342" s="47">
        <v>4.71</v>
      </c>
      <c r="E342" s="47">
        <v>6.02</v>
      </c>
    </row>
    <row r="343" spans="1:6">
      <c r="A343" s="64">
        <v>44896</v>
      </c>
      <c r="B343" s="68">
        <v>1143.2249999999999</v>
      </c>
      <c r="C343" s="47">
        <v>0.31</v>
      </c>
      <c r="D343" s="47">
        <v>5.03</v>
      </c>
      <c r="E343" s="47">
        <v>5.03</v>
      </c>
    </row>
    <row r="344" spans="1:6">
      <c r="A344" s="64">
        <v>44927</v>
      </c>
      <c r="B344" s="68">
        <v>1143.8610000000001</v>
      </c>
      <c r="C344" s="47">
        <v>0.06</v>
      </c>
      <c r="D344" s="47">
        <v>0.06</v>
      </c>
      <c r="E344" s="47">
        <v>3.01</v>
      </c>
    </row>
    <row r="345" spans="1:6">
      <c r="A345" s="64">
        <v>44958</v>
      </c>
      <c r="B345" s="68">
        <v>1144.271</v>
      </c>
      <c r="C345" s="47">
        <v>0.04</v>
      </c>
      <c r="D345" s="47">
        <v>0.09</v>
      </c>
      <c r="E345" s="47">
        <v>1.53</v>
      </c>
    </row>
    <row r="346" spans="1:6">
      <c r="A346" s="64">
        <v>44986</v>
      </c>
      <c r="B346" s="68">
        <v>1140.357</v>
      </c>
      <c r="C346" s="47">
        <v>-0.34</v>
      </c>
      <c r="D346" s="47">
        <v>-0.25</v>
      </c>
      <c r="E346" s="47">
        <v>-1.1599999999999999</v>
      </c>
    </row>
    <row r="347" spans="1:6">
      <c r="A347" s="64">
        <v>45017</v>
      </c>
      <c r="B347" s="68">
        <v>1128.8050000000001</v>
      </c>
      <c r="C347" s="47">
        <v>-1.01</v>
      </c>
      <c r="D347" s="47">
        <v>-1.26</v>
      </c>
      <c r="E347" s="47">
        <v>-2.57</v>
      </c>
    </row>
    <row r="348" spans="1:6">
      <c r="A348" s="64">
        <v>45047</v>
      </c>
      <c r="B348" s="68">
        <v>1102.5060000000001</v>
      </c>
      <c r="C348" s="47">
        <v>-2.33</v>
      </c>
      <c r="D348" s="47">
        <v>-3.56</v>
      </c>
      <c r="E348" s="47">
        <v>-5.49</v>
      </c>
    </row>
    <row r="349" spans="1:6">
      <c r="A349" s="64">
        <v>45078</v>
      </c>
      <c r="B349" s="68">
        <v>1086.4739999999999</v>
      </c>
      <c r="C349" s="47">
        <v>-1.45</v>
      </c>
      <c r="D349" s="47">
        <v>-4.96</v>
      </c>
      <c r="E349" s="47">
        <v>-7.44</v>
      </c>
    </row>
    <row r="350" spans="1:6">
      <c r="A350" s="64">
        <v>45108</v>
      </c>
      <c r="B350" s="68">
        <v>1082.105</v>
      </c>
      <c r="C350" s="47">
        <v>-0.4</v>
      </c>
      <c r="D350" s="47">
        <v>-5.35</v>
      </c>
      <c r="E350" s="47">
        <v>-7.47</v>
      </c>
    </row>
    <row r="351" spans="1:6">
      <c r="A351" s="64">
        <v>45139</v>
      </c>
      <c r="B351" s="68">
        <v>1082.5930000000001</v>
      </c>
      <c r="C351" s="47">
        <v>0.05</v>
      </c>
      <c r="D351" s="47">
        <v>-5.3</v>
      </c>
      <c r="E351" s="47">
        <v>-6.91</v>
      </c>
    </row>
    <row r="352" spans="1:6">
      <c r="A352" s="64">
        <v>45170</v>
      </c>
      <c r="B352" s="68">
        <v>1087.4190000000001</v>
      </c>
      <c r="C352" s="68">
        <v>0.45</v>
      </c>
      <c r="D352" s="68">
        <v>-4.88</v>
      </c>
      <c r="E352" s="68">
        <v>5.34</v>
      </c>
      <c r="F352" s="68"/>
    </row>
    <row r="353" spans="1:6">
      <c r="A353" s="64">
        <v>45200</v>
      </c>
      <c r="B353" s="68">
        <v>1092.9739999999999</v>
      </c>
      <c r="C353" s="68">
        <v>0.51</v>
      </c>
      <c r="D353" s="68">
        <v>-4.4000000000000004</v>
      </c>
      <c r="E353" s="68">
        <v>-4.2699999999999996</v>
      </c>
      <c r="F353" s="65">
        <f t="shared" ref="F353:F368" si="0">B353/B352-1</f>
        <v>5.1084264667067281E-3</v>
      </c>
    </row>
    <row r="354" spans="1:6">
      <c r="A354" s="64">
        <v>45231</v>
      </c>
      <c r="B354" s="68">
        <v>1098.48</v>
      </c>
      <c r="C354" s="47">
        <v>0.5</v>
      </c>
      <c r="D354" s="47">
        <v>-3.91</v>
      </c>
      <c r="E354" s="47">
        <v>-3.62</v>
      </c>
      <c r="F354" s="65">
        <f t="shared" si="0"/>
        <v>5.0376312702773429E-3</v>
      </c>
    </row>
    <row r="355" spans="1:6">
      <c r="A355" s="64">
        <v>45261</v>
      </c>
      <c r="B355" s="68">
        <v>1105.5409999999999</v>
      </c>
      <c r="C355" s="47">
        <v>0.64</v>
      </c>
      <c r="D355" s="47">
        <v>-3.3</v>
      </c>
      <c r="E355" s="47">
        <v>-3.3</v>
      </c>
      <c r="F355" s="65">
        <f t="shared" si="0"/>
        <v>6.4279731993299727E-3</v>
      </c>
    </row>
    <row r="356" spans="1:6">
      <c r="A356" s="64">
        <v>45292</v>
      </c>
      <c r="B356" s="68">
        <v>1102.5709999999999</v>
      </c>
      <c r="C356" s="47">
        <v>-0.27</v>
      </c>
      <c r="D356" s="47">
        <v>-0.27</v>
      </c>
      <c r="E356" s="47">
        <v>-3.61</v>
      </c>
      <c r="F356" s="65">
        <f t="shared" si="0"/>
        <v>-2.6864675303766017E-3</v>
      </c>
    </row>
    <row r="357" spans="1:6">
      <c r="A357" s="64">
        <v>45323</v>
      </c>
      <c r="B357" s="68">
        <v>1098.095</v>
      </c>
      <c r="C357" s="47">
        <v>-0.41</v>
      </c>
      <c r="D357" s="47">
        <v>-0.67</v>
      </c>
      <c r="E357" s="47">
        <v>-4.04</v>
      </c>
      <c r="F357" s="65">
        <f t="shared" si="0"/>
        <v>-4.0596025108585732E-3</v>
      </c>
    </row>
    <row r="358" spans="1:6">
      <c r="A358" s="64">
        <v>45352</v>
      </c>
      <c r="B358" s="68">
        <v>1094.7629999999999</v>
      </c>
      <c r="C358" s="47">
        <v>-0.3</v>
      </c>
      <c r="D358" s="47">
        <v>-0.97</v>
      </c>
      <c r="E358" s="47">
        <v>-4</v>
      </c>
      <c r="F358" s="65">
        <f t="shared" si="0"/>
        <v>-3.0343458443942151E-3</v>
      </c>
    </row>
    <row r="359" spans="1:6">
      <c r="A359" s="64">
        <v>45383</v>
      </c>
      <c r="B359" s="68">
        <v>1102.6600000000001</v>
      </c>
      <c r="C359" s="47">
        <v>0.72</v>
      </c>
      <c r="D359" s="47">
        <v>-0.26</v>
      </c>
      <c r="E359" s="47">
        <v>-2.3199999999999998</v>
      </c>
      <c r="F359" s="65">
        <f t="shared" si="0"/>
        <v>7.2134334097884167E-3</v>
      </c>
    </row>
    <row r="360" spans="1:6">
      <c r="A360" s="64">
        <v>45413</v>
      </c>
      <c r="B360" s="68">
        <v>1112.26</v>
      </c>
      <c r="C360" s="47">
        <v>0.87</v>
      </c>
      <c r="D360" s="47">
        <v>0.61</v>
      </c>
      <c r="E360" s="47">
        <v>0.88</v>
      </c>
      <c r="F360" s="65">
        <f t="shared" si="0"/>
        <v>8.7062195055591651E-3</v>
      </c>
    </row>
    <row r="361" spans="1:6">
      <c r="A361" s="64">
        <v>45444</v>
      </c>
      <c r="B361" s="68">
        <v>1117.787</v>
      </c>
      <c r="C361" s="47">
        <v>0.5</v>
      </c>
      <c r="D361" s="47">
        <v>1.1100000000000001</v>
      </c>
      <c r="E361" s="47">
        <v>2.88</v>
      </c>
      <c r="F361" s="65">
        <f t="shared" si="0"/>
        <v>4.9691618866092302E-3</v>
      </c>
    </row>
    <row r="362" spans="1:6">
      <c r="A362" s="64">
        <v>45474</v>
      </c>
      <c r="B362" s="68">
        <v>1127.1010000000001</v>
      </c>
      <c r="C362" s="47">
        <v>0.83</v>
      </c>
      <c r="D362" s="47">
        <v>1.95</v>
      </c>
      <c r="E362" s="47">
        <v>4.16</v>
      </c>
      <c r="F362" s="65">
        <f t="shared" si="0"/>
        <v>8.3325356261971795E-3</v>
      </c>
    </row>
    <row r="363" spans="1:6">
      <c r="A363" s="64">
        <v>45505</v>
      </c>
      <c r="B363" s="68">
        <v>1128.4079999999999</v>
      </c>
      <c r="C363" s="47">
        <v>0.12</v>
      </c>
      <c r="D363" s="47">
        <v>2.0699999999999998</v>
      </c>
      <c r="E363" s="47">
        <v>4.2300000000000004</v>
      </c>
      <c r="F363" s="65">
        <f t="shared" si="0"/>
        <v>1.1596121376875601E-3</v>
      </c>
    </row>
    <row r="364" spans="1:6">
      <c r="A364" s="64">
        <v>45536</v>
      </c>
      <c r="B364" s="68">
        <v>1139.981</v>
      </c>
      <c r="C364" s="47">
        <v>1.03</v>
      </c>
      <c r="D364" s="47">
        <v>3.12</v>
      </c>
      <c r="E364" s="47">
        <v>4.83</v>
      </c>
      <c r="F364" s="65">
        <f t="shared" si="0"/>
        <v>1.0256042140786015E-2</v>
      </c>
    </row>
    <row r="365" spans="1:6">
      <c r="A365" s="64">
        <v>45566</v>
      </c>
      <c r="B365" s="68">
        <v>1157.5160000000001</v>
      </c>
      <c r="C365" s="47">
        <v>1.54</v>
      </c>
      <c r="D365" s="47">
        <v>4.7</v>
      </c>
      <c r="E365" s="47">
        <v>5.91</v>
      </c>
      <c r="F365" s="65">
        <f t="shared" si="0"/>
        <v>1.5381835311290448E-2</v>
      </c>
    </row>
    <row r="366" spans="1:6">
      <c r="A366" s="64">
        <v>45597</v>
      </c>
      <c r="B366" s="68">
        <v>1171.21</v>
      </c>
      <c r="C366" s="47">
        <v>1.18</v>
      </c>
      <c r="D366" s="47">
        <v>5.94</v>
      </c>
      <c r="E366" s="47">
        <v>6.62</v>
      </c>
      <c r="F366" s="65">
        <f t="shared" si="0"/>
        <v>1.1830506014603559E-2</v>
      </c>
    </row>
    <row r="367" spans="1:6">
      <c r="A367" s="64">
        <v>45627</v>
      </c>
      <c r="B367" s="47">
        <v>1181.4000000000001</v>
      </c>
      <c r="C367" s="47">
        <v>0.87</v>
      </c>
      <c r="D367" s="47">
        <v>6.86</v>
      </c>
      <c r="E367" s="47">
        <v>6.86</v>
      </c>
      <c r="F367" s="65">
        <f t="shared" si="0"/>
        <v>8.7004038558413654E-3</v>
      </c>
    </row>
    <row r="368" spans="1:6">
      <c r="A368" s="64">
        <v>45658</v>
      </c>
      <c r="B368" s="47">
        <v>1182.693</v>
      </c>
      <c r="C368" s="47">
        <v>0.11</v>
      </c>
      <c r="D368" s="47">
        <v>0.11</v>
      </c>
      <c r="E368" s="47">
        <v>7.27</v>
      </c>
      <c r="F368" s="65">
        <f t="shared" si="0"/>
        <v>1.0944641950227929E-3</v>
      </c>
    </row>
    <row r="369" spans="1:10">
      <c r="A369" s="64">
        <v>45689</v>
      </c>
      <c r="B369" s="68">
        <v>1194.518</v>
      </c>
      <c r="C369" s="47">
        <v>1</v>
      </c>
      <c r="D369" s="47">
        <v>1.1100000000000001</v>
      </c>
      <c r="E369" s="47">
        <v>8.7799999999999994</v>
      </c>
      <c r="F369" s="65">
        <f t="shared" ref="F369:F373" si="1">B369/B368-1</f>
        <v>9.9983681310364947E-3</v>
      </c>
    </row>
    <row r="370" spans="1:10">
      <c r="A370" s="64">
        <v>45717</v>
      </c>
      <c r="B370" s="68">
        <v>1188.55</v>
      </c>
      <c r="C370" s="47">
        <v>-0.5</v>
      </c>
      <c r="D370" s="47">
        <v>0.6</v>
      </c>
      <c r="E370" s="47">
        <v>8.57</v>
      </c>
      <c r="F370" s="65">
        <f t="shared" si="1"/>
        <v>-4.9961574459321811E-3</v>
      </c>
      <c r="J370" s="222"/>
    </row>
    <row r="371" spans="1:10">
      <c r="A371" s="64">
        <v>45748</v>
      </c>
      <c r="B371" s="68">
        <v>1192.079</v>
      </c>
      <c r="C371" s="47">
        <v>0.3</v>
      </c>
      <c r="D371" s="47">
        <v>0.9</v>
      </c>
      <c r="E371" s="47">
        <v>8.11</v>
      </c>
      <c r="F371" s="65">
        <f t="shared" si="1"/>
        <v>2.9691641075260122E-3</v>
      </c>
    </row>
    <row r="372" spans="1:10">
      <c r="A372" s="64">
        <v>45778</v>
      </c>
      <c r="B372" s="68">
        <v>1181.9449999999999</v>
      </c>
      <c r="C372" s="47">
        <v>-0.85</v>
      </c>
      <c r="D372" s="47">
        <v>0.05</v>
      </c>
      <c r="E372" s="47">
        <v>6.27</v>
      </c>
      <c r="F372" s="65">
        <f t="shared" si="1"/>
        <v>-8.5011144395631399E-3</v>
      </c>
    </row>
    <row r="373" spans="1:10">
      <c r="A373" s="64">
        <v>45809</v>
      </c>
      <c r="B373" s="68">
        <v>1160.6130000000001</v>
      </c>
      <c r="C373" s="47">
        <v>-1.8</v>
      </c>
      <c r="D373" s="47">
        <v>-1.76</v>
      </c>
      <c r="E373" s="47">
        <v>3.83</v>
      </c>
      <c r="F373" s="65">
        <f t="shared" si="1"/>
        <v>-1.8048217133622924E-2</v>
      </c>
    </row>
    <row r="374" spans="1:10">
      <c r="A374" s="64"/>
      <c r="B374" s="68"/>
      <c r="F374" s="65"/>
    </row>
    <row r="375" spans="1:10">
      <c r="A375" s="64"/>
      <c r="B375" s="68"/>
      <c r="F375" s="65"/>
    </row>
    <row r="376" spans="1:10">
      <c r="A376" s="64"/>
    </row>
    <row r="377" spans="1:10">
      <c r="A377" s="64"/>
    </row>
    <row r="378" spans="1:10">
      <c r="A378" s="64"/>
    </row>
    <row r="379" spans="1:10">
      <c r="A379" s="64"/>
    </row>
    <row r="380" spans="1:10">
      <c r="A380" s="64"/>
    </row>
    <row r="381" spans="1:10">
      <c r="A381" s="64"/>
    </row>
    <row r="382" spans="1:10">
      <c r="A382" s="64"/>
    </row>
    <row r="383" spans="1:10">
      <c r="A383" s="64"/>
    </row>
    <row r="384" spans="1:10">
      <c r="A384" s="64"/>
    </row>
    <row r="385" spans="1:1">
      <c r="A385" s="64"/>
    </row>
    <row r="386" spans="1:1">
      <c r="A386" s="64"/>
    </row>
    <row r="387" spans="1:1">
      <c r="A387" s="64"/>
    </row>
    <row r="388" spans="1:1">
      <c r="A388" s="64"/>
    </row>
    <row r="389" spans="1:1">
      <c r="A389" s="64"/>
    </row>
    <row r="390" spans="1:1">
      <c r="A390" s="64"/>
    </row>
    <row r="391" spans="1:1">
      <c r="A391" s="64"/>
    </row>
    <row r="392" spans="1:1">
      <c r="A392" s="64"/>
    </row>
    <row r="393" spans="1:1">
      <c r="A393" s="64"/>
    </row>
    <row r="394" spans="1:1">
      <c r="A394" s="64"/>
    </row>
    <row r="395" spans="1:1">
      <c r="A395" s="64"/>
    </row>
    <row r="396" spans="1:1">
      <c r="A396" s="64"/>
    </row>
    <row r="397" spans="1:1">
      <c r="A397" s="64"/>
    </row>
    <row r="398" spans="1:1">
      <c r="A398" s="64"/>
    </row>
    <row r="399" spans="1:1">
      <c r="A399" s="64"/>
    </row>
    <row r="400" spans="1:1">
      <c r="A400" s="64"/>
    </row>
    <row r="401" spans="1:1">
      <c r="A401" s="64"/>
    </row>
    <row r="402" spans="1:1">
      <c r="A402" s="64"/>
    </row>
    <row r="403" spans="1:1">
      <c r="A403" s="64"/>
    </row>
    <row r="404" spans="1:1">
      <c r="A404" s="64"/>
    </row>
    <row r="405" spans="1:1">
      <c r="A405" s="64"/>
    </row>
    <row r="406" spans="1:1">
      <c r="A406" s="64"/>
    </row>
    <row r="407" spans="1:1">
      <c r="A407" s="64"/>
    </row>
    <row r="408" spans="1:1">
      <c r="A408" s="64"/>
    </row>
    <row r="409" spans="1:1">
      <c r="A409" s="64"/>
    </row>
    <row r="410" spans="1:1">
      <c r="A410" s="64"/>
    </row>
    <row r="411" spans="1:1">
      <c r="A411" s="64"/>
    </row>
    <row r="412" spans="1:1">
      <c r="A412" s="64"/>
    </row>
    <row r="413" spans="1:1">
      <c r="A413" s="64"/>
    </row>
    <row r="414" spans="1:1">
      <c r="A414" s="64"/>
    </row>
    <row r="415" spans="1:1">
      <c r="A415" s="6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9"/>
  <sheetViews>
    <sheetView showGridLines="0" topLeftCell="B11" workbookViewId="0">
      <selection activeCell="B28" sqref="B28:J28"/>
    </sheetView>
  </sheetViews>
  <sheetFormatPr defaultRowHeight="15"/>
  <cols>
    <col min="1" max="1" width="49.7109375" customWidth="1"/>
    <col min="2" max="2" width="23.5703125" customWidth="1"/>
    <col min="3" max="3" width="22.28515625" customWidth="1"/>
    <col min="4" max="9" width="23.5703125" customWidth="1"/>
    <col min="10" max="10" width="23.5703125" bestFit="1" customWidth="1"/>
    <col min="11" max="11" width="27" customWidth="1"/>
  </cols>
  <sheetData>
    <row r="1" spans="1:10">
      <c r="A1" s="100" t="s">
        <v>249</v>
      </c>
      <c r="B1" s="100">
        <f>C2-B2</f>
        <v>30</v>
      </c>
      <c r="C1" s="100">
        <f t="shared" ref="C1:I1" si="0">D2-C2</f>
        <v>31</v>
      </c>
      <c r="D1" s="100">
        <f t="shared" si="0"/>
        <v>31</v>
      </c>
      <c r="E1" s="100">
        <f t="shared" si="0"/>
        <v>28</v>
      </c>
      <c r="F1" s="100">
        <f t="shared" si="0"/>
        <v>31</v>
      </c>
      <c r="G1" s="100">
        <f t="shared" si="0"/>
        <v>30</v>
      </c>
      <c r="H1" s="100">
        <f t="shared" si="0"/>
        <v>31</v>
      </c>
      <c r="I1" s="100">
        <f t="shared" si="0"/>
        <v>30</v>
      </c>
      <c r="J1" s="100">
        <v>31</v>
      </c>
    </row>
    <row r="2" spans="1:10">
      <c r="A2" s="100" t="s">
        <v>15</v>
      </c>
      <c r="B2" s="101">
        <v>44866</v>
      </c>
      <c r="C2" s="101">
        <v>44896</v>
      </c>
      <c r="D2" s="101">
        <v>44927</v>
      </c>
      <c r="E2" s="101">
        <v>44958</v>
      </c>
      <c r="F2" s="101">
        <v>44986</v>
      </c>
      <c r="G2" s="101">
        <v>45017</v>
      </c>
      <c r="H2" s="101">
        <v>45047</v>
      </c>
      <c r="I2" s="101">
        <v>45078</v>
      </c>
      <c r="J2" s="101">
        <v>45108</v>
      </c>
    </row>
    <row r="3" spans="1:10">
      <c r="A3" s="100" t="s">
        <v>17</v>
      </c>
      <c r="B3" s="102">
        <v>790000</v>
      </c>
      <c r="C3" s="102">
        <v>790000</v>
      </c>
      <c r="D3" s="102">
        <v>540000</v>
      </c>
      <c r="E3" s="102">
        <v>540000</v>
      </c>
      <c r="F3" s="102">
        <v>540000</v>
      </c>
      <c r="G3" s="102">
        <v>540000</v>
      </c>
      <c r="H3" s="102">
        <v>540000</v>
      </c>
      <c r="I3" s="102">
        <v>540000</v>
      </c>
      <c r="J3" s="102">
        <v>540000</v>
      </c>
    </row>
    <row r="4" spans="1:10">
      <c r="A4" s="100" t="s">
        <v>250</v>
      </c>
      <c r="B4" s="103">
        <f>+[6]Planilha1!$C$9*32000</f>
        <v>28598.026438279649</v>
      </c>
      <c r="C4" s="103">
        <f>+[6]Planilha1!$C$9*32000</f>
        <v>28598.026438279649</v>
      </c>
      <c r="D4" s="103">
        <f>+[6]Planilha1!$C$9*40000</f>
        <v>35747.53304784956</v>
      </c>
      <c r="E4" s="103">
        <f>+[6]Planilha1!$C$9*40000</f>
        <v>35747.53304784956</v>
      </c>
      <c r="F4" s="103">
        <f>+[6]Planilha1!$C$9*40000</f>
        <v>35747.53304784956</v>
      </c>
      <c r="G4" s="103">
        <f>+[6]Planilha1!$C$9*40000</f>
        <v>35747.53304784956</v>
      </c>
      <c r="H4" s="103">
        <f>+[6]Planilha1!$C$9*40000</f>
        <v>35747.53304784956</v>
      </c>
      <c r="I4" s="103">
        <f>+[6]Planilha1!$C$9*40000</f>
        <v>35747.53304784956</v>
      </c>
      <c r="J4" s="103">
        <f>+[6]Planilha1!$C$9*40000</f>
        <v>35747.53304784956</v>
      </c>
    </row>
    <row r="5" spans="1:10">
      <c r="A5" s="100" t="s">
        <v>251</v>
      </c>
      <c r="B5" s="103">
        <f>+[6]Planilha1!$C$10*32000</f>
        <v>3401.9735617203501</v>
      </c>
      <c r="C5" s="103">
        <f>+[6]Planilha1!$C$10*32000</f>
        <v>3401.9735617203501</v>
      </c>
      <c r="D5" s="103">
        <f>+[6]Planilha1!$C$10*40000</f>
        <v>4252.4669521504375</v>
      </c>
      <c r="E5" s="103">
        <f>+[6]Planilha1!$C$10*40000</f>
        <v>4252.4669521504375</v>
      </c>
      <c r="F5" s="103">
        <f>+[6]Planilha1!$C$10*40000</f>
        <v>4252.4669521504375</v>
      </c>
      <c r="G5" s="103">
        <f>+[6]Planilha1!$C$10*40000</f>
        <v>4252.4669521504375</v>
      </c>
      <c r="H5" s="103">
        <f>+[6]Planilha1!$C$10*40000</f>
        <v>4252.4669521504375</v>
      </c>
      <c r="I5" s="103">
        <f>+[6]Planilha1!$C$10*40000</f>
        <v>4252.4669521504375</v>
      </c>
      <c r="J5" s="103">
        <f>+[6]Planilha1!$C$10*40000</f>
        <v>4252.4669521504375</v>
      </c>
    </row>
    <row r="6" spans="1:10">
      <c r="A6" s="100" t="s">
        <v>33</v>
      </c>
      <c r="B6" s="102">
        <v>750000</v>
      </c>
      <c r="C6" s="102">
        <v>750000</v>
      </c>
      <c r="D6" s="102">
        <v>1000000</v>
      </c>
      <c r="E6" s="102">
        <v>1000000</v>
      </c>
      <c r="F6" s="102">
        <v>1000000</v>
      </c>
      <c r="G6" s="102">
        <v>1000000</v>
      </c>
      <c r="H6" s="102">
        <v>1000000</v>
      </c>
      <c r="I6" s="102">
        <v>1000000</v>
      </c>
      <c r="J6" s="102">
        <v>1000000</v>
      </c>
    </row>
    <row r="7" spans="1:10">
      <c r="A7" s="104" t="s">
        <v>252</v>
      </c>
      <c r="B7" s="105">
        <f>SUM(B3:B6)</f>
        <v>1572000</v>
      </c>
      <c r="C7" s="105">
        <f t="shared" ref="C7:J7" si="1">SUM(C3:C6)</f>
        <v>1572000</v>
      </c>
      <c r="D7" s="105">
        <f t="shared" si="1"/>
        <v>1580000</v>
      </c>
      <c r="E7" s="102">
        <f t="shared" si="1"/>
        <v>1580000</v>
      </c>
      <c r="F7" s="102">
        <f t="shared" si="1"/>
        <v>1580000</v>
      </c>
      <c r="G7" s="102">
        <f t="shared" si="1"/>
        <v>1580000</v>
      </c>
      <c r="H7" s="102">
        <f t="shared" si="1"/>
        <v>1580000</v>
      </c>
      <c r="I7" s="102">
        <f t="shared" si="1"/>
        <v>1580000</v>
      </c>
      <c r="J7" s="102">
        <f t="shared" si="1"/>
        <v>1580000</v>
      </c>
    </row>
    <row r="9" spans="1:10">
      <c r="A9" s="55" t="s">
        <v>253</v>
      </c>
      <c r="B9" s="106">
        <f>+B7*B1</f>
        <v>47160000</v>
      </c>
      <c r="C9" s="106">
        <f t="shared" ref="C9:J9" si="2">+C7*C1</f>
        <v>48732000</v>
      </c>
      <c r="D9" s="106">
        <f t="shared" si="2"/>
        <v>48980000</v>
      </c>
      <c r="E9" s="106">
        <f t="shared" si="2"/>
        <v>44240000</v>
      </c>
      <c r="F9" s="106">
        <f t="shared" si="2"/>
        <v>48980000</v>
      </c>
      <c r="G9" s="106">
        <f t="shared" si="2"/>
        <v>47400000</v>
      </c>
      <c r="H9" s="106">
        <f t="shared" si="2"/>
        <v>48980000</v>
      </c>
      <c r="I9" s="106">
        <f t="shared" si="2"/>
        <v>47400000</v>
      </c>
      <c r="J9" s="106">
        <f t="shared" si="2"/>
        <v>48980000</v>
      </c>
    </row>
    <row r="11" spans="1:10" ht="28.5">
      <c r="A11" s="107" t="s">
        <v>254</v>
      </c>
      <c r="B11" s="107" t="s">
        <v>255</v>
      </c>
      <c r="C11" s="108">
        <f>SUM(B9:J9)</f>
        <v>430852000</v>
      </c>
    </row>
    <row r="13" spans="1:10" ht="28.5">
      <c r="A13" s="107" t="s">
        <v>256</v>
      </c>
      <c r="B13" s="107" t="s">
        <v>257</v>
      </c>
      <c r="C13" s="109">
        <f ca="1">+SUM('Conta Gráfica'!$C$60:$K$60)</f>
        <v>-5828325.8844524994</v>
      </c>
    </row>
    <row r="15" spans="1:10" ht="30">
      <c r="A15" s="110" t="s">
        <v>258</v>
      </c>
      <c r="B15" s="110" t="s">
        <v>259</v>
      </c>
      <c r="C15" s="111">
        <f ca="1">ROUND(C13/C11,4)</f>
        <v>-1.35E-2</v>
      </c>
    </row>
    <row r="20" spans="1:10">
      <c r="A20" s="100" t="s">
        <v>15</v>
      </c>
      <c r="B20" s="101">
        <v>44866</v>
      </c>
      <c r="C20" s="101">
        <v>44896</v>
      </c>
      <c r="D20" s="101">
        <v>44927</v>
      </c>
    </row>
    <row r="21" spans="1:10">
      <c r="A21" s="100" t="s">
        <v>17</v>
      </c>
      <c r="B21" s="102">
        <v>790000</v>
      </c>
      <c r="C21" s="102">
        <v>790000</v>
      </c>
      <c r="D21" s="102">
        <v>540000</v>
      </c>
    </row>
    <row r="22" spans="1:10">
      <c r="A22" s="100" t="s">
        <v>33</v>
      </c>
      <c r="B22" s="102">
        <v>750000</v>
      </c>
      <c r="C22" s="102">
        <v>750000</v>
      </c>
      <c r="D22" s="102">
        <v>1000000</v>
      </c>
    </row>
    <row r="23" spans="1:10">
      <c r="A23" s="100" t="s">
        <v>260</v>
      </c>
      <c r="B23" s="102">
        <v>32000</v>
      </c>
      <c r="C23" s="102">
        <v>32000</v>
      </c>
      <c r="D23" s="102">
        <v>40000</v>
      </c>
    </row>
    <row r="24" spans="1:10">
      <c r="A24" s="104" t="s">
        <v>252</v>
      </c>
      <c r="B24" s="105">
        <f t="shared" ref="B24:C24" si="3">SUM(B21:B23)</f>
        <v>1572000</v>
      </c>
      <c r="C24" s="105">
        <f t="shared" si="3"/>
        <v>1572000</v>
      </c>
      <c r="D24" s="105">
        <f>SUM(D21:D23)</f>
        <v>1580000</v>
      </c>
    </row>
    <row r="27" spans="1:10">
      <c r="A27" s="104" t="s">
        <v>286</v>
      </c>
      <c r="B27" s="115">
        <v>44866</v>
      </c>
      <c r="C27" s="115">
        <v>44896</v>
      </c>
      <c r="D27" s="115">
        <v>44927</v>
      </c>
      <c r="E27" s="115">
        <v>44958</v>
      </c>
      <c r="F27" s="115">
        <v>44986</v>
      </c>
      <c r="G27" s="115">
        <v>45017</v>
      </c>
      <c r="H27" s="115">
        <v>45047</v>
      </c>
      <c r="I27" s="115">
        <v>45078</v>
      </c>
      <c r="J27" s="115">
        <v>45108</v>
      </c>
    </row>
    <row r="28" spans="1:10">
      <c r="A28" s="104" t="s">
        <v>288</v>
      </c>
      <c r="B28" s="105">
        <f>HLOOKUP(B27,'Conta Gráfica'!3:31,29,0)</f>
        <v>50225945.735999994</v>
      </c>
      <c r="C28" s="105">
        <f>HLOOKUP(C27,'Conta Gráfica'!3:31,29,0)</f>
        <v>47635714.031482354</v>
      </c>
      <c r="D28" s="105">
        <f>HLOOKUP(D27,'Conta Gráfica'!3:31,29,0)</f>
        <v>44625467.967178933</v>
      </c>
      <c r="E28" s="105">
        <f>HLOOKUP(E27,'Conta Gráfica'!3:31,29,0)</f>
        <v>45807977.101466507</v>
      </c>
      <c r="F28" s="105">
        <f>HLOOKUP(F27,'Conta Gráfica'!3:31,29,0)</f>
        <v>50590613.600520179</v>
      </c>
      <c r="G28" s="105">
        <f>HLOOKUP(G27,'Conta Gráfica'!3:31,29,0)</f>
        <v>47035107.992234387</v>
      </c>
      <c r="H28" s="105">
        <f>HLOOKUP(H27,'Conta Gráfica'!3:31,29,0)</f>
        <v>48690985.094970107</v>
      </c>
      <c r="I28" s="105">
        <f>HLOOKUP(I27,'Conta Gráfica'!3:31,29,0)</f>
        <v>46679825.717563868</v>
      </c>
      <c r="J28" s="105">
        <f>HLOOKUP(J27,'Conta Gráfica'!3:31,29,0)</f>
        <v>47058004.159373805</v>
      </c>
    </row>
    <row r="29" spans="1:10">
      <c r="A29" s="104" t="s">
        <v>259</v>
      </c>
      <c r="B29" s="104">
        <f ca="1">+C15</f>
        <v>-1.35E-2</v>
      </c>
      <c r="C29" s="104">
        <f ca="1">+B29</f>
        <v>-1.35E-2</v>
      </c>
      <c r="D29" s="104">
        <f t="shared" ref="D29:J29" ca="1" si="4">+C29</f>
        <v>-1.35E-2</v>
      </c>
      <c r="E29" s="104">
        <f t="shared" ca="1" si="4"/>
        <v>-1.35E-2</v>
      </c>
      <c r="F29" s="104">
        <f t="shared" ca="1" si="4"/>
        <v>-1.35E-2</v>
      </c>
      <c r="G29" s="104">
        <f t="shared" ca="1" si="4"/>
        <v>-1.35E-2</v>
      </c>
      <c r="H29" s="104">
        <f t="shared" ca="1" si="4"/>
        <v>-1.35E-2</v>
      </c>
      <c r="I29" s="104">
        <f t="shared" ca="1" si="4"/>
        <v>-1.35E-2</v>
      </c>
      <c r="J29" s="104">
        <f t="shared" ca="1" si="4"/>
        <v>-1.35E-2</v>
      </c>
    </row>
    <row r="30" spans="1:10">
      <c r="A30" s="104" t="s">
        <v>287</v>
      </c>
      <c r="B30" s="116">
        <f ca="1">+B29*B28</f>
        <v>-678050.26743599994</v>
      </c>
      <c r="C30" s="116">
        <f t="shared" ref="C30:G30" ca="1" si="5">+C29*C28</f>
        <v>-643082.13942501182</v>
      </c>
      <c r="D30" s="116">
        <f t="shared" ca="1" si="5"/>
        <v>-602443.81755691557</v>
      </c>
      <c r="E30" s="116">
        <f t="shared" ca="1" si="5"/>
        <v>-618407.69086979784</v>
      </c>
      <c r="F30" s="116">
        <f t="shared" ca="1" si="5"/>
        <v>-682973.28360702237</v>
      </c>
      <c r="G30" s="116">
        <f t="shared" ca="1" si="5"/>
        <v>-634973.95789516426</v>
      </c>
      <c r="H30" s="116">
        <f ca="1">+H29*H28</f>
        <v>-657328.29878209648</v>
      </c>
      <c r="I30" s="116">
        <f t="shared" ref="I30" ca="1" si="6">+I29*I28</f>
        <v>-630177.64718711225</v>
      </c>
      <c r="J30" s="116">
        <f t="shared" ref="J30" ca="1" si="7">+J29*J28</f>
        <v>-635283.05615154631</v>
      </c>
    </row>
    <row r="31" spans="1:10">
      <c r="A31" s="117" t="s">
        <v>289</v>
      </c>
      <c r="B31" s="117">
        <f ca="1">$C$13-B30</f>
        <v>-5150275.6170164999</v>
      </c>
      <c r="C31" s="117">
        <f ca="1">B31-C30</f>
        <v>-4507193.4775914885</v>
      </c>
      <c r="D31" s="117">
        <f t="shared" ref="D31:J31" ca="1" si="8">C31-D30</f>
        <v>-3904749.6600345727</v>
      </c>
      <c r="E31" s="117">
        <f t="shared" ca="1" si="8"/>
        <v>-3286341.9691647748</v>
      </c>
      <c r="F31" s="117">
        <f t="shared" ca="1" si="8"/>
        <v>-2603368.6855577524</v>
      </c>
      <c r="G31" s="117">
        <f t="shared" ca="1" si="8"/>
        <v>-1968394.727662588</v>
      </c>
      <c r="H31" s="117">
        <f t="shared" ca="1" si="8"/>
        <v>-1311066.4288804915</v>
      </c>
      <c r="I31" s="117">
        <f t="shared" ca="1" si="8"/>
        <v>-680888.78169337928</v>
      </c>
      <c r="J31" s="117">
        <f t="shared" ca="1" si="8"/>
        <v>-45605.725541832973</v>
      </c>
    </row>
    <row r="33" spans="1:10">
      <c r="A33" s="104" t="s">
        <v>288</v>
      </c>
      <c r="B33" s="105">
        <f>+B28</f>
        <v>50225945.735999994</v>
      </c>
      <c r="C33" s="105">
        <f t="shared" ref="C33:D33" si="9">+C28</f>
        <v>47635714.031482354</v>
      </c>
      <c r="D33" s="105">
        <f t="shared" si="9"/>
        <v>44625467.967178933</v>
      </c>
      <c r="E33" s="105">
        <f t="shared" ref="E33" si="10">+E28</f>
        <v>45807977.101466507</v>
      </c>
      <c r="F33" s="105">
        <f>+F28</f>
        <v>50590613.600520179</v>
      </c>
      <c r="G33" s="105">
        <f t="shared" ref="G33:J33" si="11">+G28</f>
        <v>47035107.992234387</v>
      </c>
      <c r="H33" s="105">
        <f t="shared" si="11"/>
        <v>48690985.094970107</v>
      </c>
      <c r="I33" s="105">
        <f t="shared" si="11"/>
        <v>46679825.717563868</v>
      </c>
      <c r="J33" s="105">
        <f t="shared" si="11"/>
        <v>47058004.159373805</v>
      </c>
    </row>
    <row r="34" spans="1:10">
      <c r="A34" s="104" t="s">
        <v>319</v>
      </c>
      <c r="B34" s="105">
        <f>+B9-B33</f>
        <v>-3065945.735999994</v>
      </c>
      <c r="C34" s="105">
        <f t="shared" ref="C34" si="12">+C9-C33</f>
        <v>1096285.9685176462</v>
      </c>
      <c r="D34" s="105">
        <f>+D9-D33</f>
        <v>4354532.0328210667</v>
      </c>
      <c r="E34" s="105">
        <f>IF(E33=0,0,+E9-E33)</f>
        <v>-1567977.1014665067</v>
      </c>
      <c r="F34" s="105">
        <f>IF(F33=0,0,+F9-F33)</f>
        <v>-1610613.6005201787</v>
      </c>
      <c r="G34" s="105">
        <f t="shared" ref="G34:J34" si="13">IF(G33=0,0,+G9-G33)</f>
        <v>364892.0077656135</v>
      </c>
      <c r="H34" s="105">
        <f t="shared" si="13"/>
        <v>289014.90502989292</v>
      </c>
      <c r="I34" s="105">
        <f t="shared" si="13"/>
        <v>720174.28243613243</v>
      </c>
      <c r="J34" s="105">
        <f t="shared" si="13"/>
        <v>1921995.8406261951</v>
      </c>
    </row>
    <row r="35" spans="1:10" hidden="1">
      <c r="A35" s="104"/>
      <c r="B35" s="105"/>
      <c r="C35" s="105"/>
      <c r="D35" s="105"/>
      <c r="E35" s="105"/>
      <c r="F35" s="105"/>
      <c r="G35" s="105"/>
      <c r="H35" s="105"/>
      <c r="I35" s="105"/>
      <c r="J35" s="105"/>
    </row>
    <row r="36" spans="1:10">
      <c r="A36" s="134" t="s">
        <v>317</v>
      </c>
      <c r="B36" s="117">
        <f ca="1">+B34*B29</f>
        <v>41390.267435999922</v>
      </c>
      <c r="C36" s="117">
        <f ca="1">+C34*C29</f>
        <v>-14799.860574988223</v>
      </c>
      <c r="D36" s="117">
        <f ca="1">+D34*D29</f>
        <v>-58786.182443084399</v>
      </c>
      <c r="E36" s="117">
        <f ca="1">+E34*E29</f>
        <v>21167.69086979784</v>
      </c>
      <c r="F36" s="117">
        <f t="shared" ref="F36" ca="1" si="14">+F34*F29</f>
        <v>21743.283607022411</v>
      </c>
      <c r="G36" s="117">
        <f t="shared" ref="G36:J36" ca="1" si="15">+G34*G29</f>
        <v>-4926.0421048357821</v>
      </c>
      <c r="H36" s="117">
        <f t="shared" ca="1" si="15"/>
        <v>-3901.7012179035546</v>
      </c>
      <c r="I36" s="117">
        <f t="shared" ca="1" si="15"/>
        <v>-9722.3528128877879</v>
      </c>
      <c r="J36" s="117">
        <f t="shared" ca="1" si="15"/>
        <v>-25946.943848453633</v>
      </c>
    </row>
    <row r="38" spans="1:10">
      <c r="C38" s="133"/>
      <c r="G38" s="133"/>
    </row>
    <row r="39" spans="1:10">
      <c r="G39" s="13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0"/>
  <sheetViews>
    <sheetView showGridLines="0" topLeftCell="A11" zoomScale="80" zoomScaleNormal="80" workbookViewId="0">
      <selection activeCell="B28" sqref="B28:J28"/>
    </sheetView>
  </sheetViews>
  <sheetFormatPr defaultRowHeight="15"/>
  <cols>
    <col min="1" max="1" width="53.140625" bestFit="1" customWidth="1"/>
    <col min="2" max="4" width="23.28515625" bestFit="1" customWidth="1"/>
    <col min="5" max="7" width="16" bestFit="1" customWidth="1"/>
    <col min="8" max="8" width="27" customWidth="1"/>
  </cols>
  <sheetData>
    <row r="1" spans="1:5">
      <c r="A1" s="100" t="s">
        <v>249</v>
      </c>
      <c r="B1" s="100">
        <f t="shared" ref="B1:C1" si="0">C2-B2</f>
        <v>28</v>
      </c>
      <c r="C1" s="100">
        <f t="shared" si="0"/>
        <v>31</v>
      </c>
      <c r="D1" s="100">
        <v>30</v>
      </c>
    </row>
    <row r="2" spans="1:5">
      <c r="A2" s="100" t="s">
        <v>15</v>
      </c>
      <c r="B2" s="101">
        <v>44958</v>
      </c>
      <c r="C2" s="101">
        <v>44986</v>
      </c>
      <c r="D2" s="101">
        <v>45017</v>
      </c>
    </row>
    <row r="3" spans="1:5">
      <c r="A3" s="100" t="s">
        <v>17</v>
      </c>
      <c r="B3" s="102">
        <v>540000</v>
      </c>
      <c r="C3" s="102">
        <v>540000</v>
      </c>
      <c r="D3" s="102">
        <v>540000</v>
      </c>
    </row>
    <row r="4" spans="1:5">
      <c r="A4" s="100" t="s">
        <v>250</v>
      </c>
      <c r="B4" s="103">
        <f>+[6]Planilha1!$C$9*40000</f>
        <v>35747.53304784956</v>
      </c>
      <c r="C4" s="103">
        <f>+[6]Planilha1!$C$9*40000</f>
        <v>35747.53304784956</v>
      </c>
      <c r="D4" s="103">
        <f>+[6]Planilha1!$C$9*40000</f>
        <v>35747.53304784956</v>
      </c>
    </row>
    <row r="5" spans="1:5">
      <c r="A5" s="100" t="s">
        <v>251</v>
      </c>
      <c r="B5" s="103">
        <f>+[6]Planilha1!$C$10*40000</f>
        <v>4252.4669521504375</v>
      </c>
      <c r="C5" s="103">
        <f>+[6]Planilha1!$C$10*40000</f>
        <v>4252.4669521504375</v>
      </c>
      <c r="D5" s="103">
        <f>+[6]Planilha1!$C$10*40000</f>
        <v>4252.4669521504375</v>
      </c>
    </row>
    <row r="6" spans="1:5">
      <c r="A6" s="100" t="s">
        <v>33</v>
      </c>
      <c r="B6" s="102">
        <v>1000000</v>
      </c>
      <c r="C6" s="102">
        <v>1000000</v>
      </c>
      <c r="D6" s="102">
        <v>1000000</v>
      </c>
    </row>
    <row r="7" spans="1:5">
      <c r="A7" s="104" t="s">
        <v>252</v>
      </c>
      <c r="B7" s="102">
        <f t="shared" ref="B7:D7" si="1">SUM(B3:B6)</f>
        <v>1580000</v>
      </c>
      <c r="C7" s="102">
        <f t="shared" si="1"/>
        <v>1580000</v>
      </c>
      <c r="D7" s="102">
        <f t="shared" si="1"/>
        <v>1580000</v>
      </c>
    </row>
    <row r="9" spans="1:5">
      <c r="A9" s="55" t="s">
        <v>253</v>
      </c>
      <c r="B9" s="106">
        <f>+B7*B1</f>
        <v>44240000</v>
      </c>
      <c r="C9" s="106">
        <f>+C7*C1</f>
        <v>48980000</v>
      </c>
      <c r="D9" s="106">
        <f>+D7*D1</f>
        <v>47400000</v>
      </c>
    </row>
    <row r="11" spans="1:5" ht="28.5">
      <c r="A11" s="107" t="s">
        <v>254</v>
      </c>
      <c r="B11" s="107" t="s">
        <v>320</v>
      </c>
      <c r="C11" s="108">
        <f>SUM(B9:D9)</f>
        <v>140620000</v>
      </c>
    </row>
    <row r="13" spans="1:5" ht="28.5">
      <c r="A13" s="107" t="s">
        <v>256</v>
      </c>
      <c r="B13" s="107" t="s">
        <v>257</v>
      </c>
      <c r="C13" s="109">
        <f ca="1">SUM('Conta Gráfica'!L65:N65)+A40</f>
        <v>2504449.003380416</v>
      </c>
    </row>
    <row r="15" spans="1:5" ht="30">
      <c r="A15" s="110" t="s">
        <v>258</v>
      </c>
      <c r="B15" s="110" t="s">
        <v>259</v>
      </c>
      <c r="C15" s="111">
        <f ca="1">ROUND(C13/C11,4)</f>
        <v>1.78E-2</v>
      </c>
      <c r="E15" s="174"/>
    </row>
    <row r="20" spans="1:5">
      <c r="A20" s="100" t="s">
        <v>15</v>
      </c>
      <c r="B20" s="101">
        <f>B2</f>
        <v>44958</v>
      </c>
      <c r="C20" s="101">
        <f t="shared" ref="C20:D20" si="2">C2</f>
        <v>44986</v>
      </c>
      <c r="D20" s="101">
        <f t="shared" si="2"/>
        <v>45017</v>
      </c>
    </row>
    <row r="21" spans="1:5">
      <c r="A21" s="100" t="s">
        <v>17</v>
      </c>
      <c r="B21" s="102">
        <v>540000</v>
      </c>
      <c r="C21" s="102">
        <v>540000</v>
      </c>
      <c r="D21" s="102">
        <v>540000</v>
      </c>
    </row>
    <row r="22" spans="1:5">
      <c r="A22" s="100" t="s">
        <v>33</v>
      </c>
      <c r="B22" s="102">
        <v>1000000</v>
      </c>
      <c r="C22" s="102">
        <v>1000000</v>
      </c>
      <c r="D22" s="102">
        <v>1000000</v>
      </c>
    </row>
    <row r="23" spans="1:5">
      <c r="A23" s="100" t="s">
        <v>260</v>
      </c>
      <c r="B23" s="102">
        <v>40000</v>
      </c>
      <c r="C23" s="102">
        <v>40000</v>
      </c>
      <c r="D23" s="102">
        <v>40000</v>
      </c>
    </row>
    <row r="24" spans="1:5">
      <c r="A24" s="104" t="s">
        <v>252</v>
      </c>
      <c r="B24" s="105">
        <f>SUM(B21:B23)</f>
        <v>1580000</v>
      </c>
      <c r="C24" s="105">
        <f t="shared" ref="C24" si="3">SUM(C21:C23)</f>
        <v>1580000</v>
      </c>
      <c r="D24" s="105">
        <f>SUM(D21:D23)</f>
        <v>1580000</v>
      </c>
    </row>
    <row r="27" spans="1:5">
      <c r="A27" s="104" t="s">
        <v>286</v>
      </c>
      <c r="B27" s="115">
        <v>44958</v>
      </c>
      <c r="C27" s="115">
        <v>44986</v>
      </c>
      <c r="D27" s="115">
        <v>45017</v>
      </c>
    </row>
    <row r="28" spans="1:5">
      <c r="A28" s="104" t="s">
        <v>288</v>
      </c>
      <c r="B28" s="105">
        <f>HLOOKUP(B27,'Conta Gráfica'!3:31,29,0)</f>
        <v>45807977.101466507</v>
      </c>
      <c r="C28" s="105">
        <f>HLOOKUP(C27,'Conta Gráfica'!3:31,29,0)</f>
        <v>50590613.600520179</v>
      </c>
      <c r="D28" s="105">
        <f>HLOOKUP(D27,'Conta Gráfica'!3:31,29,0)</f>
        <v>47035107.992234387</v>
      </c>
    </row>
    <row r="29" spans="1:5">
      <c r="A29" s="104" t="s">
        <v>259</v>
      </c>
      <c r="B29" s="104">
        <f ca="1">+C15</f>
        <v>1.78E-2</v>
      </c>
      <c r="C29" s="104">
        <f ca="1">+B29</f>
        <v>1.78E-2</v>
      </c>
      <c r="D29" s="104">
        <f t="shared" ref="D29" ca="1" si="4">+C29</f>
        <v>1.78E-2</v>
      </c>
    </row>
    <row r="30" spans="1:5">
      <c r="A30" s="104" t="s">
        <v>287</v>
      </c>
      <c r="B30" s="116">
        <f ca="1">+B29*B28</f>
        <v>815381.99240610376</v>
      </c>
      <c r="C30" s="116">
        <f t="shared" ref="C30:D30" ca="1" si="5">+C29*C28</f>
        <v>900512.92208925914</v>
      </c>
      <c r="D30" s="116">
        <f t="shared" ca="1" si="5"/>
        <v>837224.9222617721</v>
      </c>
    </row>
    <row r="31" spans="1:5">
      <c r="A31" s="117" t="s">
        <v>289</v>
      </c>
      <c r="B31" s="117">
        <f ca="1">C13-B30</f>
        <v>1689067.0109743122</v>
      </c>
      <c r="C31" s="117">
        <f ca="1">B31-C30</f>
        <v>788554.08888505306</v>
      </c>
      <c r="D31" s="117">
        <f t="shared" ref="D31" ca="1" si="6">C31-D30</f>
        <v>-48670.833376719034</v>
      </c>
      <c r="E31" t="s">
        <v>381</v>
      </c>
    </row>
    <row r="33" spans="1:4">
      <c r="A33" s="104" t="s">
        <v>288</v>
      </c>
      <c r="B33" s="105">
        <f>+B28</f>
        <v>45807977.101466507</v>
      </c>
      <c r="C33" s="105">
        <f t="shared" ref="C33:D33" si="7">+C28</f>
        <v>50590613.600520179</v>
      </c>
      <c r="D33" s="105">
        <f t="shared" si="7"/>
        <v>47035107.992234387</v>
      </c>
    </row>
    <row r="34" spans="1:4">
      <c r="A34" s="104" t="s">
        <v>319</v>
      </c>
      <c r="B34" s="105">
        <f>+IF(B33=0,0,B9-B33)</f>
        <v>-1567977.1014665067</v>
      </c>
      <c r="C34" s="105">
        <f t="shared" ref="C34:D34" si="8">+IF(C33=0,0,C9-C33)</f>
        <v>-1610613.6005201787</v>
      </c>
      <c r="D34" s="105">
        <f t="shared" si="8"/>
        <v>364892.0077656135</v>
      </c>
    </row>
    <row r="35" spans="1:4">
      <c r="A35" s="104"/>
      <c r="B35" s="105"/>
      <c r="C35" s="105"/>
      <c r="D35" s="105"/>
    </row>
    <row r="36" spans="1:4">
      <c r="A36" s="134" t="s">
        <v>317</v>
      </c>
      <c r="B36" s="117">
        <f ca="1">+B34*B29</f>
        <v>-27909.992406103818</v>
      </c>
      <c r="C36" s="117">
        <f ca="1">+C34*C29</f>
        <v>-28668.92208925918</v>
      </c>
      <c r="D36" s="117">
        <f ca="1">+D34*D29</f>
        <v>6495.0777382279202</v>
      </c>
    </row>
    <row r="39" spans="1:4">
      <c r="A39" s="135" t="s">
        <v>318</v>
      </c>
    </row>
    <row r="40" spans="1:4">
      <c r="A40" s="117">
        <f ca="1">+'Conta Gráfica jan a set22'!B36+'Conta Gráfica jan a set22'!C36</f>
        <v>26590.406861011699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69D8-24B4-4BEC-A19C-13BBBDE74B04}">
  <dimension ref="A1:E40"/>
  <sheetViews>
    <sheetView showGridLines="0" topLeftCell="A21" workbookViewId="0">
      <selection activeCell="B28" sqref="B28:J28"/>
    </sheetView>
  </sheetViews>
  <sheetFormatPr defaultRowHeight="15"/>
  <cols>
    <col min="1" max="1" width="53.140625" bestFit="1" customWidth="1"/>
    <col min="2" max="4" width="23.28515625" bestFit="1" customWidth="1"/>
    <col min="5" max="7" width="16" bestFit="1" customWidth="1"/>
    <col min="8" max="8" width="27" customWidth="1"/>
  </cols>
  <sheetData>
    <row r="1" spans="1:5">
      <c r="A1" s="100" t="s">
        <v>249</v>
      </c>
      <c r="B1" s="100">
        <f t="shared" ref="B1:C1" si="0">C2-B2</f>
        <v>28</v>
      </c>
      <c r="C1" s="100">
        <f t="shared" si="0"/>
        <v>31</v>
      </c>
      <c r="D1" s="100">
        <v>30</v>
      </c>
    </row>
    <row r="2" spans="1:5">
      <c r="A2" s="100" t="s">
        <v>15</v>
      </c>
      <c r="B2" s="101">
        <v>44958</v>
      </c>
      <c r="C2" s="101">
        <v>44986</v>
      </c>
      <c r="D2" s="101">
        <v>45017</v>
      </c>
    </row>
    <row r="3" spans="1:5">
      <c r="A3" s="100" t="s">
        <v>17</v>
      </c>
      <c r="B3" s="102">
        <v>540000</v>
      </c>
      <c r="C3" s="102">
        <v>540000</v>
      </c>
      <c r="D3" s="102">
        <v>540000</v>
      </c>
    </row>
    <row r="4" spans="1:5">
      <c r="A4" s="100" t="s">
        <v>250</v>
      </c>
      <c r="B4" s="103">
        <f>+[6]Planilha1!$C$9*40000</f>
        <v>35747.53304784956</v>
      </c>
      <c r="C4" s="103">
        <f>+[6]Planilha1!$C$9*40000</f>
        <v>35747.53304784956</v>
      </c>
      <c r="D4" s="103">
        <f>+[6]Planilha1!$C$9*40000</f>
        <v>35747.53304784956</v>
      </c>
    </row>
    <row r="5" spans="1:5">
      <c r="A5" s="100" t="s">
        <v>251</v>
      </c>
      <c r="B5" s="103">
        <f>+[6]Planilha1!$C$10*40000</f>
        <v>4252.4669521504375</v>
      </c>
      <c r="C5" s="103">
        <f>+[6]Planilha1!$C$10*40000</f>
        <v>4252.4669521504375</v>
      </c>
      <c r="D5" s="103">
        <f>+[6]Planilha1!$C$10*40000</f>
        <v>4252.4669521504375</v>
      </c>
    </row>
    <row r="6" spans="1:5">
      <c r="A6" s="100" t="s">
        <v>33</v>
      </c>
      <c r="B6" s="102">
        <v>1000000</v>
      </c>
      <c r="C6" s="102">
        <v>1000000</v>
      </c>
      <c r="D6" s="102">
        <v>1000000</v>
      </c>
    </row>
    <row r="7" spans="1:5">
      <c r="A7" s="104" t="s">
        <v>252</v>
      </c>
      <c r="B7" s="102">
        <f t="shared" ref="B7:D7" si="1">SUM(B3:B6)</f>
        <v>1580000</v>
      </c>
      <c r="C7" s="102">
        <f t="shared" si="1"/>
        <v>1580000</v>
      </c>
      <c r="D7" s="102">
        <f t="shared" si="1"/>
        <v>1580000</v>
      </c>
    </row>
    <row r="9" spans="1:5">
      <c r="A9" s="55" t="s">
        <v>253</v>
      </c>
      <c r="B9" s="106">
        <f>+B7*B1</f>
        <v>44240000</v>
      </c>
      <c r="C9" s="106">
        <f>+C7*C1</f>
        <v>48980000</v>
      </c>
      <c r="D9" s="106">
        <f>+D7*D1</f>
        <v>47400000</v>
      </c>
    </row>
    <row r="11" spans="1:5" ht="28.5">
      <c r="A11" s="107" t="s">
        <v>254</v>
      </c>
      <c r="B11" s="107" t="s">
        <v>320</v>
      </c>
      <c r="C11" s="108">
        <f>SUM(B9:D9)</f>
        <v>140620000</v>
      </c>
    </row>
    <row r="13" spans="1:5" ht="28.5">
      <c r="A13" s="107" t="s">
        <v>256</v>
      </c>
      <c r="B13" s="107" t="s">
        <v>257</v>
      </c>
      <c r="C13" s="109">
        <f ca="1">SUM('Conta Gráfica PMPV'!L53:N53)+A40</f>
        <v>1181239.7385526046</v>
      </c>
    </row>
    <row r="15" spans="1:5" ht="30">
      <c r="A15" s="110" t="s">
        <v>258</v>
      </c>
      <c r="B15" s="110" t="s">
        <v>259</v>
      </c>
      <c r="C15" s="111">
        <f ca="1">ROUND(C13/C11,4)</f>
        <v>8.3999999999999995E-3</v>
      </c>
      <c r="E15" s="174"/>
    </row>
    <row r="20" spans="1:4">
      <c r="A20" s="100" t="s">
        <v>15</v>
      </c>
      <c r="B20" s="101">
        <f>B2</f>
        <v>44958</v>
      </c>
      <c r="C20" s="101">
        <f t="shared" ref="C20:D20" si="2">C2</f>
        <v>44986</v>
      </c>
      <c r="D20" s="101">
        <f t="shared" si="2"/>
        <v>45017</v>
      </c>
    </row>
    <row r="21" spans="1:4">
      <c r="A21" s="100" t="s">
        <v>17</v>
      </c>
      <c r="B21" s="102">
        <v>540000</v>
      </c>
      <c r="C21" s="102">
        <v>540000</v>
      </c>
      <c r="D21" s="102">
        <v>540000</v>
      </c>
    </row>
    <row r="22" spans="1:4">
      <c r="A22" s="100" t="s">
        <v>33</v>
      </c>
      <c r="B22" s="102">
        <v>1000000</v>
      </c>
      <c r="C22" s="102">
        <v>1000000</v>
      </c>
      <c r="D22" s="102">
        <v>1000000</v>
      </c>
    </row>
    <row r="23" spans="1:4">
      <c r="A23" s="100" t="s">
        <v>260</v>
      </c>
      <c r="B23" s="102">
        <v>40000</v>
      </c>
      <c r="C23" s="102">
        <v>40000</v>
      </c>
      <c r="D23" s="102">
        <v>40000</v>
      </c>
    </row>
    <row r="24" spans="1:4">
      <c r="A24" s="104" t="s">
        <v>252</v>
      </c>
      <c r="B24" s="105">
        <f>SUM(B21:B23)</f>
        <v>1580000</v>
      </c>
      <c r="C24" s="105">
        <f t="shared" ref="C24" si="3">SUM(C21:C23)</f>
        <v>1580000</v>
      </c>
      <c r="D24" s="105">
        <f>SUM(D21:D23)</f>
        <v>1580000</v>
      </c>
    </row>
    <row r="27" spans="1:4">
      <c r="A27" s="104" t="s">
        <v>286</v>
      </c>
      <c r="B27" s="115">
        <v>44958</v>
      </c>
      <c r="C27" s="115">
        <v>44986</v>
      </c>
      <c r="D27" s="115">
        <v>45017</v>
      </c>
    </row>
    <row r="28" spans="1:4">
      <c r="A28" s="104" t="s">
        <v>288</v>
      </c>
      <c r="B28" s="105">
        <f>HLOOKUP(B27,'Conta Gráfica'!3:31,29,0)</f>
        <v>45807977.101466507</v>
      </c>
      <c r="C28" s="105">
        <f>HLOOKUP(C27,'Conta Gráfica'!3:31,29,0)</f>
        <v>50590613.600520179</v>
      </c>
      <c r="D28" s="105">
        <f>HLOOKUP(D27,'Conta Gráfica'!3:31,29,0)</f>
        <v>47035107.992234387</v>
      </c>
    </row>
    <row r="29" spans="1:4">
      <c r="A29" s="104" t="s">
        <v>259</v>
      </c>
      <c r="B29" s="104">
        <f ca="1">+C15</f>
        <v>8.3999999999999995E-3</v>
      </c>
      <c r="C29" s="104">
        <f ca="1">+B29</f>
        <v>8.3999999999999995E-3</v>
      </c>
      <c r="D29" s="104">
        <f t="shared" ref="D29" ca="1" si="4">+C29</f>
        <v>8.3999999999999995E-3</v>
      </c>
    </row>
    <row r="30" spans="1:4">
      <c r="A30" s="104" t="s">
        <v>287</v>
      </c>
      <c r="B30" s="116">
        <f ca="1">+B29*B28</f>
        <v>384787.00765231863</v>
      </c>
      <c r="C30" s="116">
        <f t="shared" ref="C30:D30" ca="1" si="5">+C29*C28</f>
        <v>424961.15424436948</v>
      </c>
      <c r="D30" s="116">
        <f t="shared" ca="1" si="5"/>
        <v>395094.90713476884</v>
      </c>
    </row>
    <row r="31" spans="1:4">
      <c r="A31" s="117" t="s">
        <v>289</v>
      </c>
      <c r="B31" s="117">
        <f ca="1">C13-B30</f>
        <v>796452.730900286</v>
      </c>
      <c r="C31" s="117">
        <f ca="1">B31-C30</f>
        <v>371491.57665591652</v>
      </c>
      <c r="D31" s="117">
        <f t="shared" ref="D31" ca="1" si="6">C31-D30</f>
        <v>-23603.330478852324</v>
      </c>
    </row>
    <row r="33" spans="1:4">
      <c r="A33" s="104" t="s">
        <v>288</v>
      </c>
      <c r="B33" s="105">
        <f>+B28</f>
        <v>45807977.101466507</v>
      </c>
      <c r="C33" s="105">
        <f t="shared" ref="C33:D33" si="7">+C28</f>
        <v>50590613.600520179</v>
      </c>
      <c r="D33" s="105">
        <f t="shared" si="7"/>
        <v>47035107.992234387</v>
      </c>
    </row>
    <row r="34" spans="1:4">
      <c r="A34" s="104" t="s">
        <v>319</v>
      </c>
      <c r="B34" s="105">
        <f>+IF(B33=0,0,B9-B33)</f>
        <v>-1567977.1014665067</v>
      </c>
      <c r="C34" s="105">
        <f t="shared" ref="C34:D34" si="8">+IF(C33=0,0,C9-C33)</f>
        <v>-1610613.6005201787</v>
      </c>
      <c r="D34" s="105">
        <f t="shared" si="8"/>
        <v>364892.0077656135</v>
      </c>
    </row>
    <row r="35" spans="1:4">
      <c r="A35" s="104"/>
      <c r="B35" s="105"/>
      <c r="C35" s="105"/>
      <c r="D35" s="105"/>
    </row>
    <row r="36" spans="1:4">
      <c r="A36" s="134" t="s">
        <v>317</v>
      </c>
      <c r="B36" s="117">
        <f ca="1">+B34*B29</f>
        <v>-13171.007652318656</v>
      </c>
      <c r="C36" s="117">
        <f ca="1">+C34*C29</f>
        <v>-13529.1542443695</v>
      </c>
      <c r="D36" s="117">
        <f ca="1">+D34*D29</f>
        <v>3065.0928652311532</v>
      </c>
    </row>
    <row r="39" spans="1:4">
      <c r="A39" s="135" t="s">
        <v>318</v>
      </c>
    </row>
    <row r="40" spans="1:4">
      <c r="A40" s="117">
        <f ca="1">+'Conta Gráfica jan a set22'!B36+'Conta Gráfica jan a set22'!C36</f>
        <v>26590.406861011699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8BC9-49BB-4B89-9FD9-7CD4CE2E14C7}">
  <dimension ref="A1:H52"/>
  <sheetViews>
    <sheetView showGridLines="0" zoomScale="80" zoomScaleNormal="80" workbookViewId="0">
      <selection activeCell="B28" sqref="B28:J28"/>
    </sheetView>
  </sheetViews>
  <sheetFormatPr defaultRowHeight="15"/>
  <cols>
    <col min="1" max="1" width="57.85546875" customWidth="1"/>
    <col min="2" max="3" width="26.28515625" customWidth="1"/>
    <col min="4" max="4" width="26.28515625" bestFit="1" customWidth="1"/>
    <col min="5" max="7" width="16" bestFit="1" customWidth="1"/>
    <col min="8" max="8" width="27" customWidth="1"/>
  </cols>
  <sheetData>
    <row r="1" spans="1:8">
      <c r="A1" s="100" t="s">
        <v>249</v>
      </c>
      <c r="B1" s="100">
        <f t="shared" ref="B1:C1" si="0">C2-B2</f>
        <v>31</v>
      </c>
      <c r="C1" s="100">
        <f t="shared" si="0"/>
        <v>30</v>
      </c>
      <c r="D1" s="100">
        <v>31</v>
      </c>
    </row>
    <row r="2" spans="1:8">
      <c r="A2" s="100" t="s">
        <v>15</v>
      </c>
      <c r="B2" s="101">
        <v>45047</v>
      </c>
      <c r="C2" s="101">
        <v>45078</v>
      </c>
      <c r="D2" s="101">
        <v>45108</v>
      </c>
    </row>
    <row r="3" spans="1:8">
      <c r="A3" s="100" t="s">
        <v>17</v>
      </c>
      <c r="B3" s="102">
        <v>540000</v>
      </c>
      <c r="C3" s="102">
        <v>540000</v>
      </c>
      <c r="D3" s="102">
        <v>540000</v>
      </c>
    </row>
    <row r="4" spans="1:8">
      <c r="A4" s="100" t="s">
        <v>250</v>
      </c>
      <c r="B4" s="103">
        <f>+[6]Planilha1!$C$9*40000</f>
        <v>35747.53304784956</v>
      </c>
      <c r="C4" s="103">
        <f>+[6]Planilha1!$C$9*40000</f>
        <v>35747.53304784956</v>
      </c>
      <c r="D4" s="103">
        <f>+[6]Planilha1!$C$9*40000</f>
        <v>35747.53304784956</v>
      </c>
    </row>
    <row r="5" spans="1:8">
      <c r="A5" s="100" t="s">
        <v>251</v>
      </c>
      <c r="B5" s="103">
        <f>+[6]Planilha1!$C$10*40000</f>
        <v>4252.4669521504375</v>
      </c>
      <c r="C5" s="103">
        <f>+[6]Planilha1!$C$10*40000</f>
        <v>4252.4669521504375</v>
      </c>
      <c r="D5" s="103">
        <f>+[6]Planilha1!$C$10*40000</f>
        <v>4252.4669521504375</v>
      </c>
    </row>
    <row r="6" spans="1:8">
      <c r="A6" s="100" t="s">
        <v>33</v>
      </c>
      <c r="B6" s="102">
        <v>1000000</v>
      </c>
      <c r="C6" s="102">
        <v>1000000</v>
      </c>
      <c r="D6" s="102">
        <v>1000000</v>
      </c>
    </row>
    <row r="7" spans="1:8">
      <c r="A7" s="104" t="s">
        <v>252</v>
      </c>
      <c r="B7" s="102">
        <f t="shared" ref="B7:D7" si="1">SUM(B3:B6)</f>
        <v>1580000</v>
      </c>
      <c r="C7" s="102">
        <f t="shared" si="1"/>
        <v>1580000</v>
      </c>
      <c r="D7" s="102">
        <f t="shared" si="1"/>
        <v>1580000</v>
      </c>
    </row>
    <row r="9" spans="1:8">
      <c r="A9" s="55" t="s">
        <v>253</v>
      </c>
      <c r="B9" s="106">
        <f>+B7*B1</f>
        <v>48980000</v>
      </c>
      <c r="C9" s="106">
        <f>+C7*C1</f>
        <v>47400000</v>
      </c>
      <c r="D9" s="106">
        <f>+D7*D1</f>
        <v>48980000</v>
      </c>
    </row>
    <row r="11" spans="1:8" ht="28.5">
      <c r="A11" s="107" t="s">
        <v>254</v>
      </c>
      <c r="B11" s="107" t="s">
        <v>320</v>
      </c>
      <c r="C11" s="108">
        <f>SUM(B9:D9)</f>
        <v>145360000</v>
      </c>
      <c r="D11" s="182"/>
      <c r="E11" s="182"/>
      <c r="F11" s="182"/>
      <c r="G11" s="182"/>
      <c r="H11" s="183"/>
    </row>
    <row r="13" spans="1:8" ht="28.5">
      <c r="A13" s="107" t="s">
        <v>256</v>
      </c>
      <c r="B13" s="107" t="s">
        <v>257</v>
      </c>
      <c r="C13" s="109">
        <f ca="1">'Conta Gráfica PMPV'!O62+A41+A44+A47</f>
        <v>-15637551.261887951</v>
      </c>
    </row>
    <row r="15" spans="1:8" ht="30">
      <c r="A15" s="110" t="s">
        <v>258</v>
      </c>
      <c r="B15" s="110" t="s">
        <v>259</v>
      </c>
      <c r="C15" s="111">
        <f ca="1">ROUND(C13/C11,4)</f>
        <v>-0.1076</v>
      </c>
    </row>
    <row r="20" spans="1:4">
      <c r="A20" s="100" t="s">
        <v>15</v>
      </c>
      <c r="B20" s="101">
        <f>B2</f>
        <v>45047</v>
      </c>
      <c r="C20" s="101">
        <f t="shared" ref="C20:D20" si="2">C2</f>
        <v>45078</v>
      </c>
      <c r="D20" s="101">
        <f t="shared" si="2"/>
        <v>45108</v>
      </c>
    </row>
    <row r="21" spans="1:4">
      <c r="A21" s="100" t="s">
        <v>17</v>
      </c>
      <c r="B21" s="102">
        <v>540000</v>
      </c>
      <c r="C21" s="102">
        <v>540000</v>
      </c>
      <c r="D21" s="102">
        <v>540000</v>
      </c>
    </row>
    <row r="22" spans="1:4">
      <c r="A22" s="100" t="s">
        <v>33</v>
      </c>
      <c r="B22" s="102">
        <v>1000000</v>
      </c>
      <c r="C22" s="102">
        <v>1000000</v>
      </c>
      <c r="D22" s="102">
        <v>1000000</v>
      </c>
    </row>
    <row r="23" spans="1:4">
      <c r="A23" s="100" t="s">
        <v>260</v>
      </c>
      <c r="B23" s="102">
        <v>40000</v>
      </c>
      <c r="C23" s="102">
        <v>40000</v>
      </c>
      <c r="D23" s="102">
        <v>40000</v>
      </c>
    </row>
    <row r="24" spans="1:4">
      <c r="A24" s="104" t="s">
        <v>252</v>
      </c>
      <c r="B24" s="105">
        <f>SUM(B21:B23)</f>
        <v>1580000</v>
      </c>
      <c r="C24" s="105">
        <f t="shared" ref="C24" si="3">SUM(C21:C23)</f>
        <v>1580000</v>
      </c>
      <c r="D24" s="105">
        <f>SUM(D21:D23)</f>
        <v>1580000</v>
      </c>
    </row>
    <row r="27" spans="1:4">
      <c r="A27" s="104" t="s">
        <v>286</v>
      </c>
      <c r="B27" s="115">
        <f>+B2</f>
        <v>45047</v>
      </c>
      <c r="C27" s="115">
        <f t="shared" ref="C27:D27" si="4">+C2</f>
        <v>45078</v>
      </c>
      <c r="D27" s="115">
        <f t="shared" si="4"/>
        <v>45108</v>
      </c>
    </row>
    <row r="28" spans="1:4">
      <c r="A28" s="104" t="s">
        <v>288</v>
      </c>
      <c r="B28" s="105">
        <f>HLOOKUP(B27,'Conta Gráfica'!3:31,29,0)</f>
        <v>48690985.094970107</v>
      </c>
      <c r="C28" s="105">
        <f>HLOOKUP(C27,'Conta Gráfica'!3:31,29,0)</f>
        <v>46679825.717563868</v>
      </c>
      <c r="D28" s="105">
        <f>HLOOKUP(D27,'Conta Gráfica'!3:31,29,0)</f>
        <v>47058004.159373805</v>
      </c>
    </row>
    <row r="29" spans="1:4">
      <c r="A29" s="104" t="s">
        <v>259</v>
      </c>
      <c r="B29" s="169">
        <f ca="1">+C15</f>
        <v>-0.1076</v>
      </c>
      <c r="C29" s="104">
        <f ca="1">+B29</f>
        <v>-0.1076</v>
      </c>
      <c r="D29" s="104">
        <f t="shared" ref="D29" ca="1" si="5">+C29</f>
        <v>-0.1076</v>
      </c>
    </row>
    <row r="30" spans="1:4">
      <c r="A30" s="104" t="s">
        <v>287</v>
      </c>
      <c r="B30" s="116">
        <f ca="1">+B29*B28</f>
        <v>-5239149.9962187838</v>
      </c>
      <c r="C30" s="116">
        <f t="shared" ref="C30:D30" ca="1" si="6">+C29*C28</f>
        <v>-5022749.2472098721</v>
      </c>
      <c r="D30" s="116">
        <f t="shared" ca="1" si="6"/>
        <v>-5063441.2475486211</v>
      </c>
    </row>
    <row r="31" spans="1:4">
      <c r="A31" s="117" t="s">
        <v>289</v>
      </c>
      <c r="B31" s="117">
        <f ca="1">C13-B30</f>
        <v>-10398401.265669167</v>
      </c>
      <c r="C31" s="117">
        <f ca="1">B31-C30</f>
        <v>-5375652.0184592949</v>
      </c>
      <c r="D31" s="117">
        <f t="shared" ref="D31" ca="1" si="7">C31-D30</f>
        <v>-312210.77091067377</v>
      </c>
    </row>
    <row r="33" spans="1:4">
      <c r="A33" s="104" t="s">
        <v>288</v>
      </c>
      <c r="B33" s="105">
        <f>+B28</f>
        <v>48690985.094970107</v>
      </c>
      <c r="C33" s="105">
        <f t="shared" ref="C33:D33" si="8">+C28</f>
        <v>46679825.717563868</v>
      </c>
      <c r="D33" s="105">
        <f t="shared" si="8"/>
        <v>47058004.159373805</v>
      </c>
    </row>
    <row r="34" spans="1:4">
      <c r="A34" s="104" t="s">
        <v>319</v>
      </c>
      <c r="B34" s="105">
        <f>IF(B33=0,0,+B9-B33)</f>
        <v>289014.90502989292</v>
      </c>
      <c r="C34" s="105">
        <f t="shared" ref="C34:D34" si="9">IF(C33=0,0,+C9-C33)</f>
        <v>720174.28243613243</v>
      </c>
      <c r="D34" s="105">
        <f t="shared" si="9"/>
        <v>1921995.8406261951</v>
      </c>
    </row>
    <row r="35" spans="1:4">
      <c r="A35" s="104"/>
      <c r="B35" s="105"/>
      <c r="C35" s="105"/>
      <c r="D35" s="105"/>
    </row>
    <row r="36" spans="1:4">
      <c r="A36" s="134" t="s">
        <v>317</v>
      </c>
      <c r="B36" s="117">
        <f ca="1">+B34*B29</f>
        <v>-31098.003781216477</v>
      </c>
      <c r="C36" s="117">
        <f ca="1">+C34*C29</f>
        <v>-77490.752790127852</v>
      </c>
      <c r="D36" s="117">
        <f ca="1">+D34*D29</f>
        <v>-206806.75245137859</v>
      </c>
    </row>
    <row r="40" spans="1:4" ht="30">
      <c r="A40" s="170" t="s">
        <v>337</v>
      </c>
    </row>
    <row r="41" spans="1:4">
      <c r="A41" s="171">
        <f ca="1">+SUM('Conta Gráfica jan a set22'!D36:F36)</f>
        <v>-15875.207966264152</v>
      </c>
    </row>
    <row r="42" spans="1:4">
      <c r="A42" s="172"/>
    </row>
    <row r="43" spans="1:4" ht="30">
      <c r="A43" s="170" t="s">
        <v>338</v>
      </c>
    </row>
    <row r="44" spans="1:4">
      <c r="A44" s="136">
        <f ca="1">+SUM('Conta Gráfica out a dez22 PMPV'!B36:C36)</f>
        <v>-26700.161896688158</v>
      </c>
    </row>
    <row r="46" spans="1:4">
      <c r="A46" s="170" t="s">
        <v>379</v>
      </c>
    </row>
    <row r="47" spans="1:4">
      <c r="A47" s="171">
        <f ca="1">'Questionamento PMPV'!B17+'Questionamento PMPV'!C17+'Questionamento PMPV'!D17</f>
        <v>-1321828</v>
      </c>
    </row>
    <row r="52" spans="8:8">
      <c r="H52" s="18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BC32-11DA-43A6-A6F7-17BC5B517C61}">
  <dimension ref="A1:H52"/>
  <sheetViews>
    <sheetView showGridLines="0" topLeftCell="A16" zoomScale="85" zoomScaleNormal="85" workbookViewId="0">
      <selection activeCell="B28" sqref="B28:J28"/>
    </sheetView>
  </sheetViews>
  <sheetFormatPr defaultRowHeight="15"/>
  <cols>
    <col min="1" max="1" width="51.140625" customWidth="1"/>
    <col min="2" max="4" width="26.28515625" bestFit="1" customWidth="1"/>
    <col min="5" max="7" width="16" bestFit="1" customWidth="1"/>
    <col min="8" max="8" width="27" customWidth="1"/>
  </cols>
  <sheetData>
    <row r="1" spans="1:8">
      <c r="A1" s="100" t="s">
        <v>249</v>
      </c>
      <c r="B1" s="100">
        <f t="shared" ref="B1:C1" si="0">C2-B2</f>
        <v>31</v>
      </c>
      <c r="C1" s="100">
        <f t="shared" si="0"/>
        <v>30</v>
      </c>
      <c r="D1" s="100">
        <v>31</v>
      </c>
    </row>
    <row r="2" spans="1:8">
      <c r="A2" s="100" t="s">
        <v>15</v>
      </c>
      <c r="B2" s="101">
        <v>45139</v>
      </c>
      <c r="C2" s="101">
        <v>45170</v>
      </c>
      <c r="D2" s="101">
        <v>45200</v>
      </c>
    </row>
    <row r="3" spans="1:8">
      <c r="A3" s="100" t="s">
        <v>17</v>
      </c>
      <c r="B3" s="102">
        <v>540000</v>
      </c>
      <c r="C3" s="102">
        <v>540000</v>
      </c>
      <c r="D3" s="102">
        <v>540000</v>
      </c>
    </row>
    <row r="4" spans="1:8">
      <c r="A4" s="100" t="s">
        <v>250</v>
      </c>
      <c r="B4" s="103">
        <f>+[6]Planilha1!$C$9*40000</f>
        <v>35747.53304784956</v>
      </c>
      <c r="C4" s="103">
        <f>+[6]Planilha1!$C$9*40000</f>
        <v>35747.53304784956</v>
      </c>
      <c r="D4" s="103">
        <f>+[6]Planilha1!$C$9*40000</f>
        <v>35747.53304784956</v>
      </c>
    </row>
    <row r="5" spans="1:8">
      <c r="A5" s="100" t="s">
        <v>251</v>
      </c>
      <c r="B5" s="103">
        <f>+[6]Planilha1!$C$10*40000</f>
        <v>4252.4669521504375</v>
      </c>
      <c r="C5" s="103">
        <f>+[6]Planilha1!$C$10*40000</f>
        <v>4252.4669521504375</v>
      </c>
      <c r="D5" s="103">
        <f>+[6]Planilha1!$C$10*40000</f>
        <v>4252.4669521504375</v>
      </c>
    </row>
    <row r="6" spans="1:8">
      <c r="A6" s="100" t="s">
        <v>33</v>
      </c>
      <c r="B6" s="102">
        <v>1000000</v>
      </c>
      <c r="C6" s="102">
        <v>1000000</v>
      </c>
      <c r="D6" s="102">
        <v>1000000</v>
      </c>
    </row>
    <row r="7" spans="1:8">
      <c r="A7" s="104" t="s">
        <v>252</v>
      </c>
      <c r="B7" s="102">
        <f t="shared" ref="B7:D7" si="1">SUM(B3:B6)</f>
        <v>1580000</v>
      </c>
      <c r="C7" s="102">
        <f t="shared" si="1"/>
        <v>1580000</v>
      </c>
      <c r="D7" s="102">
        <f t="shared" si="1"/>
        <v>1580000</v>
      </c>
    </row>
    <row r="9" spans="1:8">
      <c r="A9" s="55" t="s">
        <v>253</v>
      </c>
      <c r="B9" s="106">
        <f>+B7*B1</f>
        <v>48980000</v>
      </c>
      <c r="C9" s="106">
        <f>+C7*C1</f>
        <v>47400000</v>
      </c>
      <c r="D9" s="106">
        <f>+D7*D1</f>
        <v>48980000</v>
      </c>
    </row>
    <row r="11" spans="1:8" ht="28.5">
      <c r="A11" s="107" t="s">
        <v>254</v>
      </c>
      <c r="B11" s="107" t="s">
        <v>320</v>
      </c>
      <c r="C11" s="108">
        <f>SUM(B9:D9)</f>
        <v>145360000</v>
      </c>
      <c r="D11" s="182"/>
      <c r="E11" s="182"/>
      <c r="F11" s="182"/>
      <c r="G11" s="182"/>
      <c r="H11" s="183"/>
    </row>
    <row r="13" spans="1:8" ht="28.5">
      <c r="A13" s="107" t="s">
        <v>256</v>
      </c>
      <c r="B13" s="107" t="s">
        <v>257</v>
      </c>
      <c r="C13" s="109">
        <f ca="1">'Conta Gráfica'!R74+A41+A44+A47</f>
        <v>-7767661.4941417398</v>
      </c>
    </row>
    <row r="15" spans="1:8" ht="30">
      <c r="A15" s="110" t="s">
        <v>258</v>
      </c>
      <c r="B15" s="110" t="s">
        <v>259</v>
      </c>
      <c r="C15" s="111">
        <f ca="1">ROUND(C13/C11,4)</f>
        <v>-5.3400000000000003E-2</v>
      </c>
    </row>
    <row r="20" spans="1:4">
      <c r="A20" s="100" t="s">
        <v>15</v>
      </c>
      <c r="B20" s="101">
        <f>B2</f>
        <v>45139</v>
      </c>
      <c r="C20" s="101">
        <f t="shared" ref="C20:D20" si="2">C2</f>
        <v>45170</v>
      </c>
      <c r="D20" s="101">
        <f t="shared" si="2"/>
        <v>45200</v>
      </c>
    </row>
    <row r="21" spans="1:4">
      <c r="A21" s="100" t="s">
        <v>17</v>
      </c>
      <c r="B21" s="102">
        <v>540000</v>
      </c>
      <c r="C21" s="102">
        <v>540000</v>
      </c>
      <c r="D21" s="102">
        <v>540000</v>
      </c>
    </row>
    <row r="22" spans="1:4">
      <c r="A22" s="100" t="s">
        <v>33</v>
      </c>
      <c r="B22" s="102">
        <v>1000000</v>
      </c>
      <c r="C22" s="102">
        <v>1000000</v>
      </c>
      <c r="D22" s="102">
        <v>1000000</v>
      </c>
    </row>
    <row r="23" spans="1:4">
      <c r="A23" s="100" t="s">
        <v>260</v>
      </c>
      <c r="B23" s="102">
        <v>40000</v>
      </c>
      <c r="C23" s="102">
        <v>40000</v>
      </c>
      <c r="D23" s="102">
        <v>40000</v>
      </c>
    </row>
    <row r="24" spans="1:4">
      <c r="A24" s="104" t="s">
        <v>252</v>
      </c>
      <c r="B24" s="105">
        <f>SUM(B21:B23)</f>
        <v>1580000</v>
      </c>
      <c r="C24" s="105">
        <f t="shared" ref="C24" si="3">SUM(C21:C23)</f>
        <v>1580000</v>
      </c>
      <c r="D24" s="105">
        <f>SUM(D21:D23)</f>
        <v>1580000</v>
      </c>
    </row>
    <row r="27" spans="1:4">
      <c r="A27" s="104" t="s">
        <v>286</v>
      </c>
      <c r="B27" s="115">
        <f>+B2</f>
        <v>45139</v>
      </c>
      <c r="C27" s="115">
        <f t="shared" ref="C27:D27" si="4">+C2</f>
        <v>45170</v>
      </c>
      <c r="D27" s="115">
        <f t="shared" si="4"/>
        <v>45200</v>
      </c>
    </row>
    <row r="28" spans="1:4">
      <c r="A28" s="104" t="s">
        <v>288</v>
      </c>
      <c r="B28" s="105">
        <f>HLOOKUP(B27,'Conta Gráfica'!3:31,29,0)</f>
        <v>46934257.504699528</v>
      </c>
      <c r="C28" s="105">
        <f>HLOOKUP(C27,'Conta Gráfica'!3:31,29,0)</f>
        <v>47974226.92729333</v>
      </c>
      <c r="D28" s="105">
        <f>HLOOKUP(D27,'Conta Gráfica'!3:31,29,0)</f>
        <v>50040227.96375072</v>
      </c>
    </row>
    <row r="29" spans="1:4">
      <c r="A29" s="104" t="s">
        <v>259</v>
      </c>
      <c r="B29" s="169">
        <f ca="1">+C15</f>
        <v>-5.3400000000000003E-2</v>
      </c>
      <c r="C29" s="104">
        <f ca="1">+B29</f>
        <v>-5.3400000000000003E-2</v>
      </c>
      <c r="D29" s="104">
        <f t="shared" ref="D29" ca="1" si="5">+C29</f>
        <v>-5.3400000000000003E-2</v>
      </c>
    </row>
    <row r="30" spans="1:4">
      <c r="A30" s="104" t="s">
        <v>287</v>
      </c>
      <c r="B30" s="116">
        <f ca="1">+B29*B28</f>
        <v>-2506289.3507509548</v>
      </c>
      <c r="C30" s="116">
        <f t="shared" ref="C30:D30" ca="1" si="6">+C29*C28</f>
        <v>-2561823.7179174642</v>
      </c>
      <c r="D30" s="116">
        <f t="shared" ca="1" si="6"/>
        <v>-2672148.1732642888</v>
      </c>
    </row>
    <row r="31" spans="1:4">
      <c r="A31" s="117" t="s">
        <v>289</v>
      </c>
      <c r="B31" s="117">
        <f ca="1">C13-B30</f>
        <v>-5261372.143390785</v>
      </c>
      <c r="C31" s="117">
        <f ca="1">B31-C30</f>
        <v>-2699548.4254733208</v>
      </c>
      <c r="D31" s="117">
        <f t="shared" ref="D31" ca="1" si="7">C31-D30</f>
        <v>-27400.252209031954</v>
      </c>
    </row>
    <row r="33" spans="1:4">
      <c r="A33" s="104" t="s">
        <v>288</v>
      </c>
      <c r="B33" s="105">
        <f>+B28</f>
        <v>46934257.504699528</v>
      </c>
      <c r="C33" s="105">
        <f t="shared" ref="C33:D33" si="8">+C28</f>
        <v>47974226.92729333</v>
      </c>
      <c r="D33" s="105">
        <f t="shared" si="8"/>
        <v>50040227.96375072</v>
      </c>
    </row>
    <row r="34" spans="1:4">
      <c r="A34" s="104" t="s">
        <v>319</v>
      </c>
      <c r="B34" s="105">
        <f>IF(B33=0,0,+B9-B33)</f>
        <v>2045742.4953004718</v>
      </c>
      <c r="C34" s="105">
        <f t="shared" ref="C34:D34" si="9">IF(C33=0,0,+C9-C33)</f>
        <v>-574226.92729333043</v>
      </c>
      <c r="D34" s="105">
        <f t="shared" si="9"/>
        <v>-1060227.96375072</v>
      </c>
    </row>
    <row r="35" spans="1:4">
      <c r="A35" s="104"/>
      <c r="B35" s="116"/>
      <c r="C35" s="116"/>
      <c r="D35" s="116"/>
    </row>
    <row r="36" spans="1:4">
      <c r="A36" s="134" t="s">
        <v>317</v>
      </c>
      <c r="B36" s="117">
        <f ca="1">+B34*B29</f>
        <v>-109242.64924904519</v>
      </c>
      <c r="C36" s="117">
        <f ca="1">+C34*C29</f>
        <v>30663.717917463848</v>
      </c>
      <c r="D36" s="117">
        <f ca="1">+D34*D29</f>
        <v>56616.173264288453</v>
      </c>
    </row>
    <row r="39" spans="1:4" ht="18" customHeight="1"/>
    <row r="40" spans="1:4" ht="30">
      <c r="A40" s="170" t="s">
        <v>399</v>
      </c>
    </row>
    <row r="41" spans="1:4">
      <c r="A41" s="171">
        <f ca="1">+SUM('Conta Gráfica jan a set22'!G36:I36)</f>
        <v>-18550.096135627125</v>
      </c>
    </row>
    <row r="42" spans="1:4">
      <c r="A42" s="172"/>
    </row>
    <row r="43" spans="1:4" ht="30">
      <c r="A43" s="170" t="s">
        <v>400</v>
      </c>
    </row>
    <row r="44" spans="1:4">
      <c r="A44" s="136">
        <f ca="1">'Conta Gráfica out a dez22 PMPV'!D36</f>
        <v>3065.0928652311532</v>
      </c>
    </row>
    <row r="46" spans="1:4" ht="30">
      <c r="A46" s="170" t="s">
        <v>401</v>
      </c>
    </row>
    <row r="47" spans="1:4">
      <c r="A47" s="171">
        <f ca="1">SUM('Conta Gráfica jan a mar23'!B36:C36)</f>
        <v>-108588.75657134433</v>
      </c>
    </row>
    <row r="52" spans="8:8">
      <c r="H52" s="18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402C-D897-4025-A2F5-6861F6FAAC8E}">
  <dimension ref="A1:H56"/>
  <sheetViews>
    <sheetView showGridLines="0" zoomScale="85" zoomScaleNormal="85" workbookViewId="0">
      <selection activeCell="B28" sqref="B28:J28"/>
    </sheetView>
  </sheetViews>
  <sheetFormatPr defaultRowHeight="15"/>
  <cols>
    <col min="1" max="1" width="57.85546875" customWidth="1"/>
    <col min="2" max="4" width="26.28515625" bestFit="1" customWidth="1"/>
    <col min="5" max="5" width="17" bestFit="1" customWidth="1"/>
    <col min="6" max="7" width="16" bestFit="1" customWidth="1"/>
    <col min="8" max="8" width="27" customWidth="1"/>
  </cols>
  <sheetData>
    <row r="1" spans="1:8">
      <c r="A1" s="100" t="s">
        <v>249</v>
      </c>
      <c r="B1" s="100">
        <f t="shared" ref="B1:C1" si="0">C2-B2</f>
        <v>30</v>
      </c>
      <c r="C1" s="100">
        <f t="shared" si="0"/>
        <v>31</v>
      </c>
      <c r="D1" s="100">
        <v>31</v>
      </c>
    </row>
    <row r="2" spans="1:8">
      <c r="A2" s="100" t="s">
        <v>15</v>
      </c>
      <c r="B2" s="101">
        <v>45231</v>
      </c>
      <c r="C2" s="101">
        <v>45261</v>
      </c>
      <c r="D2" s="101">
        <v>45292</v>
      </c>
    </row>
    <row r="3" spans="1:8">
      <c r="A3" s="100" t="s">
        <v>17</v>
      </c>
      <c r="B3" s="102">
        <v>540000</v>
      </c>
      <c r="C3" s="102">
        <v>540000</v>
      </c>
      <c r="D3" s="102">
        <v>1415000</v>
      </c>
    </row>
    <row r="4" spans="1:8">
      <c r="A4" s="100" t="s">
        <v>250</v>
      </c>
      <c r="B4" s="103">
        <f>+[6]Planilha1!$C$9*40000</f>
        <v>35747.53304784956</v>
      </c>
      <c r="C4" s="103">
        <f>+[6]Planilha1!$C$9*40000</f>
        <v>35747.53304784956</v>
      </c>
      <c r="D4" s="103">
        <f>+[6]Planilha1!$C$9*40000</f>
        <v>35747.53304784956</v>
      </c>
    </row>
    <row r="5" spans="1:8">
      <c r="A5" s="100" t="s">
        <v>251</v>
      </c>
      <c r="B5" s="103">
        <f>+[6]Planilha1!$C$10*40000</f>
        <v>4252.4669521504375</v>
      </c>
      <c r="C5" s="103">
        <f>+[6]Planilha1!$C$10*40000</f>
        <v>4252.4669521504375</v>
      </c>
      <c r="D5" s="103">
        <f>+[6]Planilha1!$C$10*40000</f>
        <v>4252.4669521504375</v>
      </c>
    </row>
    <row r="6" spans="1:8">
      <c r="A6" s="100" t="s">
        <v>33</v>
      </c>
      <c r="B6" s="102">
        <v>1000000</v>
      </c>
      <c r="C6" s="102">
        <v>1000000</v>
      </c>
      <c r="D6" s="117"/>
    </row>
    <row r="7" spans="1:8">
      <c r="A7" s="100" t="s">
        <v>440</v>
      </c>
      <c r="B7" s="102">
        <v>10000</v>
      </c>
      <c r="C7" s="102">
        <v>10000</v>
      </c>
      <c r="D7" s="102">
        <v>10000</v>
      </c>
    </row>
    <row r="8" spans="1:8">
      <c r="A8" s="100" t="s">
        <v>441</v>
      </c>
      <c r="B8" s="117"/>
      <c r="C8" s="117"/>
      <c r="D8" s="102">
        <v>150000</v>
      </c>
    </row>
    <row r="9" spans="1:8">
      <c r="A9" s="104" t="s">
        <v>252</v>
      </c>
      <c r="B9" s="102">
        <f>SUM(B3:B8)</f>
        <v>1590000</v>
      </c>
      <c r="C9" s="102">
        <f t="shared" ref="C9:D9" si="1">SUM(C3:C8)</f>
        <v>1590000</v>
      </c>
      <c r="D9" s="102">
        <f t="shared" si="1"/>
        <v>1615000</v>
      </c>
    </row>
    <row r="11" spans="1:8">
      <c r="A11" s="55" t="s">
        <v>253</v>
      </c>
      <c r="B11" s="106">
        <f>+B9*B1</f>
        <v>47700000</v>
      </c>
      <c r="C11" s="106">
        <f>+C9*C1</f>
        <v>49290000</v>
      </c>
      <c r="D11" s="106">
        <f>+D9*D1</f>
        <v>50065000</v>
      </c>
    </row>
    <row r="13" spans="1:8" ht="28.5">
      <c r="A13" s="107" t="s">
        <v>254</v>
      </c>
      <c r="B13" s="107" t="s">
        <v>320</v>
      </c>
      <c r="C13" s="108">
        <f>SUM(B11:D11)</f>
        <v>147055000</v>
      </c>
      <c r="D13" s="182"/>
      <c r="E13" s="182"/>
      <c r="F13" s="182"/>
      <c r="G13" s="182"/>
      <c r="H13" s="183"/>
    </row>
    <row r="15" spans="1:8" ht="28.5">
      <c r="A15" s="107" t="s">
        <v>256</v>
      </c>
      <c r="B15" s="107" t="s">
        <v>257</v>
      </c>
      <c r="C15" s="109">
        <f ca="1">'Conta Gráfica'!U74+A45+A48+A51</f>
        <v>20932430.408082433</v>
      </c>
    </row>
    <row r="17" spans="1:5" ht="30">
      <c r="A17" s="110" t="s">
        <v>258</v>
      </c>
      <c r="B17" s="110" t="s">
        <v>259</v>
      </c>
      <c r="C17" s="111">
        <f ca="1">ROUND(C15/C13,4)</f>
        <v>0.14230000000000001</v>
      </c>
      <c r="E17" s="133"/>
    </row>
    <row r="22" spans="1:5">
      <c r="A22" s="100" t="s">
        <v>15</v>
      </c>
      <c r="B22" s="101">
        <f>B2</f>
        <v>45231</v>
      </c>
      <c r="C22" s="101">
        <f>C2</f>
        <v>45261</v>
      </c>
      <c r="D22" s="101">
        <f>D2</f>
        <v>45292</v>
      </c>
    </row>
    <row r="23" spans="1:5">
      <c r="A23" s="100" t="s">
        <v>17</v>
      </c>
      <c r="B23" s="102">
        <v>540000</v>
      </c>
      <c r="C23" s="102">
        <v>540000</v>
      </c>
      <c r="D23" s="102">
        <v>1415000</v>
      </c>
    </row>
    <row r="24" spans="1:5">
      <c r="A24" s="100" t="s">
        <v>33</v>
      </c>
      <c r="B24" s="102">
        <v>1000000</v>
      </c>
      <c r="C24" s="102">
        <v>1000000</v>
      </c>
      <c r="D24" s="117"/>
    </row>
    <row r="25" spans="1:5">
      <c r="A25" s="100" t="s">
        <v>260</v>
      </c>
      <c r="B25" s="102">
        <v>40000</v>
      </c>
      <c r="C25" s="102">
        <v>40000</v>
      </c>
      <c r="D25" s="102">
        <v>40000</v>
      </c>
    </row>
    <row r="26" spans="1:5">
      <c r="A26" s="100" t="s">
        <v>440</v>
      </c>
      <c r="B26" s="102">
        <v>10000</v>
      </c>
      <c r="C26" s="102">
        <v>10000</v>
      </c>
      <c r="D26" s="102">
        <v>10000</v>
      </c>
    </row>
    <row r="27" spans="1:5">
      <c r="A27" s="100" t="s">
        <v>441</v>
      </c>
      <c r="B27" s="117"/>
      <c r="C27" s="117"/>
      <c r="D27" s="102">
        <v>150000</v>
      </c>
    </row>
    <row r="28" spans="1:5">
      <c r="A28" s="104" t="s">
        <v>252</v>
      </c>
      <c r="B28" s="105">
        <f>SUM(B23:B27)</f>
        <v>1590000</v>
      </c>
      <c r="C28" s="105">
        <f t="shared" ref="C28:D28" si="2">SUM(C23:C27)</f>
        <v>1590000</v>
      </c>
      <c r="D28" s="105">
        <f t="shared" si="2"/>
        <v>1615000</v>
      </c>
    </row>
    <row r="31" spans="1:5">
      <c r="A31" s="104" t="s">
        <v>286</v>
      </c>
      <c r="B31" s="115">
        <f>+B2</f>
        <v>45231</v>
      </c>
      <c r="C31" s="115">
        <f>+C2</f>
        <v>45261</v>
      </c>
      <c r="D31" s="115">
        <f>+D2</f>
        <v>45292</v>
      </c>
    </row>
    <row r="32" spans="1:5">
      <c r="A32" s="104" t="s">
        <v>288</v>
      </c>
      <c r="B32" s="105">
        <f>HLOOKUP(B31,'Conta Gráfica'!3:31,29,0)</f>
        <v>46206084.606439471</v>
      </c>
      <c r="C32" s="105">
        <f>HLOOKUP(C31,'Conta Gráfica'!3:31,29,0)</f>
        <v>46609448.798096083</v>
      </c>
      <c r="D32" s="105">
        <f>HLOOKUP(D31,'Conta Gráfica'!3:31,29,0)</f>
        <v>43492066.357703455</v>
      </c>
    </row>
    <row r="33" spans="1:4">
      <c r="A33" s="104" t="s">
        <v>259</v>
      </c>
      <c r="B33" s="169">
        <f ca="1">+C17</f>
        <v>0.14230000000000001</v>
      </c>
      <c r="C33" s="169">
        <f ca="1">+B33</f>
        <v>0.14230000000000001</v>
      </c>
      <c r="D33" s="169">
        <f t="shared" ref="D33" ca="1" si="3">+C33</f>
        <v>0.14230000000000001</v>
      </c>
    </row>
    <row r="34" spans="1:4">
      <c r="A34" s="104" t="s">
        <v>287</v>
      </c>
      <c r="B34" s="116">
        <f ca="1">+B33*B32</f>
        <v>6575125.8394963369</v>
      </c>
      <c r="C34" s="116">
        <f t="shared" ref="C34:D34" ca="1" si="4">+C33*C32</f>
        <v>6632524.5639690729</v>
      </c>
      <c r="D34" s="116">
        <f t="shared" ca="1" si="4"/>
        <v>6188921.0427012024</v>
      </c>
    </row>
    <row r="35" spans="1:4">
      <c r="A35" s="117" t="s">
        <v>289</v>
      </c>
      <c r="B35" s="117">
        <f ca="1">C15-B34</f>
        <v>14357304.568586096</v>
      </c>
      <c r="C35" s="117">
        <f ca="1">B35-C34</f>
        <v>7724780.0046170233</v>
      </c>
      <c r="D35" s="117">
        <f t="shared" ref="D35" ca="1" si="5">C35-D34</f>
        <v>1535858.9619158208</v>
      </c>
    </row>
    <row r="37" spans="1:4">
      <c r="A37" s="104" t="s">
        <v>288</v>
      </c>
      <c r="B37" s="105">
        <f>+B32</f>
        <v>46206084.606439471</v>
      </c>
      <c r="C37" s="105">
        <f t="shared" ref="C37:D37" si="6">+C32</f>
        <v>46609448.798096083</v>
      </c>
      <c r="D37" s="105">
        <f t="shared" si="6"/>
        <v>43492066.357703455</v>
      </c>
    </row>
    <row r="38" spans="1:4">
      <c r="A38" s="104" t="s">
        <v>319</v>
      </c>
      <c r="B38" s="105">
        <f>IF(B37=0,0,+B11-B37)</f>
        <v>1493915.3935605288</v>
      </c>
      <c r="C38" s="105">
        <f t="shared" ref="C38:D38" si="7">IF(C37=0,0,+C11-C37)</f>
        <v>2680551.2019039169</v>
      </c>
      <c r="D38" s="105">
        <f t="shared" si="7"/>
        <v>6572933.6422965452</v>
      </c>
    </row>
    <row r="39" spans="1:4" hidden="1">
      <c r="A39" s="104"/>
      <c r="B39" s="116"/>
      <c r="C39" s="116"/>
      <c r="D39" s="116"/>
    </row>
    <row r="40" spans="1:4">
      <c r="A40" s="134" t="s">
        <v>317</v>
      </c>
      <c r="B40" s="117">
        <f ca="1">+B38*B33</f>
        <v>212584.16050366327</v>
      </c>
      <c r="C40" s="117">
        <f ca="1">+C38*C33</f>
        <v>381442.43603092741</v>
      </c>
      <c r="D40" s="117">
        <f ca="1">+D38*D33</f>
        <v>935328.45729879849</v>
      </c>
    </row>
    <row r="43" spans="1:4" ht="18" customHeight="1"/>
    <row r="44" spans="1:4" ht="30">
      <c r="A44" s="170" t="s">
        <v>442</v>
      </c>
    </row>
    <row r="45" spans="1:4">
      <c r="A45" s="171">
        <f ca="1">+'Conta Gráfica jan a set22'!J36</f>
        <v>-25946.943848453633</v>
      </c>
    </row>
    <row r="46" spans="1:4">
      <c r="A46" s="172"/>
    </row>
    <row r="47" spans="1:4" ht="30">
      <c r="A47" s="170" t="s">
        <v>443</v>
      </c>
    </row>
    <row r="48" spans="1:4">
      <c r="A48" s="136">
        <f ca="1">+'Conta Gráfica jan a mar23'!D36</f>
        <v>-206806.75245137859</v>
      </c>
    </row>
    <row r="50" spans="1:8" ht="30">
      <c r="A50" s="170" t="s">
        <v>444</v>
      </c>
    </row>
    <row r="51" spans="1:8">
      <c r="A51" s="171">
        <f ca="1">+SUM('Conta Gráfica abr a jun23'!B36:C36)</f>
        <v>-78578.931331581349</v>
      </c>
    </row>
    <row r="56" spans="1:8">
      <c r="H56" s="184"/>
    </row>
  </sheetData>
  <phoneticPr fontId="2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A3E5-969E-4618-94C1-C21F11EB2963}">
  <dimension ref="A1:H51"/>
  <sheetViews>
    <sheetView showGridLines="0" topLeftCell="A12" zoomScale="85" zoomScaleNormal="85" workbookViewId="0">
      <selection activeCell="B30" sqref="B30:D30"/>
    </sheetView>
  </sheetViews>
  <sheetFormatPr defaultRowHeight="15"/>
  <cols>
    <col min="1" max="1" width="46.140625" customWidth="1"/>
    <col min="2" max="3" width="26.28515625" customWidth="1"/>
    <col min="4" max="4" width="26.28515625" bestFit="1" customWidth="1"/>
    <col min="5" max="5" width="17" bestFit="1" customWidth="1"/>
    <col min="6" max="7" width="16" bestFit="1" customWidth="1"/>
    <col min="8" max="8" width="27" customWidth="1"/>
  </cols>
  <sheetData>
    <row r="1" spans="1:8">
      <c r="A1" s="100" t="s">
        <v>249</v>
      </c>
      <c r="B1" s="100">
        <f t="shared" ref="B1:C1" si="0">C2-B2</f>
        <v>29</v>
      </c>
      <c r="C1" s="100">
        <f t="shared" si="0"/>
        <v>31</v>
      </c>
      <c r="D1" s="100">
        <v>30</v>
      </c>
    </row>
    <row r="2" spans="1:8">
      <c r="A2" s="100" t="s">
        <v>15</v>
      </c>
      <c r="B2" s="101">
        <v>45323</v>
      </c>
      <c r="C2" s="101">
        <v>45352</v>
      </c>
      <c r="D2" s="101">
        <v>45383</v>
      </c>
    </row>
    <row r="3" spans="1:8">
      <c r="A3" s="100" t="s">
        <v>17</v>
      </c>
      <c r="B3" s="102">
        <v>1415000</v>
      </c>
      <c r="C3" s="102">
        <v>1415000</v>
      </c>
      <c r="D3" s="102">
        <v>1415000</v>
      </c>
    </row>
    <row r="4" spans="1:8">
      <c r="A4" s="100" t="s">
        <v>250</v>
      </c>
      <c r="B4" s="103">
        <v>32984</v>
      </c>
      <c r="C4" s="103">
        <v>37000</v>
      </c>
      <c r="D4" s="103">
        <v>37000</v>
      </c>
    </row>
    <row r="5" spans="1:8">
      <c r="A5" s="100" t="s">
        <v>251</v>
      </c>
      <c r="B5" s="103">
        <v>7016</v>
      </c>
      <c r="C5" s="103">
        <v>8000</v>
      </c>
      <c r="D5" s="103">
        <v>8000</v>
      </c>
    </row>
    <row r="6" spans="1:8">
      <c r="A6" s="100" t="s">
        <v>440</v>
      </c>
      <c r="B6" s="102">
        <v>10000</v>
      </c>
      <c r="C6" s="102">
        <v>10000</v>
      </c>
      <c r="D6" s="102">
        <v>10000</v>
      </c>
    </row>
    <row r="7" spans="1:8">
      <c r="A7" s="100" t="s">
        <v>441</v>
      </c>
      <c r="B7" s="102">
        <v>150000</v>
      </c>
      <c r="C7" s="102">
        <v>150000</v>
      </c>
      <c r="D7" s="102">
        <v>150000</v>
      </c>
    </row>
    <row r="8" spans="1:8">
      <c r="A8" s="104" t="s">
        <v>252</v>
      </c>
      <c r="B8" s="102">
        <f>SUM(B3:B7)</f>
        <v>1615000</v>
      </c>
      <c r="C8" s="102">
        <f>SUM(C3:C7)</f>
        <v>1620000</v>
      </c>
      <c r="D8" s="102">
        <f>SUM(D3:D7)</f>
        <v>1620000</v>
      </c>
    </row>
    <row r="10" spans="1:8">
      <c r="A10" s="55" t="s">
        <v>253</v>
      </c>
      <c r="B10" s="106">
        <f>+B8*B1</f>
        <v>46835000</v>
      </c>
      <c r="C10" s="106">
        <f>+C8*C1</f>
        <v>50220000</v>
      </c>
      <c r="D10" s="106">
        <f>+D8*D1</f>
        <v>48600000</v>
      </c>
    </row>
    <row r="12" spans="1:8" ht="28.5">
      <c r="A12" s="107" t="s">
        <v>254</v>
      </c>
      <c r="B12" s="107" t="s">
        <v>320</v>
      </c>
      <c r="C12" s="108">
        <f>SUM(B10:D10)</f>
        <v>145655000</v>
      </c>
      <c r="D12" s="182"/>
      <c r="E12" s="182"/>
      <c r="F12" s="182"/>
      <c r="G12" s="182"/>
      <c r="H12" s="183"/>
    </row>
    <row r="14" spans="1:8" ht="28.5">
      <c r="A14" s="107" t="s">
        <v>256</v>
      </c>
      <c r="B14" s="107" t="s">
        <v>257</v>
      </c>
      <c r="C14" s="109">
        <f ca="1">'Conta Gráfica'!X74+A43+A46</f>
        <v>-16996986.224221949</v>
      </c>
    </row>
    <row r="16" spans="1:8" ht="30">
      <c r="A16" s="110" t="s">
        <v>258</v>
      </c>
      <c r="B16" s="110" t="s">
        <v>259</v>
      </c>
      <c r="C16" s="111">
        <f ca="1">ROUND(C14/C12,4)</f>
        <v>-0.1167</v>
      </c>
      <c r="E16" s="133"/>
    </row>
    <row r="21" spans="1:4">
      <c r="A21" s="100" t="s">
        <v>15</v>
      </c>
      <c r="B21" s="101">
        <f>B2</f>
        <v>45323</v>
      </c>
      <c r="C21" s="101">
        <f>C2</f>
        <v>45352</v>
      </c>
      <c r="D21" s="101">
        <f>D2</f>
        <v>45383</v>
      </c>
    </row>
    <row r="22" spans="1:4">
      <c r="A22" s="100" t="s">
        <v>17</v>
      </c>
      <c r="B22" s="102">
        <v>1415000</v>
      </c>
      <c r="C22" s="102">
        <v>1415000</v>
      </c>
      <c r="D22" s="102">
        <v>1415000</v>
      </c>
    </row>
    <row r="23" spans="1:4">
      <c r="A23" s="100" t="s">
        <v>260</v>
      </c>
      <c r="B23" s="102">
        <v>40000</v>
      </c>
      <c r="C23" s="102">
        <v>40000</v>
      </c>
      <c r="D23" s="102">
        <v>40000</v>
      </c>
    </row>
    <row r="24" spans="1:4">
      <c r="A24" s="100" t="s">
        <v>440</v>
      </c>
      <c r="B24" s="102">
        <v>10000</v>
      </c>
      <c r="C24" s="102">
        <v>10000</v>
      </c>
      <c r="D24" s="102">
        <v>10000</v>
      </c>
    </row>
    <row r="25" spans="1:4">
      <c r="A25" s="100" t="s">
        <v>441</v>
      </c>
      <c r="B25" s="102">
        <v>150000</v>
      </c>
      <c r="C25" s="102">
        <v>150000</v>
      </c>
      <c r="D25" s="102">
        <v>150000</v>
      </c>
    </row>
    <row r="26" spans="1:4">
      <c r="A26" s="104" t="s">
        <v>252</v>
      </c>
      <c r="B26" s="105">
        <f>SUM(B22:B25)</f>
        <v>1615000</v>
      </c>
      <c r="C26" s="105">
        <f>SUM(C22:C25)</f>
        <v>1615000</v>
      </c>
      <c r="D26" s="105">
        <f>SUM(D22:D25)</f>
        <v>1615000</v>
      </c>
    </row>
    <row r="29" spans="1:4">
      <c r="A29" s="104" t="s">
        <v>286</v>
      </c>
      <c r="B29" s="115">
        <f>+B2</f>
        <v>45323</v>
      </c>
      <c r="C29" s="115">
        <f>+C2</f>
        <v>45352</v>
      </c>
      <c r="D29" s="115">
        <f>+D2</f>
        <v>45383</v>
      </c>
    </row>
    <row r="30" spans="1:4">
      <c r="A30" s="104" t="s">
        <v>288</v>
      </c>
      <c r="B30" s="199">
        <f>HLOOKUP(B29,'Conta Gráfica'!3:31,29,0)</f>
        <v>44385402.506097071</v>
      </c>
      <c r="C30" s="199">
        <f>HLOOKUP(C29,'Conta Gráfica'!3:31,29,0)</f>
        <v>46252723.057225518</v>
      </c>
      <c r="D30" s="199">
        <f>HLOOKUP(D29,'Conta Gráfica'!3:31,29,0)</f>
        <v>47385474.189430818</v>
      </c>
    </row>
    <row r="31" spans="1:4">
      <c r="A31" s="104" t="s">
        <v>259</v>
      </c>
      <c r="B31" s="169">
        <f ca="1">+C16</f>
        <v>-0.1167</v>
      </c>
      <c r="C31" s="169">
        <f ca="1">+B31</f>
        <v>-0.1167</v>
      </c>
      <c r="D31" s="169">
        <f t="shared" ref="D31" ca="1" si="1">+C31</f>
        <v>-0.1167</v>
      </c>
    </row>
    <row r="32" spans="1:4">
      <c r="A32" s="104" t="s">
        <v>287</v>
      </c>
      <c r="B32" s="135">
        <f ca="1">+B31*B30</f>
        <v>-5179776.4724615281</v>
      </c>
      <c r="C32" s="135">
        <f t="shared" ref="C32:D32" ca="1" si="2">+C31*C30</f>
        <v>-5397692.7807782181</v>
      </c>
      <c r="D32" s="135">
        <f t="shared" ca="1" si="2"/>
        <v>-5529884.8379065767</v>
      </c>
    </row>
    <row r="33" spans="1:4">
      <c r="A33" s="117" t="s">
        <v>289</v>
      </c>
      <c r="B33" s="117">
        <f ca="1">C14-B32</f>
        <v>-11817209.751760419</v>
      </c>
      <c r="C33" s="117">
        <f ca="1">B33-C32</f>
        <v>-6419516.9709822014</v>
      </c>
      <c r="D33" s="117">
        <f t="shared" ref="D33" ca="1" si="3">C33-D32</f>
        <v>-889632.1330756247</v>
      </c>
    </row>
    <row r="35" spans="1:4">
      <c r="A35" s="104" t="s">
        <v>288</v>
      </c>
      <c r="B35" s="199">
        <f>+B30</f>
        <v>44385402.506097071</v>
      </c>
      <c r="C35" s="199">
        <f t="shared" ref="C35:D35" si="4">+C30</f>
        <v>46252723.057225518</v>
      </c>
      <c r="D35" s="199">
        <f t="shared" si="4"/>
        <v>47385474.189430818</v>
      </c>
    </row>
    <row r="36" spans="1:4">
      <c r="A36" s="104" t="s">
        <v>319</v>
      </c>
      <c r="B36" s="199">
        <f>IF(B35=0,0,+B10-B35)</f>
        <v>2449597.4939029291</v>
      </c>
      <c r="C36" s="199">
        <f>IF(C35=0,0,+C10-C35)</f>
        <v>3967276.9427744821</v>
      </c>
      <c r="D36" s="199">
        <f>IF(D35=0,0,+D10-D35)</f>
        <v>1214525.810569182</v>
      </c>
    </row>
    <row r="37" spans="1:4">
      <c r="A37" s="104"/>
      <c r="B37" s="199"/>
      <c r="C37" s="199"/>
      <c r="D37" s="199"/>
    </row>
    <row r="38" spans="1:4">
      <c r="A38" s="134" t="s">
        <v>317</v>
      </c>
      <c r="B38" s="117">
        <f ca="1">+B36*B31</f>
        <v>-285868.0275384718</v>
      </c>
      <c r="C38" s="117">
        <f ca="1">+C36*C31</f>
        <v>-462981.21922178206</v>
      </c>
      <c r="D38" s="117">
        <f ca="1">+D36*D31</f>
        <v>-141735.16209342354</v>
      </c>
    </row>
    <row r="41" spans="1:4" ht="18" customHeight="1"/>
    <row r="42" spans="1:4" ht="30">
      <c r="A42" s="170" t="s">
        <v>482</v>
      </c>
    </row>
    <row r="43" spans="1:4">
      <c r="A43" s="136">
        <f ca="1">SUM('Conta Gráfica jul a set23'!B40:C40)</f>
        <v>594026.5965345907</v>
      </c>
    </row>
    <row r="45" spans="1:4" ht="30">
      <c r="A45" s="170" t="s">
        <v>481</v>
      </c>
    </row>
    <row r="46" spans="1:4">
      <c r="A46" s="171">
        <f ca="1">+SUM('Conta Gráfica abr a jun23'!D36:D36)</f>
        <v>56616.173264288453</v>
      </c>
    </row>
    <row r="51" spans="8:8">
      <c r="H51" s="18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3F98-6BCE-457E-8431-4C7C4CEA332E}">
  <dimension ref="A1:H51"/>
  <sheetViews>
    <sheetView showGridLines="0" topLeftCell="A3" zoomScale="85" zoomScaleNormal="85" workbookViewId="0">
      <selection activeCell="B30" sqref="B30:D30"/>
    </sheetView>
  </sheetViews>
  <sheetFormatPr defaultRowHeight="15"/>
  <cols>
    <col min="1" max="1" width="46.85546875" customWidth="1"/>
    <col min="2" max="2" width="22.85546875" customWidth="1"/>
    <col min="3" max="3" width="22.42578125" bestFit="1" customWidth="1"/>
    <col min="4" max="4" width="26.28515625" bestFit="1" customWidth="1"/>
    <col min="5" max="5" width="17" bestFit="1" customWidth="1"/>
    <col min="6" max="7" width="16" bestFit="1" customWidth="1"/>
    <col min="8" max="8" width="27" customWidth="1"/>
  </cols>
  <sheetData>
    <row r="1" spans="1:8">
      <c r="A1" s="100" t="s">
        <v>249</v>
      </c>
      <c r="B1" s="100">
        <f t="shared" ref="B1:C1" si="0">C2-B2</f>
        <v>31</v>
      </c>
      <c r="C1" s="100">
        <f t="shared" si="0"/>
        <v>30</v>
      </c>
      <c r="D1" s="100">
        <v>31</v>
      </c>
    </row>
    <row r="2" spans="1:8">
      <c r="A2" s="100" t="s">
        <v>15</v>
      </c>
      <c r="B2" s="101">
        <v>45413</v>
      </c>
      <c r="C2" s="101">
        <v>45444</v>
      </c>
      <c r="D2" s="101">
        <v>45474</v>
      </c>
    </row>
    <row r="3" spans="1:8">
      <c r="A3" s="100" t="s">
        <v>17</v>
      </c>
      <c r="B3" s="102">
        <v>1415000</v>
      </c>
      <c r="C3" s="102">
        <v>1415000</v>
      </c>
      <c r="D3" s="102">
        <v>1415000</v>
      </c>
    </row>
    <row r="4" spans="1:8">
      <c r="A4" s="100" t="s">
        <v>250</v>
      </c>
      <c r="B4" s="103">
        <v>37000</v>
      </c>
      <c r="C4" s="103">
        <f>+B4</f>
        <v>37000</v>
      </c>
      <c r="D4" s="103">
        <f>+C4</f>
        <v>37000</v>
      </c>
    </row>
    <row r="5" spans="1:8">
      <c r="A5" s="100" t="s">
        <v>251</v>
      </c>
      <c r="B5" s="103">
        <v>8000</v>
      </c>
      <c r="C5" s="103">
        <v>8000</v>
      </c>
      <c r="D5" s="103">
        <v>8000</v>
      </c>
    </row>
    <row r="6" spans="1:8">
      <c r="A6" s="100" t="s">
        <v>440</v>
      </c>
      <c r="B6" s="102">
        <v>10000</v>
      </c>
      <c r="C6" s="102">
        <v>10000</v>
      </c>
      <c r="D6" s="102">
        <v>10000</v>
      </c>
    </row>
    <row r="7" spans="1:8">
      <c r="A7" s="100" t="s">
        <v>441</v>
      </c>
      <c r="B7" s="102">
        <v>150000</v>
      </c>
      <c r="C7" s="102">
        <v>150000</v>
      </c>
      <c r="D7" s="102">
        <v>150000</v>
      </c>
    </row>
    <row r="8" spans="1:8">
      <c r="A8" s="104" t="s">
        <v>252</v>
      </c>
      <c r="B8" s="102">
        <f>SUM(B3:B7)</f>
        <v>1620000</v>
      </c>
      <c r="C8" s="102">
        <f>SUM(C3:C7)</f>
        <v>1620000</v>
      </c>
      <c r="D8" s="102">
        <f>SUM(D3:D7)</f>
        <v>1620000</v>
      </c>
    </row>
    <row r="10" spans="1:8">
      <c r="A10" s="55" t="s">
        <v>253</v>
      </c>
      <c r="B10" s="106">
        <f>+B8*B1</f>
        <v>50220000</v>
      </c>
      <c r="C10" s="106">
        <f>+C8*C1</f>
        <v>48600000</v>
      </c>
      <c r="D10" s="106">
        <f>+D8*D1</f>
        <v>50220000</v>
      </c>
    </row>
    <row r="12" spans="1:8" ht="28.5">
      <c r="A12" s="107" t="s">
        <v>254</v>
      </c>
      <c r="B12" s="107" t="s">
        <v>320</v>
      </c>
      <c r="C12" s="108">
        <f>SUM(B10:D10)</f>
        <v>149040000</v>
      </c>
      <c r="D12" s="182"/>
      <c r="E12" s="182"/>
      <c r="F12" s="182"/>
      <c r="G12" s="182"/>
      <c r="H12" s="183"/>
    </row>
    <row r="14" spans="1:8" ht="28.5">
      <c r="A14" s="107" t="s">
        <v>256</v>
      </c>
      <c r="B14" s="107" t="s">
        <v>257</v>
      </c>
      <c r="C14" s="109">
        <f ca="1">'Conta Gráfica'!AA74+A43+A46</f>
        <v>11238942.294213545</v>
      </c>
      <c r="D14" s="133"/>
    </row>
    <row r="16" spans="1:8" ht="30">
      <c r="A16" s="110" t="s">
        <v>258</v>
      </c>
      <c r="B16" s="110" t="s">
        <v>259</v>
      </c>
      <c r="C16" s="111">
        <f ca="1">ROUND(C14/C12,4)</f>
        <v>7.5399999999999995E-2</v>
      </c>
      <c r="D16" s="198"/>
      <c r="E16" s="133"/>
    </row>
    <row r="17" spans="1:4">
      <c r="D17" s="133"/>
    </row>
    <row r="21" spans="1:4">
      <c r="A21" s="100" t="s">
        <v>15</v>
      </c>
      <c r="B21" s="101">
        <f>B2</f>
        <v>45413</v>
      </c>
      <c r="C21" s="101">
        <f>C2</f>
        <v>45444</v>
      </c>
      <c r="D21" s="101">
        <f>D2</f>
        <v>45474</v>
      </c>
    </row>
    <row r="22" spans="1:4">
      <c r="A22" s="100" t="s">
        <v>17</v>
      </c>
      <c r="B22" s="102">
        <v>1415000</v>
      </c>
      <c r="C22" s="102">
        <v>1415000</v>
      </c>
      <c r="D22" s="102">
        <v>1415000</v>
      </c>
    </row>
    <row r="23" spans="1:4">
      <c r="A23" s="100" t="s">
        <v>260</v>
      </c>
      <c r="B23" s="102">
        <v>40000</v>
      </c>
      <c r="C23" s="102">
        <v>40000</v>
      </c>
      <c r="D23" s="102">
        <v>40000</v>
      </c>
    </row>
    <row r="24" spans="1:4">
      <c r="A24" s="100" t="s">
        <v>440</v>
      </c>
      <c r="B24" s="102">
        <v>10000</v>
      </c>
      <c r="C24" s="102">
        <v>10000</v>
      </c>
      <c r="D24" s="102">
        <v>10000</v>
      </c>
    </row>
    <row r="25" spans="1:4">
      <c r="A25" s="100" t="s">
        <v>441</v>
      </c>
      <c r="B25" s="102">
        <v>150000</v>
      </c>
      <c r="C25" s="102">
        <v>150000</v>
      </c>
      <c r="D25" s="102">
        <v>150000</v>
      </c>
    </row>
    <row r="26" spans="1:4">
      <c r="A26" s="104" t="s">
        <v>252</v>
      </c>
      <c r="B26" s="105">
        <f>SUM(B22:B25)</f>
        <v>1615000</v>
      </c>
      <c r="C26" s="105">
        <f>SUM(C22:C25)</f>
        <v>1615000</v>
      </c>
      <c r="D26" s="105">
        <f>SUM(D22:D25)</f>
        <v>1615000</v>
      </c>
    </row>
    <row r="29" spans="1:4">
      <c r="A29" s="104" t="s">
        <v>286</v>
      </c>
      <c r="B29" s="115">
        <f>+B2</f>
        <v>45413</v>
      </c>
      <c r="C29" s="115">
        <f>+C2</f>
        <v>45444</v>
      </c>
      <c r="D29" s="115">
        <f>+D2</f>
        <v>45474</v>
      </c>
    </row>
    <row r="30" spans="1:4">
      <c r="A30" s="104" t="s">
        <v>288</v>
      </c>
      <c r="B30" s="105">
        <f>HLOOKUP(B29,'Conta Gráfica'!3:31,29,0)</f>
        <v>49678581.611064829</v>
      </c>
      <c r="C30" s="105">
        <f>HLOOKUP(C29,'Conta Gráfica'!3:31,29,0)</f>
        <v>49140560.207181774</v>
      </c>
      <c r="D30" s="105">
        <f>HLOOKUP(D29,'Conta Gráfica'!3:31,29,0)</f>
        <v>48935230.302703351</v>
      </c>
    </row>
    <row r="31" spans="1:4">
      <c r="A31" s="104" t="s">
        <v>259</v>
      </c>
      <c r="B31" s="169">
        <f ca="1">+C16</f>
        <v>7.5399999999999995E-2</v>
      </c>
      <c r="C31" s="169">
        <f ca="1">+B31</f>
        <v>7.5399999999999995E-2</v>
      </c>
      <c r="D31" s="169">
        <f t="shared" ref="D31" ca="1" si="1">+C31</f>
        <v>7.5399999999999995E-2</v>
      </c>
    </row>
    <row r="32" spans="1:4">
      <c r="A32" s="104" t="s">
        <v>287</v>
      </c>
      <c r="B32" s="116">
        <f ca="1">+B31*B30</f>
        <v>3745765.053474288</v>
      </c>
      <c r="C32" s="116">
        <f ca="1">+C31*C30</f>
        <v>3705198.2396215056</v>
      </c>
      <c r="D32" s="116">
        <f t="shared" ref="D32" ca="1" si="2">+D31*D30</f>
        <v>3689716.3648238322</v>
      </c>
    </row>
    <row r="33" spans="1:4">
      <c r="A33" s="117" t="s">
        <v>289</v>
      </c>
      <c r="B33" s="117">
        <f ca="1">C14-B32</f>
        <v>7493177.2407392561</v>
      </c>
      <c r="C33" s="117">
        <f ca="1">B33-C32</f>
        <v>3787979.0011177505</v>
      </c>
      <c r="D33" s="117">
        <f t="shared" ref="D33" ca="1" si="3">C33-D32</f>
        <v>98262.63629391836</v>
      </c>
    </row>
    <row r="35" spans="1:4">
      <c r="A35" s="104" t="s">
        <v>288</v>
      </c>
      <c r="B35" s="199">
        <f>+B30</f>
        <v>49678581.611064829</v>
      </c>
      <c r="C35" s="199">
        <f t="shared" ref="C35" si="4">+C30</f>
        <v>49140560.207181774</v>
      </c>
      <c r="D35" s="199">
        <f>+D30</f>
        <v>48935230.302703351</v>
      </c>
    </row>
    <row r="36" spans="1:4">
      <c r="A36" s="104" t="s">
        <v>319</v>
      </c>
      <c r="B36" s="199">
        <f>IF(B35=0,0,+B10-B35)</f>
        <v>541418.38893517107</v>
      </c>
      <c r="C36" s="199">
        <f>IF(C35=0,0,+C10-C35)</f>
        <v>-540560.20718177408</v>
      </c>
      <c r="D36" s="199">
        <f>IF(D35=0,0,+D10-D35)</f>
        <v>1284769.6972966492</v>
      </c>
    </row>
    <row r="37" spans="1:4">
      <c r="A37" s="104"/>
      <c r="B37" s="199"/>
      <c r="C37" s="199"/>
      <c r="D37" s="199"/>
    </row>
    <row r="38" spans="1:4">
      <c r="A38" s="134" t="s">
        <v>317</v>
      </c>
      <c r="B38" s="117">
        <f ca="1">+B36*B31</f>
        <v>40822.946525711894</v>
      </c>
      <c r="C38" s="117">
        <f ca="1">+C36*C31</f>
        <v>-40758.23962150576</v>
      </c>
      <c r="D38" s="117">
        <f ca="1">+D36*D31</f>
        <v>96871.635176167343</v>
      </c>
    </row>
    <row r="41" spans="1:4" ht="18" customHeight="1"/>
    <row r="42" spans="1:4" ht="30">
      <c r="A42" s="170" t="s">
        <v>516</v>
      </c>
    </row>
    <row r="43" spans="1:4">
      <c r="A43" s="136">
        <f ca="1">SUM('Conta Gráfica jul a set23'!D40)</f>
        <v>935328.45729879849</v>
      </c>
    </row>
    <row r="45" spans="1:4" ht="30">
      <c r="A45" s="170" t="s">
        <v>517</v>
      </c>
    </row>
    <row r="46" spans="1:4">
      <c r="A46" s="171">
        <f ca="1">+SUM('Conta Gráfica out a dez23'!B38:C38)</f>
        <v>-748849.24676025379</v>
      </c>
    </row>
    <row r="51" spans="8:8">
      <c r="H51" s="18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2B6F-ABD1-4353-BBE9-B6332F78E4EB}">
  <dimension ref="A1:H51"/>
  <sheetViews>
    <sheetView showGridLines="0" topLeftCell="A14" zoomScale="115" zoomScaleNormal="115" workbookViewId="0">
      <selection activeCell="B30" sqref="B30:D30"/>
    </sheetView>
  </sheetViews>
  <sheetFormatPr defaultRowHeight="15"/>
  <cols>
    <col min="1" max="1" width="46.85546875" customWidth="1"/>
    <col min="2" max="2" width="22.7109375" customWidth="1"/>
    <col min="3" max="3" width="20.85546875" customWidth="1"/>
    <col min="4" max="4" width="26.28515625" bestFit="1" customWidth="1"/>
    <col min="5" max="5" width="17" bestFit="1" customWidth="1"/>
    <col min="6" max="7" width="16" bestFit="1" customWidth="1"/>
    <col min="8" max="8" width="27" customWidth="1"/>
  </cols>
  <sheetData>
    <row r="1" spans="1:8">
      <c r="A1" s="100" t="s">
        <v>249</v>
      </c>
      <c r="B1" s="100">
        <f t="shared" ref="B1:C1" si="0">C2-B2</f>
        <v>31</v>
      </c>
      <c r="C1" s="100">
        <f t="shared" si="0"/>
        <v>30</v>
      </c>
      <c r="D1" s="100">
        <v>31</v>
      </c>
    </row>
    <row r="2" spans="1:8">
      <c r="A2" s="100" t="s">
        <v>15</v>
      </c>
      <c r="B2" s="101">
        <v>45505</v>
      </c>
      <c r="C2" s="101">
        <v>45536</v>
      </c>
      <c r="D2" s="101">
        <v>45566</v>
      </c>
    </row>
    <row r="3" spans="1:8">
      <c r="A3" s="100" t="s">
        <v>17</v>
      </c>
      <c r="B3" s="102">
        <v>1415000</v>
      </c>
      <c r="C3" s="102">
        <v>1415000</v>
      </c>
      <c r="D3" s="102">
        <v>1415000</v>
      </c>
    </row>
    <row r="4" spans="1:8">
      <c r="A4" s="100" t="s">
        <v>250</v>
      </c>
      <c r="B4" s="103">
        <f>+(37000*28+35000*3)/31</f>
        <v>36806.451612903227</v>
      </c>
      <c r="C4" s="103">
        <v>35000</v>
      </c>
      <c r="D4" s="103">
        <v>35000</v>
      </c>
    </row>
    <row r="5" spans="1:8">
      <c r="A5" s="100" t="s">
        <v>251</v>
      </c>
      <c r="B5" s="103">
        <f>+(8000*28+5000*3)/31</f>
        <v>7709.677419354839</v>
      </c>
      <c r="C5" s="103">
        <v>5000</v>
      </c>
      <c r="D5" s="103">
        <v>5000</v>
      </c>
    </row>
    <row r="6" spans="1:8">
      <c r="A6" s="100" t="s">
        <v>440</v>
      </c>
      <c r="B6" s="102">
        <v>10000</v>
      </c>
      <c r="C6" s="102">
        <v>10000</v>
      </c>
      <c r="D6" s="102">
        <v>10000</v>
      </c>
    </row>
    <row r="7" spans="1:8">
      <c r="A7" s="100" t="s">
        <v>441</v>
      </c>
      <c r="B7" s="102">
        <v>150000</v>
      </c>
      <c r="C7" s="102">
        <v>150000</v>
      </c>
      <c r="D7" s="102">
        <v>150000</v>
      </c>
    </row>
    <row r="8" spans="1:8">
      <c r="A8" s="104" t="s">
        <v>252</v>
      </c>
      <c r="B8" s="102">
        <f>SUM(B3:B7)</f>
        <v>1619516.1290322582</v>
      </c>
      <c r="C8" s="102">
        <f>SUM(C3:C7)</f>
        <v>1615000</v>
      </c>
      <c r="D8" s="102">
        <f>SUM(D3:D7)</f>
        <v>1615000</v>
      </c>
    </row>
    <row r="9" spans="1:8">
      <c r="B9" s="137"/>
      <c r="C9" s="137"/>
    </row>
    <row r="10" spans="1:8">
      <c r="A10" s="55" t="s">
        <v>253</v>
      </c>
      <c r="B10" s="106">
        <f>+B8*B1</f>
        <v>50205000</v>
      </c>
      <c r="C10" s="106">
        <f>+C8*C1</f>
        <v>48450000</v>
      </c>
      <c r="D10" s="106">
        <f>+D8*D1</f>
        <v>50065000</v>
      </c>
    </row>
    <row r="12" spans="1:8" ht="28.5">
      <c r="A12" s="107" t="s">
        <v>254</v>
      </c>
      <c r="B12" s="107" t="s">
        <v>320</v>
      </c>
      <c r="C12" s="108">
        <f>SUM(B10:D10)</f>
        <v>148720000</v>
      </c>
      <c r="D12" s="182"/>
      <c r="E12" s="182"/>
      <c r="F12" s="182"/>
      <c r="G12" s="182"/>
      <c r="H12" s="183"/>
    </row>
    <row r="14" spans="1:8" ht="28.5">
      <c r="A14" s="107" t="s">
        <v>256</v>
      </c>
      <c r="B14" s="107" t="s">
        <v>257</v>
      </c>
      <c r="C14" s="109">
        <f ca="1">'Conta Gráfica'!AD74+A43+A46</f>
        <v>-1552950.1228867345</v>
      </c>
      <c r="D14" s="133"/>
    </row>
    <row r="16" spans="1:8" ht="30">
      <c r="A16" s="110" t="s">
        <v>258</v>
      </c>
      <c r="B16" s="110" t="s">
        <v>259</v>
      </c>
      <c r="C16" s="111">
        <f ca="1">ROUND(C14/C12,4)</f>
        <v>-1.04E-2</v>
      </c>
      <c r="D16" s="198"/>
      <c r="E16" s="133"/>
    </row>
    <row r="17" spans="1:4">
      <c r="D17" s="133"/>
    </row>
    <row r="29" spans="1:4">
      <c r="A29" s="104" t="s">
        <v>286</v>
      </c>
      <c r="B29" s="115">
        <f>+B2</f>
        <v>45505</v>
      </c>
      <c r="C29" s="115">
        <f>+C2</f>
        <v>45536</v>
      </c>
      <c r="D29" s="115">
        <f>+D2</f>
        <v>45566</v>
      </c>
    </row>
    <row r="30" spans="1:4">
      <c r="A30" s="104" t="s">
        <v>288</v>
      </c>
      <c r="B30" s="105">
        <f>HLOOKUP(B29,'Conta Gráfica'!3:31,29,0)</f>
        <v>49257904.162114553</v>
      </c>
      <c r="C30" s="105">
        <f>HLOOKUP(C29,'Conta Gráfica'!3:31,29,0)</f>
        <v>43755409.012200668</v>
      </c>
      <c r="D30" s="105">
        <f>HLOOKUP(D29,'Conta Gráfica'!3:31,29,0)</f>
        <v>48867674</v>
      </c>
    </row>
    <row r="31" spans="1:4">
      <c r="A31" s="104" t="s">
        <v>259</v>
      </c>
      <c r="B31" s="169">
        <f ca="1">+C16</f>
        <v>-1.04E-2</v>
      </c>
      <c r="C31" s="169">
        <f ca="1">+B31</f>
        <v>-1.04E-2</v>
      </c>
      <c r="D31" s="169">
        <f t="shared" ref="D31" ca="1" si="1">+C31</f>
        <v>-1.04E-2</v>
      </c>
    </row>
    <row r="32" spans="1:4">
      <c r="A32" s="104" t="s">
        <v>287</v>
      </c>
      <c r="B32" s="116">
        <f ca="1">+B31*B30</f>
        <v>-512282.20328599133</v>
      </c>
      <c r="C32" s="116">
        <f t="shared" ref="C32:D32" ca="1" si="2">+C31*C30</f>
        <v>-455056.25372688693</v>
      </c>
      <c r="D32" s="116">
        <f t="shared" ca="1" si="2"/>
        <v>-508223.80959999998</v>
      </c>
    </row>
    <row r="33" spans="1:4">
      <c r="A33" s="117" t="s">
        <v>289</v>
      </c>
      <c r="B33" s="117">
        <f ca="1">C14-B32</f>
        <v>-1040667.9196007432</v>
      </c>
      <c r="C33" s="117">
        <f ca="1">B33-C32</f>
        <v>-585611.66587385628</v>
      </c>
      <c r="D33" s="117">
        <f t="shared" ref="D33" ca="1" si="3">C33-D32</f>
        <v>-77387.856273856305</v>
      </c>
    </row>
    <row r="35" spans="1:4">
      <c r="A35" s="104" t="s">
        <v>288</v>
      </c>
      <c r="B35" s="199">
        <f>+B30</f>
        <v>49257904.162114553</v>
      </c>
      <c r="C35" s="199">
        <f t="shared" ref="C35:D35" si="4">+C30</f>
        <v>43755409.012200668</v>
      </c>
      <c r="D35" s="199">
        <f t="shared" si="4"/>
        <v>48867674</v>
      </c>
    </row>
    <row r="36" spans="1:4">
      <c r="A36" s="104" t="s">
        <v>319</v>
      </c>
      <c r="B36" s="199">
        <f>IF(B35=0,0,+B10-B35)</f>
        <v>947095.83788544685</v>
      </c>
      <c r="C36" s="199">
        <f>IF(C35=0,0,+C10-C35)</f>
        <v>4694590.9877993315</v>
      </c>
      <c r="D36" s="199">
        <f>IF(D35=0,0,+D10-D35)</f>
        <v>1197326</v>
      </c>
    </row>
    <row r="37" spans="1:4">
      <c r="A37" s="104"/>
      <c r="B37" s="199"/>
      <c r="C37" s="199"/>
      <c r="D37" s="199"/>
    </row>
    <row r="38" spans="1:4">
      <c r="A38" s="134" t="s">
        <v>317</v>
      </c>
      <c r="B38" s="117">
        <f ca="1">+B36*B31</f>
        <v>-9849.7967140086475</v>
      </c>
      <c r="C38" s="117">
        <f ca="1">+C36*C31</f>
        <v>-48823.746273113044</v>
      </c>
      <c r="D38" s="117">
        <f ca="1">+D36*D31</f>
        <v>-12452.190399999999</v>
      </c>
    </row>
    <row r="41" spans="1:4" ht="18" customHeight="1"/>
    <row r="42" spans="1:4" ht="30">
      <c r="A42" s="170" t="s">
        <v>584</v>
      </c>
    </row>
    <row r="43" spans="1:4">
      <c r="A43" s="203">
        <f ca="1">+'Conta Gráfica jan a mar24'!B38+'Conta Gráfica jan a mar24'!C38</f>
        <v>64.706904206133913</v>
      </c>
    </row>
    <row r="45" spans="1:4" ht="30">
      <c r="A45" s="170" t="s">
        <v>585</v>
      </c>
    </row>
    <row r="46" spans="1:4">
      <c r="A46" s="204">
        <f ca="1">+SUM('Conta Gráfica out a dez23'!D38)</f>
        <v>-141735.16209342354</v>
      </c>
    </row>
    <row r="51" spans="8:8">
      <c r="H51" s="18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F4D2-F7B8-4027-8304-DC0C22521575}">
  <dimension ref="A1:H52"/>
  <sheetViews>
    <sheetView showGridLines="0" topLeftCell="A9" zoomScale="85" zoomScaleNormal="85" workbookViewId="0">
      <selection activeCell="A44" sqref="A44"/>
    </sheetView>
  </sheetViews>
  <sheetFormatPr defaultRowHeight="15"/>
  <cols>
    <col min="1" max="1" width="49.5703125" customWidth="1"/>
    <col min="2" max="4" width="26.28515625" bestFit="1" customWidth="1"/>
    <col min="5" max="5" width="17" bestFit="1" customWidth="1"/>
    <col min="6" max="7" width="16" bestFit="1" customWidth="1"/>
    <col min="8" max="8" width="27" customWidth="1"/>
  </cols>
  <sheetData>
    <row r="1" spans="1:8">
      <c r="A1" s="100" t="s">
        <v>249</v>
      </c>
      <c r="B1" s="100">
        <f t="shared" ref="B1:C1" si="0">C2-B2</f>
        <v>30</v>
      </c>
      <c r="C1" s="100">
        <f t="shared" si="0"/>
        <v>31</v>
      </c>
      <c r="D1" s="100">
        <v>31</v>
      </c>
    </row>
    <row r="2" spans="1:8">
      <c r="A2" s="100" t="s">
        <v>15</v>
      </c>
      <c r="B2" s="101">
        <v>45597</v>
      </c>
      <c r="C2" s="101">
        <v>45627</v>
      </c>
      <c r="D2" s="101">
        <v>45658</v>
      </c>
    </row>
    <row r="3" spans="1:8">
      <c r="A3" s="100" t="s">
        <v>17</v>
      </c>
      <c r="B3" s="102">
        <v>1415000</v>
      </c>
      <c r="C3" s="102">
        <v>1415000</v>
      </c>
      <c r="D3" s="102">
        <v>1053000</v>
      </c>
    </row>
    <row r="4" spans="1:8">
      <c r="A4" s="100" t="s">
        <v>250</v>
      </c>
      <c r="B4" s="103">
        <v>35000</v>
      </c>
      <c r="C4" s="103">
        <v>35000</v>
      </c>
      <c r="D4" s="103">
        <v>35000</v>
      </c>
    </row>
    <row r="5" spans="1:8">
      <c r="A5" s="100" t="s">
        <v>251</v>
      </c>
      <c r="B5" s="103">
        <v>5000</v>
      </c>
      <c r="C5" s="103">
        <v>5000</v>
      </c>
      <c r="D5" s="103">
        <v>5000</v>
      </c>
    </row>
    <row r="6" spans="1:8">
      <c r="A6" s="100" t="s">
        <v>440</v>
      </c>
      <c r="B6" s="102">
        <v>10000</v>
      </c>
      <c r="C6" s="102">
        <v>10000</v>
      </c>
      <c r="D6" s="102">
        <v>10000</v>
      </c>
    </row>
    <row r="7" spans="1:8">
      <c r="A7" s="100" t="s">
        <v>441</v>
      </c>
      <c r="B7" s="102">
        <v>150000</v>
      </c>
      <c r="C7" s="102">
        <v>150000</v>
      </c>
      <c r="D7" s="102">
        <v>250000</v>
      </c>
    </row>
    <row r="8" spans="1:8">
      <c r="A8" s="100" t="s">
        <v>767</v>
      </c>
      <c r="B8" s="102"/>
      <c r="C8" s="102"/>
      <c r="D8" s="102">
        <v>200000</v>
      </c>
    </row>
    <row r="9" spans="1:8">
      <c r="A9" s="206" t="s">
        <v>696</v>
      </c>
      <c r="C9" s="215"/>
      <c r="D9" s="215"/>
    </row>
    <row r="10" spans="1:8">
      <c r="A10" s="104" t="s">
        <v>252</v>
      </c>
      <c r="B10" s="102">
        <f>SUM(B3:B7)</f>
        <v>1615000</v>
      </c>
      <c r="C10" s="102">
        <f>SUM(C3:C9)</f>
        <v>1615000</v>
      </c>
      <c r="D10" s="102">
        <f>SUM(D3:D9)</f>
        <v>1553000</v>
      </c>
    </row>
    <row r="11" spans="1:8">
      <c r="A11" s="55" t="s">
        <v>253</v>
      </c>
      <c r="B11" s="106">
        <f>+B10*B1</f>
        <v>48450000</v>
      </c>
      <c r="C11" s="106">
        <f>+C10*C1</f>
        <v>50065000</v>
      </c>
      <c r="D11" s="106">
        <f>+D10*D1</f>
        <v>48143000</v>
      </c>
    </row>
    <row r="13" spans="1:8" ht="28.5">
      <c r="A13" s="107" t="s">
        <v>254</v>
      </c>
      <c r="B13" s="107" t="s">
        <v>320</v>
      </c>
      <c r="C13" s="108">
        <f>SUM(B11:D11)</f>
        <v>146658000</v>
      </c>
      <c r="D13" s="182"/>
      <c r="E13" s="182"/>
      <c r="F13" s="182"/>
      <c r="G13" s="182"/>
      <c r="H13" s="183"/>
    </row>
    <row r="15" spans="1:8" ht="28.5">
      <c r="A15" s="107" t="s">
        <v>256</v>
      </c>
      <c r="B15" s="107" t="s">
        <v>257</v>
      </c>
      <c r="C15" s="109">
        <f ca="1">'Conta Gráfica'!AG74+A44+A47</f>
        <v>2750723.4645157792</v>
      </c>
      <c r="D15" s="133"/>
    </row>
    <row r="17" spans="1:5" ht="30">
      <c r="A17" s="110" t="s">
        <v>258</v>
      </c>
      <c r="B17" s="110" t="s">
        <v>259</v>
      </c>
      <c r="C17" s="111">
        <f ca="1">ROUND(C15/C13,4)</f>
        <v>1.8800000000000001E-2</v>
      </c>
      <c r="D17" s="198"/>
      <c r="E17" s="133"/>
    </row>
    <row r="18" spans="1:5">
      <c r="D18" s="133"/>
      <c r="E18" s="205"/>
    </row>
    <row r="19" spans="1:5">
      <c r="E19" s="205"/>
    </row>
    <row r="30" spans="1:5">
      <c r="A30" s="104" t="s">
        <v>286</v>
      </c>
      <c r="B30" s="115">
        <f>+B2</f>
        <v>45597</v>
      </c>
      <c r="C30" s="115">
        <f>+C2</f>
        <v>45627</v>
      </c>
      <c r="D30" s="115">
        <f>+D2</f>
        <v>45658</v>
      </c>
    </row>
    <row r="31" spans="1:5" hidden="1">
      <c r="A31" s="104" t="s">
        <v>288</v>
      </c>
      <c r="B31" s="105">
        <f>HLOOKUP(B30,'Conta Gráfica'!3:31,29,0)</f>
        <v>46845384.34726169</v>
      </c>
      <c r="C31" s="105">
        <f>HLOOKUP(C30,'Conta Gráfica'!3:31,29,0)</f>
        <v>45533428.267430425</v>
      </c>
      <c r="D31" s="105">
        <f>HLOOKUP(D30,'Conta Gráfica'!3:31,29,0)</f>
        <v>41426799.980594367</v>
      </c>
    </row>
    <row r="32" spans="1:5">
      <c r="A32" s="104" t="s">
        <v>259</v>
      </c>
      <c r="B32" s="169">
        <f ca="1">+C17</f>
        <v>1.8800000000000001E-2</v>
      </c>
      <c r="C32" s="169">
        <f ca="1">+B32</f>
        <v>1.8800000000000001E-2</v>
      </c>
      <c r="D32" s="169">
        <f t="shared" ref="D32" ca="1" si="1">+C32</f>
        <v>1.8800000000000001E-2</v>
      </c>
    </row>
    <row r="33" spans="1:4" hidden="1">
      <c r="A33" s="104" t="s">
        <v>287</v>
      </c>
      <c r="B33" s="116">
        <f ca="1">+B32*B31</f>
        <v>880693.22572851984</v>
      </c>
      <c r="C33" s="116">
        <f t="shared" ref="C33:D33" ca="1" si="2">+C32*C31</f>
        <v>856028.45142769197</v>
      </c>
      <c r="D33" s="116">
        <f t="shared" ca="1" si="2"/>
        <v>778823.83963517414</v>
      </c>
    </row>
    <row r="34" spans="1:4" hidden="1">
      <c r="A34" s="117" t="s">
        <v>289</v>
      </c>
      <c r="B34" s="117">
        <f ca="1">C15-B33</f>
        <v>1870030.2387872594</v>
      </c>
      <c r="C34" s="117">
        <f ca="1">B34-C33</f>
        <v>1014001.7873595675</v>
      </c>
      <c r="D34" s="117">
        <f t="shared" ref="D34" ca="1" si="3">C34-D33</f>
        <v>235177.94772439334</v>
      </c>
    </row>
    <row r="35" spans="1:4" hidden="1"/>
    <row r="36" spans="1:4">
      <c r="A36" s="104" t="s">
        <v>288</v>
      </c>
      <c r="B36" s="199">
        <f>+B31</f>
        <v>46845384.34726169</v>
      </c>
      <c r="C36" s="199">
        <f t="shared" ref="C36:D36" si="4">+C31</f>
        <v>45533428.267430425</v>
      </c>
      <c r="D36" s="199">
        <f t="shared" si="4"/>
        <v>41426799.980594367</v>
      </c>
    </row>
    <row r="37" spans="1:4">
      <c r="A37" s="104" t="s">
        <v>319</v>
      </c>
      <c r="B37" s="199">
        <f>IF(B36=0,0,+B11-B36)</f>
        <v>1604615.6527383104</v>
      </c>
      <c r="C37" s="199">
        <f>IF(C36=0,0,+C11-C36)</f>
        <v>4531571.7325695753</v>
      </c>
      <c r="D37" s="199">
        <f>IF(D36=0,0,+D11-D36)</f>
        <v>6716200.0194056332</v>
      </c>
    </row>
    <row r="38" spans="1:4" hidden="1">
      <c r="A38" s="104"/>
      <c r="B38" s="199"/>
      <c r="C38" s="199"/>
      <c r="D38" s="199"/>
    </row>
    <row r="39" spans="1:4">
      <c r="A39" s="134" t="s">
        <v>317</v>
      </c>
      <c r="B39" s="117">
        <f ca="1">+B37*B32</f>
        <v>30166.774271480237</v>
      </c>
      <c r="C39" s="117">
        <f ca="1">+C37*C32</f>
        <v>85193.54857230802</v>
      </c>
      <c r="D39" s="117">
        <f ca="1">+D37*D32</f>
        <v>126264.56036482591</v>
      </c>
    </row>
    <row r="42" spans="1:4" ht="18" customHeight="1"/>
    <row r="43" spans="1:4" ht="30">
      <c r="A43" s="170" t="s">
        <v>694</v>
      </c>
    </row>
    <row r="44" spans="1:4">
      <c r="A44" s="203">
        <f ca="1">+'Conta Gráfica jan a mar24'!D38</f>
        <v>96871.635176167343</v>
      </c>
    </row>
    <row r="46" spans="1:4" ht="30">
      <c r="A46" s="170" t="s">
        <v>695</v>
      </c>
    </row>
    <row r="47" spans="1:4">
      <c r="A47" s="204">
        <f ca="1">+'Conta Gráfica abr a jun24'!B38+'Conta Gráfica abr a jun24'!C38</f>
        <v>-58673.542987121691</v>
      </c>
    </row>
    <row r="52" spans="8:8">
      <c r="H52" s="18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2CCC-F188-4BE2-8BC8-D4571CE0EFB4}">
  <dimension ref="A1:H52"/>
  <sheetViews>
    <sheetView showGridLines="0" topLeftCell="A13" zoomScale="85" zoomScaleNormal="85" workbookViewId="0">
      <selection activeCell="D39" sqref="D39"/>
    </sheetView>
  </sheetViews>
  <sheetFormatPr defaultRowHeight="15"/>
  <cols>
    <col min="1" max="1" width="50.42578125" customWidth="1"/>
    <col min="2" max="2" width="22.5703125" customWidth="1"/>
    <col min="3" max="3" width="21.140625" customWidth="1"/>
    <col min="4" max="4" width="26.28515625" customWidth="1"/>
    <col min="5" max="5" width="17" bestFit="1" customWidth="1"/>
    <col min="6" max="7" width="16" bestFit="1" customWidth="1"/>
    <col min="8" max="8" width="27" customWidth="1"/>
  </cols>
  <sheetData>
    <row r="1" spans="1:8">
      <c r="A1" s="231" t="s">
        <v>249</v>
      </c>
      <c r="B1" s="231">
        <f t="shared" ref="B1:C1" si="0">C2-B2</f>
        <v>28</v>
      </c>
      <c r="C1" s="231">
        <f t="shared" si="0"/>
        <v>31</v>
      </c>
      <c r="D1" s="231">
        <v>30</v>
      </c>
    </row>
    <row r="2" spans="1:8">
      <c r="A2" s="231" t="s">
        <v>15</v>
      </c>
      <c r="B2" s="232">
        <v>45689</v>
      </c>
      <c r="C2" s="232">
        <v>45717</v>
      </c>
      <c r="D2" s="232">
        <v>45748</v>
      </c>
    </row>
    <row r="3" spans="1:8">
      <c r="A3" s="231" t="s">
        <v>17</v>
      </c>
      <c r="B3" s="233">
        <v>1053000</v>
      </c>
      <c r="C3" s="233">
        <v>1053000</v>
      </c>
      <c r="D3" s="233">
        <v>1053000</v>
      </c>
    </row>
    <row r="4" spans="1:8">
      <c r="A4" s="231" t="s">
        <v>250</v>
      </c>
      <c r="B4" s="234">
        <v>35000</v>
      </c>
      <c r="C4" s="234">
        <v>35000</v>
      </c>
      <c r="D4" s="234">
        <v>35000</v>
      </c>
    </row>
    <row r="5" spans="1:8">
      <c r="A5" s="231" t="s">
        <v>251</v>
      </c>
      <c r="B5" s="234">
        <v>5000</v>
      </c>
      <c r="C5" s="234">
        <v>5000</v>
      </c>
      <c r="D5" s="234">
        <v>5000</v>
      </c>
    </row>
    <row r="6" spans="1:8">
      <c r="A6" s="231" t="s">
        <v>440</v>
      </c>
      <c r="B6" s="233">
        <v>10000</v>
      </c>
      <c r="C6" s="233">
        <v>10000</v>
      </c>
      <c r="D6" s="233">
        <v>10000</v>
      </c>
    </row>
    <row r="7" spans="1:8">
      <c r="A7" s="231" t="s">
        <v>441</v>
      </c>
      <c r="B7" s="233">
        <v>250000</v>
      </c>
      <c r="C7" s="233">
        <v>250000</v>
      </c>
      <c r="D7" s="233">
        <v>250000</v>
      </c>
    </row>
    <row r="8" spans="1:8">
      <c r="A8" s="231" t="s">
        <v>767</v>
      </c>
      <c r="B8" s="233">
        <v>200000</v>
      </c>
      <c r="C8" s="233">
        <v>200000</v>
      </c>
      <c r="D8" s="233">
        <v>200000</v>
      </c>
    </row>
    <row r="9" spans="1:8">
      <c r="A9" s="235" t="s">
        <v>696</v>
      </c>
      <c r="B9" s="236"/>
      <c r="C9" s="237"/>
      <c r="D9" s="237"/>
    </row>
    <row r="10" spans="1:8">
      <c r="A10" s="223" t="s">
        <v>252</v>
      </c>
      <c r="B10" s="233">
        <f t="shared" ref="B10:C10" si="1">SUM(B3:B9)</f>
        <v>1553000</v>
      </c>
      <c r="C10" s="233">
        <f t="shared" si="1"/>
        <v>1553000</v>
      </c>
      <c r="D10" s="233">
        <f>SUM(D3:D9)</f>
        <v>1553000</v>
      </c>
    </row>
    <row r="11" spans="1:8">
      <c r="A11" s="238" t="s">
        <v>253</v>
      </c>
      <c r="B11" s="239">
        <f>+B10*B1</f>
        <v>43484000</v>
      </c>
      <c r="C11" s="239">
        <f>+C10*C1</f>
        <v>48143000</v>
      </c>
      <c r="D11" s="239">
        <f>+D10*D1</f>
        <v>46590000</v>
      </c>
    </row>
    <row r="13" spans="1:8" ht="30">
      <c r="A13" s="240" t="s">
        <v>254</v>
      </c>
      <c r="B13" s="240" t="s">
        <v>320</v>
      </c>
      <c r="C13" s="241">
        <f>SUM(B11:D11)</f>
        <v>138217000</v>
      </c>
      <c r="D13" s="182"/>
      <c r="E13" s="182"/>
      <c r="F13" s="182"/>
      <c r="G13" s="182"/>
      <c r="H13" s="183"/>
    </row>
    <row r="15" spans="1:8" ht="30">
      <c r="A15" s="240" t="s">
        <v>256</v>
      </c>
      <c r="B15" s="240" t="s">
        <v>257</v>
      </c>
      <c r="C15" s="242">
        <f ca="1">'Conta Gráfica'!AJ74+A44+A47</f>
        <v>1469765.7826905104</v>
      </c>
      <c r="D15" s="133"/>
    </row>
    <row r="17" spans="1:5" ht="30">
      <c r="A17" s="243" t="s">
        <v>258</v>
      </c>
      <c r="B17" s="243" t="s">
        <v>259</v>
      </c>
      <c r="C17" s="244">
        <f ca="1">ROUND(C15/C13,4)</f>
        <v>1.06E-2</v>
      </c>
      <c r="D17" s="198"/>
      <c r="E17" s="133"/>
    </row>
    <row r="18" spans="1:5">
      <c r="D18" s="133"/>
      <c r="E18" s="205"/>
    </row>
    <row r="19" spans="1:5">
      <c r="E19" s="205"/>
    </row>
    <row r="30" spans="1:5">
      <c r="A30" s="223" t="s">
        <v>286</v>
      </c>
      <c r="B30" s="224">
        <f>+B2</f>
        <v>45689</v>
      </c>
      <c r="C30" s="224">
        <f>+C2</f>
        <v>45717</v>
      </c>
      <c r="D30" s="224">
        <f>+D2</f>
        <v>45748</v>
      </c>
    </row>
    <row r="31" spans="1:5" hidden="1">
      <c r="A31" s="223" t="s">
        <v>288</v>
      </c>
      <c r="B31" s="225">
        <f>HLOOKUP(B30,'Conta Gráfica'!3:31,29,0)</f>
        <v>41491948.298103809</v>
      </c>
      <c r="C31" s="225">
        <f>HLOOKUP(C30,'Conta Gráfica'!3:31,29,0)</f>
        <v>44229904.232182942</v>
      </c>
      <c r="D31" s="225">
        <f>HLOOKUP(D30,'Conta Gráfica'!3:31,29,0)</f>
        <v>44256891</v>
      </c>
    </row>
    <row r="32" spans="1:5">
      <c r="A32" s="223" t="s">
        <v>259</v>
      </c>
      <c r="B32" s="226">
        <f ca="1">+C17</f>
        <v>1.06E-2</v>
      </c>
      <c r="C32" s="226">
        <f ca="1">+B32</f>
        <v>1.06E-2</v>
      </c>
      <c r="D32" s="226">
        <f t="shared" ref="D32" ca="1" si="2">+C32</f>
        <v>1.06E-2</v>
      </c>
    </row>
    <row r="33" spans="1:4" hidden="1">
      <c r="A33" s="223" t="s">
        <v>287</v>
      </c>
      <c r="B33" s="227">
        <f ca="1">+B32*B31</f>
        <v>439814.6519599004</v>
      </c>
      <c r="C33" s="227">
        <f t="shared" ref="C33:D33" ca="1" si="3">+C32*C31</f>
        <v>468836.98486113921</v>
      </c>
      <c r="D33" s="227">
        <f t="shared" ca="1" si="3"/>
        <v>469123.04460000002</v>
      </c>
    </row>
    <row r="34" spans="1:4" hidden="1">
      <c r="A34" s="228" t="s">
        <v>289</v>
      </c>
      <c r="B34" s="228">
        <f ca="1">C15-B33</f>
        <v>1029951.13073061</v>
      </c>
      <c r="C34" s="228">
        <f ca="1">B34-C33</f>
        <v>561114.14586947078</v>
      </c>
      <c r="D34" s="228">
        <f t="shared" ref="D34" ca="1" si="4">C34-D33</f>
        <v>91991.101269470761</v>
      </c>
    </row>
    <row r="35" spans="1:4" hidden="1"/>
    <row r="36" spans="1:4">
      <c r="A36" s="223" t="s">
        <v>288</v>
      </c>
      <c r="B36" s="229">
        <f>+B31</f>
        <v>41491948.298103809</v>
      </c>
      <c r="C36" s="229">
        <f t="shared" ref="C36:D36" si="5">+C31</f>
        <v>44229904.232182942</v>
      </c>
      <c r="D36" s="229">
        <f t="shared" si="5"/>
        <v>44256891</v>
      </c>
    </row>
    <row r="37" spans="1:4">
      <c r="A37" s="223" t="s">
        <v>319</v>
      </c>
      <c r="B37" s="229">
        <f>IF(B36=0,0,+B11-B36)</f>
        <v>1992051.7018961906</v>
      </c>
      <c r="C37" s="229">
        <f>IF(C36=0,0,+C11-C36)</f>
        <v>3913095.7678170577</v>
      </c>
      <c r="D37" s="229">
        <f>IF(D36=0,0,+D11-D36)</f>
        <v>2333109</v>
      </c>
    </row>
    <row r="38" spans="1:4" hidden="1">
      <c r="A38" s="223"/>
      <c r="B38" s="229"/>
      <c r="C38" s="229"/>
      <c r="D38" s="229"/>
    </row>
    <row r="39" spans="1:4">
      <c r="A39" s="230" t="s">
        <v>317</v>
      </c>
      <c r="B39" s="228">
        <f ca="1">+B37*B32</f>
        <v>21115.748040099621</v>
      </c>
      <c r="C39" s="228">
        <f ca="1">+C37*C32</f>
        <v>41478.815138860809</v>
      </c>
      <c r="D39" s="228">
        <f ca="1">+D37*D32</f>
        <v>24730.955399999999</v>
      </c>
    </row>
    <row r="42" spans="1:4" ht="18" customHeight="1"/>
    <row r="43" spans="1:4" ht="30">
      <c r="A43" s="245" t="s">
        <v>769</v>
      </c>
    </row>
    <row r="44" spans="1:4">
      <c r="A44" s="246">
        <f ca="1">+'Conta Gráfica abr a jun24'!D38</f>
        <v>-12452.190399999999</v>
      </c>
    </row>
    <row r="46" spans="1:4" ht="30">
      <c r="A46" s="245" t="s">
        <v>770</v>
      </c>
    </row>
    <row r="47" spans="1:4">
      <c r="A47" s="247">
        <f ca="1">+'Conta Gráfica jul a set24'!B39+'Conta Gráfica jul a set24'!C39</f>
        <v>115360.32284378825</v>
      </c>
    </row>
    <row r="49" spans="1:8">
      <c r="A49" s="133"/>
    </row>
    <row r="52" spans="1:8">
      <c r="H52" s="18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35E8-0754-4377-B6BC-74231C611FD7}">
  <dimension ref="A1:H52"/>
  <sheetViews>
    <sheetView showGridLines="0" topLeftCell="A13" zoomScaleNormal="100" workbookViewId="0">
      <selection activeCell="D39" sqref="D39"/>
    </sheetView>
  </sheetViews>
  <sheetFormatPr defaultRowHeight="15"/>
  <cols>
    <col min="1" max="1" width="35.42578125" customWidth="1"/>
    <col min="2" max="2" width="17" customWidth="1"/>
    <col min="3" max="3" width="18.42578125" customWidth="1"/>
    <col min="4" max="4" width="13.5703125" customWidth="1"/>
    <col min="5" max="5" width="17" bestFit="1" customWidth="1"/>
    <col min="6" max="7" width="16" bestFit="1" customWidth="1"/>
    <col min="8" max="8" width="27" customWidth="1"/>
  </cols>
  <sheetData>
    <row r="1" spans="1:8">
      <c r="A1" s="231" t="s">
        <v>249</v>
      </c>
      <c r="B1" s="231">
        <f t="shared" ref="B1:C1" si="0">C2-B2</f>
        <v>31</v>
      </c>
      <c r="C1" s="231">
        <f t="shared" si="0"/>
        <v>30</v>
      </c>
      <c r="D1" s="231">
        <v>31</v>
      </c>
    </row>
    <row r="2" spans="1:8">
      <c r="A2" s="231" t="s">
        <v>15</v>
      </c>
      <c r="B2" s="232">
        <v>45778</v>
      </c>
      <c r="C2" s="232">
        <v>45809</v>
      </c>
      <c r="D2" s="232">
        <v>45839</v>
      </c>
    </row>
    <row r="3" spans="1:8">
      <c r="A3" s="231" t="s">
        <v>17</v>
      </c>
      <c r="B3" s="233">
        <v>1053000</v>
      </c>
      <c r="C3" s="233">
        <v>1053000</v>
      </c>
      <c r="D3" s="233">
        <v>1053000</v>
      </c>
    </row>
    <row r="4" spans="1:8">
      <c r="A4" s="231" t="s">
        <v>250</v>
      </c>
      <c r="B4" s="234">
        <v>35000</v>
      </c>
      <c r="C4" s="234">
        <v>35000</v>
      </c>
      <c r="D4" s="234">
        <v>35000</v>
      </c>
    </row>
    <row r="5" spans="1:8">
      <c r="A5" s="231" t="s">
        <v>251</v>
      </c>
      <c r="B5" s="234">
        <v>5000</v>
      </c>
      <c r="C5" s="234">
        <v>5000</v>
      </c>
      <c r="D5" s="234">
        <v>5000</v>
      </c>
    </row>
    <row r="6" spans="1:8">
      <c r="A6" s="231" t="s">
        <v>440</v>
      </c>
      <c r="B6" s="233">
        <v>10000</v>
      </c>
      <c r="C6" s="233">
        <v>10000</v>
      </c>
      <c r="D6" s="233">
        <v>10000</v>
      </c>
    </row>
    <row r="7" spans="1:8">
      <c r="A7" s="231" t="s">
        <v>441</v>
      </c>
      <c r="B7" s="233">
        <v>250000</v>
      </c>
      <c r="C7" s="233">
        <v>250000</v>
      </c>
      <c r="D7" s="233">
        <v>250000</v>
      </c>
    </row>
    <row r="8" spans="1:8">
      <c r="A8" s="231" t="s">
        <v>767</v>
      </c>
      <c r="B8" s="233">
        <v>200000</v>
      </c>
      <c r="C8" s="233">
        <v>200000</v>
      </c>
      <c r="D8" s="233">
        <v>200000</v>
      </c>
    </row>
    <row r="9" spans="1:8">
      <c r="A9" s="235" t="s">
        <v>696</v>
      </c>
      <c r="B9" s="248"/>
      <c r="C9" s="249"/>
      <c r="D9" s="249"/>
    </row>
    <row r="10" spans="1:8">
      <c r="A10" s="223" t="s">
        <v>252</v>
      </c>
      <c r="B10" s="233">
        <f t="shared" ref="B10:C10" si="1">SUM(B3:B9)</f>
        <v>1553000</v>
      </c>
      <c r="C10" s="233">
        <f t="shared" si="1"/>
        <v>1553000</v>
      </c>
      <c r="D10" s="233">
        <f>SUM(D3:D9)</f>
        <v>1553000</v>
      </c>
    </row>
    <row r="11" spans="1:8">
      <c r="A11" s="238" t="s">
        <v>253</v>
      </c>
      <c r="B11" s="239">
        <f>+B10*B1</f>
        <v>48143000</v>
      </c>
      <c r="C11" s="239">
        <f>+C10*C1</f>
        <v>46590000</v>
      </c>
      <c r="D11" s="239">
        <f>+D10*D1</f>
        <v>48143000</v>
      </c>
    </row>
    <row r="13" spans="1:8" ht="45">
      <c r="A13" s="240" t="s">
        <v>254</v>
      </c>
      <c r="B13" s="240" t="s">
        <v>320</v>
      </c>
      <c r="C13" s="241">
        <f>SUM(B11:D11)</f>
        <v>142876000</v>
      </c>
      <c r="D13" s="182"/>
      <c r="E13" s="182"/>
      <c r="F13" s="182"/>
      <c r="G13" s="182"/>
      <c r="H13" s="183"/>
    </row>
    <row r="15" spans="1:8" ht="30">
      <c r="A15" s="240" t="s">
        <v>256</v>
      </c>
      <c r="B15" s="240" t="s">
        <v>257</v>
      </c>
      <c r="C15" s="242">
        <f ca="1">'Conta Gráfica'!AM74+A44+A47</f>
        <v>4171444.0473937867</v>
      </c>
      <c r="D15" s="133"/>
    </row>
    <row r="17" spans="1:5" ht="45">
      <c r="A17" s="243" t="s">
        <v>258</v>
      </c>
      <c r="B17" s="243" t="s">
        <v>259</v>
      </c>
      <c r="C17" s="244">
        <f ca="1">ROUND(C15/C13,4)</f>
        <v>2.92E-2</v>
      </c>
      <c r="D17" s="198"/>
      <c r="E17" s="133"/>
    </row>
    <row r="18" spans="1:5">
      <c r="D18" s="133"/>
      <c r="E18" s="205"/>
    </row>
    <row r="19" spans="1:5">
      <c r="E19" s="205"/>
    </row>
    <row r="23" spans="1:5">
      <c r="C23" s="19"/>
    </row>
    <row r="30" spans="1:5">
      <c r="A30" s="223" t="s">
        <v>286</v>
      </c>
      <c r="B30" s="224">
        <f>+B2</f>
        <v>45778</v>
      </c>
      <c r="C30" s="224">
        <f>+C2</f>
        <v>45809</v>
      </c>
      <c r="D30" s="224">
        <f>+D2</f>
        <v>45839</v>
      </c>
    </row>
    <row r="31" spans="1:5" hidden="1">
      <c r="A31" s="223" t="s">
        <v>288</v>
      </c>
      <c r="B31" s="225">
        <f>HLOOKUP(B30,'Conta Gráfica'!3:31,29,0)</f>
        <v>43024675</v>
      </c>
      <c r="C31" s="225">
        <f>HLOOKUP(C30,'Conta Gráfica'!3:31,29,0)</f>
        <v>40380756.730000004</v>
      </c>
      <c r="D31" s="225">
        <f>HLOOKUP(D30,'Conta Gráfica'!3:31,29,0)</f>
        <v>46297579.052581415</v>
      </c>
    </row>
    <row r="32" spans="1:5">
      <c r="A32" s="223" t="s">
        <v>259</v>
      </c>
      <c r="B32" s="226">
        <f ca="1">+C17</f>
        <v>2.92E-2</v>
      </c>
      <c r="C32" s="226">
        <f ca="1">+B32</f>
        <v>2.92E-2</v>
      </c>
      <c r="D32" s="226">
        <f t="shared" ref="D32" ca="1" si="2">+C32</f>
        <v>2.92E-2</v>
      </c>
    </row>
    <row r="33" spans="1:4" hidden="1">
      <c r="A33" s="223" t="s">
        <v>287</v>
      </c>
      <c r="B33" s="227">
        <f ca="1">+B32*B31</f>
        <v>1256320.51</v>
      </c>
      <c r="C33" s="227">
        <f t="shared" ref="C33:D33" ca="1" si="3">+C32*C31</f>
        <v>1179118.0965160001</v>
      </c>
      <c r="D33" s="227">
        <f t="shared" ca="1" si="3"/>
        <v>1351889.3083353774</v>
      </c>
    </row>
    <row r="34" spans="1:4" hidden="1">
      <c r="A34" s="228" t="s">
        <v>289</v>
      </c>
      <c r="B34" s="228">
        <f ca="1">C15-B33</f>
        <v>2915123.5373937869</v>
      </c>
      <c r="C34" s="228">
        <f ca="1">B34-C33</f>
        <v>1736005.4408777868</v>
      </c>
      <c r="D34" s="228">
        <f t="shared" ref="D34" ca="1" si="4">C34-D33</f>
        <v>384116.13254240947</v>
      </c>
    </row>
    <row r="35" spans="1:4" hidden="1"/>
    <row r="36" spans="1:4">
      <c r="A36" s="223" t="s">
        <v>288</v>
      </c>
      <c r="B36" s="229">
        <f>+B31</f>
        <v>43024675</v>
      </c>
      <c r="C36" s="229">
        <f t="shared" ref="C36:D36" si="5">+C31</f>
        <v>40380756.730000004</v>
      </c>
      <c r="D36" s="229">
        <f t="shared" si="5"/>
        <v>46297579.052581415</v>
      </c>
    </row>
    <row r="37" spans="1:4">
      <c r="A37" s="223" t="s">
        <v>319</v>
      </c>
      <c r="B37" s="229">
        <f>IF(B36=0,0,+B11-B36)</f>
        <v>5118325</v>
      </c>
      <c r="C37" s="229">
        <f>IF(C36=0,0,+C11-C36)</f>
        <v>6209243.2699999958</v>
      </c>
      <c r="D37" s="229">
        <f>IF(D36=0,0,+D11-D36)</f>
        <v>1845420.9474185854</v>
      </c>
    </row>
    <row r="38" spans="1:4" hidden="1">
      <c r="A38" s="223"/>
      <c r="B38" s="229"/>
      <c r="C38" s="229"/>
      <c r="D38" s="229"/>
    </row>
    <row r="39" spans="1:4">
      <c r="A39" s="230" t="s">
        <v>317</v>
      </c>
      <c r="B39" s="228">
        <f ca="1">+B37*B32</f>
        <v>149455.09</v>
      </c>
      <c r="C39" s="228">
        <f ca="1">+C37*C32</f>
        <v>181309.90348399989</v>
      </c>
      <c r="D39" s="228">
        <f ca="1">+D37*D32</f>
        <v>53886.291664622695</v>
      </c>
    </row>
    <row r="42" spans="1:4" ht="18" customHeight="1"/>
    <row r="43" spans="1:4" ht="30">
      <c r="A43" s="245" t="s">
        <v>810</v>
      </c>
    </row>
    <row r="44" spans="1:4">
      <c r="A44" s="246">
        <f ca="1">+'Conta Gráfica jul a set24'!D39</f>
        <v>126264.56036482591</v>
      </c>
      <c r="B44" s="45"/>
    </row>
    <row r="46" spans="1:4" ht="45">
      <c r="A46" s="245" t="s">
        <v>811</v>
      </c>
    </row>
    <row r="47" spans="1:4">
      <c r="A47" s="247">
        <f ca="1">+'Conta Gráfica out a dez24'!B39+'Conta Gráfica out a dez24'!C39</f>
        <v>62594.56317896043</v>
      </c>
    </row>
    <row r="52" spans="8:8">
      <c r="H52" s="18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E660-FFFD-4631-89F2-12FDB161E745}">
  <dimension ref="A1:H52"/>
  <sheetViews>
    <sheetView showGridLines="0" topLeftCell="A18" zoomScaleNormal="100" workbookViewId="0">
      <selection activeCell="D39" sqref="D39"/>
    </sheetView>
  </sheetViews>
  <sheetFormatPr defaultRowHeight="15"/>
  <cols>
    <col min="1" max="1" width="35.85546875" customWidth="1"/>
    <col min="2" max="2" width="15.28515625" customWidth="1"/>
    <col min="3" max="3" width="15.42578125" customWidth="1"/>
    <col min="4" max="4" width="17.85546875" customWidth="1"/>
    <col min="5" max="5" width="17" bestFit="1" customWidth="1"/>
    <col min="6" max="7" width="16" bestFit="1" customWidth="1"/>
    <col min="8" max="8" width="27" customWidth="1"/>
  </cols>
  <sheetData>
    <row r="1" spans="1:8">
      <c r="A1" s="231" t="s">
        <v>249</v>
      </c>
      <c r="B1" s="231">
        <f t="shared" ref="B1:C1" si="0">C2-B2</f>
        <v>31</v>
      </c>
      <c r="C1" s="231">
        <f t="shared" si="0"/>
        <v>30</v>
      </c>
      <c r="D1" s="231">
        <v>31</v>
      </c>
    </row>
    <row r="2" spans="1:8">
      <c r="A2" s="231" t="s">
        <v>15</v>
      </c>
      <c r="B2" s="232">
        <v>45870</v>
      </c>
      <c r="C2" s="232">
        <v>45901</v>
      </c>
      <c r="D2" s="232">
        <v>45931</v>
      </c>
    </row>
    <row r="3" spans="1:8">
      <c r="A3" s="231" t="s">
        <v>17</v>
      </c>
      <c r="B3" s="233">
        <v>1053000</v>
      </c>
      <c r="C3" s="233">
        <v>1053000</v>
      </c>
      <c r="D3" s="233">
        <v>1053000</v>
      </c>
    </row>
    <row r="4" spans="1:8">
      <c r="A4" s="231" t="s">
        <v>250</v>
      </c>
      <c r="B4" s="234">
        <v>35000</v>
      </c>
      <c r="C4" s="234">
        <v>35000</v>
      </c>
      <c r="D4" s="234">
        <v>35000</v>
      </c>
    </row>
    <row r="5" spans="1:8">
      <c r="A5" s="231" t="s">
        <v>251</v>
      </c>
      <c r="B5" s="234">
        <v>5000</v>
      </c>
      <c r="C5" s="234">
        <v>5000</v>
      </c>
      <c r="D5" s="234">
        <v>5000</v>
      </c>
    </row>
    <row r="6" spans="1:8">
      <c r="A6" s="231" t="s">
        <v>440</v>
      </c>
      <c r="B6" s="233">
        <v>10000</v>
      </c>
      <c r="C6" s="233">
        <v>10000</v>
      </c>
      <c r="D6" s="233">
        <v>10000</v>
      </c>
    </row>
    <row r="7" spans="1:8">
      <c r="A7" s="231" t="s">
        <v>441</v>
      </c>
      <c r="B7" s="233">
        <v>250000</v>
      </c>
      <c r="C7" s="233">
        <v>250000</v>
      </c>
      <c r="D7" s="233">
        <v>250000</v>
      </c>
    </row>
    <row r="8" spans="1:8">
      <c r="A8" s="231" t="s">
        <v>767</v>
      </c>
      <c r="B8" s="233">
        <v>200000</v>
      </c>
      <c r="C8" s="233">
        <v>200000</v>
      </c>
      <c r="D8" s="233">
        <v>200000</v>
      </c>
    </row>
    <row r="9" spans="1:8">
      <c r="A9" s="235" t="s">
        <v>696</v>
      </c>
      <c r="B9" s="356"/>
      <c r="C9" s="357"/>
      <c r="D9" s="357"/>
    </row>
    <row r="10" spans="1:8">
      <c r="A10" s="223" t="s">
        <v>252</v>
      </c>
      <c r="B10" s="233">
        <f t="shared" ref="B10:C10" si="1">SUM(B3:B9)</f>
        <v>1553000</v>
      </c>
      <c r="C10" s="233">
        <f t="shared" si="1"/>
        <v>1553000</v>
      </c>
      <c r="D10" s="233">
        <f>SUM(D3:D9)</f>
        <v>1553000</v>
      </c>
    </row>
    <row r="11" spans="1:8">
      <c r="A11" s="238" t="s">
        <v>253</v>
      </c>
      <c r="B11" s="239">
        <f>+B10*B1</f>
        <v>48143000</v>
      </c>
      <c r="C11" s="239">
        <f>+C10*C1</f>
        <v>46590000</v>
      </c>
      <c r="D11" s="239">
        <f>+D10*D1</f>
        <v>48143000</v>
      </c>
    </row>
    <row r="13" spans="1:8" ht="45">
      <c r="A13" s="240" t="s">
        <v>254</v>
      </c>
      <c r="B13" s="240" t="s">
        <v>320</v>
      </c>
      <c r="C13" s="241">
        <f>SUM(B11:D11)</f>
        <v>142876000</v>
      </c>
      <c r="D13" s="182"/>
      <c r="E13" s="182"/>
      <c r="F13" s="182"/>
      <c r="G13" s="182"/>
      <c r="H13" s="183"/>
    </row>
    <row r="15" spans="1:8" ht="30">
      <c r="A15" s="240" t="s">
        <v>256</v>
      </c>
      <c r="B15" s="240" t="s">
        <v>257</v>
      </c>
      <c r="C15" s="242">
        <f ca="1">'Conta Gráfica'!AP74+A44+A47</f>
        <v>1657422.2298839991</v>
      </c>
      <c r="D15" s="133"/>
    </row>
    <row r="16" spans="1:8" ht="11.45" customHeight="1"/>
    <row r="17" spans="1:5" ht="45">
      <c r="A17" s="243" t="s">
        <v>258</v>
      </c>
      <c r="B17" s="243" t="s">
        <v>259</v>
      </c>
      <c r="C17" s="244">
        <f ca="1">ROUND(C15/C13,4)</f>
        <v>1.1599999999999999E-2</v>
      </c>
      <c r="D17" s="198"/>
      <c r="E17" s="133"/>
    </row>
    <row r="18" spans="1:5">
      <c r="D18" s="133"/>
      <c r="E18" s="205"/>
    </row>
    <row r="19" spans="1:5">
      <c r="E19" s="205"/>
    </row>
    <row r="20" spans="1:5">
      <c r="C20" s="198"/>
    </row>
    <row r="21" spans="1:5">
      <c r="C21" s="133"/>
      <c r="D21" s="41"/>
    </row>
    <row r="22" spans="1:5">
      <c r="C22" s="133"/>
      <c r="D22" s="41"/>
    </row>
    <row r="23" spans="1:5">
      <c r="C23" s="133"/>
      <c r="D23" s="41"/>
    </row>
    <row r="30" spans="1:5">
      <c r="A30" s="223" t="s">
        <v>286</v>
      </c>
      <c r="B30" s="224">
        <f>+B2</f>
        <v>45870</v>
      </c>
      <c r="C30" s="224">
        <f>+C2</f>
        <v>45901</v>
      </c>
      <c r="D30" s="224">
        <f>+D2</f>
        <v>45931</v>
      </c>
    </row>
    <row r="31" spans="1:5" hidden="1">
      <c r="A31" s="223" t="s">
        <v>288</v>
      </c>
      <c r="B31" s="225">
        <f>HLOOKUP(B30,'Conta Gráfica'!3:31,29,0)</f>
        <v>46389185</v>
      </c>
      <c r="C31" s="225">
        <f>HLOOKUP(C30,'Conta Gráfica'!3:31,29,0)</f>
        <v>44711162</v>
      </c>
      <c r="D31" s="225">
        <f>HLOOKUP(D30,'Conta Gráfica'!3:31,29,0)</f>
        <v>46239260</v>
      </c>
    </row>
    <row r="32" spans="1:5">
      <c r="A32" s="223" t="s">
        <v>259</v>
      </c>
      <c r="B32" s="226">
        <f ca="1">+C17</f>
        <v>1.1599999999999999E-2</v>
      </c>
      <c r="C32" s="226">
        <f ca="1">+B32</f>
        <v>1.1599999999999999E-2</v>
      </c>
      <c r="D32" s="226">
        <f t="shared" ref="D32" ca="1" si="2">+C32</f>
        <v>1.1599999999999999E-2</v>
      </c>
    </row>
    <row r="33" spans="1:4" hidden="1">
      <c r="A33" s="223" t="s">
        <v>287</v>
      </c>
      <c r="B33" s="227">
        <f ca="1">+B32*B31</f>
        <v>538114.54599999997</v>
      </c>
      <c r="C33" s="227">
        <f t="shared" ref="C33:D33" ca="1" si="3">+C32*C31</f>
        <v>518649.47919999994</v>
      </c>
      <c r="D33" s="227">
        <f t="shared" ca="1" si="3"/>
        <v>536375.41599999997</v>
      </c>
    </row>
    <row r="34" spans="1:4" hidden="1">
      <c r="A34" s="228" t="s">
        <v>289</v>
      </c>
      <c r="B34" s="228">
        <f ca="1">C15-B33</f>
        <v>1119307.683883999</v>
      </c>
      <c r="C34" s="228">
        <f ca="1">B34-C33</f>
        <v>600658.20468399907</v>
      </c>
      <c r="D34" s="228">
        <f t="shared" ref="D34" ca="1" si="4">C34-D33</f>
        <v>64282.788683999097</v>
      </c>
    </row>
    <row r="35" spans="1:4" hidden="1"/>
    <row r="36" spans="1:4">
      <c r="A36" s="223" t="s">
        <v>288</v>
      </c>
      <c r="B36" s="229">
        <f>+B31</f>
        <v>46389185</v>
      </c>
      <c r="C36" s="229">
        <f t="shared" ref="C36:D36" si="5">+C31</f>
        <v>44711162</v>
      </c>
      <c r="D36" s="229">
        <f t="shared" si="5"/>
        <v>46239260</v>
      </c>
    </row>
    <row r="37" spans="1:4">
      <c r="A37" s="223" t="s">
        <v>319</v>
      </c>
      <c r="B37" s="229">
        <f>IF(B36=0,0,+B11-B36)</f>
        <v>1753815</v>
      </c>
      <c r="C37" s="229">
        <f>IF(C36=0,0,+C11-C36)</f>
        <v>1878838</v>
      </c>
      <c r="D37" s="229">
        <f>IF(D36=0,0,+D11-D36)</f>
        <v>1903740</v>
      </c>
    </row>
    <row r="38" spans="1:4" hidden="1">
      <c r="A38" s="223"/>
      <c r="B38" s="229"/>
      <c r="C38" s="229"/>
      <c r="D38" s="229"/>
    </row>
    <row r="39" spans="1:4">
      <c r="A39" s="230" t="s">
        <v>317</v>
      </c>
      <c r="B39" s="228">
        <f ca="1">+B37*B32</f>
        <v>20344.253999999997</v>
      </c>
      <c r="C39" s="228">
        <f ca="1">+C37*C32</f>
        <v>21794.520799999998</v>
      </c>
      <c r="D39" s="228">
        <f ca="1">+D37*D32</f>
        <v>22083.383999999998</v>
      </c>
    </row>
    <row r="42" spans="1:4" ht="18" customHeight="1"/>
    <row r="43" spans="1:4" ht="30">
      <c r="A43" s="245" t="s">
        <v>897</v>
      </c>
    </row>
    <row r="44" spans="1:4">
      <c r="A44" s="246">
        <f ca="1">'Conta Gráfica out a dez24'!D39</f>
        <v>24730.955399999999</v>
      </c>
      <c r="B44" s="45"/>
    </row>
    <row r="46" spans="1:4" ht="45">
      <c r="A46" s="245" t="s">
        <v>898</v>
      </c>
    </row>
    <row r="47" spans="1:4">
      <c r="A47" s="247">
        <f ca="1">'Conta Gráfica jan a mar25'!B39+'Conta Gráfica jan a mar25'!C39</f>
        <v>330764.99348399986</v>
      </c>
    </row>
    <row r="52" spans="8:8">
      <c r="H52" s="18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39AE-C6D7-40FD-92B0-A0D90DEC3DCB}">
  <dimension ref="A1:H52"/>
  <sheetViews>
    <sheetView showGridLines="0" topLeftCell="A23" zoomScaleNormal="100" workbookViewId="0">
      <selection activeCell="D39" sqref="D39"/>
    </sheetView>
  </sheetViews>
  <sheetFormatPr defaultRowHeight="15"/>
  <cols>
    <col min="1" max="1" width="34.28515625" customWidth="1"/>
    <col min="2" max="2" width="14.5703125" customWidth="1"/>
    <col min="3" max="3" width="15" customWidth="1"/>
    <col min="4" max="4" width="17.85546875" customWidth="1"/>
    <col min="5" max="5" width="17" bestFit="1" customWidth="1"/>
    <col min="6" max="7" width="16" bestFit="1" customWidth="1"/>
    <col min="8" max="8" width="27" customWidth="1"/>
  </cols>
  <sheetData>
    <row r="1" spans="1:8">
      <c r="A1" s="231" t="s">
        <v>249</v>
      </c>
      <c r="B1" s="231">
        <f t="shared" ref="B1:C1" si="0">C2-B2</f>
        <v>30</v>
      </c>
      <c r="C1" s="231">
        <f t="shared" si="0"/>
        <v>31</v>
      </c>
      <c r="D1" s="231">
        <v>31</v>
      </c>
    </row>
    <row r="2" spans="1:8">
      <c r="A2" s="231" t="s">
        <v>15</v>
      </c>
      <c r="B2" s="232">
        <v>45962</v>
      </c>
      <c r="C2" s="232">
        <v>45992</v>
      </c>
      <c r="D2" s="232">
        <v>46023</v>
      </c>
    </row>
    <row r="3" spans="1:8">
      <c r="A3" s="231" t="s">
        <v>17</v>
      </c>
      <c r="B3" s="366">
        <v>1053000</v>
      </c>
      <c r="C3" s="366">
        <v>1053000</v>
      </c>
      <c r="D3" s="366">
        <v>1053000</v>
      </c>
    </row>
    <row r="4" spans="1:8">
      <c r="A4" s="231" t="s">
        <v>250</v>
      </c>
      <c r="B4" s="367">
        <v>35000</v>
      </c>
      <c r="C4" s="367">
        <v>35000</v>
      </c>
      <c r="D4" s="367">
        <v>35000</v>
      </c>
    </row>
    <row r="5" spans="1:8">
      <c r="A5" s="231" t="s">
        <v>251</v>
      </c>
      <c r="B5" s="367">
        <v>5000</v>
      </c>
      <c r="C5" s="367">
        <v>5000</v>
      </c>
      <c r="D5" s="367">
        <v>5000</v>
      </c>
    </row>
    <row r="6" spans="1:8">
      <c r="A6" s="231" t="s">
        <v>440</v>
      </c>
      <c r="B6" s="366">
        <v>10000</v>
      </c>
      <c r="C6" s="366">
        <v>10000</v>
      </c>
      <c r="D6" s="366">
        <v>10000</v>
      </c>
    </row>
    <row r="7" spans="1:8">
      <c r="A7" s="231" t="s">
        <v>441</v>
      </c>
      <c r="B7" s="366">
        <v>250000</v>
      </c>
      <c r="C7" s="366">
        <v>250000</v>
      </c>
      <c r="D7" s="366">
        <v>250000</v>
      </c>
    </row>
    <row r="8" spans="1:8">
      <c r="A8" s="231" t="s">
        <v>767</v>
      </c>
      <c r="B8" s="366">
        <v>200000</v>
      </c>
      <c r="C8" s="366">
        <v>200000</v>
      </c>
      <c r="D8" s="366">
        <v>200000</v>
      </c>
    </row>
    <row r="9" spans="1:8">
      <c r="A9" s="235" t="s">
        <v>696</v>
      </c>
      <c r="B9" s="369"/>
      <c r="C9" s="370"/>
      <c r="D9" s="370"/>
    </row>
    <row r="10" spans="1:8">
      <c r="A10" s="223" t="s">
        <v>252</v>
      </c>
      <c r="B10" s="366">
        <f t="shared" ref="B10:C10" si="1">SUM(B3:B9)</f>
        <v>1553000</v>
      </c>
      <c r="C10" s="366">
        <f t="shared" si="1"/>
        <v>1553000</v>
      </c>
      <c r="D10" s="366">
        <f>SUM(D3:D9)</f>
        <v>1553000</v>
      </c>
    </row>
    <row r="11" spans="1:8">
      <c r="A11" s="238" t="s">
        <v>253</v>
      </c>
      <c r="B11" s="368">
        <f>+B10*B1</f>
        <v>46590000</v>
      </c>
      <c r="C11" s="368">
        <f>+C10*C1</f>
        <v>48143000</v>
      </c>
      <c r="D11" s="368">
        <f>+D10*D1</f>
        <v>48143000</v>
      </c>
    </row>
    <row r="13" spans="1:8" ht="45">
      <c r="A13" s="240" t="s">
        <v>254</v>
      </c>
      <c r="B13" s="240" t="s">
        <v>320</v>
      </c>
      <c r="C13" s="241">
        <f>SUM(B11:D11)</f>
        <v>142876000</v>
      </c>
      <c r="D13" s="182"/>
      <c r="E13" s="182"/>
      <c r="F13" s="182"/>
      <c r="G13" s="182"/>
      <c r="H13" s="183"/>
    </row>
    <row r="15" spans="1:8" ht="30">
      <c r="A15" s="240" t="s">
        <v>256</v>
      </c>
      <c r="B15" s="240" t="s">
        <v>257</v>
      </c>
      <c r="C15" s="242">
        <f ca="1">'Conta Gráfica'!AS74+A44+A47</f>
        <v>-3005845.5256629763</v>
      </c>
      <c r="D15" s="133"/>
    </row>
    <row r="16" spans="1:8" ht="11.45" customHeight="1"/>
    <row r="17" spans="1:5" ht="45">
      <c r="A17" s="243" t="s">
        <v>258</v>
      </c>
      <c r="B17" s="243" t="s">
        <v>259</v>
      </c>
      <c r="C17" s="244">
        <f ca="1">ROUND(C15/C13,4)</f>
        <v>-2.1000000000000001E-2</v>
      </c>
      <c r="D17" s="198"/>
      <c r="E17" s="133"/>
    </row>
    <row r="18" spans="1:5">
      <c r="D18" s="133"/>
      <c r="E18" s="205"/>
    </row>
    <row r="19" spans="1:5">
      <c r="E19" s="205"/>
    </row>
    <row r="20" spans="1:5">
      <c r="C20" s="198"/>
    </row>
    <row r="21" spans="1:5">
      <c r="C21" s="133"/>
      <c r="D21" s="41"/>
    </row>
    <row r="22" spans="1:5">
      <c r="C22" s="133"/>
      <c r="D22" s="41"/>
    </row>
    <row r="23" spans="1:5">
      <c r="C23" s="133"/>
      <c r="D23" s="41"/>
    </row>
    <row r="30" spans="1:5">
      <c r="A30" s="223" t="s">
        <v>286</v>
      </c>
      <c r="B30" s="224">
        <f>+B2</f>
        <v>45962</v>
      </c>
      <c r="C30" s="224">
        <f>+C2</f>
        <v>45992</v>
      </c>
      <c r="D30" s="224">
        <f>+D2</f>
        <v>46023</v>
      </c>
    </row>
    <row r="31" spans="1:5" hidden="1">
      <c r="A31" s="223" t="s">
        <v>288</v>
      </c>
      <c r="B31" s="225">
        <f>HLOOKUP(B30,'Conta Gráfica'!3:31,29,0)</f>
        <v>44854755</v>
      </c>
      <c r="C31" s="225">
        <f>HLOOKUP(C30,'Conta Gráfica'!3:31,29,0)</f>
        <v>42801236</v>
      </c>
      <c r="D31" s="225">
        <f>HLOOKUP(D30,'Conta Gráfica'!3:31,29,0)</f>
        <v>0</v>
      </c>
    </row>
    <row r="32" spans="1:5">
      <c r="A32" s="223" t="s">
        <v>259</v>
      </c>
      <c r="B32" s="226">
        <f ca="1">+C17</f>
        <v>-2.1000000000000001E-2</v>
      </c>
      <c r="C32" s="226">
        <f ca="1">+B32</f>
        <v>-2.1000000000000001E-2</v>
      </c>
      <c r="D32" s="226">
        <f t="shared" ref="D32" ca="1" si="2">+C32</f>
        <v>-2.1000000000000001E-2</v>
      </c>
    </row>
    <row r="33" spans="1:4" hidden="1">
      <c r="A33" s="223" t="s">
        <v>287</v>
      </c>
      <c r="B33" s="227">
        <f ca="1">+B32*B31</f>
        <v>-941949.8550000001</v>
      </c>
      <c r="C33" s="227">
        <f t="shared" ref="C33:D33" ca="1" si="3">+C32*C31</f>
        <v>-898825.95600000001</v>
      </c>
      <c r="D33" s="227">
        <f t="shared" ca="1" si="3"/>
        <v>0</v>
      </c>
    </row>
    <row r="34" spans="1:4" hidden="1">
      <c r="A34" s="228" t="s">
        <v>289</v>
      </c>
      <c r="B34" s="228">
        <f ca="1">C15-B33</f>
        <v>-2063895.6706629763</v>
      </c>
      <c r="C34" s="228">
        <f ca="1">B34-C33</f>
        <v>-1165069.7146629763</v>
      </c>
      <c r="D34" s="228">
        <f t="shared" ref="D34" ca="1" si="4">C34-D33</f>
        <v>-1165069.7146629763</v>
      </c>
    </row>
    <row r="35" spans="1:4" hidden="1"/>
    <row r="36" spans="1:4">
      <c r="A36" s="223" t="s">
        <v>288</v>
      </c>
      <c r="B36" s="229">
        <f>+B31</f>
        <v>44854755</v>
      </c>
      <c r="C36" s="229">
        <f t="shared" ref="C36:D36" si="5">+C31</f>
        <v>42801236</v>
      </c>
      <c r="D36" s="250">
        <f t="shared" si="5"/>
        <v>0</v>
      </c>
    </row>
    <row r="37" spans="1:4">
      <c r="A37" s="223" t="s">
        <v>319</v>
      </c>
      <c r="B37" s="229">
        <f>IF(B36=0,0,+B11-B36)</f>
        <v>1735245</v>
      </c>
      <c r="C37" s="229">
        <f>IF(C36=0,0,+C11-C36)</f>
        <v>5341764</v>
      </c>
      <c r="D37" s="250">
        <f>IF(D36=0,0,+D11-D36)</f>
        <v>0</v>
      </c>
    </row>
    <row r="38" spans="1:4" hidden="1">
      <c r="A38" s="223"/>
      <c r="B38" s="229"/>
      <c r="C38" s="229"/>
      <c r="D38" s="250"/>
    </row>
    <row r="39" spans="1:4">
      <c r="A39" s="230" t="s">
        <v>317</v>
      </c>
      <c r="B39" s="228">
        <f ca="1">+B37*B32</f>
        <v>-36440.145000000004</v>
      </c>
      <c r="C39" s="228">
        <f ca="1">+C37*C32</f>
        <v>-112177.04400000001</v>
      </c>
      <c r="D39" s="251">
        <f ca="1">+D37*D32</f>
        <v>0</v>
      </c>
    </row>
    <row r="42" spans="1:4" ht="18" customHeight="1"/>
    <row r="43" spans="1:4" ht="30">
      <c r="A43" s="245" t="s">
        <v>967</v>
      </c>
    </row>
    <row r="44" spans="1:4">
      <c r="A44" s="246">
        <f ca="1">+'Conta Gráfica jan a mar25'!D39</f>
        <v>53886.291664622695</v>
      </c>
      <c r="B44" s="45"/>
    </row>
    <row r="46" spans="1:4" ht="45">
      <c r="A46" s="245" t="s">
        <v>968</v>
      </c>
    </row>
    <row r="47" spans="1:4">
      <c r="A47" s="247">
        <f ca="1">+'Conta Gráfica abr a jun25'!B39+'Conta Gráfica abr a jun25'!C39</f>
        <v>42138.774799999999</v>
      </c>
    </row>
    <row r="52" spans="8:8">
      <c r="H52" s="18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5D74-2258-4634-9E33-6CA58A91D0ED}">
  <dimension ref="A1:H52"/>
  <sheetViews>
    <sheetView showGridLines="0" topLeftCell="A10" zoomScaleNormal="100" workbookViewId="0">
      <selection activeCell="B33" sqref="B33"/>
    </sheetView>
  </sheetViews>
  <sheetFormatPr defaultRowHeight="15"/>
  <cols>
    <col min="1" max="1" width="29.42578125" customWidth="1"/>
    <col min="2" max="2" width="23.5703125" customWidth="1"/>
    <col min="3" max="3" width="22.85546875" customWidth="1"/>
    <col min="4" max="4" width="17.85546875" customWidth="1"/>
    <col min="5" max="5" width="17" bestFit="1" customWidth="1"/>
    <col min="6" max="7" width="16" bestFit="1" customWidth="1"/>
    <col min="8" max="8" width="27" customWidth="1"/>
  </cols>
  <sheetData>
    <row r="1" spans="1:8">
      <c r="A1" s="231" t="s">
        <v>249</v>
      </c>
      <c r="B1" s="231">
        <f t="shared" ref="B1:C1" si="0">C2-B2</f>
        <v>28</v>
      </c>
      <c r="C1" s="231">
        <f t="shared" si="0"/>
        <v>31</v>
      </c>
      <c r="D1" s="231">
        <v>30</v>
      </c>
    </row>
    <row r="2" spans="1:8">
      <c r="A2" s="231" t="s">
        <v>15</v>
      </c>
      <c r="B2" s="232">
        <v>46054</v>
      </c>
      <c r="C2" s="232">
        <v>46082</v>
      </c>
      <c r="D2" s="232">
        <v>46113</v>
      </c>
    </row>
    <row r="3" spans="1:8">
      <c r="A3" s="231" t="s">
        <v>17</v>
      </c>
      <c r="B3" s="374">
        <v>1053000</v>
      </c>
      <c r="C3" s="374">
        <v>1053000</v>
      </c>
      <c r="D3" s="374">
        <v>1053000</v>
      </c>
    </row>
    <row r="4" spans="1:8">
      <c r="A4" s="231" t="s">
        <v>250</v>
      </c>
      <c r="B4" s="375">
        <v>35000</v>
      </c>
      <c r="C4" s="375">
        <v>35000</v>
      </c>
      <c r="D4" s="375">
        <v>35000</v>
      </c>
    </row>
    <row r="5" spans="1:8">
      <c r="A5" s="231" t="s">
        <v>251</v>
      </c>
      <c r="B5" s="375">
        <v>5000</v>
      </c>
      <c r="C5" s="375">
        <v>5000</v>
      </c>
      <c r="D5" s="375">
        <v>5000</v>
      </c>
    </row>
    <row r="6" spans="1:8">
      <c r="A6" s="231" t="s">
        <v>440</v>
      </c>
      <c r="B6" s="374">
        <v>10000</v>
      </c>
      <c r="C6" s="374">
        <v>10000</v>
      </c>
      <c r="D6" s="374">
        <v>10000</v>
      </c>
    </row>
    <row r="7" spans="1:8">
      <c r="A7" s="231" t="s">
        <v>441</v>
      </c>
      <c r="B7" s="374">
        <v>215000</v>
      </c>
      <c r="C7" s="374">
        <v>215000</v>
      </c>
      <c r="D7" s="374">
        <v>215000</v>
      </c>
    </row>
    <row r="8" spans="1:8">
      <c r="A8" s="231" t="s">
        <v>767</v>
      </c>
      <c r="B8" s="374">
        <v>190000</v>
      </c>
      <c r="C8" s="374">
        <v>190000</v>
      </c>
      <c r="D8" s="374">
        <v>95000</v>
      </c>
    </row>
    <row r="9" spans="1:8">
      <c r="A9" s="235" t="s">
        <v>696</v>
      </c>
      <c r="B9" s="374"/>
      <c r="C9" s="374"/>
      <c r="D9" s="374">
        <v>20000</v>
      </c>
    </row>
    <row r="10" spans="1:8">
      <c r="A10" s="223" t="s">
        <v>252</v>
      </c>
      <c r="B10" s="374">
        <f t="shared" ref="B10:C10" si="1">SUM(B3:B9)</f>
        <v>1508000</v>
      </c>
      <c r="C10" s="374">
        <f t="shared" si="1"/>
        <v>1508000</v>
      </c>
      <c r="D10" s="374">
        <f>SUM(D3:D9)</f>
        <v>1433000</v>
      </c>
    </row>
    <row r="11" spans="1:8">
      <c r="A11" s="238" t="s">
        <v>253</v>
      </c>
      <c r="B11" s="376">
        <f>+B10*B1</f>
        <v>42224000</v>
      </c>
      <c r="C11" s="376">
        <f>+C10*C1</f>
        <v>46748000</v>
      </c>
      <c r="D11" s="376">
        <f>+D10*D1</f>
        <v>42990000</v>
      </c>
    </row>
    <row r="12" spans="1:8">
      <c r="A12" s="377" t="s">
        <v>1112</v>
      </c>
      <c r="B12" s="378">
        <f>+B11-[7]PMPV!D101*[7]PMPV!D90</f>
        <v>0</v>
      </c>
      <c r="C12" s="378">
        <f>+C11-[7]PMPV!E101*[7]PMPV!E90</f>
        <v>0</v>
      </c>
      <c r="D12" s="378">
        <f>+D11-[7]PMPV!F101*[7]PMPV!F90</f>
        <v>0</v>
      </c>
    </row>
    <row r="13" spans="1:8" ht="30">
      <c r="A13" s="240" t="s">
        <v>254</v>
      </c>
      <c r="B13" s="240" t="s">
        <v>320</v>
      </c>
      <c r="C13" s="241">
        <f>SUM(B11:D11)</f>
        <v>131962000</v>
      </c>
      <c r="D13" s="182"/>
      <c r="E13" s="182"/>
      <c r="F13" s="182"/>
      <c r="G13" s="182"/>
      <c r="H13" s="183"/>
    </row>
    <row r="15" spans="1:8" ht="30">
      <c r="A15" s="240" t="s">
        <v>256</v>
      </c>
      <c r="B15" s="240" t="s">
        <v>257</v>
      </c>
      <c r="C15" s="242">
        <f ca="1">'Conta Gráfica'!AV74+A44+A47</f>
        <v>-4234414.0912680756</v>
      </c>
      <c r="D15" s="133"/>
    </row>
    <row r="16" spans="1:8" ht="11.45" customHeight="1"/>
    <row r="17" spans="1:5" ht="30">
      <c r="A17" s="243" t="s">
        <v>258</v>
      </c>
      <c r="B17" s="243" t="s">
        <v>259</v>
      </c>
      <c r="C17" s="244">
        <f ca="1">ROUND(C15/C13,4)</f>
        <v>-3.2099999999999997E-2</v>
      </c>
      <c r="D17" s="198"/>
      <c r="E17" s="133"/>
    </row>
    <row r="18" spans="1:5">
      <c r="D18" s="133"/>
      <c r="E18" s="205"/>
    </row>
    <row r="19" spans="1:5">
      <c r="E19" s="205"/>
    </row>
    <row r="20" spans="1:5">
      <c r="C20" s="198"/>
    </row>
    <row r="21" spans="1:5">
      <c r="C21" s="133"/>
      <c r="D21" s="41"/>
    </row>
    <row r="22" spans="1:5">
      <c r="C22" s="133"/>
      <c r="D22" s="41"/>
    </row>
    <row r="23" spans="1:5">
      <c r="C23" s="133"/>
      <c r="D23" s="41"/>
    </row>
    <row r="30" spans="1:5">
      <c r="A30" s="223" t="s">
        <v>286</v>
      </c>
      <c r="B30" s="224">
        <f>+B2</f>
        <v>46054</v>
      </c>
      <c r="C30" s="224">
        <f>+C2</f>
        <v>46082</v>
      </c>
      <c r="D30" s="224">
        <f>+D2</f>
        <v>46113</v>
      </c>
    </row>
    <row r="31" spans="1:5">
      <c r="A31" s="223" t="s">
        <v>288</v>
      </c>
      <c r="B31" s="225">
        <f>HLOOKUP(B30,'Conta Gráfica'!3:31,29,0)</f>
        <v>0</v>
      </c>
      <c r="C31" s="225">
        <f>HLOOKUP(C30,'Conta Gráfica'!3:31,29,0)</f>
        <v>0</v>
      </c>
      <c r="D31" s="225">
        <f>HLOOKUP(D30,'Conta Gráfica'!3:31,29,0)</f>
        <v>0</v>
      </c>
    </row>
    <row r="32" spans="1:5">
      <c r="A32" s="223" t="s">
        <v>259</v>
      </c>
      <c r="B32" s="226">
        <f ca="1">+C17</f>
        <v>-3.2099999999999997E-2</v>
      </c>
      <c r="C32" s="226">
        <f ca="1">+B32</f>
        <v>-3.2099999999999997E-2</v>
      </c>
      <c r="D32" s="226">
        <f t="shared" ref="D32" ca="1" si="2">+C32</f>
        <v>-3.2099999999999997E-2</v>
      </c>
    </row>
    <row r="33" spans="1:4">
      <c r="A33" s="223" t="s">
        <v>287</v>
      </c>
      <c r="B33" s="227">
        <f ca="1">+B32*B31</f>
        <v>0</v>
      </c>
      <c r="C33" s="227">
        <f t="shared" ref="C33:D33" ca="1" si="3">+C32*C31</f>
        <v>0</v>
      </c>
      <c r="D33" s="227">
        <f t="shared" ca="1" si="3"/>
        <v>0</v>
      </c>
    </row>
    <row r="34" spans="1:4">
      <c r="A34" s="228" t="s">
        <v>289</v>
      </c>
      <c r="B34" s="228">
        <f ca="1">C15-B33</f>
        <v>-4234414.0912680756</v>
      </c>
      <c r="C34" s="228">
        <f ca="1">B34-C33</f>
        <v>-4234414.0912680756</v>
      </c>
      <c r="D34" s="228">
        <f t="shared" ref="D34" ca="1" si="4">C34-D33</f>
        <v>-4234414.0912680756</v>
      </c>
    </row>
    <row r="36" spans="1:4">
      <c r="A36" s="223" t="s">
        <v>288</v>
      </c>
      <c r="B36" s="250">
        <f>+B31</f>
        <v>0</v>
      </c>
      <c r="C36" s="250">
        <f t="shared" ref="C36:D36" si="5">+C31</f>
        <v>0</v>
      </c>
      <c r="D36" s="250">
        <f t="shared" si="5"/>
        <v>0</v>
      </c>
    </row>
    <row r="37" spans="1:4">
      <c r="A37" s="223" t="s">
        <v>319</v>
      </c>
      <c r="B37" s="250">
        <f>IF(B36=0,0,+B11-B36)</f>
        <v>0</v>
      </c>
      <c r="C37" s="250">
        <f>IF(C36=0,0,+C11-C36)</f>
        <v>0</v>
      </c>
      <c r="D37" s="250">
        <f>IF(D36=0,0,+D11-D36)</f>
        <v>0</v>
      </c>
    </row>
    <row r="38" spans="1:4">
      <c r="A38" s="223"/>
      <c r="B38" s="250"/>
      <c r="C38" s="250"/>
      <c r="D38" s="250"/>
    </row>
    <row r="39" spans="1:4">
      <c r="A39" s="230" t="s">
        <v>317</v>
      </c>
      <c r="B39" s="251">
        <f ca="1">+B37*B32</f>
        <v>0</v>
      </c>
      <c r="C39" s="251">
        <f ca="1">+C37*C32</f>
        <v>0</v>
      </c>
      <c r="D39" s="251">
        <f ca="1">+D37*D32</f>
        <v>0</v>
      </c>
    </row>
    <row r="42" spans="1:4" ht="18" customHeight="1"/>
    <row r="43" spans="1:4" ht="30">
      <c r="A43" s="245" t="s">
        <v>1037</v>
      </c>
    </row>
    <row r="44" spans="1:4">
      <c r="A44" s="246">
        <f ca="1">+'Conta Gráfica abr a jun25'!D39</f>
        <v>22083.383999999998</v>
      </c>
      <c r="B44" s="45"/>
    </row>
    <row r="46" spans="1:4" ht="45">
      <c r="A46" s="245" t="s">
        <v>1038</v>
      </c>
    </row>
    <row r="47" spans="1:4">
      <c r="A47" s="247">
        <f ca="1">+'Conta Gráfica jul a set25'!B39+'Conta Gráfica jul a set25'!C39</f>
        <v>-148617.18900000001</v>
      </c>
    </row>
    <row r="52" spans="8:8">
      <c r="H52" s="184"/>
    </row>
  </sheetData>
  <conditionalFormatting sqref="B12:D12">
    <cfRule type="cellIs" dxfId="5" priority="1" operator="equal">
      <formula>0</formula>
    </cfRule>
    <cfRule type="cellIs" dxfId="4" priority="2" operator="lessThan">
      <formula>0</formula>
    </cfRule>
    <cfRule type="cellIs" dxfId="3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3216-891A-474F-918F-41E75A6FB956}">
  <dimension ref="A1:H52"/>
  <sheetViews>
    <sheetView showGridLines="0" topLeftCell="A22" zoomScale="85" zoomScaleNormal="85" workbookViewId="0">
      <selection activeCell="C46" sqref="C46"/>
    </sheetView>
  </sheetViews>
  <sheetFormatPr defaultRowHeight="15"/>
  <cols>
    <col min="1" max="1" width="29.42578125" customWidth="1"/>
    <col min="2" max="2" width="23.5703125" customWidth="1"/>
    <col min="3" max="3" width="22.85546875" customWidth="1"/>
    <col min="4" max="4" width="17.85546875" customWidth="1"/>
    <col min="5" max="5" width="17" bestFit="1" customWidth="1"/>
    <col min="6" max="7" width="16" bestFit="1" customWidth="1"/>
    <col min="8" max="8" width="27" customWidth="1"/>
  </cols>
  <sheetData>
    <row r="1" spans="1:8">
      <c r="A1" s="231" t="s">
        <v>249</v>
      </c>
      <c r="B1" s="231">
        <f t="shared" ref="B1:C1" si="0">C2-B2</f>
        <v>31</v>
      </c>
      <c r="C1" s="231">
        <f t="shared" si="0"/>
        <v>30</v>
      </c>
      <c r="D1" s="231">
        <v>30</v>
      </c>
    </row>
    <row r="2" spans="1:8">
      <c r="A2" s="231" t="s">
        <v>15</v>
      </c>
      <c r="B2" s="232">
        <v>46143</v>
      </c>
      <c r="C2" s="232">
        <v>46174</v>
      </c>
      <c r="D2" s="232">
        <v>46204</v>
      </c>
    </row>
    <row r="3" spans="1:8">
      <c r="A3" s="231" t="s">
        <v>17</v>
      </c>
      <c r="B3" s="374">
        <v>1053000</v>
      </c>
      <c r="C3" s="374">
        <v>1053000</v>
      </c>
      <c r="D3" s="374">
        <v>1053000</v>
      </c>
    </row>
    <row r="4" spans="1:8">
      <c r="A4" s="231" t="s">
        <v>250</v>
      </c>
      <c r="B4" s="375">
        <v>35000</v>
      </c>
      <c r="C4" s="375">
        <v>35000</v>
      </c>
      <c r="D4" s="375">
        <v>35000</v>
      </c>
    </row>
    <row r="5" spans="1:8">
      <c r="A5" s="231" t="s">
        <v>251</v>
      </c>
      <c r="B5" s="375">
        <v>5000</v>
      </c>
      <c r="C5" s="375">
        <v>5000</v>
      </c>
      <c r="D5" s="375">
        <v>5000</v>
      </c>
    </row>
    <row r="6" spans="1:8">
      <c r="A6" s="231" t="s">
        <v>440</v>
      </c>
      <c r="B6" s="374">
        <v>10000</v>
      </c>
      <c r="C6" s="374">
        <v>10000</v>
      </c>
      <c r="D6" s="374">
        <v>10000</v>
      </c>
    </row>
    <row r="7" spans="1:8">
      <c r="A7" s="231" t="s">
        <v>441</v>
      </c>
      <c r="B7" s="374">
        <v>215000</v>
      </c>
      <c r="C7" s="374">
        <v>215000</v>
      </c>
      <c r="D7" s="374">
        <v>215000</v>
      </c>
    </row>
    <row r="8" spans="1:8">
      <c r="A8" s="231" t="s">
        <v>767</v>
      </c>
      <c r="B8" s="374">
        <v>95000</v>
      </c>
      <c r="C8" s="374">
        <v>95000</v>
      </c>
      <c r="D8" s="374">
        <v>38000</v>
      </c>
    </row>
    <row r="9" spans="1:8">
      <c r="A9" s="235" t="s">
        <v>696</v>
      </c>
      <c r="B9" s="374">
        <v>60000</v>
      </c>
      <c r="C9" s="374">
        <v>60000</v>
      </c>
      <c r="D9" s="374">
        <v>60000</v>
      </c>
    </row>
    <row r="10" spans="1:8">
      <c r="A10" s="223" t="s">
        <v>252</v>
      </c>
      <c r="B10" s="374">
        <f t="shared" ref="B10:C10" si="1">SUM(B3:B9)</f>
        <v>1473000</v>
      </c>
      <c r="C10" s="374">
        <f t="shared" si="1"/>
        <v>1473000</v>
      </c>
      <c r="D10" s="374">
        <f>SUM(D3:D9)</f>
        <v>1416000</v>
      </c>
    </row>
    <row r="11" spans="1:8">
      <c r="A11" s="238" t="s">
        <v>253</v>
      </c>
      <c r="B11" s="376">
        <f>+B10*B1</f>
        <v>45663000</v>
      </c>
      <c r="C11" s="376">
        <f>+C10*C1</f>
        <v>44190000</v>
      </c>
      <c r="D11" s="376">
        <f>+D10*D1</f>
        <v>42480000</v>
      </c>
    </row>
    <row r="12" spans="1:8">
      <c r="A12" s="377" t="s">
        <v>1112</v>
      </c>
      <c r="B12" s="379" t="e">
        <f>+B11-[8]PMPV!D101*[8]PMPV!D90</f>
        <v>#REF!</v>
      </c>
      <c r="C12" s="379" t="e">
        <f>+C11-[8]PMPV!E101*[8]PMPV!E90</f>
        <v>#REF!</v>
      </c>
      <c r="D12" s="379" t="e">
        <f>+D11-[8]PMPV!F101*[8]PMPV!F90</f>
        <v>#REF!</v>
      </c>
    </row>
    <row r="13" spans="1:8" ht="30">
      <c r="A13" s="240" t="s">
        <v>254</v>
      </c>
      <c r="B13" s="240" t="s">
        <v>320</v>
      </c>
      <c r="C13" s="241">
        <f>SUM(B11:D11)</f>
        <v>132333000</v>
      </c>
      <c r="D13" s="182"/>
      <c r="E13" s="182"/>
      <c r="F13" s="182"/>
      <c r="G13" s="182"/>
      <c r="H13" s="183"/>
    </row>
    <row r="15" spans="1:8" ht="30">
      <c r="A15" s="240" t="s">
        <v>256</v>
      </c>
      <c r="B15" s="240" t="s">
        <v>257</v>
      </c>
      <c r="C15" s="242">
        <f ca="1">'Conta Gráfica'!AY74+A44+A47</f>
        <v>3780512.76205</v>
      </c>
      <c r="D15" s="133"/>
    </row>
    <row r="16" spans="1:8" ht="11.45" customHeight="1"/>
    <row r="17" spans="1:5" ht="30">
      <c r="A17" s="243" t="s">
        <v>258</v>
      </c>
      <c r="B17" s="243" t="s">
        <v>259</v>
      </c>
      <c r="C17" s="244">
        <f ca="1">ROUND(C15/C13,4)</f>
        <v>2.86E-2</v>
      </c>
      <c r="D17" s="198"/>
      <c r="E17" s="133"/>
    </row>
    <row r="18" spans="1:5">
      <c r="D18" s="133"/>
      <c r="E18" s="205"/>
    </row>
    <row r="19" spans="1:5">
      <c r="E19" s="205"/>
    </row>
    <row r="20" spans="1:5">
      <c r="C20" s="198"/>
    </row>
    <row r="21" spans="1:5">
      <c r="C21" s="133"/>
      <c r="D21" s="41"/>
    </row>
    <row r="22" spans="1:5">
      <c r="C22" s="133"/>
      <c r="D22" s="41"/>
    </row>
    <row r="23" spans="1:5">
      <c r="C23" s="133"/>
      <c r="D23" s="41"/>
    </row>
    <row r="30" spans="1:5">
      <c r="A30" s="223" t="s">
        <v>286</v>
      </c>
      <c r="B30" s="224">
        <f>+B2</f>
        <v>46143</v>
      </c>
      <c r="C30" s="224">
        <f>+C2</f>
        <v>46174</v>
      </c>
      <c r="D30" s="224">
        <f>+D2</f>
        <v>46204</v>
      </c>
    </row>
    <row r="31" spans="1:5">
      <c r="A31" s="223" t="s">
        <v>288</v>
      </c>
      <c r="B31" s="225">
        <f>HLOOKUP(B30,'Conta Gráfica'!3:31,29,0)</f>
        <v>0</v>
      </c>
      <c r="C31" s="225">
        <f>HLOOKUP(C30,'Conta Gráfica'!3:31,29,0)</f>
        <v>0</v>
      </c>
      <c r="D31" s="225">
        <f>HLOOKUP(D30,'Conta Gráfica'!3:31,29,0)</f>
        <v>0</v>
      </c>
    </row>
    <row r="32" spans="1:5">
      <c r="A32" s="223" t="s">
        <v>259</v>
      </c>
      <c r="B32" s="226">
        <f ca="1">+C17</f>
        <v>2.86E-2</v>
      </c>
      <c r="C32" s="226">
        <f ca="1">+B32</f>
        <v>2.86E-2</v>
      </c>
      <c r="D32" s="226">
        <f t="shared" ref="D32" ca="1" si="2">+C32</f>
        <v>2.86E-2</v>
      </c>
    </row>
    <row r="33" spans="1:4">
      <c r="A33" s="223" t="s">
        <v>287</v>
      </c>
      <c r="B33" s="227">
        <f ca="1">+B32*B31</f>
        <v>0</v>
      </c>
      <c r="C33" s="227">
        <f t="shared" ref="C33:D33" ca="1" si="3">+C32*C31</f>
        <v>0</v>
      </c>
      <c r="D33" s="227">
        <f t="shared" ca="1" si="3"/>
        <v>0</v>
      </c>
    </row>
    <row r="34" spans="1:4">
      <c r="A34" s="228" t="s">
        <v>289</v>
      </c>
      <c r="B34" s="228">
        <f ca="1">C15-B33</f>
        <v>3780512.76205</v>
      </c>
      <c r="C34" s="228">
        <f ca="1">B34-C33</f>
        <v>3780512.76205</v>
      </c>
      <c r="D34" s="228">
        <f t="shared" ref="D34" ca="1" si="4">C34-D33</f>
        <v>3780512.76205</v>
      </c>
    </row>
    <row r="36" spans="1:4">
      <c r="A36" s="223" t="s">
        <v>288</v>
      </c>
      <c r="B36" s="250">
        <f>+B31</f>
        <v>0</v>
      </c>
      <c r="C36" s="250">
        <f t="shared" ref="C36:D36" si="5">+C31</f>
        <v>0</v>
      </c>
      <c r="D36" s="250">
        <f t="shared" si="5"/>
        <v>0</v>
      </c>
    </row>
    <row r="37" spans="1:4">
      <c r="A37" s="223" t="s">
        <v>319</v>
      </c>
      <c r="B37" s="250">
        <f>IF(B36=0,0,+B11-B36)</f>
        <v>0</v>
      </c>
      <c r="C37" s="250">
        <f>IF(C36=0,0,+C11-C36)</f>
        <v>0</v>
      </c>
      <c r="D37" s="250">
        <f>IF(D36=0,0,+D11-D36)</f>
        <v>0</v>
      </c>
    </row>
    <row r="38" spans="1:4">
      <c r="A38" s="223"/>
      <c r="B38" s="250"/>
      <c r="C38" s="250"/>
      <c r="D38" s="250"/>
    </row>
    <row r="39" spans="1:4">
      <c r="A39" s="230" t="s">
        <v>317</v>
      </c>
      <c r="B39" s="251">
        <f ca="1">+B37*B32</f>
        <v>0</v>
      </c>
      <c r="C39" s="251">
        <f ca="1">+C37*C32</f>
        <v>0</v>
      </c>
      <c r="D39" s="251">
        <f ca="1">+D37*D32</f>
        <v>0</v>
      </c>
    </row>
    <row r="42" spans="1:4" ht="18" customHeight="1"/>
    <row r="43" spans="1:4" ht="30">
      <c r="A43" s="245" t="s">
        <v>1113</v>
      </c>
    </row>
    <row r="44" spans="1:4">
      <c r="A44" s="246">
        <f ca="1">'Conta Gráfica jul a set25'!D39</f>
        <v>0</v>
      </c>
      <c r="B44" s="45"/>
    </row>
    <row r="46" spans="1:4" ht="45">
      <c r="A46" s="245" t="s">
        <v>1114</v>
      </c>
    </row>
    <row r="47" spans="1:4">
      <c r="A47" s="247">
        <f ca="1">+'Conta Gráfica out a dez25'!B39+'Conta Gráfica out a dez25'!C39</f>
        <v>0</v>
      </c>
    </row>
    <row r="52" spans="8:8">
      <c r="H52" s="184"/>
    </row>
  </sheetData>
  <conditionalFormatting sqref="B12:D12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70</vt:i4>
      </vt:variant>
    </vt:vector>
  </HeadingPairs>
  <TitlesOfParts>
    <vt:vector size="70" baseType="lpstr">
      <vt:lpstr>jan22</vt:lpstr>
      <vt:lpstr>fev22</vt:lpstr>
      <vt:lpstr>mar22</vt:lpstr>
      <vt:lpstr>abr22</vt:lpstr>
      <vt:lpstr>mai22</vt:lpstr>
      <vt:lpstr>jun22</vt:lpstr>
      <vt:lpstr>jul22</vt:lpstr>
      <vt:lpstr>ago22</vt:lpstr>
      <vt:lpstr>set22</vt:lpstr>
      <vt:lpstr>Out22</vt:lpstr>
      <vt:lpstr>Nov22</vt:lpstr>
      <vt:lpstr>Dez22</vt:lpstr>
      <vt:lpstr>Jan23</vt:lpstr>
      <vt:lpstr>Fev23</vt:lpstr>
      <vt:lpstr>Mar23</vt:lpstr>
      <vt:lpstr>Abr23</vt:lpstr>
      <vt:lpstr>Mai23</vt:lpstr>
      <vt:lpstr>Jun23</vt:lpstr>
      <vt:lpstr>Jul23</vt:lpstr>
      <vt:lpstr>Ago23</vt:lpstr>
      <vt:lpstr>Set23</vt:lpstr>
      <vt:lpstr>Out23</vt:lpstr>
      <vt:lpstr>Nov23</vt:lpstr>
      <vt:lpstr>Dez23</vt:lpstr>
      <vt:lpstr>Jan24</vt:lpstr>
      <vt:lpstr>Fev24</vt:lpstr>
      <vt:lpstr>Mar24</vt:lpstr>
      <vt:lpstr>Abr24</vt:lpstr>
      <vt:lpstr>Mai24</vt:lpstr>
      <vt:lpstr>Jun24</vt:lpstr>
      <vt:lpstr>Jul24</vt:lpstr>
      <vt:lpstr>Ago24</vt:lpstr>
      <vt:lpstr>Set24</vt:lpstr>
      <vt:lpstr>Out24</vt:lpstr>
      <vt:lpstr>Nov24</vt:lpstr>
      <vt:lpstr>Dez24</vt:lpstr>
      <vt:lpstr>Jan25</vt:lpstr>
      <vt:lpstr>Fev25</vt:lpstr>
      <vt:lpstr>Mar25</vt:lpstr>
      <vt:lpstr>Abr25</vt:lpstr>
      <vt:lpstr>Mai25</vt:lpstr>
      <vt:lpstr>Jun25</vt:lpstr>
      <vt:lpstr>Jul25</vt:lpstr>
      <vt:lpstr>Ago25</vt:lpstr>
      <vt:lpstr>Set25</vt:lpstr>
      <vt:lpstr>Out25</vt:lpstr>
      <vt:lpstr>Nov25</vt:lpstr>
      <vt:lpstr>Dez25</vt:lpstr>
      <vt:lpstr>Jan26</vt:lpstr>
      <vt:lpstr>Conta Gráfica</vt:lpstr>
      <vt:lpstr>SELIC - Bacen</vt:lpstr>
      <vt:lpstr>Questionamento PMPV</vt:lpstr>
      <vt:lpstr>Conta Gráfica PMPV</vt:lpstr>
      <vt:lpstr>IGP-DI</vt:lpstr>
      <vt:lpstr>Conta Gráfica jan a set22</vt:lpstr>
      <vt:lpstr>Conta Gráfica out a dez22</vt:lpstr>
      <vt:lpstr>Conta Gráfica out a dez22 PMPV</vt:lpstr>
      <vt:lpstr>Conta Gráfica jan a mar23</vt:lpstr>
      <vt:lpstr>Conta Gráfica abr a jun23</vt:lpstr>
      <vt:lpstr>Conta Gráfica jul a set23</vt:lpstr>
      <vt:lpstr>Conta Gráfica out a dez23</vt:lpstr>
      <vt:lpstr>Conta Gráfica jan a mar24</vt:lpstr>
      <vt:lpstr>Conta Gráfica abr a jun24</vt:lpstr>
      <vt:lpstr>Conta Gráfica jul a set24</vt:lpstr>
      <vt:lpstr>Conta Gráfica out a dez24</vt:lpstr>
      <vt:lpstr>Conta Gráfica jan a mar25</vt:lpstr>
      <vt:lpstr>Conta Gráfica abr a jun25</vt:lpstr>
      <vt:lpstr>Conta Gráfica jul a set25</vt:lpstr>
      <vt:lpstr>Conta Gráfica out a dez25</vt:lpstr>
      <vt:lpstr>Conta Gráfica jan a mar26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Evellyn Maria Gomes</dc:creator>
  <cp:lastModifiedBy>Jose Leandro de Morais Alves Luz</cp:lastModifiedBy>
  <cp:lastPrinted>2022-10-10T14:46:06Z</cp:lastPrinted>
  <dcterms:created xsi:type="dcterms:W3CDTF">2022-06-28T21:24:56Z</dcterms:created>
  <dcterms:modified xsi:type="dcterms:W3CDTF">2026-01-26T15:08:40Z</dcterms:modified>
</cp:coreProperties>
</file>