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fif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D255D9-E0F4-4714-8351-3CCF4AC93541}" xr6:coauthVersionLast="47" xr6:coauthVersionMax="47" xr10:uidLastSave="{00000000-0000-0000-0000-000000000000}"/>
  <bookViews>
    <workbookView xWindow="-108" yWindow="-108" windowWidth="23256" windowHeight="12456" tabRatio="700" firstSheet="10" activeTab="10" xr2:uid="{00000000-000D-0000-FFFF-FFFF00000000}"/>
  </bookViews>
  <sheets>
    <sheet name="인쇄방법" sheetId="12" r:id="rId1"/>
    <sheet name="입력Tab" sheetId="1" r:id="rId2"/>
    <sheet name="표지" sheetId="2" r:id="rId3"/>
    <sheet name="신문기사1" sheetId="3" r:id="rId4"/>
    <sheet name="신문기사2" sheetId="4" r:id="rId5"/>
    <sheet name="신문기사3" sheetId="13" r:id="rId6"/>
    <sheet name="세금이야기" sheetId="5" r:id="rId7"/>
    <sheet name="법인의선택" sheetId="6" r:id="rId8"/>
    <sheet name="주식가치평가" sheetId="7" r:id="rId9"/>
    <sheet name="경정컨셉" sheetId="8" r:id="rId10"/>
    <sheet name="주식가치변동" sheetId="10" r:id="rId11"/>
    <sheet name="환급금" sheetId="11" r:id="rId12"/>
    <sheet name="총괄" sheetId="9" r:id="rId13"/>
  </sheets>
  <definedNames>
    <definedName name="_xlnm.Print_Area" localSheetId="9">경정컨셉!$A$1:$P$35</definedName>
    <definedName name="_xlnm.Print_Area" localSheetId="7">법인의선택!$A$1:$P$35</definedName>
    <definedName name="_xlnm.Print_Area" localSheetId="6">세금이야기!$A$1:$P$35</definedName>
    <definedName name="_xlnm.Print_Area" localSheetId="3">신문기사1!$A$1:$P$35</definedName>
    <definedName name="_xlnm.Print_Area" localSheetId="4">신문기사2!$A$1:$P$35</definedName>
    <definedName name="_xlnm.Print_Area" localSheetId="0">인쇄방법!$A$1:$V$47</definedName>
    <definedName name="_xlnm.Print_Area" localSheetId="1">입력Tab!$A$1:$R$30</definedName>
    <definedName name="_xlnm.Print_Area" localSheetId="10">주식가치변동!$A$1:$O$35</definedName>
    <definedName name="_xlnm.Print_Area" localSheetId="8">주식가치평가!$A$1:$P$35</definedName>
    <definedName name="_xlnm.Print_Area" localSheetId="12">총괄!$A$1:$P$29</definedName>
    <definedName name="_xlnm.Print_Area" localSheetId="2">표지!$A$1:$O$30</definedName>
    <definedName name="_xlnm.Print_Area" localSheetId="11">환급금!$A$1:$O$35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Q20" i="1" s="1"/>
  <c r="Q21" i="1" s="1"/>
  <c r="Q22" i="1" s="1"/>
  <c r="Q23" i="1" s="1"/>
  <c r="H7" i="1" l="1"/>
  <c r="H8" i="1" s="1"/>
  <c r="H6" i="1"/>
  <c r="H5" i="1"/>
  <c r="M10" i="1" l="1"/>
  <c r="M11" i="1" s="1"/>
  <c r="J11" i="9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Z7" i="9" l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M12" i="1"/>
  <c r="M13" i="1" l="1"/>
  <c r="C10" i="2"/>
  <c r="Q9" i="1"/>
  <c r="Q10" i="1" s="1"/>
  <c r="Q11" i="1" s="1"/>
  <c r="Q12" i="1" s="1"/>
  <c r="Q13" i="1" s="1"/>
  <c r="Q14" i="1" s="1"/>
  <c r="Q15" i="1" s="1"/>
  <c r="Q16" i="1" s="1"/>
  <c r="Q17" i="1" s="1"/>
  <c r="Q18" i="1" s="1"/>
  <c r="Q7" i="1"/>
  <c r="Q24" i="1" s="1"/>
  <c r="M14" i="1" l="1"/>
  <c r="M15" i="1" l="1"/>
  <c r="O26" i="2"/>
  <c r="O25" i="2"/>
  <c r="D12" i="9"/>
  <c r="D13" i="9"/>
  <c r="D14" i="9"/>
  <c r="D15" i="9"/>
  <c r="D16" i="9"/>
  <c r="D17" i="9"/>
  <c r="D18" i="9"/>
  <c r="D19" i="9"/>
  <c r="D20" i="9"/>
  <c r="D21" i="9"/>
  <c r="D22" i="9"/>
  <c r="D23" i="9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2" i="11"/>
  <c r="S3" i="11"/>
  <c r="S4" i="11"/>
  <c r="S5" i="11"/>
  <c r="S6" i="11"/>
  <c r="S7" i="11"/>
  <c r="S8" i="11"/>
  <c r="R8" i="11" s="1"/>
  <c r="S9" i="11"/>
  <c r="R9" i="11" s="1"/>
  <c r="S10" i="11"/>
  <c r="S11" i="11"/>
  <c r="S12" i="11"/>
  <c r="S13" i="11"/>
  <c r="S14" i="11"/>
  <c r="S15" i="11"/>
  <c r="S16" i="11"/>
  <c r="S17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2" i="11"/>
  <c r="S2" i="11"/>
  <c r="M16" i="1" l="1"/>
  <c r="R5" i="11"/>
  <c r="R10" i="11"/>
  <c r="R17" i="11"/>
  <c r="R13" i="11"/>
  <c r="R16" i="11"/>
  <c r="R7" i="11"/>
  <c r="R15" i="11"/>
  <c r="R14" i="11"/>
  <c r="R6" i="11"/>
  <c r="R2" i="11"/>
  <c r="R12" i="11"/>
  <c r="R4" i="11"/>
  <c r="R11" i="11"/>
  <c r="R3" i="11"/>
  <c r="S4" i="10"/>
  <c r="M17" i="1" l="1"/>
  <c r="S5" i="10"/>
  <c r="M18" i="1" l="1"/>
  <c r="W7" i="7"/>
  <c r="U7" i="7"/>
  <c r="Y7" i="7"/>
  <c r="AA6" i="9" s="1"/>
  <c r="M19" i="1" l="1"/>
  <c r="L8" i="9"/>
  <c r="U8" i="7" l="1"/>
  <c r="U9" i="7" s="1"/>
  <c r="U10" i="7" s="1"/>
  <c r="W8" i="7"/>
  <c r="W9" i="7" s="1"/>
  <c r="Y8" i="7"/>
  <c r="Y9" i="7" s="1"/>
  <c r="X6" i="9"/>
  <c r="V6" i="9"/>
  <c r="L6" i="9"/>
  <c r="I6" i="9"/>
  <c r="G6" i="9"/>
  <c r="F12" i="9"/>
  <c r="F13" i="9"/>
  <c r="F14" i="9"/>
  <c r="F15" i="9"/>
  <c r="F16" i="9"/>
  <c r="F17" i="9"/>
  <c r="F18" i="9"/>
  <c r="F19" i="9"/>
  <c r="F20" i="9"/>
  <c r="F21" i="9"/>
  <c r="F22" i="9"/>
  <c r="F23" i="9"/>
  <c r="F11" i="9"/>
  <c r="D11" i="9"/>
  <c r="E6" i="9"/>
  <c r="N6" i="9"/>
  <c r="B6" i="9"/>
  <c r="Y10" i="7" l="1"/>
  <c r="G12" i="9"/>
  <c r="H12" i="9"/>
  <c r="H22" i="9"/>
  <c r="H13" i="9"/>
  <c r="H11" i="9"/>
  <c r="H21" i="9"/>
  <c r="H14" i="9"/>
  <c r="H20" i="9"/>
  <c r="H15" i="9"/>
  <c r="H23" i="9"/>
  <c r="H16" i="9"/>
  <c r="H17" i="9"/>
  <c r="H18" i="9"/>
  <c r="H19" i="9"/>
  <c r="G23" i="9"/>
  <c r="G14" i="9"/>
  <c r="G13" i="9"/>
  <c r="G22" i="9"/>
  <c r="G21" i="9"/>
  <c r="G16" i="9"/>
  <c r="G11" i="9"/>
  <c r="G15" i="9"/>
  <c r="S7" i="7"/>
  <c r="X7" i="9"/>
  <c r="V7" i="9"/>
  <c r="G17" i="9"/>
  <c r="G20" i="9"/>
  <c r="G19" i="9"/>
  <c r="G18" i="9"/>
  <c r="Y11" i="7"/>
  <c r="V9" i="9"/>
  <c r="U11" i="7"/>
  <c r="W10" i="7"/>
  <c r="X8" i="9"/>
  <c r="V8" i="9"/>
  <c r="AA7" i="9" l="1"/>
  <c r="AA10" i="9"/>
  <c r="AA8" i="9"/>
  <c r="AA9" i="9"/>
  <c r="S8" i="7"/>
  <c r="S9" i="7" s="1"/>
  <c r="S10" i="7" s="1"/>
  <c r="S11" i="7" s="1"/>
  <c r="T6" i="9"/>
  <c r="T7" i="9" s="1"/>
  <c r="T8" i="9" s="1"/>
  <c r="T9" i="9" s="1"/>
  <c r="T10" i="9" s="1"/>
  <c r="X9" i="9"/>
  <c r="W11" i="7"/>
  <c r="V10" i="9"/>
  <c r="U12" i="7"/>
  <c r="Y12" i="7"/>
  <c r="AA11" i="9" s="1"/>
  <c r="T11" i="9" l="1"/>
  <c r="AE9" i="9"/>
  <c r="AE8" i="9"/>
  <c r="AE10" i="9"/>
  <c r="S12" i="7"/>
  <c r="Y13" i="7"/>
  <c r="AA12" i="9" s="1"/>
  <c r="V11" i="9"/>
  <c r="U13" i="7"/>
  <c r="W12" i="7"/>
  <c r="X10" i="9"/>
  <c r="T12" i="9" l="1"/>
  <c r="S13" i="7"/>
  <c r="X11" i="9"/>
  <c r="W13" i="7"/>
  <c r="U14" i="7"/>
  <c r="V12" i="9"/>
  <c r="AE12" i="9"/>
  <c r="Y14" i="7"/>
  <c r="AA13" i="9" s="1"/>
  <c r="AE11" i="9"/>
  <c r="T13" i="9" l="1"/>
  <c r="S14" i="7"/>
  <c r="AE13" i="9"/>
  <c r="Y15" i="7"/>
  <c r="AA14" i="9" s="1"/>
  <c r="U15" i="7"/>
  <c r="V13" i="9"/>
  <c r="X12" i="9"/>
  <c r="W14" i="7"/>
  <c r="T14" i="9" l="1"/>
  <c r="S15" i="7"/>
  <c r="X13" i="9"/>
  <c r="W15" i="7"/>
  <c r="U16" i="7"/>
  <c r="V14" i="9"/>
  <c r="Y16" i="7"/>
  <c r="AA15" i="9" s="1"/>
  <c r="AE14" i="9"/>
  <c r="T15" i="9" l="1"/>
  <c r="S16" i="7"/>
  <c r="Y17" i="7"/>
  <c r="AA16" i="9" s="1"/>
  <c r="U17" i="7"/>
  <c r="V15" i="9"/>
  <c r="W16" i="7"/>
  <c r="X14" i="9"/>
  <c r="T16" i="9" l="1"/>
  <c r="S17" i="7"/>
  <c r="U18" i="7"/>
  <c r="V16" i="9"/>
  <c r="X15" i="9"/>
  <c r="W17" i="7"/>
  <c r="Y18" i="7"/>
  <c r="AA17" i="9" s="1"/>
  <c r="AE16" i="9"/>
  <c r="AE15" i="9"/>
  <c r="T17" i="9" l="1"/>
  <c r="S18" i="7"/>
  <c r="AE17" i="9"/>
  <c r="AC18" i="7"/>
  <c r="Y19" i="7"/>
  <c r="AA18" i="9" s="1"/>
  <c r="W18" i="7"/>
  <c r="X16" i="9"/>
  <c r="V17" i="9"/>
  <c r="U19" i="7"/>
  <c r="T18" i="9" l="1"/>
  <c r="S19" i="7"/>
  <c r="X17" i="9"/>
  <c r="W19" i="7"/>
  <c r="Y20" i="7"/>
  <c r="AA19" i="9" s="1"/>
  <c r="AE18" i="9"/>
  <c r="AC19" i="7"/>
  <c r="U20" i="7"/>
  <c r="V18" i="9"/>
  <c r="T19" i="9" l="1"/>
  <c r="S20" i="7"/>
  <c r="AE19" i="9"/>
  <c r="Y21" i="7"/>
  <c r="AA20" i="9" s="1"/>
  <c r="AC20" i="7"/>
  <c r="W20" i="7"/>
  <c r="X18" i="9"/>
  <c r="U21" i="7"/>
  <c r="V19" i="9"/>
  <c r="T20" i="9" l="1"/>
  <c r="S21" i="7"/>
  <c r="AA18" i="7"/>
  <c r="X19" i="9"/>
  <c r="W21" i="7"/>
  <c r="U22" i="7"/>
  <c r="V20" i="9"/>
  <c r="AE20" i="9"/>
  <c r="Y22" i="7"/>
  <c r="AA21" i="9" s="1"/>
  <c r="AC21" i="7"/>
  <c r="T21" i="9" l="1"/>
  <c r="S22" i="7"/>
  <c r="AE18" i="7"/>
  <c r="AG18" i="7" s="1"/>
  <c r="AA19" i="7"/>
  <c r="U23" i="7"/>
  <c r="V21" i="9"/>
  <c r="X20" i="9"/>
  <c r="W22" i="7"/>
  <c r="AE21" i="9"/>
  <c r="Y23" i="7"/>
  <c r="AA22" i="9" s="1"/>
  <c r="AC22" i="7"/>
  <c r="T22" i="9" l="1"/>
  <c r="S23" i="7"/>
  <c r="AE19" i="7"/>
  <c r="AG19" i="7" s="1"/>
  <c r="AA20" i="7"/>
  <c r="X21" i="9"/>
  <c r="W23" i="7"/>
  <c r="Y24" i="7"/>
  <c r="AA23" i="9" s="1"/>
  <c r="AE22" i="9"/>
  <c r="AC23" i="7"/>
  <c r="U24" i="7"/>
  <c r="V22" i="9"/>
  <c r="T23" i="9" s="1"/>
  <c r="S24" i="7" l="1"/>
  <c r="AE20" i="7"/>
  <c r="AG20" i="7" s="1"/>
  <c r="AA21" i="7"/>
  <c r="U25" i="7"/>
  <c r="V23" i="9"/>
  <c r="W24" i="7"/>
  <c r="X22" i="9"/>
  <c r="AE23" i="9"/>
  <c r="Y25" i="7"/>
  <c r="AA24" i="9" s="1"/>
  <c r="AC24" i="7"/>
  <c r="I9" i="1"/>
  <c r="J9" i="1"/>
  <c r="G9" i="1" s="1"/>
  <c r="Y4" i="7"/>
  <c r="Y5" i="7"/>
  <c r="Y6" i="7"/>
  <c r="Y3" i="7"/>
  <c r="AA2" i="9" s="1"/>
  <c r="S3" i="7"/>
  <c r="T2" i="9" s="1"/>
  <c r="U3" i="7"/>
  <c r="V2" i="9" s="1"/>
  <c r="W3" i="7"/>
  <c r="X2" i="9" s="1"/>
  <c r="S4" i="7"/>
  <c r="T3" i="9" s="1"/>
  <c r="U4" i="7"/>
  <c r="V3" i="9" s="1"/>
  <c r="W4" i="7"/>
  <c r="X3" i="9" s="1"/>
  <c r="S6" i="7"/>
  <c r="T5" i="9" s="1"/>
  <c r="U6" i="7"/>
  <c r="V5" i="9" s="1"/>
  <c r="W6" i="7"/>
  <c r="X5" i="9" s="1"/>
  <c r="W5" i="7"/>
  <c r="X4" i="9" s="1"/>
  <c r="U5" i="7"/>
  <c r="V4" i="9" s="1"/>
  <c r="S5" i="7"/>
  <c r="AC7" i="7" l="1"/>
  <c r="T24" i="9"/>
  <c r="AC3" i="9"/>
  <c r="AC5" i="9"/>
  <c r="AC6" i="7"/>
  <c r="R11" i="10"/>
  <c r="S11" i="10" s="1"/>
  <c r="T11" i="10" s="1"/>
  <c r="AA5" i="9"/>
  <c r="AA5" i="7"/>
  <c r="R24" i="10" s="1"/>
  <c r="T4" i="9"/>
  <c r="AC4" i="9" s="1"/>
  <c r="AC2" i="9"/>
  <c r="R10" i="10"/>
  <c r="S10" i="10" s="1"/>
  <c r="T10" i="10" s="1"/>
  <c r="AA4" i="9"/>
  <c r="R9" i="10"/>
  <c r="AA3" i="9"/>
  <c r="S25" i="7"/>
  <c r="AE21" i="7"/>
  <c r="AG21" i="7" s="1"/>
  <c r="AA22" i="7"/>
  <c r="J10" i="1"/>
  <c r="J11" i="1" s="1"/>
  <c r="U26" i="7"/>
  <c r="V24" i="9"/>
  <c r="AE24" i="9"/>
  <c r="Y26" i="7"/>
  <c r="AC25" i="7"/>
  <c r="X23" i="9"/>
  <c r="W25" i="7"/>
  <c r="AC5" i="7"/>
  <c r="I10" i="1"/>
  <c r="H9" i="1"/>
  <c r="AA7" i="7"/>
  <c r="AC8" i="7"/>
  <c r="AA3" i="7"/>
  <c r="AA6" i="7"/>
  <c r="R26" i="10" s="1"/>
  <c r="AA4" i="7"/>
  <c r="R23" i="10" s="1"/>
  <c r="AA8" i="7"/>
  <c r="G10" i="1" l="1"/>
  <c r="AE5" i="7"/>
  <c r="AG5" i="7" s="1"/>
  <c r="AE6" i="7"/>
  <c r="AG6" i="7" s="1"/>
  <c r="S26" i="10"/>
  <c r="S9" i="10"/>
  <c r="R18" i="10"/>
  <c r="R33" i="10" s="1"/>
  <c r="AE5" i="9"/>
  <c r="AG5" i="9" s="1"/>
  <c r="AI5" i="9" s="1"/>
  <c r="AE6" i="9"/>
  <c r="AE7" i="9"/>
  <c r="AE4" i="9"/>
  <c r="AG4" i="9" s="1"/>
  <c r="AI4" i="9" s="1"/>
  <c r="S26" i="7"/>
  <c r="AC6" i="9"/>
  <c r="AE22" i="7"/>
  <c r="AA23" i="7"/>
  <c r="H10" i="1"/>
  <c r="H11" i="1" s="1"/>
  <c r="H12" i="1" s="1"/>
  <c r="W26" i="7"/>
  <c r="X24" i="9"/>
  <c r="Y27" i="7"/>
  <c r="AC26" i="7"/>
  <c r="U27" i="7"/>
  <c r="AC9" i="7"/>
  <c r="AE7" i="7"/>
  <c r="AG7" i="7" s="1"/>
  <c r="I11" i="1"/>
  <c r="I12" i="1" s="1"/>
  <c r="AC10" i="7"/>
  <c r="J12" i="1"/>
  <c r="AG22" i="7" l="1"/>
  <c r="K21" i="9"/>
  <c r="G11" i="1"/>
  <c r="G12" i="1" s="1"/>
  <c r="AG6" i="9"/>
  <c r="AI6" i="9" s="1"/>
  <c r="S18" i="10"/>
  <c r="S19" i="10" s="1"/>
  <c r="T9" i="10"/>
  <c r="S27" i="10"/>
  <c r="S27" i="7"/>
  <c r="AC8" i="9"/>
  <c r="AC7" i="9"/>
  <c r="AG7" i="9" s="1"/>
  <c r="AE23" i="7"/>
  <c r="AG23" i="7" s="1"/>
  <c r="AA24" i="7"/>
  <c r="U28" i="7"/>
  <c r="V25" i="9" s="1"/>
  <c r="Y28" i="7"/>
  <c r="AA25" i="9" s="1"/>
  <c r="AC27" i="7"/>
  <c r="W27" i="7"/>
  <c r="AE8" i="7"/>
  <c r="I13" i="1"/>
  <c r="H13" i="1"/>
  <c r="J13" i="1"/>
  <c r="AC11" i="7"/>
  <c r="AE25" i="9" l="1"/>
  <c r="T25" i="9"/>
  <c r="AG8" i="7"/>
  <c r="K11" i="9"/>
  <c r="AI7" i="9"/>
  <c r="L11" i="9"/>
  <c r="G13" i="1"/>
  <c r="M11" i="9"/>
  <c r="N11" i="9" s="1"/>
  <c r="S33" i="10"/>
  <c r="S34" i="10" s="1"/>
  <c r="T34" i="10" s="1"/>
  <c r="S28" i="7"/>
  <c r="AC9" i="9"/>
  <c r="AA25" i="7"/>
  <c r="AE24" i="7"/>
  <c r="AG24" i="7" s="1"/>
  <c r="W28" i="7"/>
  <c r="X25" i="9" s="1"/>
  <c r="Y29" i="7"/>
  <c r="AA26" i="9" s="1"/>
  <c r="AE26" i="9" s="1"/>
  <c r="AC28" i="7"/>
  <c r="U29" i="7"/>
  <c r="V26" i="9" s="1"/>
  <c r="AA9" i="7"/>
  <c r="I14" i="1"/>
  <c r="H14" i="1"/>
  <c r="J14" i="1"/>
  <c r="AC12" i="7"/>
  <c r="G14" i="1" l="1"/>
  <c r="T26" i="9"/>
  <c r="AC25" i="9"/>
  <c r="AG25" i="9"/>
  <c r="AI25" i="9" s="1"/>
  <c r="AG8" i="9"/>
  <c r="S29" i="7"/>
  <c r="AC10" i="9"/>
  <c r="AE25" i="7"/>
  <c r="AG25" i="7" s="1"/>
  <c r="AA26" i="7"/>
  <c r="U30" i="7"/>
  <c r="V27" i="9" s="1"/>
  <c r="Y30" i="7"/>
  <c r="AA27" i="9" s="1"/>
  <c r="AE27" i="9" s="1"/>
  <c r="AC29" i="7"/>
  <c r="AE9" i="7"/>
  <c r="W29" i="7"/>
  <c r="X26" i="9" s="1"/>
  <c r="AA10" i="7"/>
  <c r="AE10" i="7" s="1"/>
  <c r="I15" i="1"/>
  <c r="H15" i="1"/>
  <c r="J15" i="1"/>
  <c r="G15" i="1" s="1"/>
  <c r="AC13" i="7"/>
  <c r="AG9" i="7" l="1"/>
  <c r="K12" i="9"/>
  <c r="T27" i="9"/>
  <c r="AG10" i="7"/>
  <c r="K13" i="9"/>
  <c r="AI8" i="9"/>
  <c r="L12" i="9"/>
  <c r="M12" i="9" s="1"/>
  <c r="N12" i="9" s="1"/>
  <c r="AC26" i="9"/>
  <c r="AG26" i="9"/>
  <c r="AG9" i="9"/>
  <c r="S30" i="7"/>
  <c r="AC11" i="9"/>
  <c r="AE26" i="7"/>
  <c r="AG26" i="7" s="1"/>
  <c r="AA27" i="7"/>
  <c r="AE27" i="7" s="1"/>
  <c r="Y31" i="7"/>
  <c r="AA28" i="9" s="1"/>
  <c r="AC30" i="7"/>
  <c r="W30" i="7"/>
  <c r="X27" i="9" s="1"/>
  <c r="U31" i="7"/>
  <c r="AA11" i="7"/>
  <c r="AG10" i="9" s="1"/>
  <c r="I16" i="1"/>
  <c r="H16" i="1"/>
  <c r="AC14" i="7"/>
  <c r="J16" i="1"/>
  <c r="G16" i="1" s="1"/>
  <c r="AI26" i="9" l="1"/>
  <c r="L22" i="9"/>
  <c r="AG27" i="7"/>
  <c r="K22" i="9"/>
  <c r="M22" i="9" s="1"/>
  <c r="T28" i="9"/>
  <c r="T29" i="9" s="1"/>
  <c r="AI9" i="9"/>
  <c r="L13" i="9"/>
  <c r="M13" i="9" s="1"/>
  <c r="AI10" i="9"/>
  <c r="L14" i="9"/>
  <c r="AC27" i="9"/>
  <c r="AG27" i="9"/>
  <c r="AI27" i="9" s="1"/>
  <c r="N13" i="9"/>
  <c r="S31" i="7"/>
  <c r="AC12" i="9"/>
  <c r="AE11" i="7"/>
  <c r="K14" i="9" s="1"/>
  <c r="AA28" i="7"/>
  <c r="U32" i="7"/>
  <c r="V28" i="9"/>
  <c r="Y32" i="7"/>
  <c r="AA29" i="9" s="1"/>
  <c r="AE28" i="9"/>
  <c r="AC31" i="7"/>
  <c r="W31" i="7"/>
  <c r="AA12" i="7"/>
  <c r="I17" i="1"/>
  <c r="H17" i="1"/>
  <c r="J17" i="1"/>
  <c r="G17" i="1" s="1"/>
  <c r="AC15" i="7"/>
  <c r="M14" i="9" l="1"/>
  <c r="N14" i="9" s="1"/>
  <c r="AG11" i="7"/>
  <c r="S32" i="7"/>
  <c r="AC13" i="9"/>
  <c r="AA29" i="7"/>
  <c r="AE28" i="7"/>
  <c r="AG28" i="7" s="1"/>
  <c r="W32" i="7"/>
  <c r="X28" i="9"/>
  <c r="AE29" i="9"/>
  <c r="Y33" i="7"/>
  <c r="AA30" i="9" s="1"/>
  <c r="T30" i="9" s="1"/>
  <c r="AC32" i="7"/>
  <c r="U33" i="7"/>
  <c r="V29" i="9"/>
  <c r="AE12" i="7"/>
  <c r="AG11" i="9"/>
  <c r="AA13" i="7"/>
  <c r="I18" i="1"/>
  <c r="I19" i="1" s="1"/>
  <c r="H18" i="1"/>
  <c r="H19" i="1" s="1"/>
  <c r="J18" i="1"/>
  <c r="AC16" i="7"/>
  <c r="AG12" i="7" l="1"/>
  <c r="K15" i="9"/>
  <c r="AI11" i="9"/>
  <c r="L15" i="9"/>
  <c r="M15" i="9" s="1"/>
  <c r="N15" i="9" s="1"/>
  <c r="AC17" i="7"/>
  <c r="J19" i="1"/>
  <c r="G18" i="1"/>
  <c r="G19" i="1"/>
  <c r="S33" i="7"/>
  <c r="AC14" i="9"/>
  <c r="AE29" i="7"/>
  <c r="AG29" i="7" s="1"/>
  <c r="AA30" i="7"/>
  <c r="U34" i="7"/>
  <c r="V30" i="9"/>
  <c r="X29" i="9"/>
  <c r="W33" i="7"/>
  <c r="AE30" i="9"/>
  <c r="Y34" i="7"/>
  <c r="AA31" i="9" s="1"/>
  <c r="T31" i="9" s="1"/>
  <c r="AC33" i="7"/>
  <c r="AE13" i="7"/>
  <c r="AG12" i="9"/>
  <c r="AA14" i="7"/>
  <c r="AG13" i="7" l="1"/>
  <c r="K16" i="9"/>
  <c r="AI12" i="9"/>
  <c r="L16" i="9"/>
  <c r="M16" i="9" s="1"/>
  <c r="S34" i="7"/>
  <c r="AC15" i="9"/>
  <c r="N16" i="9"/>
  <c r="AE30" i="7"/>
  <c r="AG30" i="7" s="1"/>
  <c r="AA31" i="7"/>
  <c r="AE14" i="7"/>
  <c r="AG13" i="9"/>
  <c r="Y35" i="7"/>
  <c r="AA32" i="9" s="1"/>
  <c r="T32" i="9" s="1"/>
  <c r="AE31" i="9"/>
  <c r="AC34" i="7"/>
  <c r="V31" i="9"/>
  <c r="U35" i="7"/>
  <c r="V32" i="9" s="1"/>
  <c r="W34" i="7"/>
  <c r="X30" i="9"/>
  <c r="AA15" i="7"/>
  <c r="AG14" i="9" s="1"/>
  <c r="AG14" i="7" l="1"/>
  <c r="K17" i="9"/>
  <c r="AI13" i="9"/>
  <c r="L17" i="9"/>
  <c r="M17" i="9" s="1"/>
  <c r="AI14" i="9"/>
  <c r="L18" i="9"/>
  <c r="S35" i="7"/>
  <c r="AC16" i="9"/>
  <c r="N17" i="9"/>
  <c r="AE31" i="7"/>
  <c r="AG31" i="7" s="1"/>
  <c r="AA32" i="7"/>
  <c r="X31" i="9"/>
  <c r="W35" i="7"/>
  <c r="X32" i="9" s="1"/>
  <c r="AE32" i="9"/>
  <c r="AC35" i="7"/>
  <c r="AE15" i="7"/>
  <c r="AA16" i="7"/>
  <c r="AA17" i="7"/>
  <c r="AG15" i="7" l="1"/>
  <c r="K18" i="9"/>
  <c r="M18" i="9" s="1"/>
  <c r="N18" i="9" s="1"/>
  <c r="AC17" i="9"/>
  <c r="AG16" i="9"/>
  <c r="AE32" i="7"/>
  <c r="AA33" i="7"/>
  <c r="AE16" i="7"/>
  <c r="AG15" i="9"/>
  <c r="AE17" i="7"/>
  <c r="AG17" i="7" l="1"/>
  <c r="K20" i="9"/>
  <c r="AG16" i="7"/>
  <c r="K19" i="9"/>
  <c r="AG32" i="7"/>
  <c r="K23" i="9"/>
  <c r="AI15" i="9"/>
  <c r="L19" i="9"/>
  <c r="M19" i="9" s="1"/>
  <c r="N19" i="9" s="1"/>
  <c r="AI16" i="9"/>
  <c r="L20" i="9"/>
  <c r="M20" i="9" s="1"/>
  <c r="AC18" i="9"/>
  <c r="AG17" i="9"/>
  <c r="AA34" i="7"/>
  <c r="AE33" i="7"/>
  <c r="AG33" i="7" s="1"/>
  <c r="AI17" i="9" l="1"/>
  <c r="AC19" i="9"/>
  <c r="AG18" i="9"/>
  <c r="N20" i="9"/>
  <c r="AE34" i="7"/>
  <c r="AG34" i="7" s="1"/>
  <c r="AA35" i="7"/>
  <c r="AI18" i="9" l="1"/>
  <c r="N22" i="9"/>
  <c r="AC20" i="9"/>
  <c r="AG19" i="9"/>
  <c r="AE35" i="7"/>
  <c r="AG35" i="7" s="1"/>
  <c r="AI19" i="9" l="1"/>
  <c r="AC21" i="9"/>
  <c r="AG20" i="9"/>
  <c r="AI20" i="9" l="1"/>
  <c r="AC22" i="9"/>
  <c r="AG21" i="9"/>
  <c r="AI21" i="9" l="1"/>
  <c r="L21" i="9"/>
  <c r="M21" i="9" s="1"/>
  <c r="N21" i="9" s="1"/>
  <c r="AC23" i="9"/>
  <c r="AG22" i="9"/>
  <c r="AI22" i="9" s="1"/>
  <c r="AC24" i="9" l="1"/>
  <c r="AG23" i="9"/>
  <c r="AI23" i="9" s="1"/>
  <c r="AG24" i="9" l="1"/>
  <c r="AI24" i="9" s="1"/>
  <c r="AC28" i="9" l="1"/>
  <c r="AC29" i="9" l="1"/>
  <c r="AG28" i="9"/>
  <c r="AI28" i="9" s="1"/>
  <c r="AC30" i="9" l="1"/>
  <c r="AG29" i="9"/>
  <c r="AI29" i="9" s="1"/>
  <c r="AC31" i="9" l="1"/>
  <c r="AG30" i="9"/>
  <c r="AI30" i="9" s="1"/>
  <c r="AC32" i="9" l="1"/>
  <c r="AG31" i="9"/>
  <c r="AI31" i="9" l="1"/>
  <c r="L23" i="9"/>
  <c r="M23" i="9" s="1"/>
  <c r="N23" i="9" s="1"/>
  <c r="AG32" i="9"/>
  <c r="AI32" i="9" s="1"/>
</calcChain>
</file>

<file path=xl/sharedStrings.xml><?xml version="1.0" encoding="utf-8"?>
<sst xmlns="http://schemas.openxmlformats.org/spreadsheetml/2006/main" count="312" uniqueCount="167">
  <si>
    <t>GFC 정보</t>
    <phoneticPr fontId="1" type="noConversion"/>
  </si>
  <si>
    <t>재무현황</t>
    <phoneticPr fontId="1" type="noConversion"/>
  </si>
  <si>
    <t>CEO보장정기 제안</t>
    <phoneticPr fontId="1" type="noConversion"/>
  </si>
  <si>
    <t>지점</t>
    <phoneticPr fontId="1" type="noConversion"/>
  </si>
  <si>
    <t>특화법인</t>
    <phoneticPr fontId="1" type="noConversion"/>
  </si>
  <si>
    <t>단위</t>
    <phoneticPr fontId="1" type="noConversion"/>
  </si>
  <si>
    <t>자산</t>
    <phoneticPr fontId="1" type="noConversion"/>
  </si>
  <si>
    <t>토지 + 건물</t>
    <phoneticPr fontId="1" type="noConversion"/>
  </si>
  <si>
    <t>부채</t>
    <phoneticPr fontId="1" type="noConversion"/>
  </si>
  <si>
    <t>당기순이익</t>
    <phoneticPr fontId="1" type="noConversion"/>
  </si>
  <si>
    <t>주식수</t>
    <phoneticPr fontId="1" type="noConversion"/>
  </si>
  <si>
    <t>액면가</t>
    <phoneticPr fontId="1" type="noConversion"/>
  </si>
  <si>
    <t>배당금액</t>
    <phoneticPr fontId="1" type="noConversion"/>
  </si>
  <si>
    <t>피보험자 성함</t>
    <phoneticPr fontId="1" type="noConversion"/>
  </si>
  <si>
    <t>조영재</t>
    <phoneticPr fontId="1" type="noConversion"/>
  </si>
  <si>
    <t>이름</t>
    <phoneticPr fontId="1" type="noConversion"/>
  </si>
  <si>
    <t>최현복</t>
    <phoneticPr fontId="1" type="noConversion"/>
  </si>
  <si>
    <t>백만</t>
    <phoneticPr fontId="1" type="noConversion"/>
  </si>
  <si>
    <t>주</t>
    <phoneticPr fontId="1" type="noConversion"/>
  </si>
  <si>
    <t>원</t>
    <phoneticPr fontId="1" type="noConversion"/>
  </si>
  <si>
    <t>(억)</t>
    <phoneticPr fontId="1" type="noConversion"/>
  </si>
  <si>
    <t>피보험자 연령</t>
    <phoneticPr fontId="1" type="noConversion"/>
  </si>
  <si>
    <t>연락처</t>
    <phoneticPr fontId="1" type="noConversion"/>
  </si>
  <si>
    <t>010-3220-8823</t>
    <phoneticPr fontId="1" type="noConversion"/>
  </si>
  <si>
    <t>20년</t>
    <phoneticPr fontId="1" type="noConversion"/>
  </si>
  <si>
    <t>보장금액</t>
    <phoneticPr fontId="1" type="noConversion"/>
  </si>
  <si>
    <t>21년</t>
  </si>
  <si>
    <t>월 보험료(원)</t>
    <phoneticPr fontId="1" type="noConversion"/>
  </si>
  <si>
    <t>업체 정보</t>
    <phoneticPr fontId="1" type="noConversion"/>
  </si>
  <si>
    <t>22년</t>
  </si>
  <si>
    <t>체증율</t>
    <phoneticPr fontId="1" type="noConversion"/>
  </si>
  <si>
    <t>업체명</t>
    <phoneticPr fontId="1" type="noConversion"/>
  </si>
  <si>
    <t>해광요업</t>
    <phoneticPr fontId="1" type="noConversion"/>
  </si>
  <si>
    <t>23년</t>
  </si>
  <si>
    <t>납입기간</t>
    <phoneticPr fontId="1" type="noConversion"/>
  </si>
  <si>
    <t>조사선택</t>
    <phoneticPr fontId="1" type="noConversion"/>
  </si>
  <si>
    <t>을</t>
  </si>
  <si>
    <t>24년</t>
  </si>
  <si>
    <t>경과年</t>
    <phoneticPr fontId="1" type="noConversion"/>
  </si>
  <si>
    <t>환급률</t>
    <phoneticPr fontId="1" type="noConversion"/>
  </si>
  <si>
    <t>사망보장</t>
    <phoneticPr fontId="1" type="noConversion"/>
  </si>
  <si>
    <t>대표자명</t>
    <phoneticPr fontId="1" type="noConversion"/>
  </si>
  <si>
    <t>25년</t>
  </si>
  <si>
    <t>1년</t>
    <phoneticPr fontId="1" type="noConversion"/>
  </si>
  <si>
    <t>환급금은
가설을
발행해서
입력해
주세요</t>
    <phoneticPr fontId="1" type="noConversion"/>
  </si>
  <si>
    <t>법인세율</t>
    <phoneticPr fontId="1" type="noConversion"/>
  </si>
  <si>
    <t>26년</t>
  </si>
  <si>
    <t>2년</t>
  </si>
  <si>
    <t>상속세율</t>
    <phoneticPr fontId="1" type="noConversion"/>
  </si>
  <si>
    <t>27년</t>
  </si>
  <si>
    <t>3년</t>
  </si>
  <si>
    <t>28년</t>
  </si>
  <si>
    <t>4년</t>
  </si>
  <si>
    <t>29년</t>
  </si>
  <si>
    <t>5년</t>
  </si>
  <si>
    <t>24년 이후 당기순이익 증가율</t>
    <phoneticPr fontId="1" type="noConversion"/>
  </si>
  <si>
    <t>30년</t>
  </si>
  <si>
    <t>6년</t>
  </si>
  <si>
    <t>24년 이후 부동산자산 증가율</t>
    <phoneticPr fontId="1" type="noConversion"/>
  </si>
  <si>
    <t>31년</t>
  </si>
  <si>
    <t>7년</t>
  </si>
  <si>
    <t>24년 이후 부채 증가율</t>
    <phoneticPr fontId="1" type="noConversion"/>
  </si>
  <si>
    <t>32년</t>
  </si>
  <si>
    <t>8년</t>
  </si>
  <si>
    <t>33년</t>
  </si>
  <si>
    <t>9년</t>
  </si>
  <si>
    <t>34년</t>
  </si>
  <si>
    <t>10년</t>
  </si>
  <si>
    <t>35년</t>
  </si>
  <si>
    <t>15년</t>
    <phoneticPr fontId="1" type="noConversion"/>
  </si>
  <si>
    <t>25년</t>
    <phoneticPr fontId="1" type="noConversion"/>
  </si>
  <si>
    <t>30년</t>
    <phoneticPr fontId="1" type="noConversion"/>
  </si>
  <si>
    <t>노란색 부분만 입력, 배당금액은 배당 실행할 경우에만 '억'단위로 입력
25년 배당금액을 입력하면 이후는 같은 금액으로 계속 배당 가정</t>
    <phoneticPr fontId="1" type="noConversion"/>
  </si>
  <si>
    <t>35년</t>
    <phoneticPr fontId="1" type="noConversion"/>
  </si>
  <si>
    <t>90세</t>
    <phoneticPr fontId="1" type="noConversion"/>
  </si>
  <si>
    <t>효율적 가업승계를 위한 준비,</t>
    <phoneticPr fontId="1" type="noConversion"/>
  </si>
  <si>
    <r>
      <rPr>
        <b/>
        <sz val="18"/>
        <color rgb="FF0000FF"/>
        <rFont val="HY헤드라인M"/>
        <family val="1"/>
        <charset val="129"/>
      </rPr>
      <t>G</t>
    </r>
    <r>
      <rPr>
        <b/>
        <sz val="15"/>
        <color theme="1"/>
        <rFont val="HY헤드라인M"/>
        <family val="1"/>
        <charset val="129"/>
      </rPr>
      <t xml:space="preserve">roup </t>
    </r>
    <r>
      <rPr>
        <b/>
        <sz val="18"/>
        <color rgb="FF0000FF"/>
        <rFont val="HY헤드라인M"/>
        <family val="1"/>
        <charset val="129"/>
      </rPr>
      <t>F</t>
    </r>
    <r>
      <rPr>
        <b/>
        <sz val="15"/>
        <color theme="1"/>
        <rFont val="HY헤드라인M"/>
        <family val="1"/>
        <charset val="129"/>
      </rPr>
      <t xml:space="preserve">inancial </t>
    </r>
    <r>
      <rPr>
        <b/>
        <sz val="18"/>
        <color rgb="FF0000FF"/>
        <rFont val="HY헤드라인M"/>
        <family val="1"/>
        <charset val="129"/>
      </rPr>
      <t>C</t>
    </r>
    <r>
      <rPr>
        <b/>
        <sz val="15"/>
        <color theme="1"/>
        <rFont val="HY헤드라인M"/>
        <family val="1"/>
        <charset val="129"/>
      </rPr>
      <t xml:space="preserve">onsultant   </t>
    </r>
    <phoneticPr fontId="1" type="noConversion"/>
  </si>
  <si>
    <t>고령 인구 비율이 늘어나는 만큼 복지에 대한 부담도 커지고, 그 부담은 세금으로 충당할 수 밖에 없습니다.</t>
    <phoneticPr fontId="1" type="noConversion"/>
  </si>
  <si>
    <t>20대이하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</si>
  <si>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</si>
  <si>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</si>
  <si>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</si>
  <si>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60대이상</t>
    <phoneticPr fontId="1" type="noConversion"/>
  </si>
  <si>
    <t>※ 본 자료는 고객님의 이해를 돕기 위해 만든 자료로 상품의 세부 내용은 상품설명서를 참고 하시고, 주식 가치 평가는 세무 전문가를 통해 상담하십시요.</t>
    <phoneticPr fontId="1" type="noConversion"/>
  </si>
  <si>
    <t>줄어든 법인세를 늘리기 위해서, 감면 혜택 축소 등을 통한 조세 전략으로 방향이 이동하고 있습니다.</t>
    <phoneticPr fontId="1" type="noConversion"/>
  </si>
  <si>
    <t>금감원 보도자료 삽입</t>
    <phoneticPr fontId="1" type="noConversion"/>
  </si>
  <si>
    <t>대표님이 자산을 만드시고 불리시고, 자녀분들께 이전하는 그 어느 한 순간도 세금으로부터 자유로울 수 없습니다.</t>
    <phoneticPr fontId="1" type="noConversion"/>
  </si>
  <si>
    <t xml:space="preserve">  ※ 본 자료는 고객님의 이해를 돕기 위해 만든 자료로 상품의 세부 내용은 상품설명서를 참고 하시고, 주식 가치 평가는 세무 전문가를 통해 상담하십시요.</t>
    <phoneticPr fontId="1" type="noConversion"/>
  </si>
  <si>
    <t>대표님이 보유하신 법인 주식에 대한 사전 준비 없이는, 결국 많은 세금에 노출될 수 밖에 없습니다.</t>
    <phoneticPr fontId="1" type="noConversion"/>
  </si>
  <si>
    <t>순자산 가치와 순손익 가치에 모두 영향을 끼치는 이익잉여금의 관리는 무엇보다 중요합니다.</t>
    <phoneticPr fontId="1" type="noConversion"/>
  </si>
  <si>
    <t>구분</t>
    <phoneticPr fontId="1" type="noConversion"/>
  </si>
  <si>
    <t>자산(백만)</t>
    <phoneticPr fontId="1" type="noConversion"/>
  </si>
  <si>
    <t>부동산 자산(백만)</t>
    <phoneticPr fontId="1" type="noConversion"/>
  </si>
  <si>
    <t>부채(백만)</t>
    <phoneticPr fontId="1" type="noConversion"/>
  </si>
  <si>
    <t>당기순이익(백만)</t>
    <phoneticPr fontId="1" type="noConversion"/>
  </si>
  <si>
    <t>순자산 가치(백만)</t>
    <phoneticPr fontId="1" type="noConversion"/>
  </si>
  <si>
    <t>순손익 가치(백만)</t>
    <phoneticPr fontId="1" type="noConversion"/>
  </si>
  <si>
    <t>주식가치(백만)</t>
    <phoneticPr fontId="1" type="noConversion"/>
  </si>
  <si>
    <t>주당 가치(원)</t>
    <phoneticPr fontId="1" type="noConversion"/>
  </si>
  <si>
    <t>36년</t>
  </si>
  <si>
    <t>37년</t>
  </si>
  <si>
    <t>38년</t>
  </si>
  <si>
    <t>39년</t>
  </si>
  <si>
    <t>40년</t>
  </si>
  <si>
    <t>41년</t>
  </si>
  <si>
    <t>42년</t>
  </si>
  <si>
    <t>43년</t>
  </si>
  <si>
    <t>44년</t>
  </si>
  <si>
    <t>45년</t>
  </si>
  <si>
    <t>46년</t>
  </si>
  <si>
    <t>47년</t>
  </si>
  <si>
    <t>48년</t>
  </si>
  <si>
    <t>49년</t>
  </si>
  <si>
    <t>50년</t>
  </si>
  <si>
    <t>51년</t>
  </si>
  <si>
    <t>52년</t>
  </si>
  <si>
    <t>많은 기업들이 CEO보장정기를 가입해 이익잉여금 관리에 나서고 있습니다.</t>
    <phoneticPr fontId="1" type="noConversion"/>
  </si>
  <si>
    <t>3년 전부터 손익 관리를 하셨다고 가정하면, 아래와 같은 효과가 가능합니다.</t>
    <phoneticPr fontId="1" type="noConversion"/>
  </si>
  <si>
    <t>부동산비율</t>
    <phoneticPr fontId="1" type="noConversion"/>
  </si>
  <si>
    <t>前</t>
    <phoneticPr fontId="1" type="noConversion"/>
  </si>
  <si>
    <t>後</t>
    <phoneticPr fontId="1" type="noConversion"/>
  </si>
  <si>
    <t>차</t>
    <phoneticPr fontId="1" type="noConversion"/>
  </si>
  <si>
    <t xml:space="preserve">22년              </t>
    <phoneticPr fontId="1" type="noConversion"/>
  </si>
  <si>
    <t>23년</t>
    <phoneticPr fontId="1" type="noConversion"/>
  </si>
  <si>
    <t>24년</t>
    <phoneticPr fontId="1" type="noConversion"/>
  </si>
  <si>
    <t>순손익 가치</t>
    <phoneticPr fontId="1" type="noConversion"/>
  </si>
  <si>
    <t>19년</t>
    <phoneticPr fontId="1" type="noConversion"/>
  </si>
  <si>
    <t>21년</t>
    <phoneticPr fontId="1" type="noConversion"/>
  </si>
  <si>
    <t>순자산가치</t>
    <phoneticPr fontId="1" type="noConversion"/>
  </si>
  <si>
    <t>주식가치</t>
    <phoneticPr fontId="1" type="noConversion"/>
  </si>
  <si>
    <t>상속세감소</t>
    <phoneticPr fontId="1" type="noConversion"/>
  </si>
  <si>
    <t>실손익률</t>
    <phoneticPr fontId="1" type="noConversion"/>
  </si>
  <si>
    <t>사망보험금</t>
    <phoneticPr fontId="1" type="noConversion"/>
  </si>
  <si>
    <t>배당(억)</t>
    <phoneticPr fontId="1" type="noConversion"/>
  </si>
  <si>
    <t>CEO보장정기를 도입하시면 법인세 과세이연 효과와 더불어, 가업 승계를 위한 능동적인 전략을 수립하실 수 있습니다.</t>
    <phoneticPr fontId="1" type="noConversion"/>
  </si>
  <si>
    <t>[CEO보장정기 제안 내용]</t>
    <phoneticPr fontId="1" type="noConversion"/>
  </si>
  <si>
    <t>계약자</t>
    <phoneticPr fontId="1" type="noConversion"/>
  </si>
  <si>
    <t>피보험자</t>
    <phoneticPr fontId="1" type="noConversion"/>
  </si>
  <si>
    <t xml:space="preserve"> 피보험자 나이</t>
    <phoneticPr fontId="1" type="noConversion"/>
  </si>
  <si>
    <t>월 보험료</t>
    <phoneticPr fontId="1" type="noConversion"/>
  </si>
  <si>
    <t>[CEO보장정기 가입 효과]</t>
    <phoneticPr fontId="1" type="noConversion"/>
  </si>
  <si>
    <t>년도</t>
    <phoneticPr fontId="1" type="noConversion"/>
  </si>
  <si>
    <t>사망</t>
    <phoneticPr fontId="1" type="noConversion"/>
  </si>
  <si>
    <t>손금</t>
    <phoneticPr fontId="1" type="noConversion"/>
  </si>
  <si>
    <t>법인세</t>
    <phoneticPr fontId="1" type="noConversion"/>
  </si>
  <si>
    <t>매년</t>
    <phoneticPr fontId="1" type="noConversion"/>
  </si>
  <si>
    <t>주식가치 변동</t>
    <phoneticPr fontId="1" type="noConversion"/>
  </si>
  <si>
    <t>절세금액</t>
    <phoneticPr fontId="1" type="noConversion"/>
  </si>
  <si>
    <t>보장</t>
    <phoneticPr fontId="1" type="noConversion"/>
  </si>
  <si>
    <t>산입</t>
    <phoneticPr fontId="1" type="noConversion"/>
  </si>
  <si>
    <t>과세 이연</t>
    <phoneticPr fontId="1" type="noConversion"/>
  </si>
  <si>
    <t>差</t>
    <phoneticPr fontId="1" type="noConversion"/>
  </si>
  <si>
    <t>11년</t>
  </si>
  <si>
    <t>12년</t>
  </si>
  <si>
    <t>13년</t>
  </si>
  <si>
    <t>14년</t>
  </si>
  <si>
    <t>39년</t>
    <phoneticPr fontId="1" type="noConversion"/>
  </si>
  <si>
    <t>15년</t>
  </si>
  <si>
    <t>44년</t>
    <phoneticPr fontId="1" type="noConversion"/>
  </si>
  <si>
    <t>16년</t>
  </si>
  <si>
    <t>49년</t>
    <phoneticPr fontId="1" type="noConversion"/>
  </si>
  <si>
    <t>17년</t>
  </si>
  <si>
    <t>18년</t>
  </si>
  <si>
    <t>19년</t>
  </si>
  <si>
    <t>※ 보험계약 대출 : 가입 후 10년 이내 및 피보험자 75세 미만인 경우, 해지환급금의 70% 이내 가능, 대출 이자율(공시이율 + 1.5%)</t>
    <phoneticPr fontId="1" type="noConversion"/>
  </si>
  <si>
    <t>20년</t>
  </si>
  <si>
    <t>※ 적립전환 : 보장형 계약의 일부 또는 전부를 적립형 계약으로 전환 하는 기능, 가입 7년 이후 가능, 전환 신청 당시 적립액 500만↑일 때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</si>
</sst>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#,##0_);[Red]\(#,##0\)"/>
    <numFmt numFmtId="177" formatCode="0&quot;세&quot;"/>
    <numFmt numFmtId="178" formatCode="#,##0&quot;원&quot;"/>
    <numFmt numFmtId="179" formatCode="0&quot;년&quot;"/>
    <numFmt numFmtId="180" formatCode="0.0&quot;%&quot;"/>
    <numFmt numFmtId="181" formatCode="0.0&quot;억&quot;"/>
    <numFmt numFmtId="182" formatCode="#,##0&quot;만&quot;"/>
    <numFmt numFmtId="183" formatCode="#,##0&quot;백만&quot;"/>
    <numFmt numFmtId="184" formatCode="#,##0.0&quot;억&quot;"/>
    <numFmt numFmtId="185" formatCode="0.0_ "/>
    <numFmt numFmtId="186" formatCode="0.0%"/>
    <numFmt numFmtId="187" formatCode="#&quot;백만&quot;"/>
    <numFmt numFmtId="188" formatCode="#.0&quot;억&quot;\ "/>
    <numFmt numFmtId="189" formatCode="##,###&quot;만&quot;"/>
    <numFmt numFmtId="190" formatCode="_-* #,##0_-;\-* #,##0_-;_-* &quot;-&quot;??_-;_-@_-"/>
    <numFmt numFmtId="191" formatCode="#,##0&quot;억&quot;"/>
    <numFmt numFmtId="192" formatCode="#,###&quot;백만&quot;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헤드라인M"/>
      <family val="1"/>
      <charset val="129"/>
    </font>
    <font>
      <b/>
      <sz val="15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u/>
      <sz val="30"/>
      <color theme="1"/>
      <name val="HY헤드라인M"/>
      <family val="1"/>
      <charset val="129"/>
    </font>
    <font>
      <b/>
      <sz val="13"/>
      <color theme="1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5"/>
      <color theme="1"/>
      <name val="HY헤드라인M"/>
      <family val="1"/>
      <charset val="129"/>
    </font>
    <font>
      <b/>
      <sz val="15"/>
      <color theme="0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FF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>
      <alignment vertical="center"/>
    </xf>
    <xf numFmtId="41" fontId="0" fillId="2" borderId="2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3" borderId="1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84" fontId="9" fillId="2" borderId="14" xfId="1" applyNumberFormat="1" applyFont="1" applyFill="1" applyBorder="1" applyAlignment="1">
      <alignment horizontal="center" vertical="center"/>
    </xf>
    <xf numFmtId="184" fontId="9" fillId="2" borderId="17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1" fontId="9" fillId="2" borderId="2" xfId="0" applyNumberFormat="1" applyFont="1" applyFill="1" applyBorder="1" applyAlignment="1">
      <alignment horizontal="center" vertical="center"/>
    </xf>
    <xf numFmtId="183" fontId="9" fillId="2" borderId="8" xfId="0" applyNumberFormat="1" applyFont="1" applyFill="1" applyBorder="1" applyAlignment="1">
      <alignment horizontal="center" vertical="center"/>
    </xf>
    <xf numFmtId="184" fontId="9" fillId="2" borderId="15" xfId="0" applyNumberFormat="1" applyFont="1" applyFill="1" applyBorder="1" applyAlignment="1">
      <alignment horizontal="center" vertical="center"/>
    </xf>
    <xf numFmtId="9" fontId="0" fillId="2" borderId="0" xfId="0" applyNumberFormat="1" applyFill="1">
      <alignment vertical="center"/>
    </xf>
    <xf numFmtId="9" fontId="0" fillId="5" borderId="20" xfId="0" applyNumberFormat="1" applyFill="1" applyBorder="1" applyAlignment="1" applyProtection="1">
      <alignment horizontal="center" vertical="center"/>
      <protection locked="0"/>
    </xf>
    <xf numFmtId="0" fontId="0" fillId="5" borderId="12" xfId="0" applyFill="1" applyBorder="1" applyProtection="1">
      <alignment vertical="center"/>
      <protection locked="0"/>
    </xf>
    <xf numFmtId="9" fontId="0" fillId="5" borderId="1" xfId="0" applyNumberFormat="1" applyFill="1" applyBorder="1" applyProtection="1">
      <alignment vertical="center"/>
      <protection locked="0"/>
    </xf>
    <xf numFmtId="41" fontId="0" fillId="5" borderId="4" xfId="1" applyFont="1" applyFill="1" applyBorder="1" applyAlignment="1" applyProtection="1">
      <alignment horizontal="center" vertical="center"/>
      <protection locked="0"/>
    </xf>
    <xf numFmtId="41" fontId="0" fillId="5" borderId="2" xfId="1" applyFont="1" applyFill="1" applyBorder="1" applyAlignment="1" applyProtection="1">
      <alignment horizontal="center" vertical="center"/>
      <protection locked="0"/>
    </xf>
    <xf numFmtId="177" fontId="0" fillId="5" borderId="1" xfId="0" applyNumberFormat="1" applyFill="1" applyBorder="1" applyAlignment="1" applyProtection="1">
      <alignment horizontal="center" vertical="center"/>
      <protection locked="0"/>
    </xf>
    <xf numFmtId="41" fontId="0" fillId="5" borderId="1" xfId="1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183" fontId="9" fillId="2" borderId="0" xfId="0" applyNumberFormat="1" applyFont="1" applyFill="1" applyAlignment="1">
      <alignment horizontal="center" vertical="center"/>
    </xf>
    <xf numFmtId="184" fontId="9" fillId="2" borderId="0" xfId="1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3" fillId="3" borderId="11" xfId="0" applyFont="1" applyFill="1" applyBorder="1" applyAlignment="1">
      <alignment horizontal="center" vertical="center"/>
    </xf>
    <xf numFmtId="184" fontId="13" fillId="2" borderId="16" xfId="0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9" fillId="2" borderId="0" xfId="0" applyFont="1" applyFill="1" applyAlignment="1">
      <alignment vertical="center" shrinkToFit="1"/>
    </xf>
    <xf numFmtId="177" fontId="9" fillId="2" borderId="0" xfId="0" applyNumberFormat="1" applyFont="1" applyFill="1">
      <alignment vertical="center"/>
    </xf>
    <xf numFmtId="181" fontId="9" fillId="2" borderId="0" xfId="0" applyNumberFormat="1" applyFont="1" applyFill="1">
      <alignment vertical="center"/>
    </xf>
    <xf numFmtId="178" fontId="9" fillId="2" borderId="0" xfId="0" applyNumberFormat="1" applyFont="1" applyFill="1">
      <alignment vertical="center"/>
    </xf>
    <xf numFmtId="179" fontId="9" fillId="2" borderId="0" xfId="0" applyNumberFormat="1" applyFont="1" applyFill="1">
      <alignment vertical="center"/>
    </xf>
    <xf numFmtId="180" fontId="0" fillId="2" borderId="0" xfId="0" applyNumberFormat="1" applyFill="1">
      <alignment vertical="center"/>
    </xf>
    <xf numFmtId="182" fontId="0" fillId="2" borderId="0" xfId="0" applyNumberFormat="1" applyFill="1">
      <alignment vertical="center"/>
    </xf>
    <xf numFmtId="184" fontId="9" fillId="2" borderId="0" xfId="0" applyNumberFormat="1" applyFont="1" applyFill="1">
      <alignment vertical="center"/>
    </xf>
    <xf numFmtId="185" fontId="0" fillId="2" borderId="0" xfId="0" applyNumberFormat="1" applyFill="1">
      <alignment vertical="center"/>
    </xf>
    <xf numFmtId="186" fontId="0" fillId="0" borderId="0" xfId="2" applyNumberFormat="1" applyFont="1">
      <alignment vertical="center"/>
    </xf>
    <xf numFmtId="9" fontId="0" fillId="2" borderId="0" xfId="0" applyNumberFormat="1" applyFill="1" applyAlignment="1">
      <alignment horizontal="center" vertical="center"/>
    </xf>
    <xf numFmtId="187" fontId="15" fillId="2" borderId="0" xfId="0" applyNumberFormat="1" applyFont="1" applyFill="1" applyAlignment="1">
      <alignment horizontal="center" vertical="center"/>
    </xf>
    <xf numFmtId="186" fontId="0" fillId="2" borderId="0" xfId="0" applyNumberFormat="1" applyFill="1">
      <alignment vertical="center"/>
    </xf>
    <xf numFmtId="186" fontId="0" fillId="5" borderId="1" xfId="0" applyNumberFormat="1" applyFill="1" applyBorder="1" applyAlignment="1" applyProtection="1">
      <alignment horizontal="center" vertical="center"/>
      <protection locked="0"/>
    </xf>
    <xf numFmtId="187" fontId="16" fillId="2" borderId="0" xfId="0" applyNumberFormat="1" applyFont="1" applyFill="1" applyAlignment="1">
      <alignment horizontal="center" vertical="center"/>
    </xf>
    <xf numFmtId="188" fontId="0" fillId="0" borderId="0" xfId="0" applyNumberFormat="1">
      <alignment vertical="center"/>
    </xf>
    <xf numFmtId="9" fontId="0" fillId="5" borderId="1" xfId="1" applyNumberFormat="1" applyFont="1" applyFill="1" applyBorder="1" applyAlignment="1" applyProtection="1">
      <alignment horizontal="center" vertical="center"/>
      <protection locked="0"/>
    </xf>
    <xf numFmtId="41" fontId="0" fillId="2" borderId="0" xfId="1" applyFont="1" applyFill="1">
      <alignment vertical="center"/>
    </xf>
    <xf numFmtId="186" fontId="0" fillId="5" borderId="20" xfId="0" applyNumberFormat="1" applyFill="1" applyBorder="1" applyAlignment="1" applyProtection="1">
      <alignment horizontal="center" vertical="center"/>
      <protection locked="0"/>
    </xf>
    <xf numFmtId="184" fontId="0" fillId="5" borderId="1" xfId="0" applyNumberFormat="1" applyFill="1" applyBorder="1" applyAlignment="1" applyProtection="1">
      <alignment horizontal="center" vertical="center"/>
      <protection locked="0"/>
    </xf>
    <xf numFmtId="41" fontId="0" fillId="2" borderId="4" xfId="1" applyFont="1" applyFill="1" applyBorder="1" applyAlignment="1" applyProtection="1">
      <alignment horizontal="center" vertical="center"/>
      <protection locked="0"/>
    </xf>
    <xf numFmtId="41" fontId="0" fillId="2" borderId="2" xfId="1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>
      <alignment horizontal="center" vertical="center"/>
    </xf>
    <xf numFmtId="41" fontId="0" fillId="2" borderId="3" xfId="1" applyFont="1" applyFill="1" applyBorder="1" applyAlignment="1">
      <alignment horizontal="center" vertical="center"/>
    </xf>
    <xf numFmtId="181" fontId="0" fillId="2" borderId="1" xfId="0" applyNumberForma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90" fontId="0" fillId="2" borderId="2" xfId="1" applyNumberFormat="1" applyFont="1" applyFill="1" applyBorder="1" applyAlignment="1">
      <alignment horizontal="center" vertical="center"/>
    </xf>
    <xf numFmtId="181" fontId="0" fillId="5" borderId="2" xfId="1" applyNumberFormat="1" applyFont="1" applyFill="1" applyBorder="1" applyAlignment="1">
      <alignment horizontal="center" vertical="center"/>
    </xf>
    <xf numFmtId="181" fontId="0" fillId="2" borderId="2" xfId="1" applyNumberFormat="1" applyFont="1" applyFill="1" applyBorder="1" applyAlignment="1">
      <alignment horizontal="center" vertical="center"/>
    </xf>
    <xf numFmtId="181" fontId="0" fillId="2" borderId="3" xfId="1" applyNumberFormat="1" applyFont="1" applyFill="1" applyBorder="1" applyAlignment="1">
      <alignment horizontal="center" vertical="center"/>
    </xf>
    <xf numFmtId="176" fontId="6" fillId="2" borderId="17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81" fontId="6" fillId="2" borderId="0" xfId="0" applyNumberFormat="1" applyFont="1" applyFill="1" applyAlignment="1">
      <alignment horizontal="center" vertical="center"/>
    </xf>
    <xf numFmtId="176" fontId="0" fillId="2" borderId="0" xfId="0" applyNumberFormat="1" applyFill="1">
      <alignment vertical="center"/>
    </xf>
    <xf numFmtId="181" fontId="9" fillId="2" borderId="17" xfId="0" applyNumberFormat="1" applyFont="1" applyFill="1" applyBorder="1" applyAlignment="1">
      <alignment horizontal="center" vertical="center"/>
    </xf>
    <xf numFmtId="192" fontId="9" fillId="2" borderId="0" xfId="0" applyNumberFormat="1" applyFont="1" applyFill="1" applyAlignment="1">
      <alignment horizontal="center" vertical="center"/>
    </xf>
    <xf numFmtId="192" fontId="0" fillId="2" borderId="0" xfId="0" applyNumberFormat="1" applyFill="1" applyAlignment="1">
      <alignment horizontal="center" vertical="center"/>
    </xf>
    <xf numFmtId="192" fontId="0" fillId="2" borderId="0" xfId="1" applyNumberFormat="1" applyFont="1" applyFill="1" applyBorder="1" applyAlignment="1">
      <alignment horizontal="center" vertical="center"/>
    </xf>
    <xf numFmtId="192" fontId="16" fillId="2" borderId="0" xfId="0" applyNumberFormat="1" applyFont="1" applyFill="1" applyAlignment="1">
      <alignment horizontal="center" vertical="center"/>
    </xf>
    <xf numFmtId="192" fontId="17" fillId="2" borderId="0" xfId="0" applyNumberFormat="1" applyFont="1" applyFill="1" applyAlignment="1">
      <alignment horizontal="center" vertical="center"/>
    </xf>
    <xf numFmtId="192" fontId="6" fillId="2" borderId="0" xfId="0" applyNumberFormat="1" applyFont="1" applyFill="1">
      <alignment vertical="center"/>
    </xf>
    <xf numFmtId="192" fontId="21" fillId="2" borderId="0" xfId="0" applyNumberFormat="1" applyFont="1" applyFill="1" applyAlignment="1">
      <alignment horizontal="center" vertical="center"/>
    </xf>
    <xf numFmtId="190" fontId="0" fillId="5" borderId="2" xfId="1" applyNumberFormat="1" applyFont="1" applyFill="1" applyBorder="1" applyAlignment="1" applyProtection="1">
      <alignment horizontal="center" vertical="center"/>
      <protection locked="0"/>
    </xf>
    <xf numFmtId="191" fontId="13" fillId="2" borderId="7" xfId="0" applyNumberFormat="1" applyFont="1" applyFill="1" applyBorder="1" applyAlignment="1">
      <alignment horizontal="center" vertical="center"/>
    </xf>
    <xf numFmtId="181" fontId="6" fillId="2" borderId="18" xfId="0" applyNumberFormat="1" applyFont="1" applyFill="1" applyBorder="1" applyAlignment="1">
      <alignment horizontal="center" vertical="center"/>
    </xf>
    <xf numFmtId="183" fontId="9" fillId="2" borderId="17" xfId="0" applyNumberFormat="1" applyFont="1" applyFill="1" applyBorder="1" applyAlignment="1">
      <alignment horizontal="center" vertical="center"/>
    </xf>
    <xf numFmtId="191" fontId="13" fillId="2" borderId="17" xfId="0" applyNumberFormat="1" applyFont="1" applyFill="1" applyBorder="1" applyAlignment="1">
      <alignment horizontal="center" vertical="center"/>
    </xf>
    <xf numFmtId="184" fontId="13" fillId="2" borderId="17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20" xfId="0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84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82" fontId="0" fillId="2" borderId="0" xfId="0" applyNumberFormat="1" applyFill="1" applyAlignment="1">
      <alignment horizontal="center" vertical="center"/>
    </xf>
    <xf numFmtId="181" fontId="9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4" fontId="9" fillId="2" borderId="17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49" fontId="0" fillId="5" borderId="3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20" xfId="0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76" fontId="13" fillId="2" borderId="7" xfId="0" applyNumberFormat="1" applyFont="1" applyFill="1" applyBorder="1" applyAlignment="1">
      <alignment horizontal="center" vertical="center"/>
    </xf>
    <xf numFmtId="176" fontId="13" fillId="2" borderId="8" xfId="0" applyNumberFormat="1" applyFont="1" applyFill="1" applyBorder="1" applyAlignment="1">
      <alignment horizontal="center" vertical="center"/>
    </xf>
    <xf numFmtId="176" fontId="13" fillId="2" borderId="2" xfId="1" applyNumberFormat="1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13" fillId="2" borderId="9" xfId="0" applyNumberFormat="1" applyFont="1" applyFill="1" applyBorder="1" applyAlignment="1">
      <alignment horizontal="center" vertical="center"/>
    </xf>
    <xf numFmtId="176" fontId="13" fillId="2" borderId="10" xfId="0" applyNumberFormat="1" applyFont="1" applyFill="1" applyBorder="1" applyAlignment="1">
      <alignment horizontal="center" vertical="center"/>
    </xf>
    <xf numFmtId="176" fontId="13" fillId="2" borderId="4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81" fontId="9" fillId="2" borderId="0" xfId="0" applyNumberFormat="1" applyFont="1" applyFill="1" applyAlignment="1">
      <alignment horizontal="center" vertical="center"/>
    </xf>
    <xf numFmtId="182" fontId="0" fillId="2" borderId="0" xfId="0" applyNumberFormat="1" applyFill="1" applyAlignment="1">
      <alignment horizontal="center" vertical="center"/>
    </xf>
    <xf numFmtId="184" fontId="9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9" fillId="2" borderId="0" xfId="0" applyFont="1" applyFill="1" applyAlignment="1">
      <alignment horizontal="center" vertical="center" shrinkToFit="1"/>
    </xf>
    <xf numFmtId="177" fontId="9" fillId="2" borderId="0" xfId="0" applyNumberFormat="1" applyFont="1" applyFill="1" applyAlignment="1">
      <alignment horizontal="center" vertical="center"/>
    </xf>
    <xf numFmtId="178" fontId="9" fillId="2" borderId="0" xfId="0" applyNumberFormat="1" applyFont="1" applyFill="1" applyAlignment="1">
      <alignment horizontal="center" vertical="center"/>
    </xf>
    <xf numFmtId="179" fontId="9" fillId="2" borderId="0" xfId="0" applyNumberFormat="1" applyFont="1" applyFill="1" applyAlignment="1">
      <alignment horizontal="center" vertical="center"/>
    </xf>
    <xf numFmtId="176" fontId="6" fillId="2" borderId="2" xfId="1" applyNumberFormat="1" applyFont="1" applyFill="1" applyBorder="1" applyAlignment="1">
      <alignment horizontal="center" vertical="center"/>
    </xf>
    <xf numFmtId="176" fontId="6" fillId="2" borderId="4" xfId="1" applyNumberFormat="1" applyFont="1" applyFill="1" applyBorder="1" applyAlignment="1">
      <alignment horizontal="center" vertical="center"/>
    </xf>
    <xf numFmtId="184" fontId="9" fillId="2" borderId="2" xfId="0" applyNumberFormat="1" applyFont="1" applyFill="1" applyBorder="1" applyAlignment="1">
      <alignment horizontal="center" vertical="center"/>
    </xf>
    <xf numFmtId="184" fontId="9" fillId="2" borderId="7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189" fontId="13" fillId="2" borderId="7" xfId="0" applyNumberFormat="1" applyFont="1" applyFill="1" applyBorder="1" applyAlignment="1">
      <alignment horizontal="center" vertical="center"/>
    </xf>
    <xf numFmtId="189" fontId="13" fillId="2" borderId="8" xfId="0" applyNumberFormat="1" applyFont="1" applyFill="1" applyBorder="1" applyAlignment="1">
      <alignment horizontal="center" vertical="center"/>
    </xf>
    <xf numFmtId="189" fontId="13" fillId="2" borderId="17" xfId="0" applyNumberFormat="1" applyFont="1" applyFill="1" applyBorder="1" applyAlignment="1">
      <alignment horizontal="center" vertical="center"/>
    </xf>
    <xf numFmtId="186" fontId="9" fillId="2" borderId="2" xfId="0" applyNumberFormat="1" applyFont="1" applyFill="1" applyBorder="1" applyAlignment="1">
      <alignment horizontal="center" vertical="center"/>
    </xf>
    <xf numFmtId="184" fontId="9" fillId="2" borderId="1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2" borderId="18" xfId="0" applyFill="1" applyBorder="1" applyAlignment="1">
      <alignment horizontal="right" vertical="center"/>
    </xf>
    <xf numFmtId="182" fontId="13" fillId="2" borderId="4" xfId="0" applyNumberFormat="1" applyFont="1" applyFill="1" applyBorder="1" applyAlignment="1">
      <alignment horizontal="center" vertical="center"/>
    </xf>
    <xf numFmtId="178" fontId="9" fillId="2" borderId="20" xfId="0" applyNumberFormat="1" applyFont="1" applyFill="1" applyBorder="1" applyAlignment="1">
      <alignment horizontal="center" vertical="center"/>
    </xf>
    <xf numFmtId="178" fontId="9" fillId="2" borderId="12" xfId="0" applyNumberFormat="1" applyFont="1" applyFill="1" applyBorder="1" applyAlignment="1">
      <alignment horizontal="center" vertical="center"/>
    </xf>
    <xf numFmtId="179" fontId="9" fillId="2" borderId="20" xfId="0" applyNumberFormat="1" applyFont="1" applyFill="1" applyBorder="1" applyAlignment="1">
      <alignment horizontal="center" vertical="center"/>
    </xf>
    <xf numFmtId="179" fontId="9" fillId="2" borderId="13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181" fontId="9" fillId="2" borderId="20" xfId="0" applyNumberFormat="1" applyFont="1" applyFill="1" applyBorder="1" applyAlignment="1">
      <alignment horizontal="center" vertical="center"/>
    </xf>
    <xf numFmtId="181" fontId="9" fillId="2" borderId="13" xfId="0" applyNumberFormat="1" applyFont="1" applyFill="1" applyBorder="1" applyAlignment="1">
      <alignment horizontal="center" vertical="center"/>
    </xf>
    <xf numFmtId="181" fontId="9" fillId="2" borderId="12" xfId="0" applyNumberFormat="1" applyFont="1" applyFill="1" applyBorder="1" applyAlignment="1">
      <alignment horizontal="center" vertical="center"/>
    </xf>
    <xf numFmtId="186" fontId="9" fillId="2" borderId="17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009252020213032E-2"/>
          <c:y val="0.17321100917431193"/>
          <c:w val="0.8180328736913911"/>
          <c:h val="0.69425766733286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주식가치변동!$R$8</c:f>
              <c:strCache>
                <c:ptCount val="1"/>
                <c:pt idx="0">
                  <c:v>前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주식가치변동!$Q$9:$Q$11</c:f>
              <c:strCache>
                <c:ptCount val="3"/>
                <c:pt idx="0">
                  <c:v>22년              </c:v>
                </c:pt>
                <c:pt idx="1">
                  <c:v>23년</c:v>
                </c:pt>
                <c:pt idx="2">
                  <c:v>24년</c:v>
                </c:pt>
              </c:strCache>
            </c:strRef>
          </c:cat>
          <c:val>
            <c:numRef>
              <c:f>주식가치변동!$R$9:$R$11</c:f>
              <c:numCache>
                <c:formatCode>#,###"백만"</c:formatCode>
                <c:ptCount val="3"/>
                <c:pt idx="0">
                  <c:v>1244</c:v>
                </c:pt>
                <c:pt idx="1">
                  <c:v>1920</c:v>
                </c:pt>
                <c:pt idx="2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7-44BA-8386-844A49F734EB}"/>
            </c:ext>
          </c:extLst>
        </c:ser>
        <c:ser>
          <c:idx val="1"/>
          <c:order val="1"/>
          <c:tx>
            <c:strRef>
              <c:f>주식가치변동!$S$8</c:f>
              <c:strCache>
                <c:ptCount val="1"/>
                <c:pt idx="0">
                  <c:v>後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3734842561992479E-2"/>
                  <c:y val="-7.475278918470454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9C-4105-B8FA-82A9C704C953}"/>
                </c:ext>
              </c:extLst>
            </c:dLbl>
            <c:dLbl>
              <c:idx val="1"/>
              <c:layout>
                <c:manualLayout>
                  <c:x val="3.1646456749323308E-2"/>
                  <c:y val="-3.7376394592352274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9C-4105-B8FA-82A9C704C953}"/>
                </c:ext>
              </c:extLst>
            </c:dLbl>
            <c:dLbl>
              <c:idx val="2"/>
              <c:layout>
                <c:manualLayout>
                  <c:x val="2.1097637832882109E-2"/>
                  <c:y val="-3.7376394592352274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9C-4105-B8FA-82A9C704C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주식가치변동!$Q$9:$Q$11</c:f>
              <c:strCache>
                <c:ptCount val="3"/>
                <c:pt idx="0">
                  <c:v>22년              </c:v>
                </c:pt>
                <c:pt idx="1">
                  <c:v>23년</c:v>
                </c:pt>
                <c:pt idx="2">
                  <c:v>24년</c:v>
                </c:pt>
              </c:strCache>
            </c:strRef>
          </c:cat>
          <c:val>
            <c:numRef>
              <c:f>주식가치변동!$S$9:$S$11</c:f>
              <c:numCache>
                <c:formatCode>#,###"백만"</c:formatCode>
                <c:ptCount val="3"/>
                <c:pt idx="0">
                  <c:v>1004</c:v>
                </c:pt>
                <c:pt idx="1">
                  <c:v>1680</c:v>
                </c:pt>
                <c:pt idx="2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7-44BA-8386-844A49F7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30176"/>
        <c:axId val="135532144"/>
      </c:barChart>
      <c:catAx>
        <c:axId val="13553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532144"/>
        <c:crosses val="autoZero"/>
        <c:auto val="1"/>
        <c:lblAlgn val="ctr"/>
        <c:lblOffset val="100"/>
        <c:noMultiLvlLbl val="0"/>
      </c:catAx>
      <c:valAx>
        <c:axId val="135532144"/>
        <c:scaling>
          <c:orientation val="minMax"/>
        </c:scaling>
        <c:delete val="1"/>
        <c:axPos val="l"/>
        <c:numFmt formatCode="#,###&quot;백만&quot;" sourceLinked="1"/>
        <c:majorTickMark val="none"/>
        <c:minorTickMark val="none"/>
        <c:tickLblPos val="nextTo"/>
        <c:crossAx val="13553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054-41DC-9E8E-822BFAC54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주식가치변동!$R$17:$S$17</c:f>
              <c:strCache>
                <c:ptCount val="2"/>
                <c:pt idx="0">
                  <c:v>前</c:v>
                </c:pt>
                <c:pt idx="1">
                  <c:v>後</c:v>
                </c:pt>
              </c:strCache>
            </c:strRef>
          </c:cat>
          <c:val>
            <c:numRef>
              <c:f>주식가치변동!$R$18:$S$18</c:f>
              <c:numCache>
                <c:formatCode>#,###"백만"</c:formatCode>
                <c:ptCount val="2"/>
                <c:pt idx="0">
                  <c:v>17853.333333333332</c:v>
                </c:pt>
                <c:pt idx="1">
                  <c:v>15453.333333333332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4-41DC-9E8E-822BFAC5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285872"/>
        <c:axId val="1165291448"/>
      </c:lineChart>
      <c:catAx>
        <c:axId val="11652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5291448"/>
        <c:crosses val="autoZero"/>
        <c:auto val="1"/>
        <c:lblAlgn val="ctr"/>
        <c:lblOffset val="100"/>
        <c:noMultiLvlLbl val="0"/>
      </c:catAx>
      <c:valAx>
        <c:axId val="1165291448"/>
        <c:scaling>
          <c:orientation val="minMax"/>
        </c:scaling>
        <c:delete val="1"/>
        <c:axPos val="l"/>
        <c:numFmt formatCode="#,###&quot;백만&quot;" sourceLinked="1"/>
        <c:majorTickMark val="none"/>
        <c:minorTickMark val="none"/>
        <c:tickLblPos val="nextTo"/>
        <c:crossAx val="116528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59-4663-95BF-D9D106E7A8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주식가치변동!$R$25:$S$25</c:f>
              <c:strCache>
                <c:ptCount val="2"/>
                <c:pt idx="0">
                  <c:v>前</c:v>
                </c:pt>
                <c:pt idx="1">
                  <c:v>後</c:v>
                </c:pt>
              </c:strCache>
            </c:strRef>
          </c:cat>
          <c:val>
            <c:numRef>
              <c:f>주식가치변동!$R$26:$S$26</c:f>
              <c:numCache>
                <c:formatCode>#,###"백만"</c:formatCode>
                <c:ptCount val="2"/>
                <c:pt idx="0">
                  <c:v>13547</c:v>
                </c:pt>
                <c:pt idx="1">
                  <c:v>12827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9-4663-95BF-D9D106E7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237328"/>
        <c:axId val="1165239296"/>
      </c:lineChart>
      <c:catAx>
        <c:axId val="116523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5239296"/>
        <c:crosses val="autoZero"/>
        <c:auto val="1"/>
        <c:lblAlgn val="ctr"/>
        <c:lblOffset val="100"/>
        <c:noMultiLvlLbl val="0"/>
      </c:catAx>
      <c:valAx>
        <c:axId val="1165239296"/>
        <c:scaling>
          <c:orientation val="minMax"/>
        </c:scaling>
        <c:delete val="1"/>
        <c:axPos val="l"/>
        <c:numFmt formatCode="#,###&quot;백만&quot;" sourceLinked="1"/>
        <c:majorTickMark val="none"/>
        <c:minorTickMark val="none"/>
        <c:tickLblPos val="nextTo"/>
        <c:crossAx val="116523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FE7-486F-BA3C-1D85560C4A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주식가치변동!$R$32:$S$32</c:f>
              <c:strCache>
                <c:ptCount val="2"/>
                <c:pt idx="0">
                  <c:v>前</c:v>
                </c:pt>
                <c:pt idx="1">
                  <c:v>後</c:v>
                </c:pt>
              </c:strCache>
            </c:strRef>
          </c:cat>
          <c:val>
            <c:numRef>
              <c:f>주식가치변동!$R$33:$S$33</c:f>
              <c:numCache>
                <c:formatCode>#,###"백만"</c:formatCode>
                <c:ptCount val="2"/>
                <c:pt idx="0">
                  <c:v>15269.533333333331</c:v>
                </c:pt>
                <c:pt idx="1">
                  <c:v>13877.533333333331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486F-BA3C-1D85560C4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251760"/>
        <c:axId val="1165244872"/>
      </c:lineChart>
      <c:catAx>
        <c:axId val="116525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5244872"/>
        <c:crosses val="autoZero"/>
        <c:auto val="1"/>
        <c:lblAlgn val="ctr"/>
        <c:lblOffset val="100"/>
        <c:noMultiLvlLbl val="0"/>
      </c:catAx>
      <c:valAx>
        <c:axId val="1165244872"/>
        <c:scaling>
          <c:orientation val="minMax"/>
        </c:scaling>
        <c:delete val="1"/>
        <c:axPos val="l"/>
        <c:numFmt formatCode="#,###&quot;백만&quot;" sourceLinked="1"/>
        <c:majorTickMark val="none"/>
        <c:minorTickMark val="none"/>
        <c:tickLblPos val="nextTo"/>
        <c:crossAx val="11652517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환급금!$S$1</c:f>
              <c:strCache>
                <c:ptCount val="1"/>
                <c:pt idx="0">
                  <c:v>환급률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환급금!$Q$2:$Q$21</c15:sqref>
                  </c15:fullRef>
                </c:ext>
              </c:extLst>
              <c:f>환급금!$Q$2:$Q$17</c:f>
              <c:strCache>
                <c:ptCount val="16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15년</c:v>
                </c:pt>
                <c:pt idx="11">
                  <c:v>20년</c:v>
                </c:pt>
                <c:pt idx="12">
                  <c:v>25년</c:v>
                </c:pt>
                <c:pt idx="13">
                  <c:v>30년</c:v>
                </c:pt>
                <c:pt idx="14">
                  <c:v>35년</c:v>
                </c:pt>
                <c:pt idx="15">
                  <c:v>90세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환급금!$S$2:$S$21</c15:sqref>
                  </c15:fullRef>
                </c:ext>
              </c:extLst>
              <c:f>환급금!$S$2:$S$17</c:f>
              <c:numCache>
                <c:formatCode>0.0%</c:formatCode>
                <c:ptCount val="16"/>
                <c:pt idx="0">
                  <c:v>5.0000000000000001E-3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0.75</c:v>
                </c:pt>
                <c:pt idx="8">
                  <c:v>0.87</c:v>
                </c:pt>
                <c:pt idx="9">
                  <c:v>0.88</c:v>
                </c:pt>
                <c:pt idx="10">
                  <c:v>0.87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0.87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C-47E2-8621-498CD4A37C95}"/>
            </c:ext>
          </c:extLst>
        </c:ser>
        <c:ser>
          <c:idx val="2"/>
          <c:order val="2"/>
          <c:tx>
            <c:strRef>
              <c:f>환급금!$T$1</c:f>
              <c:strCache>
                <c:ptCount val="1"/>
                <c:pt idx="0">
                  <c:v>법인세율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환급금!$Q$2:$Q$21</c15:sqref>
                  </c15:fullRef>
                </c:ext>
              </c:extLst>
              <c:f>환급금!$Q$2:$Q$17</c:f>
              <c:strCache>
                <c:ptCount val="16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15년</c:v>
                </c:pt>
                <c:pt idx="11">
                  <c:v>20년</c:v>
                </c:pt>
                <c:pt idx="12">
                  <c:v>25년</c:v>
                </c:pt>
                <c:pt idx="13">
                  <c:v>30년</c:v>
                </c:pt>
                <c:pt idx="14">
                  <c:v>35년</c:v>
                </c:pt>
                <c:pt idx="15">
                  <c:v>90세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환급금!$T$2:$T$21</c15:sqref>
                  </c15:fullRef>
                </c:ext>
              </c:extLst>
              <c:f>환급금!$T$2:$T$17</c:f>
              <c:numCache>
                <c:formatCode>0.0%</c:formatCode>
                <c:ptCount val="16"/>
                <c:pt idx="0">
                  <c:v>0.20899999999999999</c:v>
                </c:pt>
                <c:pt idx="1">
                  <c:v>0.20899999999999999</c:v>
                </c:pt>
                <c:pt idx="2">
                  <c:v>0.20899999999999999</c:v>
                </c:pt>
                <c:pt idx="3">
                  <c:v>0.20899999999999999</c:v>
                </c:pt>
                <c:pt idx="4">
                  <c:v>0.20899999999999999</c:v>
                </c:pt>
                <c:pt idx="5">
                  <c:v>0.20899999999999999</c:v>
                </c:pt>
                <c:pt idx="6">
                  <c:v>0.20899999999999999</c:v>
                </c:pt>
                <c:pt idx="7">
                  <c:v>0.20899999999999999</c:v>
                </c:pt>
                <c:pt idx="8">
                  <c:v>0.20899999999999999</c:v>
                </c:pt>
                <c:pt idx="9">
                  <c:v>0.20899999999999999</c:v>
                </c:pt>
                <c:pt idx="10">
                  <c:v>0.20899999999999999</c:v>
                </c:pt>
                <c:pt idx="11">
                  <c:v>0.20899999999999999</c:v>
                </c:pt>
                <c:pt idx="12">
                  <c:v>0.20899999999999999</c:v>
                </c:pt>
                <c:pt idx="13">
                  <c:v>0.20899999999999999</c:v>
                </c:pt>
                <c:pt idx="14">
                  <c:v>0.20899999999999999</c:v>
                </c:pt>
                <c:pt idx="15">
                  <c:v>0.20899999999999999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C-47E2-8621-498CD4A3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53618000"/>
        <c:axId val="753625216"/>
      </c:barChart>
      <c:lineChart>
        <c:grouping val="standard"/>
        <c:varyColors val="0"/>
        <c:ser>
          <c:idx val="0"/>
          <c:order val="0"/>
          <c:tx>
            <c:strRef>
              <c:f>환급금!$R$1</c:f>
              <c:strCache>
                <c:ptCount val="1"/>
                <c:pt idx="0">
                  <c:v>실손익률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환급금!$Q$2:$Q$21</c15:sqref>
                  </c15:fullRef>
                </c:ext>
              </c:extLst>
              <c:f>환급금!$Q$2:$Q$17</c:f>
              <c:strCache>
                <c:ptCount val="16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15년</c:v>
                </c:pt>
                <c:pt idx="11">
                  <c:v>20년</c:v>
                </c:pt>
                <c:pt idx="12">
                  <c:v>25년</c:v>
                </c:pt>
                <c:pt idx="13">
                  <c:v>30년</c:v>
                </c:pt>
                <c:pt idx="14">
                  <c:v>35년</c:v>
                </c:pt>
                <c:pt idx="15">
                  <c:v>90세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환급금!$R$2:$R$21</c15:sqref>
                  </c15:fullRef>
                </c:ext>
              </c:extLst>
              <c:f>환급금!$R$2:$R$17</c:f>
              <c:numCache>
                <c:formatCode>0.0%</c:formatCode>
                <c:ptCount val="16"/>
                <c:pt idx="0">
                  <c:v>0.214</c:v>
                </c:pt>
                <c:pt idx="1">
                  <c:v>0.35899999999999999</c:v>
                </c:pt>
                <c:pt idx="2">
                  <c:v>0.45899999999999996</c:v>
                </c:pt>
                <c:pt idx="3">
                  <c:v>0.55899999999999994</c:v>
                </c:pt>
                <c:pt idx="4">
                  <c:v>0.90899999999999992</c:v>
                </c:pt>
                <c:pt idx="5">
                  <c:v>0.95899999999999996</c:v>
                </c:pt>
                <c:pt idx="6">
                  <c:v>1.0090000000000001</c:v>
                </c:pt>
                <c:pt idx="7">
                  <c:v>0.95899999999999996</c:v>
                </c:pt>
                <c:pt idx="8">
                  <c:v>1.079</c:v>
                </c:pt>
                <c:pt idx="9">
                  <c:v>1.089</c:v>
                </c:pt>
                <c:pt idx="10">
                  <c:v>1.079</c:v>
                </c:pt>
                <c:pt idx="11">
                  <c:v>1.079</c:v>
                </c:pt>
                <c:pt idx="12">
                  <c:v>1.079</c:v>
                </c:pt>
                <c:pt idx="13">
                  <c:v>1.079</c:v>
                </c:pt>
                <c:pt idx="14">
                  <c:v>1.079</c:v>
                </c:pt>
                <c:pt idx="15">
                  <c:v>0.20899999999999999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47E2-8621-498CD4A37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18000"/>
        <c:axId val="753625216"/>
      </c:lineChart>
      <c:catAx>
        <c:axId val="7536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3625216"/>
        <c:crosses val="autoZero"/>
        <c:auto val="1"/>
        <c:lblAlgn val="ctr"/>
        <c:lblOffset val="100"/>
        <c:noMultiLvlLbl val="0"/>
      </c:catAx>
      <c:valAx>
        <c:axId val="75362521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7536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환급금!$U$1</c:f>
              <c:strCache>
                <c:ptCount val="1"/>
                <c:pt idx="0">
                  <c:v>사망보험금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833969924450358E-2"/>
                  <c:y val="7.8523838966568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A4-4D09-AB8B-0DB375EA823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22-47DC-A56E-655819F4B91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2-47DC-A56E-655819F4B91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2-47DC-A56E-655819F4B9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22-47DC-A56E-655819F4B91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2-47DC-A56E-655819F4B91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22-47DC-A56E-655819F4B91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2-47DC-A56E-655819F4B91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22-47DC-A56E-655819F4B91D}"/>
                </c:ext>
              </c:extLst>
            </c:dLbl>
            <c:dLbl>
              <c:idx val="10"/>
              <c:layout>
                <c:manualLayout>
                  <c:x val="-8.5551339336281274E-3"/>
                  <c:y val="-8.3380983644913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A4-4D09-AB8B-0DB375EA82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환급금!$Q$2:$Q$21</c15:sqref>
                  </c15:fullRef>
                </c:ext>
              </c:extLst>
              <c:f>환급금!$Q$2:$Q$17</c:f>
              <c:strCache>
                <c:ptCount val="16"/>
                <c:pt idx="0">
                  <c:v>1년</c:v>
                </c:pt>
                <c:pt idx="1">
                  <c:v>2년</c:v>
                </c:pt>
                <c:pt idx="2">
                  <c:v>3년</c:v>
                </c:pt>
                <c:pt idx="3">
                  <c:v>4년</c:v>
                </c:pt>
                <c:pt idx="4">
                  <c:v>5년</c:v>
                </c:pt>
                <c:pt idx="5">
                  <c:v>6년</c:v>
                </c:pt>
                <c:pt idx="6">
                  <c:v>7년</c:v>
                </c:pt>
                <c:pt idx="7">
                  <c:v>8년</c:v>
                </c:pt>
                <c:pt idx="8">
                  <c:v>9년</c:v>
                </c:pt>
                <c:pt idx="9">
                  <c:v>10년</c:v>
                </c:pt>
                <c:pt idx="10">
                  <c:v>15년</c:v>
                </c:pt>
                <c:pt idx="11">
                  <c:v>20년</c:v>
                </c:pt>
                <c:pt idx="12">
                  <c:v>25년</c:v>
                </c:pt>
                <c:pt idx="13">
                  <c:v>30년</c:v>
                </c:pt>
                <c:pt idx="14">
                  <c:v>35년</c:v>
                </c:pt>
                <c:pt idx="15">
                  <c:v>90세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환급금!$U$2:$U$21</c15:sqref>
                  </c15:fullRef>
                </c:ext>
              </c:extLst>
              <c:f>환급금!$U$2:$U$17</c:f>
              <c:numCache>
                <c:formatCode>#.0"억"\ 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7.5</c:v>
                </c:pt>
                <c:pt idx="13">
                  <c:v>9</c:v>
                </c:pt>
                <c:pt idx="14">
                  <c:v>10.5</c:v>
                </c:pt>
                <c:pt idx="1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2-47DC-A56E-655819F4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895976"/>
        <c:axId val="753895320"/>
      </c:lineChart>
      <c:catAx>
        <c:axId val="75389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3895320"/>
        <c:crosses val="autoZero"/>
        <c:auto val="1"/>
        <c:lblAlgn val="ctr"/>
        <c:lblOffset val="100"/>
        <c:noMultiLvlLbl val="0"/>
      </c:catAx>
      <c:valAx>
        <c:axId val="753895320"/>
        <c:scaling>
          <c:orientation val="minMax"/>
        </c:scaling>
        <c:delete val="1"/>
        <c:axPos val="l"/>
        <c:numFmt formatCode="#.0&quot;억&quot;\ " sourceLinked="1"/>
        <c:majorTickMark val="none"/>
        <c:minorTickMark val="none"/>
        <c:tickLblPos val="nextTo"/>
        <c:crossAx val="753895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6" Type="http://schemas.microsoft.com/office/2007/relationships/hdphoto" Target="../media/hdphoto1.wdp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fif"/><Relationship Id="rId1" Type="http://schemas.openxmlformats.org/officeDocument/2006/relationships/image" Target="../media/image7.jf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png"/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3" Type="http://schemas.openxmlformats.org/officeDocument/2006/relationships/chart" Target="../charts/chart3.xml"/><Relationship Id="rId7" Type="http://schemas.openxmlformats.org/officeDocument/2006/relationships/image" Target="../media/image2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3.emf"/><Relationship Id="rId5" Type="http://schemas.openxmlformats.org/officeDocument/2006/relationships/image" Target="../media/image22.emf"/><Relationship Id="rId4" Type="http://schemas.openxmlformats.org/officeDocument/2006/relationships/chart" Target="../charts/chart4.xml"/><Relationship Id="rId9" Type="http://schemas.openxmlformats.org/officeDocument/2006/relationships/image" Target="../media/image26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5" Type="http://schemas.openxmlformats.org/officeDocument/2006/relationships/image" Target="../media/image33.emf"/><Relationship Id="rId4" Type="http://schemas.openxmlformats.org/officeDocument/2006/relationships/image" Target="../media/image3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635000</xdr:colOff>
      <xdr:row>46</xdr:row>
      <xdr:rowOff>158750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14970125" cy="96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365125</xdr:colOff>
      <xdr:row>25</xdr:row>
      <xdr:rowOff>158750</xdr:rowOff>
    </xdr:from>
    <xdr:to>
      <xdr:col>29</xdr:col>
      <xdr:colOff>596900</xdr:colOff>
      <xdr:row>30</xdr:row>
      <xdr:rowOff>41275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567525" y="5397500"/>
          <a:ext cx="917575" cy="930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22</xdr:row>
      <xdr:rowOff>47625</xdr:rowOff>
    </xdr:from>
    <xdr:to>
      <xdr:col>3</xdr:col>
      <xdr:colOff>0</xdr:colOff>
      <xdr:row>25</xdr:row>
      <xdr:rowOff>31750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4657725"/>
          <a:ext cx="2057400" cy="6127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41275</xdr:colOff>
      <xdr:row>28</xdr:row>
      <xdr:rowOff>200025</xdr:rowOff>
    </xdr:from>
    <xdr:to>
      <xdr:col>9</xdr:col>
      <xdr:colOff>460375</xdr:colOff>
      <xdr:row>32</xdr:row>
      <xdr:rowOff>142875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84475" y="6067425"/>
          <a:ext cx="3848100" cy="7810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34925</xdr:colOff>
      <xdr:row>35</xdr:row>
      <xdr:rowOff>193675</xdr:rowOff>
    </xdr:from>
    <xdr:to>
      <xdr:col>9</xdr:col>
      <xdr:colOff>454025</xdr:colOff>
      <xdr:row>39</xdr:row>
      <xdr:rowOff>136525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78125" y="7527925"/>
          <a:ext cx="3848100" cy="7810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76200</xdr:colOff>
      <xdr:row>9</xdr:row>
      <xdr:rowOff>187325</xdr:rowOff>
    </xdr:from>
    <xdr:to>
      <xdr:col>6</xdr:col>
      <xdr:colOff>15875</xdr:colOff>
      <xdr:row>16</xdr:row>
      <xdr:rowOff>158750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819400" y="2073275"/>
          <a:ext cx="1311275" cy="14382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539750</xdr:colOff>
      <xdr:row>23</xdr:row>
      <xdr:rowOff>15875</xdr:rowOff>
    </xdr:from>
    <xdr:ext cx="954107" cy="142276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25550" y="4835525"/>
          <a:ext cx="954107" cy="1422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6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9</xdr:col>
      <xdr:colOff>438150</xdr:colOff>
      <xdr:row>24</xdr:row>
      <xdr:rowOff>73025</xdr:rowOff>
    </xdr:from>
    <xdr:ext cx="954107" cy="142276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610350" y="5102225"/>
          <a:ext cx="954107" cy="1422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6000" b="1">
              <a:solidFill>
                <a:srgbClr val="FF0000"/>
              </a:solidFill>
            </a:rPr>
            <a:t>②</a:t>
          </a:r>
        </a:p>
      </xdr:txBody>
    </xdr:sp>
    <xdr:clientData/>
  </xdr:oneCellAnchor>
  <xdr:oneCellAnchor>
    <xdr:from>
      <xdr:col>9</xdr:col>
      <xdr:colOff>606425</xdr:colOff>
      <xdr:row>37</xdr:row>
      <xdr:rowOff>66675</xdr:rowOff>
    </xdr:from>
    <xdr:ext cx="7958717" cy="142276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778625" y="7820025"/>
          <a:ext cx="7958717" cy="142276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6000" b="1">
              <a:solidFill>
                <a:srgbClr val="FF0000"/>
              </a:solidFill>
            </a:rPr>
            <a:t>③전체 통합문서 선택</a:t>
          </a:r>
          <a:r>
            <a:rPr lang="en-US" altLang="ko-KR" sz="6000" b="1">
              <a:solidFill>
                <a:srgbClr val="FF0000"/>
              </a:solidFill>
            </a:rPr>
            <a:t>!!</a:t>
          </a:r>
          <a:endParaRPr lang="ko-KR" altLang="en-US" sz="60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520700</xdr:colOff>
      <xdr:row>3</xdr:row>
      <xdr:rowOff>203200</xdr:rowOff>
    </xdr:from>
    <xdr:ext cx="954107" cy="142276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949700" y="831850"/>
          <a:ext cx="954107" cy="14227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6000" b="1">
              <a:solidFill>
                <a:srgbClr val="FF0000"/>
              </a:solidFill>
            </a:rPr>
            <a:t>④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</xdr:row>
      <xdr:rowOff>38100</xdr:rowOff>
    </xdr:from>
    <xdr:to>
      <xdr:col>14</xdr:col>
      <xdr:colOff>685799</xdr:colOff>
      <xdr:row>29</xdr:row>
      <xdr:rowOff>104775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9524" y="95250"/>
          <a:ext cx="10848975" cy="7315200"/>
          <a:chOff x="0" y="0"/>
          <a:chExt cx="9144000" cy="5160149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144000" cy="5143500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22264" y="937254"/>
            <a:ext cx="4138761" cy="3268991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14129"/>
            <a:ext cx="9144000" cy="244602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28575</xdr:colOff>
      <xdr:row>30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10887075" cy="7343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655273</xdr:colOff>
      <xdr:row>1</xdr:row>
      <xdr:rowOff>173557</xdr:rowOff>
    </xdr:from>
    <xdr:to>
      <xdr:col>14</xdr:col>
      <xdr:colOff>549205</xdr:colOff>
      <xdr:row>2</xdr:row>
      <xdr:rowOff>114483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8748" y="230707"/>
          <a:ext cx="1313157" cy="255251"/>
        </a:xfrm>
        <a:prstGeom prst="rect">
          <a:avLst/>
        </a:prstGeom>
      </xdr:spPr>
    </xdr:pic>
    <xdr:clientData/>
  </xdr:twoCellAnchor>
  <xdr:twoCellAnchor>
    <xdr:from>
      <xdr:col>0</xdr:col>
      <xdr:colOff>4396</xdr:colOff>
      <xdr:row>29</xdr:row>
      <xdr:rowOff>100379</xdr:rowOff>
    </xdr:from>
    <xdr:to>
      <xdr:col>15</xdr:col>
      <xdr:colOff>0</xdr:colOff>
      <xdr:row>30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396" y="7207494"/>
          <a:ext cx="10854104" cy="6814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21981</xdr:rowOff>
    </xdr:from>
    <xdr:to>
      <xdr:col>14</xdr:col>
      <xdr:colOff>684335</xdr:colOff>
      <xdr:row>1</xdr:row>
      <xdr:rowOff>36831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21981"/>
          <a:ext cx="1085703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314324</xdr:colOff>
      <xdr:row>7</xdr:row>
      <xdr:rowOff>142874</xdr:rowOff>
    </xdr:from>
    <xdr:to>
      <xdr:col>8</xdr:col>
      <xdr:colOff>619124</xdr:colOff>
      <xdr:row>13</xdr:row>
      <xdr:rowOff>200024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4324" y="2085974"/>
          <a:ext cx="6124575" cy="1628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3000">
              <a:solidFill>
                <a:srgbClr val="00B0F0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효율적인 가업 승계를 위한</a:t>
          </a:r>
          <a:endParaRPr lang="en-US" altLang="ko-KR" sz="3000">
            <a:solidFill>
              <a:srgbClr val="00B0F0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  <a:p>
          <a:r>
            <a:rPr lang="ko-KR" altLang="en-US" sz="5000">
              <a:solidFill>
                <a:srgbClr val="0000FF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기업가치 제고 전략</a:t>
          </a:r>
        </a:p>
      </xdr:txBody>
    </xdr:sp>
    <xdr:clientData/>
  </xdr:twoCellAnchor>
  <xdr:twoCellAnchor editAs="oneCell">
    <xdr:from>
      <xdr:col>9</xdr:col>
      <xdr:colOff>504825</xdr:colOff>
      <xdr:row>7</xdr:row>
      <xdr:rowOff>28574</xdr:rowOff>
    </xdr:from>
    <xdr:to>
      <xdr:col>11</xdr:col>
      <xdr:colOff>238125</xdr:colOff>
      <xdr:row>16</xdr:row>
      <xdr:rowOff>7549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3747" b="91914" l="48125" r="6937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7930" t="10714" r="29453" b="8222"/>
        <a:stretch/>
      </xdr:blipFill>
      <xdr:spPr>
        <a:xfrm>
          <a:off x="7058025" y="1971674"/>
          <a:ext cx="1200150" cy="2493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10887075" cy="736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9525" y="0"/>
          <a:ext cx="10887075" cy="73628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15</xdr:col>
      <xdr:colOff>548520</xdr:colOff>
      <xdr:row>34</xdr:row>
      <xdr:rowOff>202118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3920" y="7172819"/>
          <a:ext cx="10846448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17807"/>
          <a:ext cx="10836923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647699</xdr:colOff>
      <xdr:row>2</xdr:row>
      <xdr:rowOff>76200</xdr:rowOff>
    </xdr:from>
    <xdr:to>
      <xdr:col>15</xdr:col>
      <xdr:colOff>390524</xdr:colOff>
      <xdr:row>32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299" y="590550"/>
          <a:ext cx="5229225" cy="635317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0</xdr:col>
      <xdr:colOff>140474</xdr:colOff>
      <xdr:row>2</xdr:row>
      <xdr:rowOff>66675</xdr:rowOff>
    </xdr:from>
    <xdr:to>
      <xdr:col>7</xdr:col>
      <xdr:colOff>285749</xdr:colOff>
      <xdr:row>32</xdr:row>
      <xdr:rowOff>136218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74" y="581025"/>
          <a:ext cx="4945875" cy="635604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15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3920" y="7295402"/>
          <a:ext cx="10793025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180975</xdr:colOff>
      <xdr:row>2</xdr:row>
      <xdr:rowOff>104775</xdr:rowOff>
    </xdr:from>
    <xdr:to>
      <xdr:col>7</xdr:col>
      <xdr:colOff>504825</xdr:colOff>
      <xdr:row>32</xdr:row>
      <xdr:rowOff>161925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61975"/>
          <a:ext cx="5124450" cy="634365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8</xdr:col>
      <xdr:colOff>102375</xdr:colOff>
      <xdr:row>2</xdr:row>
      <xdr:rowOff>92850</xdr:rowOff>
    </xdr:from>
    <xdr:to>
      <xdr:col>15</xdr:col>
      <xdr:colOff>276225</xdr:colOff>
      <xdr:row>32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775" y="550050"/>
          <a:ext cx="4974450" cy="633652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15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3920" y="7295402"/>
          <a:ext cx="10793025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123825</xdr:colOff>
      <xdr:row>2</xdr:row>
      <xdr:rowOff>76199</xdr:rowOff>
    </xdr:from>
    <xdr:to>
      <xdr:col>7</xdr:col>
      <xdr:colOff>428625</xdr:colOff>
      <xdr:row>32</xdr:row>
      <xdr:rowOff>152400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533399"/>
          <a:ext cx="5105400" cy="6362701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7</xdr:col>
      <xdr:colOff>647701</xdr:colOff>
      <xdr:row>2</xdr:row>
      <xdr:rowOff>85724</xdr:rowOff>
    </xdr:from>
    <xdr:to>
      <xdr:col>15</xdr:col>
      <xdr:colOff>419101</xdr:colOff>
      <xdr:row>32</xdr:row>
      <xdr:rowOff>161925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8301" y="542924"/>
          <a:ext cx="5257800" cy="6362701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15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3920" y="7295402"/>
          <a:ext cx="10793025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171449</xdr:colOff>
      <xdr:row>2</xdr:row>
      <xdr:rowOff>142875</xdr:rowOff>
    </xdr:from>
    <xdr:to>
      <xdr:col>15</xdr:col>
      <xdr:colOff>314324</xdr:colOff>
      <xdr:row>32</xdr:row>
      <xdr:rowOff>133350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657225"/>
          <a:ext cx="10429875" cy="6276975"/>
        </a:xfrm>
        <a:prstGeom prst="rect">
          <a:avLst/>
        </a:prstGeom>
        <a:ln w="38100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15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3920" y="7295402"/>
          <a:ext cx="10793025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114300</xdr:colOff>
      <xdr:row>2</xdr:row>
      <xdr:rowOff>82159</xdr:rowOff>
    </xdr:from>
    <xdr:to>
      <xdr:col>15</xdr:col>
      <xdr:colOff>400049</xdr:colOff>
      <xdr:row>32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96509"/>
          <a:ext cx="10572749" cy="6347216"/>
        </a:xfrm>
        <a:prstGeom prst="rect">
          <a:avLst/>
        </a:prstGeom>
        <a:ln w="38100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180227</xdr:rowOff>
    </xdr:from>
    <xdr:to>
      <xdr:col>16</xdr:col>
      <xdr:colOff>0</xdr:colOff>
      <xdr:row>34</xdr:row>
      <xdr:rowOff>238125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7304927"/>
          <a:ext cx="10972800" cy="5789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17806</xdr:rowOff>
    </xdr:from>
    <xdr:to>
      <xdr:col>16</xdr:col>
      <xdr:colOff>0</xdr:colOff>
      <xdr:row>0</xdr:row>
      <xdr:rowOff>95249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0" y="17806"/>
          <a:ext cx="10972800" cy="7744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</xdr:row>
          <xdr:rowOff>95250</xdr:rowOff>
        </xdr:from>
        <xdr:to>
          <xdr:col>15</xdr:col>
          <xdr:colOff>371475</xdr:colOff>
          <xdr:row>19</xdr:row>
          <xdr:rowOff>190499</xdr:rowOff>
        </xdr:to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00000000-0008-0000-08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R$2:$AH$17" spid="_x0000_s70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1450" y="581025"/>
              <a:ext cx="10487025" cy="36575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0</xdr:col>
      <xdr:colOff>171451</xdr:colOff>
      <xdr:row>20</xdr:row>
      <xdr:rowOff>76200</xdr:rowOff>
    </xdr:from>
    <xdr:to>
      <xdr:col>9</xdr:col>
      <xdr:colOff>676275</xdr:colOff>
      <xdr:row>33</xdr:row>
      <xdr:rowOff>190500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992"/>
        <a:stretch/>
      </xdr:blipFill>
      <xdr:spPr>
        <a:xfrm>
          <a:off x="171451" y="4267200"/>
          <a:ext cx="6677024" cy="283845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>
    <xdr:from>
      <xdr:col>10</xdr:col>
      <xdr:colOff>142875</xdr:colOff>
      <xdr:row>20</xdr:row>
      <xdr:rowOff>85725</xdr:rowOff>
    </xdr:from>
    <xdr:to>
      <xdr:col>15</xdr:col>
      <xdr:colOff>371475</xdr:colOff>
      <xdr:row>34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7000875" y="4276725"/>
          <a:ext cx="3657600" cy="28479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219075</xdr:colOff>
      <xdr:row>20</xdr:row>
      <xdr:rowOff>114299</xdr:rowOff>
    </xdr:from>
    <xdr:to>
      <xdr:col>15</xdr:col>
      <xdr:colOff>314325</xdr:colOff>
      <xdr:row>33</xdr:row>
      <xdr:rowOff>104774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77075" y="4305299"/>
          <a:ext cx="3524250" cy="2714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200" b="1"/>
            <a:t>※ </a:t>
          </a:r>
          <a:r>
            <a:rPr lang="ko-KR" altLang="en-US" sz="1200" b="1"/>
            <a:t>부동산 과다 보유법인 평가 방법</a:t>
          </a:r>
          <a:endParaRPr lang="en-US" altLang="ko-KR" sz="1200" b="1"/>
        </a:p>
        <a:p>
          <a:r>
            <a:rPr lang="en-US" altLang="ko-KR" sz="1200" b="1"/>
            <a:t>    - </a:t>
          </a:r>
          <a:r>
            <a:rPr lang="ko-KR" altLang="en-US" sz="1200" b="1"/>
            <a:t>기준 </a:t>
          </a:r>
          <a:r>
            <a:rPr lang="en-US" altLang="ko-KR" sz="1200" b="1"/>
            <a:t>: </a:t>
          </a:r>
          <a:r>
            <a:rPr lang="ko-KR" altLang="en-US" sz="1200" b="1"/>
            <a:t>자산 총액 중 토지</a:t>
          </a:r>
          <a:r>
            <a:rPr lang="en-US" altLang="ko-KR" sz="1200" b="1"/>
            <a:t>,</a:t>
          </a:r>
          <a:r>
            <a:rPr lang="en-US" altLang="ko-KR" sz="1200" b="1" baseline="0"/>
            <a:t> </a:t>
          </a:r>
          <a:r>
            <a:rPr lang="ko-KR" altLang="en-US" sz="1200" b="1" baseline="0"/>
            <a:t>건물</a:t>
          </a:r>
          <a:r>
            <a:rPr lang="en-US" altLang="ko-KR" sz="1200" b="1" baseline="0"/>
            <a:t>, </a:t>
          </a:r>
          <a:r>
            <a:rPr lang="ko-KR" altLang="en-US" sz="1200" b="1" baseline="0"/>
            <a:t>부동산을 </a:t>
          </a:r>
          <a:endParaRPr lang="en-US" altLang="ko-KR" sz="1200" b="1" baseline="0"/>
        </a:p>
        <a:p>
          <a:r>
            <a:rPr lang="en-US" altLang="ko-KR" sz="1200" b="1" baseline="0"/>
            <a:t>                  </a:t>
          </a:r>
          <a:r>
            <a:rPr lang="ko-KR" altLang="en-US" sz="1200" b="1" baseline="0"/>
            <a:t>취득할 수 있는 권리 등이 자산가액의 </a:t>
          </a:r>
          <a:endParaRPr lang="en-US" altLang="ko-KR" sz="1200" b="1" baseline="0"/>
        </a:p>
        <a:p>
          <a:r>
            <a:rPr lang="en-US" altLang="ko-KR" sz="1200" b="1" baseline="0"/>
            <a:t>                  50% </a:t>
          </a:r>
          <a:r>
            <a:rPr lang="ko-KR" altLang="en-US" sz="1200" b="1" baseline="0"/>
            <a:t>이상</a:t>
          </a:r>
          <a:endParaRPr lang="en-US" altLang="ko-KR" sz="1200" b="1" baseline="0"/>
        </a:p>
        <a:p>
          <a:endParaRPr lang="en-US" altLang="ko-KR" sz="600" b="1" baseline="0"/>
        </a:p>
        <a:p>
          <a:r>
            <a:rPr lang="en-US" altLang="ko-KR" sz="1200" b="1" baseline="0"/>
            <a:t>   </a:t>
          </a:r>
          <a:r>
            <a:rPr lang="ko-KR" altLang="en-US" sz="1200" b="1" baseline="0"/>
            <a:t>① 부동산 비율 </a:t>
          </a:r>
          <a:r>
            <a:rPr lang="en-US" altLang="ko-KR" sz="1200" b="1" baseline="0"/>
            <a:t>50 ~ 80% </a:t>
          </a:r>
          <a:r>
            <a:rPr lang="ko-KR" altLang="en-US" sz="1200" b="1" baseline="0"/>
            <a:t>법인</a:t>
          </a:r>
          <a:endParaRPr lang="en-US" altLang="ko-KR" sz="1200" b="1" baseline="0"/>
        </a:p>
        <a:p>
          <a:r>
            <a:rPr lang="en-US" altLang="ko-KR" sz="1200" b="1" baseline="0"/>
            <a:t>         - (</a:t>
          </a:r>
          <a:r>
            <a:rPr lang="ko-KR" altLang="en-US" sz="1200" b="1" baseline="0"/>
            <a:t>순손익가치 </a:t>
          </a:r>
          <a:r>
            <a:rPr lang="en-US" altLang="ko-KR" sz="1200" b="1" baseline="0"/>
            <a:t>X 2 + </a:t>
          </a:r>
          <a:r>
            <a:rPr lang="ko-KR" altLang="en-US" sz="1200" b="1" baseline="0"/>
            <a:t>순자산 가치 </a:t>
          </a:r>
          <a:r>
            <a:rPr lang="en-US" altLang="ko-KR" sz="1200" b="1" baseline="0"/>
            <a:t>X 3) / 5</a:t>
          </a:r>
        </a:p>
        <a:p>
          <a:r>
            <a:rPr lang="en-US" altLang="ko-KR" sz="1200" b="1" baseline="0"/>
            <a:t>            * Max(</a:t>
          </a:r>
          <a:r>
            <a:rPr lang="ko-KR" altLang="en-US" sz="1200" b="1" baseline="0"/>
            <a:t>가중 평균액</a:t>
          </a:r>
          <a:r>
            <a:rPr lang="en-US" altLang="ko-KR" sz="1200" b="1" baseline="0"/>
            <a:t>, </a:t>
          </a:r>
          <a:r>
            <a:rPr lang="ko-KR" altLang="en-US" sz="1200" b="1" baseline="0"/>
            <a:t>순자산 가치 </a:t>
          </a:r>
          <a:r>
            <a:rPr lang="en-US" altLang="ko-KR" sz="1200" b="1" baseline="0"/>
            <a:t>80%)</a:t>
          </a:r>
        </a:p>
        <a:p>
          <a:endParaRPr lang="en-US" altLang="ko-KR" sz="600" b="1" baseline="0"/>
        </a:p>
        <a:p>
          <a:r>
            <a:rPr lang="en-US" altLang="ko-KR" sz="1200" b="1" baseline="0"/>
            <a:t>   </a:t>
          </a:r>
          <a:r>
            <a:rPr lang="ko-KR" altLang="en-US" sz="1200" b="1" baseline="0"/>
            <a:t>② 부동산 비율 </a:t>
          </a:r>
          <a:r>
            <a:rPr lang="en-US" altLang="ko-KR" sz="1200" b="1" baseline="0"/>
            <a:t>80%</a:t>
          </a:r>
          <a:r>
            <a:rPr lang="ko-KR" altLang="en-US" sz="1200" b="1" baseline="0"/>
            <a:t>↑ 법인</a:t>
          </a:r>
          <a:endParaRPr lang="en-US" altLang="ko-KR" sz="1200" b="1" baseline="0"/>
        </a:p>
        <a:p>
          <a:r>
            <a:rPr lang="en-US" altLang="ko-KR" sz="1200" b="1" baseline="0"/>
            <a:t>         - </a:t>
          </a:r>
          <a:r>
            <a:rPr lang="ko-KR" altLang="en-US" sz="1200" b="1" baseline="0"/>
            <a:t>순자산가치로만 평가</a:t>
          </a:r>
          <a:endParaRPr lang="ko-KR" altLang="en-US" sz="12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36</xdr:row>
          <xdr:rowOff>9525</xdr:rowOff>
        </xdr:from>
        <xdr:to>
          <xdr:col>16</xdr:col>
          <xdr:colOff>19050</xdr:colOff>
          <xdr:row>70</xdr:row>
          <xdr:rowOff>85725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P$35" spid="_x0000_s708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525" y="7620000"/>
              <a:ext cx="10982325" cy="72009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76201</xdr:colOff>
      <xdr:row>2</xdr:row>
      <xdr:rowOff>57150</xdr:rowOff>
    </xdr:from>
    <xdr:to>
      <xdr:col>7</xdr:col>
      <xdr:colOff>476250</xdr:colOff>
      <xdr:row>18</xdr:row>
      <xdr:rowOff>180976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514350"/>
          <a:ext cx="5200649" cy="3476626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0</xdr:col>
      <xdr:colOff>0</xdr:colOff>
      <xdr:row>34</xdr:row>
      <xdr:rowOff>227852</xdr:rowOff>
    </xdr:from>
    <xdr:to>
      <xdr:col>16</xdr:col>
      <xdr:colOff>0</xdr:colOff>
      <xdr:row>35</xdr:row>
      <xdr:rowOff>9525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7390652"/>
          <a:ext cx="10810875" cy="5789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514350</xdr:colOff>
      <xdr:row>19</xdr:row>
      <xdr:rowOff>28575</xdr:rowOff>
    </xdr:from>
    <xdr:to>
      <xdr:col>15</xdr:col>
      <xdr:colOff>419100</xdr:colOff>
      <xdr:row>33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4950" y="4105275"/>
          <a:ext cx="5391150" cy="3086100"/>
        </a:xfrm>
        <a:prstGeom prst="rect">
          <a:avLst/>
        </a:prstGeom>
        <a:ln w="3175"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11</xdr:col>
      <xdr:colOff>314324</xdr:colOff>
      <xdr:row>19</xdr:row>
      <xdr:rowOff>104773</xdr:rowOff>
    </xdr:from>
    <xdr:to>
      <xdr:col>14</xdr:col>
      <xdr:colOff>95249</xdr:colOff>
      <xdr:row>24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7858124" y="4181473"/>
          <a:ext cx="1838325" cy="108585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chemeClr val="tx1"/>
              </a:solidFill>
            </a:rPr>
            <a:t>① 만기시 환급금 </a:t>
          </a:r>
          <a:r>
            <a:rPr lang="en-US" altLang="ko-KR" sz="1100" b="1">
              <a:solidFill>
                <a:schemeClr val="tx1"/>
              </a:solidFill>
            </a:rPr>
            <a:t>X</a:t>
          </a:r>
        </a:p>
        <a:p>
          <a:r>
            <a:rPr lang="ko-KR" altLang="en-US" sz="1100" b="1">
              <a:solidFill>
                <a:schemeClr val="tx1"/>
              </a:solidFill>
            </a:rPr>
            <a:t>② 피보험자는 퇴직 기한이</a:t>
          </a:r>
          <a:endParaRPr lang="en-US" altLang="ko-KR" sz="1100" b="1">
            <a:solidFill>
              <a:schemeClr val="tx1"/>
            </a:solidFill>
          </a:endParaRPr>
        </a:p>
        <a:p>
          <a:r>
            <a:rPr lang="en-US" altLang="ko-KR" sz="1100" b="1">
              <a:solidFill>
                <a:schemeClr val="tx1"/>
              </a:solidFill>
            </a:rPr>
            <a:t>     </a:t>
          </a:r>
          <a:r>
            <a:rPr lang="ko-KR" altLang="en-US" sz="1100" b="1">
              <a:solidFill>
                <a:schemeClr val="tx1"/>
              </a:solidFill>
            </a:rPr>
            <a:t>정해지지 않을 것</a:t>
          </a:r>
          <a:endParaRPr lang="en-US" altLang="ko-KR" sz="1100" b="1">
            <a:solidFill>
              <a:schemeClr val="tx1"/>
            </a:solidFill>
          </a:endParaRPr>
        </a:p>
        <a:p>
          <a:r>
            <a:rPr lang="ko-KR" altLang="en-US" sz="1100" b="1">
              <a:solidFill>
                <a:schemeClr val="tx1"/>
              </a:solidFill>
            </a:rPr>
            <a:t>③ 납입기간은 전기납</a:t>
          </a:r>
        </a:p>
      </xdr:txBody>
    </xdr:sp>
    <xdr:clientData/>
  </xdr:twoCellAnchor>
  <xdr:twoCellAnchor editAs="oneCell">
    <xdr:from>
      <xdr:col>7</xdr:col>
      <xdr:colOff>542925</xdr:colOff>
      <xdr:row>2</xdr:row>
      <xdr:rowOff>57151</xdr:rowOff>
    </xdr:from>
    <xdr:to>
      <xdr:col>15</xdr:col>
      <xdr:colOff>419101</xdr:colOff>
      <xdr:row>18</xdr:row>
      <xdr:rowOff>171451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3525" y="571501"/>
          <a:ext cx="5362576" cy="34671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0</xdr:col>
      <xdr:colOff>76200</xdr:colOff>
      <xdr:row>19</xdr:row>
      <xdr:rowOff>19050</xdr:rowOff>
    </xdr:from>
    <xdr:to>
      <xdr:col>7</xdr:col>
      <xdr:colOff>457200</xdr:colOff>
      <xdr:row>33</xdr:row>
      <xdr:rowOff>190500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4095750"/>
          <a:ext cx="5181600" cy="310515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</xdr:row>
      <xdr:rowOff>85724</xdr:rowOff>
    </xdr:from>
    <xdr:to>
      <xdr:col>6</xdr:col>
      <xdr:colOff>815204</xdr:colOff>
      <xdr:row>17</xdr:row>
      <xdr:rowOff>57149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0"/>
          <a:ext cx="10287000" cy="736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14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9525" y="0"/>
          <a:ext cx="10277475" cy="73628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14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3920" y="7257302"/>
          <a:ext cx="10269150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14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0" y="17807"/>
          <a:ext cx="102786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600075</xdr:colOff>
      <xdr:row>35</xdr:row>
      <xdr:rowOff>28575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0" y="0"/>
          <a:ext cx="10287000" cy="736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14</xdr:col>
      <xdr:colOff>609600</xdr:colOff>
      <xdr:row>35</xdr:row>
      <xdr:rowOff>28575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9525" y="0"/>
          <a:ext cx="10277475" cy="73628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14</xdr:col>
      <xdr:colOff>548520</xdr:colOff>
      <xdr:row>34</xdr:row>
      <xdr:rowOff>202118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3920" y="7257302"/>
          <a:ext cx="10269150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14</xdr:col>
      <xdr:colOff>525075</xdr:colOff>
      <xdr:row>0</xdr:row>
      <xdr:rowOff>89807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17807"/>
          <a:ext cx="102786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180975</xdr:colOff>
      <xdr:row>2</xdr:row>
      <xdr:rowOff>95249</xdr:rowOff>
    </xdr:from>
    <xdr:to>
      <xdr:col>14</xdr:col>
      <xdr:colOff>342900</xdr:colOff>
      <xdr:row>17</xdr:row>
      <xdr:rowOff>66674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104774</xdr:colOff>
      <xdr:row>17</xdr:row>
      <xdr:rowOff>161924</xdr:rowOff>
    </xdr:from>
    <xdr:to>
      <xdr:col>6</xdr:col>
      <xdr:colOff>805679</xdr:colOff>
      <xdr:row>32</xdr:row>
      <xdr:rowOff>133349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180975</xdr:colOff>
      <xdr:row>17</xdr:row>
      <xdr:rowOff>171449</xdr:rowOff>
    </xdr:from>
    <xdr:to>
      <xdr:col>14</xdr:col>
      <xdr:colOff>342900</xdr:colOff>
      <xdr:row>32</xdr:row>
      <xdr:rowOff>142874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15</xdr:row>
      <xdr:rowOff>104776</xdr:rowOff>
    </xdr:from>
    <xdr:to>
      <xdr:col>0</xdr:col>
      <xdr:colOff>381000</xdr:colOff>
      <xdr:row>16</xdr:row>
      <xdr:rowOff>200026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190500" y="3333751"/>
          <a:ext cx="190500" cy="304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前</a:t>
          </a:r>
        </a:p>
      </xdr:txBody>
    </xdr:sp>
    <xdr:clientData/>
  </xdr:twoCellAnchor>
  <xdr:twoCellAnchor>
    <xdr:from>
      <xdr:col>0</xdr:col>
      <xdr:colOff>400050</xdr:colOff>
      <xdr:row>15</xdr:row>
      <xdr:rowOff>104776</xdr:rowOff>
    </xdr:from>
    <xdr:to>
      <xdr:col>1</xdr:col>
      <xdr:colOff>57150</xdr:colOff>
      <xdr:row>16</xdr:row>
      <xdr:rowOff>200026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400050" y="3333751"/>
          <a:ext cx="190500" cy="304800"/>
        </a:xfrm>
        <a:prstGeom prst="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後</a:t>
          </a:r>
        </a:p>
      </xdr:txBody>
    </xdr:sp>
    <xdr:clientData/>
  </xdr:twoCellAnchor>
  <xdr:twoCellAnchor>
    <xdr:from>
      <xdr:col>5</xdr:col>
      <xdr:colOff>685800</xdr:colOff>
      <xdr:row>8</xdr:row>
      <xdr:rowOff>0</xdr:rowOff>
    </xdr:from>
    <xdr:to>
      <xdr:col>6</xdr:col>
      <xdr:colOff>742950</xdr:colOff>
      <xdr:row>10</xdr:row>
      <xdr:rowOff>180975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3962400" y="1762125"/>
          <a:ext cx="895350" cy="6000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657224</xdr:colOff>
      <xdr:row>8</xdr:row>
      <xdr:rowOff>19050</xdr:rowOff>
    </xdr:from>
    <xdr:to>
      <xdr:col>6</xdr:col>
      <xdr:colOff>742949</xdr:colOff>
      <xdr:row>11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3933824" y="1781175"/>
          <a:ext cx="92392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년간 순이익</a:t>
          </a:r>
          <a:endParaRPr lang="en-US" altLang="ko-KR" sz="1100" b="1">
            <a:solidFill>
              <a:sysClr val="windowText" lastClr="000000"/>
            </a:solidFill>
          </a:endParaRPr>
        </a:p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감소금액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523875</xdr:colOff>
          <xdr:row>9</xdr:row>
          <xdr:rowOff>19050</xdr:rowOff>
        </xdr:from>
        <xdr:to>
          <xdr:col>10</xdr:col>
          <xdr:colOff>295275</xdr:colOff>
          <xdr:row>10</xdr:row>
          <xdr:rowOff>161925</xdr:rowOff>
        </xdr:to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00000000-0008-0000-0A00-00001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19" spid="_x0000_s2156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162675" y="1990725"/>
              <a:ext cx="1143000" cy="3524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352424</xdr:colOff>
      <xdr:row>8</xdr:row>
      <xdr:rowOff>180975</xdr:rowOff>
    </xdr:from>
    <xdr:to>
      <xdr:col>8</xdr:col>
      <xdr:colOff>571499</xdr:colOff>
      <xdr:row>10</xdr:row>
      <xdr:rowOff>190499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5305424" y="1943100"/>
          <a:ext cx="904875" cy="4286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653940</xdr:colOff>
          <xdr:row>11</xdr:row>
          <xdr:rowOff>47625</xdr:rowOff>
        </xdr:from>
        <xdr:to>
          <xdr:col>6</xdr:col>
          <xdr:colOff>714375</xdr:colOff>
          <xdr:row>12</xdr:row>
          <xdr:rowOff>180974</xdr:rowOff>
        </xdr:to>
        <xdr:pic>
          <xdr:nvPicPr>
            <xdr:cNvPr id="21" name="그림 20">
              <a:extLst>
                <a:ext uri="{FF2B5EF4-FFF2-40B4-BE49-F238E27FC236}">
                  <a16:creationId xmlns:a16="http://schemas.microsoft.com/office/drawing/2014/main" id="{00000000-0008-0000-0A00-00001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9" spid="_x0000_s21561"/>
                </a:ext>
              </a:extLst>
            </xdr:cNvPicPr>
          </xdr:nvPicPr>
          <xdr:blipFill>
            <a:blip xmlns:r="http://schemas.openxmlformats.org/officeDocument/2006/relationships" r:embed="rId6">
              <a:grayscl/>
            </a:blip>
            <a:srcRect/>
            <a:stretch>
              <a:fillRect/>
            </a:stretch>
          </xdr:blipFill>
          <xdr:spPr bwMode="auto">
            <a:xfrm>
              <a:off x="3930540" y="2438400"/>
              <a:ext cx="898635" cy="34289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342899</xdr:colOff>
      <xdr:row>9</xdr:row>
      <xdr:rowOff>28575</xdr:rowOff>
    </xdr:from>
    <xdr:to>
      <xdr:col>8</xdr:col>
      <xdr:colOff>581024</xdr:colOff>
      <xdr:row>10</xdr:row>
      <xdr:rowOff>152400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/>
      </xdr:nvSpPr>
      <xdr:spPr>
        <a:xfrm>
          <a:off x="5295899" y="2000250"/>
          <a:ext cx="923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가치 축소</a:t>
          </a:r>
        </a:p>
      </xdr:txBody>
    </xdr:sp>
    <xdr:clientData/>
  </xdr:twoCellAnchor>
  <xdr:twoCellAnchor>
    <xdr:from>
      <xdr:col>0</xdr:col>
      <xdr:colOff>228599</xdr:colOff>
      <xdr:row>25</xdr:row>
      <xdr:rowOff>19050</xdr:rowOff>
    </xdr:from>
    <xdr:to>
      <xdr:col>1</xdr:col>
      <xdr:colOff>600074</xdr:colOff>
      <xdr:row>27</xdr:row>
      <xdr:rowOff>28574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228599" y="5343525"/>
          <a:ext cx="904875" cy="4286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209549</xdr:colOff>
      <xdr:row>25</xdr:row>
      <xdr:rowOff>66675</xdr:rowOff>
    </xdr:from>
    <xdr:to>
      <xdr:col>1</xdr:col>
      <xdr:colOff>600074</xdr:colOff>
      <xdr:row>26</xdr:row>
      <xdr:rowOff>190500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/>
      </xdr:nvSpPr>
      <xdr:spPr>
        <a:xfrm>
          <a:off x="209549" y="5391150"/>
          <a:ext cx="923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가치 축소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609601</xdr:colOff>
          <xdr:row>25</xdr:row>
          <xdr:rowOff>85725</xdr:rowOff>
        </xdr:from>
        <xdr:to>
          <xdr:col>3</xdr:col>
          <xdr:colOff>258419</xdr:colOff>
          <xdr:row>26</xdr:row>
          <xdr:rowOff>180975</xdr:rowOff>
        </xdr:to>
        <xdr:pic>
          <xdr:nvPicPr>
            <xdr:cNvPr id="31" name="그림 30">
              <a:extLst>
                <a:ext uri="{FF2B5EF4-FFF2-40B4-BE49-F238E27FC236}">
                  <a16:creationId xmlns:a16="http://schemas.microsoft.com/office/drawing/2014/main" id="{00000000-0008-0000-0A00-00001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27" spid="_x0000_s21562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143001" y="5410200"/>
              <a:ext cx="1020418" cy="3048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380999</xdr:colOff>
      <xdr:row>24</xdr:row>
      <xdr:rowOff>190500</xdr:rowOff>
    </xdr:from>
    <xdr:to>
      <xdr:col>8</xdr:col>
      <xdr:colOff>600074</xdr:colOff>
      <xdr:row>26</xdr:row>
      <xdr:rowOff>200024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5333999" y="5305425"/>
          <a:ext cx="904875" cy="4286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361949</xdr:colOff>
      <xdr:row>25</xdr:row>
      <xdr:rowOff>28575</xdr:rowOff>
    </xdr:from>
    <xdr:to>
      <xdr:col>8</xdr:col>
      <xdr:colOff>600074</xdr:colOff>
      <xdr:row>26</xdr:row>
      <xdr:rowOff>152400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5314949" y="5353050"/>
          <a:ext cx="923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가치 축소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609600</xdr:colOff>
          <xdr:row>25</xdr:row>
          <xdr:rowOff>47625</xdr:rowOff>
        </xdr:from>
        <xdr:to>
          <xdr:col>10</xdr:col>
          <xdr:colOff>194641</xdr:colOff>
          <xdr:row>26</xdr:row>
          <xdr:rowOff>123825</xdr:rowOff>
        </xdr:to>
        <xdr:pic>
          <xdr:nvPicPr>
            <xdr:cNvPr id="34" name="그림 33">
              <a:extLst>
                <a:ext uri="{FF2B5EF4-FFF2-40B4-BE49-F238E27FC236}">
                  <a16:creationId xmlns:a16="http://schemas.microsoft.com/office/drawing/2014/main" id="{00000000-0008-0000-0A00-00002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34" spid="_x0000_s2156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6248400" y="5372100"/>
              <a:ext cx="956641" cy="2857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380999</xdr:colOff>
      <xdr:row>27</xdr:row>
      <xdr:rowOff>123825</xdr:rowOff>
    </xdr:from>
    <xdr:to>
      <xdr:col>8</xdr:col>
      <xdr:colOff>600074</xdr:colOff>
      <xdr:row>29</xdr:row>
      <xdr:rowOff>133349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5333999" y="5867400"/>
          <a:ext cx="904875" cy="4286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361949</xdr:colOff>
      <xdr:row>27</xdr:row>
      <xdr:rowOff>171450</xdr:rowOff>
    </xdr:from>
    <xdr:to>
      <xdr:col>8</xdr:col>
      <xdr:colOff>600074</xdr:colOff>
      <xdr:row>29</xdr:row>
      <xdr:rowOff>85725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5314949" y="5915025"/>
          <a:ext cx="92392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</a:rPr>
            <a:t>상속세 감소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657225</xdr:colOff>
          <xdr:row>27</xdr:row>
          <xdr:rowOff>190500</xdr:rowOff>
        </xdr:from>
        <xdr:to>
          <xdr:col>10</xdr:col>
          <xdr:colOff>173521</xdr:colOff>
          <xdr:row>29</xdr:row>
          <xdr:rowOff>76200</xdr:rowOff>
        </xdr:to>
        <xdr:pic>
          <xdr:nvPicPr>
            <xdr:cNvPr id="37" name="그림 36">
              <a:extLst>
                <a:ext uri="{FF2B5EF4-FFF2-40B4-BE49-F238E27FC236}">
                  <a16:creationId xmlns:a16="http://schemas.microsoft.com/office/drawing/2014/main" id="{00000000-0008-0000-0A00-00002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34" spid="_x0000_s2156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296025" y="5934075"/>
              <a:ext cx="887896" cy="3048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180975</xdr:colOff>
      <xdr:row>17</xdr:row>
      <xdr:rowOff>190500</xdr:rowOff>
    </xdr:from>
    <xdr:to>
      <xdr:col>8</xdr:col>
      <xdr:colOff>158751</xdr:colOff>
      <xdr:row>20</xdr:row>
      <xdr:rowOff>120651</xdr:rowOff>
    </xdr:to>
    <xdr:sp macro="" textlink="">
      <xdr:nvSpPr>
        <xdr:cNvPr id="38" name="TextBox 10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5133975" y="3838575"/>
          <a:ext cx="663576" cy="558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1"/>
            <a:t>주식</a:t>
          </a:r>
          <a:endParaRPr lang="en-US" altLang="ko-KR" sz="1100" b="1"/>
        </a:p>
        <a:p>
          <a:pPr algn="ctr"/>
          <a:r>
            <a:rPr lang="ko-KR" altLang="en-US" sz="1100" b="1"/>
            <a:t>가치</a:t>
          </a:r>
        </a:p>
      </xdr:txBody>
    </xdr:sp>
    <xdr:clientData/>
  </xdr:twoCellAnchor>
  <xdr:twoCellAnchor>
    <xdr:from>
      <xdr:col>7</xdr:col>
      <xdr:colOff>190500</xdr:colOff>
      <xdr:row>2</xdr:row>
      <xdr:rowOff>95250</xdr:rowOff>
    </xdr:from>
    <xdr:to>
      <xdr:col>8</xdr:col>
      <xdr:colOff>168276</xdr:colOff>
      <xdr:row>5</xdr:row>
      <xdr:rowOff>25401</xdr:rowOff>
    </xdr:to>
    <xdr:sp macro="" textlink="">
      <xdr:nvSpPr>
        <xdr:cNvPr id="39" name="TextBox 10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5143500" y="600075"/>
          <a:ext cx="663576" cy="558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1"/>
            <a:t>순손익</a:t>
          </a:r>
          <a:endParaRPr lang="en-US" altLang="ko-KR" sz="1100" b="1"/>
        </a:p>
        <a:p>
          <a:pPr algn="ctr"/>
          <a:r>
            <a:rPr lang="ko-KR" altLang="en-US" sz="1100" b="1"/>
            <a:t>가치</a:t>
          </a:r>
        </a:p>
      </xdr:txBody>
    </xdr:sp>
    <xdr:clientData/>
  </xdr:twoCellAnchor>
  <xdr:twoCellAnchor>
    <xdr:from>
      <xdr:col>0</xdr:col>
      <xdr:colOff>123825</xdr:colOff>
      <xdr:row>2</xdr:row>
      <xdr:rowOff>95251</xdr:rowOff>
    </xdr:from>
    <xdr:to>
      <xdr:col>1</xdr:col>
      <xdr:colOff>581025</xdr:colOff>
      <xdr:row>4</xdr:row>
      <xdr:rowOff>38101</xdr:rowOff>
    </xdr:to>
    <xdr:sp macro="" textlink="">
      <xdr:nvSpPr>
        <xdr:cNvPr id="40" name="TextBox 10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123825" y="600076"/>
          <a:ext cx="990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1"/>
            <a:t>당기순이익</a:t>
          </a: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0.00264</cdr:x>
      <cdr:y>0.00408</cdr:y>
    </cdr:from>
    <cdr:to>
      <cdr:x>0.14043</cdr:x>
      <cdr:y>0.18349</cdr:y>
    </cdr:to>
    <cdr:sp macro="" textlink="">
      <cdr:nvSpPr>
        <cdr:cNvPr id="2" name="TextBox 10"/>
        <cdr:cNvSpPr txBox="1"/>
      </cdr:nvSpPr>
      <cdr:spPr>
        <a:xfrm xmlns:a="http://schemas.openxmlformats.org/drawingml/2006/main">
          <a:off x="12700" y="12699"/>
          <a:ext cx="663576" cy="558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1100" b="1"/>
            <a:t>순자산</a:t>
          </a:r>
          <a:endParaRPr lang="en-US" altLang="ko-KR" sz="1100" b="1"/>
        </a:p>
        <a:p xmlns:a="http://schemas.openxmlformats.org/drawingml/2006/main">
          <a:pPr algn="ctr"/>
          <a:r>
            <a:rPr lang="ko-KR" altLang="en-US" sz="1100" b="1"/>
            <a:t>가치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600075</xdr:colOff>
      <xdr:row>35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10287000" cy="736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14</xdr:col>
      <xdr:colOff>609600</xdr:colOff>
      <xdr:row>35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9525" y="0"/>
          <a:ext cx="10277475" cy="73628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34</xdr:row>
      <xdr:rowOff>132602</xdr:rowOff>
    </xdr:from>
    <xdr:to>
      <xdr:col>14</xdr:col>
      <xdr:colOff>548520</xdr:colOff>
      <xdr:row>34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3920" y="7257302"/>
          <a:ext cx="10269150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14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0" y="17807"/>
          <a:ext cx="102786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33</xdr:row>
      <xdr:rowOff>227852</xdr:rowOff>
    </xdr:from>
    <xdr:to>
      <xdr:col>15</xdr:col>
      <xdr:colOff>0</xdr:colOff>
      <xdr:row>34</xdr:row>
      <xdr:rowOff>9525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0" y="7123952"/>
          <a:ext cx="10972800" cy="102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123825</xdr:colOff>
      <xdr:row>3</xdr:row>
      <xdr:rowOff>195261</xdr:rowOff>
    </xdr:from>
    <xdr:to>
      <xdr:col>14</xdr:col>
      <xdr:colOff>381000</xdr:colOff>
      <xdr:row>19</xdr:row>
      <xdr:rowOff>114300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19</xdr:row>
      <xdr:rowOff>200025</xdr:rowOff>
    </xdr:from>
    <xdr:to>
      <xdr:col>14</xdr:col>
      <xdr:colOff>380999</xdr:colOff>
      <xdr:row>32</xdr:row>
      <xdr:rowOff>142874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0</xdr:row>
          <xdr:rowOff>190500</xdr:rowOff>
        </xdr:from>
        <xdr:to>
          <xdr:col>14</xdr:col>
          <xdr:colOff>371475</xdr:colOff>
          <xdr:row>3</xdr:row>
          <xdr:rowOff>104775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총괄!$B$4:$O$6" spid="_x0000_s1372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2400" y="190500"/>
              <a:ext cx="9972675" cy="628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0</xdr:col>
      <xdr:colOff>171450</xdr:colOff>
      <xdr:row>19</xdr:row>
      <xdr:rowOff>190500</xdr:rowOff>
    </xdr:from>
    <xdr:to>
      <xdr:col>1</xdr:col>
      <xdr:colOff>533400</xdr:colOff>
      <xdr:row>21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71450" y="4257675"/>
          <a:ext cx="8953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보장 금액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29</xdr:row>
      <xdr:rowOff>28575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0"/>
          <a:ext cx="10810875" cy="7400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15</xdr:col>
      <xdr:colOff>609600</xdr:colOff>
      <xdr:row>29</xdr:row>
      <xdr:rowOff>28575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9525" y="0"/>
          <a:ext cx="10801350" cy="740092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13920</xdr:colOff>
      <xdr:row>28</xdr:row>
      <xdr:rowOff>132602</xdr:rowOff>
    </xdr:from>
    <xdr:to>
      <xdr:col>15</xdr:col>
      <xdr:colOff>548520</xdr:colOff>
      <xdr:row>28</xdr:row>
      <xdr:rowOff>202118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13920" y="7295402"/>
          <a:ext cx="10793025" cy="6951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0</xdr:row>
      <xdr:rowOff>17807</xdr:rowOff>
    </xdr:from>
    <xdr:to>
      <xdr:col>15</xdr:col>
      <xdr:colOff>525075</xdr:colOff>
      <xdr:row>0</xdr:row>
      <xdr:rowOff>89807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0" y="17807"/>
          <a:ext cx="10812075" cy="720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38</xdr:row>
          <xdr:rowOff>171450</xdr:rowOff>
        </xdr:from>
        <xdr:to>
          <xdr:col>22</xdr:col>
          <xdr:colOff>676275</xdr:colOff>
          <xdr:row>62</xdr:row>
          <xdr:rowOff>171450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:$O$27" spid="_x0000_s146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95975" y="8334375"/>
              <a:ext cx="10001250" cy="50292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view="pageBreakPreview" zoomScale="70" zoomScaleNormal="70" zoomScaleSheetLayoutView="70" workbookViewId="0">
      <selection activeCell="Y10" sqref="Y10"/>
    </sheetView>
  </sheetViews>
  <sheetFormatPr defaultRowHeight="17.45"/>
  <sheetData/>
  <sheetProtection password="FB4B" sheet="1" objects="1" scenarios="1"/>
  <phoneticPr fontId="1" type="noConversion"/>
  <pageMargins left="0.7" right="0.7" top="0.75" bottom="0.75" header="0.3" footer="0.3"/>
  <pageSetup paperSize="9" scale="62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9"/>
  <sheetViews>
    <sheetView view="pageBreakPreview" zoomScale="110" zoomScaleNormal="100" zoomScaleSheetLayoutView="110" workbookViewId="0">
      <selection activeCell="P10" sqref="P10"/>
    </sheetView>
  </sheetViews>
  <sheetFormatPr defaultColWidth="9" defaultRowHeight="17.45"/>
  <cols>
    <col min="1" max="4" width="9" style="1"/>
    <col min="5" max="5" width="2.5" style="1" customWidth="1"/>
    <col min="6" max="6" width="9" style="1"/>
    <col min="7" max="7" width="10.875" style="1" bestFit="1" customWidth="1"/>
    <col min="8" max="8" width="11" style="1" bestFit="1" customWidth="1"/>
    <col min="9" max="9" width="9" style="1"/>
    <col min="10" max="10" width="11" style="1" bestFit="1" customWidth="1"/>
    <col min="11" max="11" width="9.375" style="1" bestFit="1" customWidth="1"/>
    <col min="12" max="16" width="9" style="1"/>
    <col min="17" max="17" width="11.875" style="1" bestFit="1" customWidth="1"/>
    <col min="18" max="21" width="9" style="1"/>
    <col min="22" max="22" width="11.875" style="1" bestFit="1" customWidth="1"/>
    <col min="23" max="16384" width="9" style="1"/>
  </cols>
  <sheetData>
    <row r="1" spans="1:18">
      <c r="A1" s="114" t="s">
        <v>0</v>
      </c>
      <c r="B1" s="114"/>
      <c r="C1" s="114"/>
      <c r="F1" s="114" t="s">
        <v>1</v>
      </c>
      <c r="G1" s="114"/>
      <c r="H1" s="114"/>
      <c r="I1" s="114"/>
      <c r="J1" s="114"/>
      <c r="K1" s="114"/>
      <c r="L1" s="114"/>
      <c r="M1" s="63"/>
      <c r="O1" s="114" t="s">
        <v>2</v>
      </c>
      <c r="P1" s="114"/>
      <c r="Q1" s="114"/>
    </row>
    <row r="2" spans="1:18">
      <c r="A2" s="6" t="s">
        <v>3</v>
      </c>
      <c r="B2" s="119" t="s">
        <v>4</v>
      </c>
      <c r="C2" s="119"/>
      <c r="F2" s="115" t="s">
        <v>5</v>
      </c>
      <c r="G2" s="94" t="s">
        <v>6</v>
      </c>
      <c r="H2" s="94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8" t="s">
        <v>12</v>
      </c>
      <c r="O2" s="113" t="s">
        <v>13</v>
      </c>
      <c r="P2" s="113"/>
      <c r="Q2" s="95" t="s">
        <v>14</v>
      </c>
    </row>
    <row r="3" spans="1:18">
      <c r="A3" s="4" t="s">
        <v>15</v>
      </c>
      <c r="B3" s="120" t="s">
        <v>16</v>
      </c>
      <c r="C3" s="120"/>
      <c r="F3" s="116"/>
      <c r="G3" s="94" t="s">
        <v>17</v>
      </c>
      <c r="H3" s="94" t="s">
        <v>17</v>
      </c>
      <c r="I3" s="94" t="s">
        <v>17</v>
      </c>
      <c r="J3" s="94" t="s">
        <v>17</v>
      </c>
      <c r="K3" s="94" t="s">
        <v>18</v>
      </c>
      <c r="L3" s="94" t="s">
        <v>19</v>
      </c>
      <c r="M3" s="94" t="s">
        <v>20</v>
      </c>
      <c r="O3" s="113" t="s">
        <v>21</v>
      </c>
      <c r="P3" s="113"/>
      <c r="Q3" s="32">
        <v>42</v>
      </c>
    </row>
    <row r="4" spans="1:18">
      <c r="A4" s="5" t="s">
        <v>22</v>
      </c>
      <c r="B4" s="121" t="s">
        <v>23</v>
      </c>
      <c r="C4" s="121"/>
      <c r="F4" s="6" t="s">
        <v>24</v>
      </c>
      <c r="G4" s="30"/>
      <c r="H4" s="30"/>
      <c r="I4" s="30"/>
      <c r="J4" s="30"/>
      <c r="K4" s="61"/>
      <c r="L4" s="61"/>
      <c r="M4" s="61"/>
      <c r="O4" s="113" t="s">
        <v>25</v>
      </c>
      <c r="P4" s="113"/>
      <c r="Q4" s="60">
        <v>3</v>
      </c>
    </row>
    <row r="5" spans="1:18">
      <c r="F5" s="4" t="s">
        <v>26</v>
      </c>
      <c r="G5" s="31">
        <v>11476</v>
      </c>
      <c r="H5" s="31">
        <f>2603+2256</f>
        <v>4859</v>
      </c>
      <c r="I5" s="31">
        <v>1725</v>
      </c>
      <c r="J5" s="31">
        <v>1244</v>
      </c>
      <c r="K5" s="62"/>
      <c r="L5" s="62"/>
      <c r="M5" s="62"/>
      <c r="O5" s="113" t="s">
        <v>27</v>
      </c>
      <c r="P5" s="113"/>
      <c r="Q5" s="33">
        <v>20000000</v>
      </c>
    </row>
    <row r="6" spans="1:18">
      <c r="A6" s="113" t="s">
        <v>28</v>
      </c>
      <c r="B6" s="113"/>
      <c r="C6" s="113"/>
      <c r="F6" s="4" t="s">
        <v>29</v>
      </c>
      <c r="G6" s="31">
        <v>13205</v>
      </c>
      <c r="H6" s="31">
        <f>7316+2291</f>
        <v>9607</v>
      </c>
      <c r="I6" s="31">
        <v>1534</v>
      </c>
      <c r="J6" s="31">
        <v>1920</v>
      </c>
      <c r="K6" s="62"/>
      <c r="L6" s="62"/>
      <c r="M6" s="62"/>
      <c r="O6" s="113" t="s">
        <v>30</v>
      </c>
      <c r="P6" s="113"/>
      <c r="Q6" s="57">
        <v>0.1</v>
      </c>
    </row>
    <row r="7" spans="1:18">
      <c r="A7" s="11" t="s">
        <v>31</v>
      </c>
      <c r="B7" s="123" t="s">
        <v>32</v>
      </c>
      <c r="C7" s="124"/>
      <c r="F7" s="4" t="s">
        <v>33</v>
      </c>
      <c r="G7" s="31">
        <v>14117</v>
      </c>
      <c r="H7" s="31">
        <f>7351+2430</f>
        <v>9781</v>
      </c>
      <c r="I7" s="31">
        <v>570</v>
      </c>
      <c r="J7" s="31">
        <v>1876</v>
      </c>
      <c r="K7" s="62"/>
      <c r="L7" s="62"/>
      <c r="M7" s="62"/>
      <c r="O7" s="113" t="s">
        <v>34</v>
      </c>
      <c r="P7" s="113"/>
      <c r="Q7" s="16">
        <f>90-Q3</f>
        <v>48</v>
      </c>
    </row>
    <row r="8" spans="1:18">
      <c r="A8" s="11" t="s">
        <v>35</v>
      </c>
      <c r="B8" s="96" t="s">
        <v>36</v>
      </c>
      <c r="C8" s="97"/>
      <c r="F8" s="4" t="s">
        <v>37</v>
      </c>
      <c r="G8" s="31">
        <v>15181</v>
      </c>
      <c r="H8" s="87">
        <f>H7*D15+H7</f>
        <v>10074.43</v>
      </c>
      <c r="I8" s="31">
        <v>570</v>
      </c>
      <c r="J8" s="31">
        <v>1876</v>
      </c>
      <c r="K8" s="31">
        <v>50000</v>
      </c>
      <c r="L8" s="31">
        <v>5000</v>
      </c>
      <c r="M8" s="62"/>
      <c r="O8" s="93" t="s">
        <v>38</v>
      </c>
      <c r="P8" s="93" t="s">
        <v>39</v>
      </c>
      <c r="Q8" s="93" t="s">
        <v>40</v>
      </c>
    </row>
    <row r="9" spans="1:18">
      <c r="A9" s="11" t="s">
        <v>41</v>
      </c>
      <c r="B9" s="122" t="s">
        <v>14</v>
      </c>
      <c r="C9" s="122"/>
      <c r="F9" s="4" t="s">
        <v>42</v>
      </c>
      <c r="G9" s="71">
        <f>G8+J9+H8*$D$15+I8*$D$16</f>
        <v>17432.612899999996</v>
      </c>
      <c r="H9" s="12">
        <f t="shared" ref="H9:H19" si="0">H8+H8*$D$15</f>
        <v>10376.662899999999</v>
      </c>
      <c r="I9" s="12">
        <f t="shared" ref="I9:I19" si="1">I8+I8*$D$16</f>
        <v>587.1</v>
      </c>
      <c r="J9" s="12">
        <f t="shared" ref="J9:J19" si="2">J8+J8*$D$14</f>
        <v>1932.28</v>
      </c>
      <c r="K9" s="12"/>
      <c r="L9" s="12"/>
      <c r="M9" s="72">
        <v>3</v>
      </c>
      <c r="O9" s="93" t="s">
        <v>43</v>
      </c>
      <c r="P9" s="54">
        <v>5.0000000000000001E-3</v>
      </c>
      <c r="Q9" s="65">
        <f>Q4</f>
        <v>3</v>
      </c>
      <c r="R9" s="110" t="s">
        <v>44</v>
      </c>
    </row>
    <row r="10" spans="1:18">
      <c r="A10" s="11" t="s">
        <v>45</v>
      </c>
      <c r="B10" s="59">
        <v>0.20899999999999999</v>
      </c>
      <c r="C10" s="28"/>
      <c r="F10" s="4" t="s">
        <v>46</v>
      </c>
      <c r="G10" s="12">
        <f t="shared" ref="G10:G19" si="3">G9+J10+H9*$D$15+I9*$D$16</f>
        <v>19751.774186999999</v>
      </c>
      <c r="H10" s="12">
        <f t="shared" si="0"/>
        <v>10687.962786999999</v>
      </c>
      <c r="I10" s="12">
        <f t="shared" si="1"/>
        <v>604.71299999999997</v>
      </c>
      <c r="J10" s="12">
        <f t="shared" si="2"/>
        <v>1990.2483999999999</v>
      </c>
      <c r="K10" s="12"/>
      <c r="L10" s="12"/>
      <c r="M10" s="73">
        <f>M9</f>
        <v>3</v>
      </c>
      <c r="O10" s="93" t="s">
        <v>47</v>
      </c>
      <c r="P10" s="54">
        <v>0.15</v>
      </c>
      <c r="Q10" s="65">
        <f>Q9</f>
        <v>3</v>
      </c>
      <c r="R10" s="111"/>
    </row>
    <row r="11" spans="1:18">
      <c r="A11" s="11" t="s">
        <v>48</v>
      </c>
      <c r="B11" s="27">
        <v>0.5</v>
      </c>
      <c r="C11" s="28"/>
      <c r="F11" s="4" t="s">
        <v>49</v>
      </c>
      <c r="G11" s="12">
        <f t="shared" si="3"/>
        <v>22140.51031261</v>
      </c>
      <c r="H11" s="12">
        <f t="shared" si="0"/>
        <v>11008.601670609998</v>
      </c>
      <c r="I11" s="12">
        <f t="shared" si="1"/>
        <v>622.85438999999997</v>
      </c>
      <c r="J11" s="12">
        <f t="shared" si="2"/>
        <v>2049.955852</v>
      </c>
      <c r="K11" s="12"/>
      <c r="L11" s="12"/>
      <c r="M11" s="73">
        <f t="shared" ref="M11:M19" si="4">M10</f>
        <v>3</v>
      </c>
      <c r="O11" s="93" t="s">
        <v>50</v>
      </c>
      <c r="P11" s="54">
        <v>0.25</v>
      </c>
      <c r="Q11" s="65">
        <f t="shared" ref="Q11:Q18" si="5">Q10</f>
        <v>3</v>
      </c>
      <c r="R11" s="111"/>
    </row>
    <row r="12" spans="1:18">
      <c r="F12" s="4" t="s">
        <v>51</v>
      </c>
      <c r="G12" s="12">
        <f t="shared" si="3"/>
        <v>24600.908521988298</v>
      </c>
      <c r="H12" s="12">
        <f t="shared" si="0"/>
        <v>11338.859720728298</v>
      </c>
      <c r="I12" s="12">
        <f t="shared" si="1"/>
        <v>641.54002170000001</v>
      </c>
      <c r="J12" s="12">
        <f t="shared" si="2"/>
        <v>2111.4545275599999</v>
      </c>
      <c r="K12" s="12"/>
      <c r="L12" s="12"/>
      <c r="M12" s="73">
        <f t="shared" si="4"/>
        <v>3</v>
      </c>
      <c r="O12" s="93" t="s">
        <v>52</v>
      </c>
      <c r="P12" s="54">
        <v>0.35</v>
      </c>
      <c r="Q12" s="65">
        <f t="shared" si="5"/>
        <v>3</v>
      </c>
      <c r="R12" s="111"/>
    </row>
    <row r="13" spans="1:18">
      <c r="F13" s="4" t="s">
        <v>53</v>
      </c>
      <c r="G13" s="12">
        <f t="shared" si="3"/>
        <v>27135.118677647948</v>
      </c>
      <c r="H13" s="12">
        <f t="shared" si="0"/>
        <v>11679.025512350147</v>
      </c>
      <c r="I13" s="12">
        <f t="shared" si="1"/>
        <v>660.78622235099999</v>
      </c>
      <c r="J13" s="12">
        <f t="shared" si="2"/>
        <v>2174.7981633867998</v>
      </c>
      <c r="K13" s="12"/>
      <c r="L13" s="12"/>
      <c r="M13" s="73">
        <f t="shared" si="4"/>
        <v>3</v>
      </c>
      <c r="O13" s="93" t="s">
        <v>54</v>
      </c>
      <c r="P13" s="54">
        <v>0.7</v>
      </c>
      <c r="Q13" s="65">
        <f t="shared" si="5"/>
        <v>3</v>
      </c>
      <c r="R13" s="111"/>
    </row>
    <row r="14" spans="1:18">
      <c r="A14" s="113" t="s">
        <v>55</v>
      </c>
      <c r="B14" s="113"/>
      <c r="C14" s="113"/>
      <c r="D14" s="29">
        <v>0.03</v>
      </c>
      <c r="F14" s="4" t="s">
        <v>56</v>
      </c>
      <c r="G14" s="12">
        <f t="shared" si="3"/>
        <v>29745.355137977385</v>
      </c>
      <c r="H14" s="12">
        <f t="shared" si="0"/>
        <v>12029.396277720651</v>
      </c>
      <c r="I14" s="12">
        <f t="shared" si="1"/>
        <v>680.60980902152994</v>
      </c>
      <c r="J14" s="12">
        <f t="shared" si="2"/>
        <v>2240.0421082884041</v>
      </c>
      <c r="K14" s="12"/>
      <c r="L14" s="12"/>
      <c r="M14" s="73">
        <f t="shared" si="4"/>
        <v>3</v>
      </c>
      <c r="O14" s="93" t="s">
        <v>57</v>
      </c>
      <c r="P14" s="54">
        <v>0.75</v>
      </c>
      <c r="Q14" s="65">
        <f t="shared" si="5"/>
        <v>3</v>
      </c>
      <c r="R14" s="111"/>
    </row>
    <row r="15" spans="1:18">
      <c r="A15" s="113" t="s">
        <v>58</v>
      </c>
      <c r="B15" s="113"/>
      <c r="C15" s="113"/>
      <c r="D15" s="29">
        <v>0.03</v>
      </c>
      <c r="F15" s="4" t="s">
        <v>59</v>
      </c>
      <c r="G15" s="12">
        <f t="shared" si="3"/>
        <v>32433.898692116709</v>
      </c>
      <c r="H15" s="12">
        <f t="shared" si="0"/>
        <v>12390.278166052271</v>
      </c>
      <c r="I15" s="12">
        <f t="shared" si="1"/>
        <v>701.02810329217584</v>
      </c>
      <c r="J15" s="12">
        <f t="shared" si="2"/>
        <v>2307.2433715370562</v>
      </c>
      <c r="K15" s="12"/>
      <c r="L15" s="12"/>
      <c r="M15" s="73">
        <f t="shared" si="4"/>
        <v>3</v>
      </c>
      <c r="O15" s="93" t="s">
        <v>60</v>
      </c>
      <c r="P15" s="54">
        <v>0.8</v>
      </c>
      <c r="Q15" s="65">
        <f t="shared" si="5"/>
        <v>3</v>
      </c>
      <c r="R15" s="111"/>
    </row>
    <row r="16" spans="1:18">
      <c r="A16" s="113" t="s">
        <v>61</v>
      </c>
      <c r="B16" s="113"/>
      <c r="C16" s="113"/>
      <c r="D16" s="29">
        <v>0.03</v>
      </c>
      <c r="F16" s="4" t="s">
        <v>62</v>
      </c>
      <c r="G16" s="12">
        <f t="shared" si="3"/>
        <v>35203.098552880212</v>
      </c>
      <c r="H16" s="12">
        <f t="shared" si="0"/>
        <v>12761.986511033838</v>
      </c>
      <c r="I16" s="12">
        <f t="shared" si="1"/>
        <v>722.05894639094117</v>
      </c>
      <c r="J16" s="12">
        <f t="shared" si="2"/>
        <v>2376.460672683168</v>
      </c>
      <c r="K16" s="12"/>
      <c r="L16" s="12"/>
      <c r="M16" s="73">
        <f t="shared" si="4"/>
        <v>3</v>
      </c>
      <c r="O16" s="93" t="s">
        <v>63</v>
      </c>
      <c r="P16" s="54">
        <v>0.75</v>
      </c>
      <c r="Q16" s="65">
        <f t="shared" si="5"/>
        <v>3</v>
      </c>
      <c r="R16" s="111"/>
    </row>
    <row r="17" spans="6:22">
      <c r="F17" s="4" t="s">
        <v>64</v>
      </c>
      <c r="G17" s="12">
        <f t="shared" si="3"/>
        <v>38055.374409466618</v>
      </c>
      <c r="H17" s="12">
        <f t="shared" si="0"/>
        <v>13144.846106364854</v>
      </c>
      <c r="I17" s="12">
        <f t="shared" si="1"/>
        <v>743.72071478266946</v>
      </c>
      <c r="J17" s="12">
        <f t="shared" si="2"/>
        <v>2447.754492863663</v>
      </c>
      <c r="K17" s="12"/>
      <c r="L17" s="12"/>
      <c r="M17" s="73">
        <f t="shared" si="4"/>
        <v>3</v>
      </c>
      <c r="O17" s="93" t="s">
        <v>65</v>
      </c>
      <c r="P17" s="54">
        <v>0.87</v>
      </c>
      <c r="Q17" s="65">
        <f t="shared" si="5"/>
        <v>3</v>
      </c>
      <c r="R17" s="111"/>
    </row>
    <row r="18" spans="6:22">
      <c r="F18" s="4" t="s">
        <v>66</v>
      </c>
      <c r="G18" s="12">
        <f t="shared" si="3"/>
        <v>40993.218541750612</v>
      </c>
      <c r="H18" s="12">
        <f t="shared" si="0"/>
        <v>13539.1914895558</v>
      </c>
      <c r="I18" s="12">
        <f t="shared" si="1"/>
        <v>766.0323362261496</v>
      </c>
      <c r="J18" s="12">
        <f t="shared" si="2"/>
        <v>2521.1871276495731</v>
      </c>
      <c r="K18" s="12"/>
      <c r="L18" s="12"/>
      <c r="M18" s="73">
        <f t="shared" si="4"/>
        <v>3</v>
      </c>
      <c r="O18" s="93" t="s">
        <v>67</v>
      </c>
      <c r="P18" s="54">
        <v>0.88</v>
      </c>
      <c r="Q18" s="65">
        <f t="shared" si="5"/>
        <v>3</v>
      </c>
      <c r="R18" s="111"/>
    </row>
    <row r="19" spans="6:22">
      <c r="F19" s="5" t="s">
        <v>68</v>
      </c>
      <c r="G19" s="64">
        <f t="shared" si="3"/>
        <v>44019.197998003132</v>
      </c>
      <c r="H19" s="64">
        <f t="shared" si="0"/>
        <v>13945.367234242474</v>
      </c>
      <c r="I19" s="64">
        <f t="shared" si="1"/>
        <v>789.01330631293411</v>
      </c>
      <c r="J19" s="64">
        <f t="shared" si="2"/>
        <v>2596.8227414790604</v>
      </c>
      <c r="K19" s="64"/>
      <c r="L19" s="64"/>
      <c r="M19" s="74">
        <f t="shared" si="4"/>
        <v>3</v>
      </c>
      <c r="O19" s="93" t="s">
        <v>69</v>
      </c>
      <c r="P19" s="54">
        <v>0.87</v>
      </c>
      <c r="Q19" s="65">
        <f>($Q$4*0.1)*5+$Q$4</f>
        <v>4.5</v>
      </c>
      <c r="R19" s="111"/>
    </row>
    <row r="20" spans="6:22">
      <c r="O20" s="93" t="s">
        <v>24</v>
      </c>
      <c r="P20" s="54">
        <v>0.87</v>
      </c>
      <c r="Q20" s="65">
        <f>($Q$4*0.1)*5+Q19</f>
        <v>6</v>
      </c>
      <c r="R20" s="111"/>
    </row>
    <row r="21" spans="6:22">
      <c r="O21" s="93" t="s">
        <v>70</v>
      </c>
      <c r="P21" s="54">
        <v>0.87</v>
      </c>
      <c r="Q21" s="65">
        <f>($Q$4*0.1)*5+Q20</f>
        <v>7.5</v>
      </c>
      <c r="R21" s="111"/>
    </row>
    <row r="22" spans="6:22">
      <c r="G22" s="34"/>
      <c r="O22" s="93" t="s">
        <v>71</v>
      </c>
      <c r="P22" s="54">
        <v>0.87</v>
      </c>
      <c r="Q22" s="65">
        <f>($Q$4*0.1)*5+Q21</f>
        <v>9</v>
      </c>
      <c r="R22" s="111"/>
    </row>
    <row r="23" spans="6:22">
      <c r="F23" s="117" t="s">
        <v>72</v>
      </c>
      <c r="G23" s="118"/>
      <c r="H23" s="118"/>
      <c r="I23" s="118"/>
      <c r="J23" s="118"/>
      <c r="K23" s="118"/>
      <c r="L23" s="118"/>
      <c r="M23" s="118"/>
      <c r="O23" s="93" t="s">
        <v>73</v>
      </c>
      <c r="P23" s="54">
        <v>0.87</v>
      </c>
      <c r="Q23" s="65">
        <f>($Q$4*0.1)*5+Q22</f>
        <v>10.5</v>
      </c>
      <c r="R23" s="111"/>
    </row>
    <row r="24" spans="6:22">
      <c r="F24" s="118"/>
      <c r="G24" s="118"/>
      <c r="H24" s="118"/>
      <c r="I24" s="118"/>
      <c r="J24" s="118"/>
      <c r="K24" s="118"/>
      <c r="L24" s="118"/>
      <c r="M24" s="118"/>
      <c r="O24" s="93" t="s">
        <v>74</v>
      </c>
      <c r="P24" s="54">
        <v>0</v>
      </c>
      <c r="Q24" s="65">
        <f>IF(Q7&lt;40,(Q4+(($Q$4*0.1)*(Q4-10))),Q4*4)</f>
        <v>12</v>
      </c>
      <c r="R24" s="111"/>
    </row>
    <row r="25" spans="6:22">
      <c r="F25" s="118"/>
      <c r="G25" s="118"/>
      <c r="H25" s="118"/>
      <c r="I25" s="118"/>
      <c r="J25" s="118"/>
      <c r="K25" s="118"/>
      <c r="L25" s="118"/>
      <c r="M25" s="118"/>
      <c r="O25" s="93"/>
      <c r="P25" s="54"/>
      <c r="Q25" s="65"/>
      <c r="R25" s="111"/>
      <c r="V25" s="58"/>
    </row>
    <row r="26" spans="6:22">
      <c r="F26" s="118"/>
      <c r="G26" s="118"/>
      <c r="H26" s="118"/>
      <c r="I26" s="118"/>
      <c r="J26" s="118"/>
      <c r="K26" s="118"/>
      <c r="L26" s="118"/>
      <c r="M26" s="118"/>
      <c r="O26" s="93"/>
      <c r="P26" s="54"/>
      <c r="Q26" s="65"/>
      <c r="R26" s="111"/>
    </row>
    <row r="27" spans="6:22">
      <c r="F27" s="118"/>
      <c r="G27" s="118"/>
      <c r="H27" s="118"/>
      <c r="I27" s="118"/>
      <c r="J27" s="118"/>
      <c r="K27" s="118"/>
      <c r="L27" s="118"/>
      <c r="M27" s="118"/>
      <c r="O27" s="93"/>
      <c r="P27" s="54"/>
      <c r="Q27" s="65"/>
      <c r="R27" s="111"/>
    </row>
    <row r="28" spans="6:22">
      <c r="F28" s="118"/>
      <c r="G28" s="118"/>
      <c r="H28" s="118"/>
      <c r="I28" s="118"/>
      <c r="J28" s="118"/>
      <c r="K28" s="118"/>
      <c r="L28" s="118"/>
      <c r="M28" s="118"/>
      <c r="O28" s="93"/>
      <c r="P28" s="54"/>
      <c r="Q28" s="65"/>
      <c r="R28" s="111"/>
    </row>
    <row r="29" spans="6:22">
      <c r="F29" s="118"/>
      <c r="G29" s="118"/>
      <c r="H29" s="118"/>
      <c r="I29" s="118"/>
      <c r="J29" s="118"/>
      <c r="K29" s="118"/>
      <c r="L29" s="118"/>
      <c r="M29" s="118"/>
      <c r="O29" s="93"/>
      <c r="P29" s="54"/>
      <c r="Q29" s="65"/>
      <c r="R29" s="112"/>
    </row>
  </sheetData>
  <mergeCells count="21">
    <mergeCell ref="A16:C16"/>
    <mergeCell ref="A1:C1"/>
    <mergeCell ref="B2:C2"/>
    <mergeCell ref="B3:C3"/>
    <mergeCell ref="B4:C4"/>
    <mergeCell ref="A6:C6"/>
    <mergeCell ref="B9:C9"/>
    <mergeCell ref="A14:C14"/>
    <mergeCell ref="A15:C15"/>
    <mergeCell ref="B7:C7"/>
    <mergeCell ref="R9:R29"/>
    <mergeCell ref="O4:P4"/>
    <mergeCell ref="O5:P5"/>
    <mergeCell ref="O7:P7"/>
    <mergeCell ref="F1:L1"/>
    <mergeCell ref="F2:F3"/>
    <mergeCell ref="O1:Q1"/>
    <mergeCell ref="O2:P2"/>
    <mergeCell ref="O3:P3"/>
    <mergeCell ref="O6:P6"/>
    <mergeCell ref="F23:M29"/>
  </mergeCells>
  <phoneticPr fontId="1" type="noConversion"/>
  <dataValidations count="3">
    <dataValidation type="list" allowBlank="1" showInputMessage="1" showErrorMessage="1" sqref="B8" xr:uid="{00000000-0002-0000-0100-000000000000}">
      <formula1>"를, 을"</formula1>
    </dataValidation>
    <dataValidation type="list" showInputMessage="1" showErrorMessage="1" sqref="B10" xr:uid="{00000000-0002-0000-0100-000001000000}">
      <formula1>"9.9%,20.9%,23.1%"</formula1>
    </dataValidation>
    <dataValidation type="list" allowBlank="1" showInputMessage="1" showErrorMessage="1" sqref="B11" xr:uid="{00000000-0002-0000-0100-000002000000}">
      <formula1>"10%, 20%, 30%, 40%, 50%"</formula1>
    </dataValidation>
  </dataValidations>
  <pageMargins left="0.7" right="0.7" top="0.75" bottom="0.75" header="0.3" footer="0.3"/>
  <pageSetup paperSize="9" scale="7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O26"/>
  <sheetViews>
    <sheetView view="pageBreakPreview" topLeftCell="A9" zoomScale="90" zoomScaleNormal="115" zoomScaleSheetLayoutView="90" workbookViewId="0">
      <selection activeCell="Q13" sqref="Q13"/>
    </sheetView>
  </sheetViews>
  <sheetFormatPr defaultColWidth="9" defaultRowHeight="14.45"/>
  <cols>
    <col min="1" max="1" width="9" style="2"/>
    <col min="2" max="13" width="9.625" style="2" customWidth="1"/>
    <col min="14" max="16384" width="9" style="2"/>
  </cols>
  <sheetData>
    <row r="1" spans="3:13" ht="5.0999999999999996" customHeight="1"/>
    <row r="2" spans="3:13" ht="24.95" customHeight="1"/>
    <row r="3" spans="3:13" ht="24.95" customHeight="1"/>
    <row r="4" spans="3:13" ht="24.95" customHeight="1"/>
    <row r="5" spans="3:13" ht="24.95" customHeight="1"/>
    <row r="6" spans="3:13" ht="24.95" customHeight="1"/>
    <row r="7" spans="3:13" ht="24.95" customHeight="1"/>
    <row r="8" spans="3:13" ht="16.5" customHeight="1"/>
    <row r="9" spans="3:13" ht="16.5" customHeight="1">
      <c r="C9" s="37" t="s">
        <v>75</v>
      </c>
    </row>
    <row r="10" spans="3:13" ht="16.5" customHeight="1">
      <c r="C10" s="125" t="str">
        <f>입력Tab!B7&amp;입력Tab!B8&amp;" 위한 기업가치 제고 전략"</f>
        <v>해광요업을 위한 기업가치 제고 전략</v>
      </c>
      <c r="D10" s="125"/>
      <c r="E10" s="125"/>
      <c r="F10" s="125"/>
      <c r="G10" s="125"/>
      <c r="H10" s="125"/>
      <c r="I10" s="125"/>
      <c r="J10" s="125"/>
      <c r="K10" s="125"/>
      <c r="L10" s="125"/>
      <c r="M10" s="125"/>
    </row>
    <row r="11" spans="3:13" ht="24.95" customHeight="1"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</row>
    <row r="12" spans="3:13" ht="24.95" customHeight="1"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</row>
    <row r="13" spans="3:13" ht="24.95" customHeight="1"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</row>
    <row r="14" spans="3:13" ht="24.95" customHeight="1"/>
    <row r="15" spans="3:13" ht="24.95" customHeight="1"/>
    <row r="16" spans="3:13" ht="24.95" customHeight="1"/>
    <row r="17" spans="15:15" ht="24.95" customHeight="1"/>
    <row r="18" spans="15:15" ht="24.95" customHeight="1"/>
    <row r="19" spans="15:15" ht="24.95" customHeight="1"/>
    <row r="23" spans="15:15" ht="22.15">
      <c r="O23" s="7" t="s">
        <v>76</v>
      </c>
    </row>
    <row r="25" spans="15:15">
      <c r="O25" s="3" t="str">
        <f>입력Tab!B2&amp;" "&amp;입력Tab!B3&amp;"     "</f>
        <v xml:space="preserve">특화법인 최현복     </v>
      </c>
    </row>
    <row r="26" spans="15:15">
      <c r="O26" s="8" t="str">
        <f>"("&amp;입력Tab!B4&amp;")"&amp;"       "</f>
        <v xml:space="preserve">(010-3220-8823)       </v>
      </c>
    </row>
  </sheetData>
  <mergeCells count="1">
    <mergeCell ref="C10:M13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1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U34"/>
  <sheetViews>
    <sheetView view="pageBreakPreview" zoomScale="80" zoomScaleNormal="100" zoomScaleSheetLayoutView="80" workbookViewId="0">
      <selection activeCell="R21" sqref="R21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21" ht="24">
      <c r="A2" s="126" t="s">
        <v>77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7" spans="1:21">
      <c r="T7" s="1" t="s">
        <v>78</v>
      </c>
      <c r="U7" s="1">
        <v>8.6999999999999993</v>
      </c>
    </row>
    <row r="8" spans="1:21">
      <c r="T8" s="1" t="s">
        <v>79</v>
      </c>
      <c r="U8" s="1">
        <v>-34.1</v>
      </c>
    </row>
    <row r="9" spans="1:21">
      <c r="T9" s="1" t="s">
        <v>80</v>
      </c>
      <c r="U9" s="1">
        <v>-43.3</v>
      </c>
    </row>
    <row r="10" spans="1:21">
      <c r="T10" s="1" t="s">
        <v>81</v>
      </c>
      <c r="U10" s="1">
        <v>33.6</v>
      </c>
    </row>
    <row r="11" spans="1:21">
      <c r="T11" s="1" t="s">
        <v>82</v>
      </c>
      <c r="U11" s="1">
        <v>162.9</v>
      </c>
    </row>
    <row r="34" spans="1:16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</row>
  </sheetData>
  <mergeCells count="2">
    <mergeCell ref="A2:P2"/>
    <mergeCell ref="A34:P34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1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P34"/>
  <sheetViews>
    <sheetView view="pageBreakPreview" zoomScale="80" zoomScaleNormal="100" zoomScaleSheetLayoutView="80" workbookViewId="0">
      <selection activeCell="S18" sqref="S18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16" ht="20.45">
      <c r="A2" s="128" t="s">
        <v>84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14" spans="1:16">
      <c r="G14" s="1" t="s">
        <v>85</v>
      </c>
    </row>
    <row r="34" spans="1:16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</row>
  </sheetData>
  <mergeCells count="2">
    <mergeCell ref="A2:P2"/>
    <mergeCell ref="A34:P34"/>
  </mergeCells>
  <phoneticPr fontId="1" type="noConversion"/>
  <pageMargins left="0.7" right="0.7" top="0.75" bottom="0.75" header="0.3" footer="0.3"/>
  <pageSetup paperSize="9" scale="83" orientation="landscape" verticalDpi="0" r:id="rId1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34"/>
  <sheetViews>
    <sheetView view="pageBreakPreview" zoomScale="70" zoomScaleNormal="100" zoomScaleSheetLayoutView="70" workbookViewId="0">
      <selection activeCell="T10" sqref="T10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16" ht="20.45">
      <c r="A2" s="128" t="s">
        <v>84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4" spans="1:16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</row>
  </sheetData>
  <mergeCells count="2">
    <mergeCell ref="A2:P2"/>
    <mergeCell ref="A34:P34"/>
  </mergeCells>
  <phoneticPr fontId="1" type="noConversion"/>
  <pageMargins left="0.7" right="0.7" top="0.75" bottom="0.75" header="0.3" footer="0.3"/>
  <pageSetup paperSize="9" scale="53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P34"/>
  <sheetViews>
    <sheetView view="pageBreakPreview" topLeftCell="A6" zoomScale="80" zoomScaleNormal="100" zoomScaleSheetLayoutView="80" workbookViewId="0">
      <selection activeCell="U7" sqref="U7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16" ht="24">
      <c r="A2" s="126" t="s">
        <v>86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4" spans="1:16">
      <c r="A34" s="127" t="s">
        <v>87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</row>
  </sheetData>
  <mergeCells count="2">
    <mergeCell ref="A2:P2"/>
    <mergeCell ref="A34:P34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1" orientation="landscape" verticalDpi="0" r:id="rId1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P34"/>
  <sheetViews>
    <sheetView view="pageBreakPreview" zoomScale="80" zoomScaleNormal="100" zoomScaleSheetLayoutView="80" workbookViewId="0">
      <selection activeCell="R25" sqref="R25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16" ht="24">
      <c r="A2" s="126" t="s">
        <v>88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5" spans="1:16" ht="16.5" customHeight="1">
      <c r="E5" s="9"/>
      <c r="F5" s="9"/>
      <c r="G5" s="9"/>
      <c r="H5" s="9"/>
      <c r="I5" s="9"/>
      <c r="J5" s="9"/>
      <c r="K5" s="9"/>
    </row>
    <row r="6" spans="1:16" ht="16.5" customHeight="1">
      <c r="E6" s="9"/>
      <c r="F6" s="9"/>
      <c r="G6" s="9"/>
      <c r="H6" s="9"/>
      <c r="I6" s="9"/>
      <c r="J6" s="9"/>
      <c r="K6" s="9"/>
    </row>
    <row r="34" spans="1:16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</row>
  </sheetData>
  <mergeCells count="2">
    <mergeCell ref="A2:P2"/>
    <mergeCell ref="A34:P34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1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35"/>
  <sheetViews>
    <sheetView view="pageBreakPreview" zoomScale="70" zoomScaleNormal="100" zoomScaleSheetLayoutView="70" workbookViewId="0">
      <selection activeCell="AE32" sqref="AE32:AF32"/>
    </sheetView>
  </sheetViews>
  <sheetFormatPr defaultColWidth="9" defaultRowHeight="17.45"/>
  <cols>
    <col min="1" max="9" width="9" style="1"/>
    <col min="10" max="10" width="9" style="1" customWidth="1"/>
    <col min="11" max="15" width="9" style="1"/>
    <col min="16" max="16" width="9" style="1" customWidth="1"/>
    <col min="17" max="16384" width="9" style="1"/>
  </cols>
  <sheetData>
    <row r="1" spans="1:34" ht="16.5" customHeight="1"/>
    <row r="2" spans="1:34" ht="21.75" customHeight="1">
      <c r="A2" s="126" t="s">
        <v>89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R2" s="100" t="s">
        <v>90</v>
      </c>
      <c r="S2" s="136" t="s">
        <v>91</v>
      </c>
      <c r="T2" s="136"/>
      <c r="U2" s="136" t="s">
        <v>92</v>
      </c>
      <c r="V2" s="136"/>
      <c r="W2" s="136" t="s">
        <v>93</v>
      </c>
      <c r="X2" s="136"/>
      <c r="Y2" s="136" t="s">
        <v>94</v>
      </c>
      <c r="Z2" s="136"/>
      <c r="AA2" s="137" t="s">
        <v>95</v>
      </c>
      <c r="AB2" s="137"/>
      <c r="AC2" s="137" t="s">
        <v>96</v>
      </c>
      <c r="AD2" s="137"/>
      <c r="AE2" s="136" t="s">
        <v>97</v>
      </c>
      <c r="AF2" s="136"/>
      <c r="AG2" s="136" t="s">
        <v>98</v>
      </c>
      <c r="AH2" s="136"/>
    </row>
    <row r="3" spans="1:34" ht="16.5" customHeight="1">
      <c r="R3" s="13" t="s">
        <v>24</v>
      </c>
      <c r="S3" s="141">
        <f>입력Tab!G4</f>
        <v>0</v>
      </c>
      <c r="T3" s="142"/>
      <c r="U3" s="141">
        <f>입력Tab!H4</f>
        <v>0</v>
      </c>
      <c r="V3" s="142"/>
      <c r="W3" s="141">
        <f>입력Tab!I4</f>
        <v>0</v>
      </c>
      <c r="X3" s="142"/>
      <c r="Y3" s="141">
        <f>입력Tab!J4</f>
        <v>0</v>
      </c>
      <c r="Z3" s="142"/>
      <c r="AA3" s="143">
        <f t="shared" ref="AA3:AA4" si="0">S3-W3</f>
        <v>0</v>
      </c>
      <c r="AB3" s="144"/>
      <c r="AC3" s="145"/>
      <c r="AD3" s="145"/>
      <c r="AE3" s="141"/>
      <c r="AF3" s="142"/>
      <c r="AG3" s="141"/>
      <c r="AH3" s="142"/>
    </row>
    <row r="4" spans="1:34" ht="16.5" customHeight="1">
      <c r="R4" s="14" t="s">
        <v>26</v>
      </c>
      <c r="S4" s="129">
        <f>입력Tab!G5</f>
        <v>11476</v>
      </c>
      <c r="T4" s="130"/>
      <c r="U4" s="129">
        <f>입력Tab!H5</f>
        <v>4859</v>
      </c>
      <c r="V4" s="130"/>
      <c r="W4" s="129">
        <f>입력Tab!I5</f>
        <v>1725</v>
      </c>
      <c r="X4" s="130"/>
      <c r="Y4" s="129">
        <f>입력Tab!J5</f>
        <v>1244</v>
      </c>
      <c r="Z4" s="130"/>
      <c r="AA4" s="138">
        <f t="shared" si="0"/>
        <v>9751</v>
      </c>
      <c r="AB4" s="139"/>
      <c r="AC4" s="140"/>
      <c r="AD4" s="140"/>
      <c r="AE4" s="129"/>
      <c r="AF4" s="130"/>
      <c r="AG4" s="129"/>
      <c r="AH4" s="130"/>
    </row>
    <row r="5" spans="1:34" ht="16.5" customHeight="1">
      <c r="R5" s="14" t="s">
        <v>29</v>
      </c>
      <c r="S5" s="129">
        <f>입력Tab!G6</f>
        <v>13205</v>
      </c>
      <c r="T5" s="130"/>
      <c r="U5" s="129">
        <f>입력Tab!H6</f>
        <v>9607</v>
      </c>
      <c r="V5" s="130"/>
      <c r="W5" s="129">
        <f>입력Tab!I6</f>
        <v>1534</v>
      </c>
      <c r="X5" s="130"/>
      <c r="Y5" s="129">
        <f>입력Tab!J6</f>
        <v>1920</v>
      </c>
      <c r="Z5" s="130"/>
      <c r="AA5" s="138">
        <f>S5-W5</f>
        <v>11671</v>
      </c>
      <c r="AB5" s="139"/>
      <c r="AC5" s="140">
        <f>(Y5*3+Y4*2+Y3*1)/6/0.1</f>
        <v>13746.666666666666</v>
      </c>
      <c r="AD5" s="140"/>
      <c r="AE5" s="129">
        <f>IF(U5/S5&gt;=0.8,AA5,IF(U5/S5&gt;=0.5,MAX(AA5*0.8,(AC5*2+AA5*3)/5),MAX(AA5*0.8,(AC5*3+AA5*2)/5)))</f>
        <v>12501.266666666666</v>
      </c>
      <c r="AF5" s="130"/>
      <c r="AG5" s="129">
        <f>AE5*1000000/입력Tab!$K$8</f>
        <v>250025.33333333331</v>
      </c>
      <c r="AH5" s="130"/>
    </row>
    <row r="6" spans="1:34" ht="16.5" customHeight="1">
      <c r="R6" s="14" t="s">
        <v>33</v>
      </c>
      <c r="S6" s="129">
        <f>입력Tab!G7</f>
        <v>14117</v>
      </c>
      <c r="T6" s="130"/>
      <c r="U6" s="129">
        <f>입력Tab!H7</f>
        <v>9781</v>
      </c>
      <c r="V6" s="130"/>
      <c r="W6" s="129">
        <f>입력Tab!I7</f>
        <v>570</v>
      </c>
      <c r="X6" s="130"/>
      <c r="Y6" s="129">
        <f>입력Tab!J7</f>
        <v>1876</v>
      </c>
      <c r="Z6" s="130"/>
      <c r="AA6" s="138">
        <f t="shared" ref="AA6:AA17" si="1">S6-W6</f>
        <v>13547</v>
      </c>
      <c r="AB6" s="139"/>
      <c r="AC6" s="138">
        <f t="shared" ref="AC6:AC17" si="2">(Y6*3+Y5*2+Y4*1)/6/0.1</f>
        <v>17853.333333333332</v>
      </c>
      <c r="AD6" s="139"/>
      <c r="AE6" s="129">
        <f t="shared" ref="AE6:AE17" si="3">IF(U6/S6&gt;=0.8,AA6,IF(U6/S6&gt;=0.5,MAX(AA6*0.8,(AC6*2+AA6*3)/5),MAX(AA6*0.8,(AC6*3+AA6*2)/5)))</f>
        <v>15269.533333333331</v>
      </c>
      <c r="AF6" s="130"/>
      <c r="AG6" s="129">
        <f>AE6*1000000/입력Tab!$K$8</f>
        <v>305390.66666666663</v>
      </c>
      <c r="AH6" s="130"/>
    </row>
    <row r="7" spans="1:34" ht="16.5" customHeight="1">
      <c r="R7" s="15" t="s">
        <v>37</v>
      </c>
      <c r="S7" s="129">
        <f>입력Tab!G8</f>
        <v>15181</v>
      </c>
      <c r="T7" s="130"/>
      <c r="U7" s="129">
        <f>입력Tab!H8</f>
        <v>10074.43</v>
      </c>
      <c r="V7" s="130"/>
      <c r="W7" s="129">
        <f>입력Tab!I8</f>
        <v>570</v>
      </c>
      <c r="X7" s="130"/>
      <c r="Y7" s="129">
        <f>입력Tab!J8</f>
        <v>1876</v>
      </c>
      <c r="Z7" s="130"/>
      <c r="AA7" s="138">
        <f t="shared" si="1"/>
        <v>14611</v>
      </c>
      <c r="AB7" s="139"/>
      <c r="AC7" s="138">
        <f>(Y7*3+Y6*2+Y5*1)/6/0.1</f>
        <v>18833.333333333332</v>
      </c>
      <c r="AD7" s="139"/>
      <c r="AE7" s="129">
        <f t="shared" si="3"/>
        <v>16299.933333333331</v>
      </c>
      <c r="AF7" s="130"/>
      <c r="AG7" s="129">
        <f>AE7*1000000/입력Tab!$K$8</f>
        <v>325998.66666666663</v>
      </c>
      <c r="AH7" s="130"/>
    </row>
    <row r="8" spans="1:34" ht="16.5" customHeight="1">
      <c r="R8" s="15" t="s">
        <v>42</v>
      </c>
      <c r="S8" s="129">
        <f>S7+U7*입력Tab!$D$15+주식가치평가!Y8+W7*입력Tab!$D$16</f>
        <v>17432.612899999996</v>
      </c>
      <c r="T8" s="130"/>
      <c r="U8" s="129">
        <f>U7+U7*입력Tab!$D$15</f>
        <v>10376.662899999999</v>
      </c>
      <c r="V8" s="130"/>
      <c r="W8" s="129">
        <f>W7+W7*입력Tab!$D$16</f>
        <v>587.1</v>
      </c>
      <c r="X8" s="130"/>
      <c r="Y8" s="129">
        <f>Y7+Y7*입력Tab!$D$14</f>
        <v>1932.28</v>
      </c>
      <c r="Z8" s="130"/>
      <c r="AA8" s="138">
        <f t="shared" si="1"/>
        <v>16845.512899999998</v>
      </c>
      <c r="AB8" s="139"/>
      <c r="AC8" s="138">
        <f t="shared" si="2"/>
        <v>19041.400000000001</v>
      </c>
      <c r="AD8" s="139"/>
      <c r="AE8" s="129">
        <f t="shared" si="3"/>
        <v>17723.867739999998</v>
      </c>
      <c r="AF8" s="130"/>
      <c r="AG8" s="129">
        <f>AE8*1000000/입력Tab!$K$8</f>
        <v>354477.35479999991</v>
      </c>
      <c r="AH8" s="130"/>
    </row>
    <row r="9" spans="1:34" ht="16.5" customHeight="1">
      <c r="R9" s="15" t="s">
        <v>46</v>
      </c>
      <c r="S9" s="129">
        <f>S8+U8*입력Tab!$D$15+주식가치평가!Y9+W8*입력Tab!$D$16</f>
        <v>19751.774186999999</v>
      </c>
      <c r="T9" s="130"/>
      <c r="U9" s="129">
        <f>U8+U8*입력Tab!$D$15</f>
        <v>10687.962786999999</v>
      </c>
      <c r="V9" s="130"/>
      <c r="W9" s="129">
        <f>W8+W8*입력Tab!$D$16</f>
        <v>604.71299999999997</v>
      </c>
      <c r="X9" s="130"/>
      <c r="Y9" s="129">
        <f>Y8+Y8*입력Tab!$D$14</f>
        <v>1990.2483999999999</v>
      </c>
      <c r="Z9" s="130"/>
      <c r="AA9" s="138">
        <f t="shared" si="1"/>
        <v>19147.061186999999</v>
      </c>
      <c r="AB9" s="139"/>
      <c r="AC9" s="138">
        <f t="shared" si="2"/>
        <v>19518.841999999997</v>
      </c>
      <c r="AD9" s="139"/>
      <c r="AE9" s="129">
        <f t="shared" si="3"/>
        <v>19295.773512199998</v>
      </c>
      <c r="AF9" s="130"/>
      <c r="AG9" s="129">
        <f>AE9*1000000/입력Tab!$K$8</f>
        <v>385915.47024399997</v>
      </c>
      <c r="AH9" s="130"/>
    </row>
    <row r="10" spans="1:34" ht="16.5" customHeight="1">
      <c r="R10" s="15" t="s">
        <v>49</v>
      </c>
      <c r="S10" s="129">
        <f>S9+U9*입력Tab!$D$15+주식가치평가!Y10+W9*입력Tab!$D$16</f>
        <v>22140.51031261</v>
      </c>
      <c r="T10" s="130"/>
      <c r="U10" s="129">
        <f>U9+U9*입력Tab!$D$15</f>
        <v>11008.601670609998</v>
      </c>
      <c r="V10" s="130"/>
      <c r="W10" s="129">
        <f>W9+W9*입력Tab!$D$16</f>
        <v>622.85438999999997</v>
      </c>
      <c r="X10" s="130"/>
      <c r="Y10" s="129">
        <f>Y9+Y9*입력Tab!$D$14</f>
        <v>2049.955852</v>
      </c>
      <c r="Z10" s="130"/>
      <c r="AA10" s="138">
        <f t="shared" si="1"/>
        <v>21517.65592261</v>
      </c>
      <c r="AB10" s="139"/>
      <c r="AC10" s="138">
        <f t="shared" si="2"/>
        <v>20104.40726</v>
      </c>
      <c r="AD10" s="139"/>
      <c r="AE10" s="129">
        <f t="shared" si="3"/>
        <v>20669.706725044001</v>
      </c>
      <c r="AF10" s="130"/>
      <c r="AG10" s="129">
        <f>AE10*1000000/입력Tab!$K$8</f>
        <v>413394.13450088003</v>
      </c>
      <c r="AH10" s="130"/>
    </row>
    <row r="11" spans="1:34" ht="16.5" customHeight="1">
      <c r="R11" s="15" t="s">
        <v>51</v>
      </c>
      <c r="S11" s="129">
        <f>S10+U10*입력Tab!$D$15+주식가치평가!Y11+W10*입력Tab!$D$16</f>
        <v>24600.908521988298</v>
      </c>
      <c r="T11" s="130"/>
      <c r="U11" s="129">
        <f>U10+U10*입력Tab!$D$15</f>
        <v>11338.859720728298</v>
      </c>
      <c r="V11" s="130"/>
      <c r="W11" s="129">
        <f>W10+W10*입력Tab!$D$16</f>
        <v>641.54002170000001</v>
      </c>
      <c r="X11" s="130"/>
      <c r="Y11" s="129">
        <f>Y10+Y10*입력Tab!$D$14</f>
        <v>2111.4545275599999</v>
      </c>
      <c r="Z11" s="130"/>
      <c r="AA11" s="138">
        <f t="shared" si="1"/>
        <v>23959.368500288299</v>
      </c>
      <c r="AB11" s="139"/>
      <c r="AC11" s="138">
        <f t="shared" si="2"/>
        <v>20707.539477800001</v>
      </c>
      <c r="AD11" s="139"/>
      <c r="AE11" s="129">
        <f t="shared" si="3"/>
        <v>22008.271086795321</v>
      </c>
      <c r="AF11" s="130"/>
      <c r="AG11" s="129">
        <f>AE11*1000000/입력Tab!$K$8</f>
        <v>440165.42173590645</v>
      </c>
      <c r="AH11" s="130"/>
    </row>
    <row r="12" spans="1:34" ht="16.5" customHeight="1">
      <c r="R12" s="15" t="s">
        <v>53</v>
      </c>
      <c r="S12" s="129">
        <f>S11+U11*입력Tab!$D$15+주식가치평가!Y12+W11*입력Tab!$D$16</f>
        <v>27135.118677647948</v>
      </c>
      <c r="T12" s="130"/>
      <c r="U12" s="129">
        <f>U11+U11*입력Tab!$D$15</f>
        <v>11679.025512350147</v>
      </c>
      <c r="V12" s="130"/>
      <c r="W12" s="129">
        <f>W11+W11*입력Tab!$D$16</f>
        <v>660.78622235099999</v>
      </c>
      <c r="X12" s="130"/>
      <c r="Y12" s="129">
        <f>Y11+Y11*입력Tab!$D$14</f>
        <v>2174.7981633867998</v>
      </c>
      <c r="Z12" s="130"/>
      <c r="AA12" s="138">
        <f t="shared" si="1"/>
        <v>26474.33245529695</v>
      </c>
      <c r="AB12" s="139"/>
      <c r="AC12" s="138">
        <f t="shared" si="2"/>
        <v>21328.765662133996</v>
      </c>
      <c r="AD12" s="139"/>
      <c r="AE12" s="129">
        <f t="shared" si="3"/>
        <v>23386.992379399177</v>
      </c>
      <c r="AF12" s="130"/>
      <c r="AG12" s="129">
        <f>AE12*1000000/입력Tab!$K$8</f>
        <v>467739.84758798353</v>
      </c>
      <c r="AH12" s="130"/>
    </row>
    <row r="13" spans="1:34" ht="16.5" customHeight="1">
      <c r="R13" s="15" t="s">
        <v>56</v>
      </c>
      <c r="S13" s="129">
        <f>S12+U12*입력Tab!$D$15+주식가치평가!Y13+W12*입력Tab!$D$16</f>
        <v>29745.355137977385</v>
      </c>
      <c r="T13" s="130"/>
      <c r="U13" s="129">
        <f>U12+U12*입력Tab!$D$15</f>
        <v>12029.396277720651</v>
      </c>
      <c r="V13" s="130"/>
      <c r="W13" s="129">
        <f>W12+W12*입력Tab!$D$16</f>
        <v>680.60980902152994</v>
      </c>
      <c r="X13" s="130"/>
      <c r="Y13" s="129">
        <f>Y12+Y12*입력Tab!$D$14</f>
        <v>2240.0421082884041</v>
      </c>
      <c r="Z13" s="130"/>
      <c r="AA13" s="138">
        <f t="shared" si="1"/>
        <v>29064.745328955854</v>
      </c>
      <c r="AB13" s="139"/>
      <c r="AC13" s="138">
        <f t="shared" si="2"/>
        <v>21968.628631998017</v>
      </c>
      <c r="AD13" s="139"/>
      <c r="AE13" s="129">
        <f t="shared" si="3"/>
        <v>24807.075310781154</v>
      </c>
      <c r="AF13" s="130"/>
      <c r="AG13" s="129">
        <f>AE13*1000000/입력Tab!$K$8</f>
        <v>496141.50621562311</v>
      </c>
      <c r="AH13" s="130"/>
    </row>
    <row r="14" spans="1:34" ht="16.5" customHeight="1">
      <c r="R14" s="15" t="s">
        <v>59</v>
      </c>
      <c r="S14" s="129">
        <f>S13+U13*입력Tab!$D$15+주식가치평가!Y14+W13*입력Tab!$D$16</f>
        <v>32433.898692116709</v>
      </c>
      <c r="T14" s="130"/>
      <c r="U14" s="129">
        <f>U13+U13*입력Tab!$D$15</f>
        <v>12390.278166052271</v>
      </c>
      <c r="V14" s="130"/>
      <c r="W14" s="129">
        <f>W13+W13*입력Tab!$D$16</f>
        <v>701.02810329217584</v>
      </c>
      <c r="X14" s="130"/>
      <c r="Y14" s="129">
        <f>Y13+Y13*입력Tab!$D$14</f>
        <v>2307.2433715370562</v>
      </c>
      <c r="Z14" s="130"/>
      <c r="AA14" s="138">
        <f t="shared" si="1"/>
        <v>31732.870588824531</v>
      </c>
      <c r="AB14" s="139"/>
      <c r="AC14" s="138">
        <f t="shared" si="2"/>
        <v>22627.68749095796</v>
      </c>
      <c r="AD14" s="139"/>
      <c r="AE14" s="129">
        <f t="shared" si="3"/>
        <v>26269.76073010459</v>
      </c>
      <c r="AF14" s="130"/>
      <c r="AG14" s="129">
        <f>AE14*1000000/입력Tab!$K$8</f>
        <v>525395.21460209182</v>
      </c>
      <c r="AH14" s="130"/>
    </row>
    <row r="15" spans="1:34" ht="16.5" customHeight="1">
      <c r="R15" s="15" t="s">
        <v>62</v>
      </c>
      <c r="S15" s="129">
        <f>S14+U14*입력Tab!$D$15+주식가치평가!Y15+W14*입력Tab!$D$16</f>
        <v>35203.098552880212</v>
      </c>
      <c r="T15" s="130"/>
      <c r="U15" s="129">
        <f>U14+U14*입력Tab!$D$15</f>
        <v>12761.986511033838</v>
      </c>
      <c r="V15" s="130"/>
      <c r="W15" s="129">
        <f>W14+W14*입력Tab!$D$16</f>
        <v>722.05894639094117</v>
      </c>
      <c r="X15" s="130"/>
      <c r="Y15" s="129">
        <f>Y14+Y14*입력Tab!$D$14</f>
        <v>2376.460672683168</v>
      </c>
      <c r="Z15" s="130"/>
      <c r="AA15" s="138">
        <f t="shared" si="1"/>
        <v>34481.03960648927</v>
      </c>
      <c r="AB15" s="139"/>
      <c r="AC15" s="138">
        <f t="shared" si="2"/>
        <v>23306.518115686697</v>
      </c>
      <c r="AD15" s="139"/>
      <c r="AE15" s="129">
        <f t="shared" si="3"/>
        <v>27776.326712007729</v>
      </c>
      <c r="AF15" s="130"/>
      <c r="AG15" s="129">
        <f>AE15*1000000/입력Tab!$K$8</f>
        <v>555526.53424015455</v>
      </c>
      <c r="AH15" s="130"/>
    </row>
    <row r="16" spans="1:34" ht="16.5" customHeight="1">
      <c r="R16" s="15" t="s">
        <v>64</v>
      </c>
      <c r="S16" s="129">
        <f>S15+U15*입력Tab!$D$15+주식가치평가!Y16+W15*입력Tab!$D$16</f>
        <v>38055.374409466618</v>
      </c>
      <c r="T16" s="130"/>
      <c r="U16" s="129">
        <f>U15+U15*입력Tab!$D$15</f>
        <v>13144.846106364854</v>
      </c>
      <c r="V16" s="130"/>
      <c r="W16" s="129">
        <f>W15+W15*입력Tab!$D$16</f>
        <v>743.72071478266946</v>
      </c>
      <c r="X16" s="130"/>
      <c r="Y16" s="129">
        <f>Y15+Y15*입력Tab!$D$14</f>
        <v>2447.754492863663</v>
      </c>
      <c r="Z16" s="130"/>
      <c r="AA16" s="138">
        <f t="shared" si="1"/>
        <v>37311.653694683948</v>
      </c>
      <c r="AB16" s="139"/>
      <c r="AC16" s="138">
        <f t="shared" si="2"/>
        <v>24005.7136591573</v>
      </c>
      <c r="AD16" s="139"/>
      <c r="AE16" s="129">
        <f t="shared" si="3"/>
        <v>29849.32295574716</v>
      </c>
      <c r="AF16" s="130"/>
      <c r="AG16" s="129">
        <f>AE16*1000000/입력Tab!$K$8</f>
        <v>596986.45911494328</v>
      </c>
      <c r="AH16" s="130"/>
    </row>
    <row r="17" spans="18:34" ht="16.5" customHeight="1">
      <c r="R17" s="15" t="s">
        <v>66</v>
      </c>
      <c r="S17" s="129">
        <f>S16+U16*입력Tab!$D$15+주식가치평가!Y17+W16*입력Tab!$D$16</f>
        <v>40993.218541750612</v>
      </c>
      <c r="T17" s="130"/>
      <c r="U17" s="129">
        <f>U16+U16*입력Tab!$D$15</f>
        <v>13539.1914895558</v>
      </c>
      <c r="V17" s="130"/>
      <c r="W17" s="129">
        <f>W16+W16*입력Tab!$D$16</f>
        <v>766.0323362261496</v>
      </c>
      <c r="X17" s="130"/>
      <c r="Y17" s="129">
        <f>Y16+Y16*입력Tab!$D$14</f>
        <v>2521.1871276495731</v>
      </c>
      <c r="Z17" s="130"/>
      <c r="AA17" s="138">
        <f t="shared" si="1"/>
        <v>40227.186205524464</v>
      </c>
      <c r="AB17" s="139"/>
      <c r="AC17" s="138">
        <f t="shared" si="2"/>
        <v>24725.885068932024</v>
      </c>
      <c r="AD17" s="139"/>
      <c r="AE17" s="129">
        <f t="shared" si="3"/>
        <v>32181.748964419574</v>
      </c>
      <c r="AF17" s="130"/>
      <c r="AG17" s="129">
        <f>AE17*1000000/입력Tab!$K$8</f>
        <v>643634.97928839154</v>
      </c>
      <c r="AH17" s="130"/>
    </row>
    <row r="18" spans="18:34" ht="16.5" customHeight="1">
      <c r="R18" s="14" t="s">
        <v>68</v>
      </c>
      <c r="S18" s="129">
        <f>S17+U17*입력Tab!$D$15+주식가치평가!Y18+W17*입력Tab!$D$16</f>
        <v>44019.197998003132</v>
      </c>
      <c r="T18" s="130"/>
      <c r="U18" s="129">
        <f>U17+U17*입력Tab!$D$15</f>
        <v>13945.367234242474</v>
      </c>
      <c r="V18" s="130"/>
      <c r="W18" s="129">
        <f>W17+W17*입력Tab!$D$16</f>
        <v>789.01330631293411</v>
      </c>
      <c r="X18" s="130"/>
      <c r="Y18" s="129">
        <f>Y17+Y17*입력Tab!$D$14</f>
        <v>2596.8227414790604</v>
      </c>
      <c r="Z18" s="130"/>
      <c r="AA18" s="135">
        <f t="shared" ref="AA18:AA35" si="4">S18-W18</f>
        <v>43230.1846916902</v>
      </c>
      <c r="AB18" s="135"/>
      <c r="AC18" s="135">
        <f t="shared" ref="AC18:AC35" si="5">(Y18*3+Y17*2+Y16*1)/6/0.1</f>
        <v>25467.661620999981</v>
      </c>
      <c r="AD18" s="135"/>
      <c r="AE18" s="131">
        <f t="shared" ref="AE18:AE35" si="6">IF(U18/S18&gt;=0.8,AA18,IF(U18/S18&gt;=0.5,MAX(AA18*0.8,(AC18*2+AA18*3)/5),MAX(AA18*0.8,(AC18*3+AA18*2)/5)))</f>
        <v>34584.147753352161</v>
      </c>
      <c r="AF18" s="131"/>
      <c r="AG18" s="129">
        <f>AE18*1000000/입력Tab!$K$8</f>
        <v>691682.95506704319</v>
      </c>
      <c r="AH18" s="130"/>
    </row>
    <row r="19" spans="18:34" ht="16.5" customHeight="1">
      <c r="R19" s="14" t="s">
        <v>99</v>
      </c>
      <c r="S19" s="129">
        <f>S18+U18*입력Tab!$D$15+주식가치평가!Y19+W18*입력Tab!$D$16</f>
        <v>47135.956837943224</v>
      </c>
      <c r="T19" s="130"/>
      <c r="U19" s="129">
        <f>U18+U18*입력Tab!$D$15</f>
        <v>14363.728251269749</v>
      </c>
      <c r="V19" s="130"/>
      <c r="W19" s="129">
        <f>W18+W18*입력Tab!$D$16</f>
        <v>812.68370550232214</v>
      </c>
      <c r="X19" s="130"/>
      <c r="Y19" s="129">
        <f>Y18+Y18*입력Tab!$D$14</f>
        <v>2674.7274237234324</v>
      </c>
      <c r="Z19" s="130"/>
      <c r="AA19" s="135">
        <f t="shared" si="4"/>
        <v>46323.273132440903</v>
      </c>
      <c r="AB19" s="135"/>
      <c r="AC19" s="135">
        <f t="shared" si="5"/>
        <v>26231.691469629986</v>
      </c>
      <c r="AD19" s="135"/>
      <c r="AE19" s="131">
        <f t="shared" si="6"/>
        <v>37058.618505952727</v>
      </c>
      <c r="AF19" s="131"/>
      <c r="AG19" s="129">
        <f>AE19*1000000/입력Tab!$K$8</f>
        <v>741172.37011905457</v>
      </c>
      <c r="AH19" s="130"/>
    </row>
    <row r="20" spans="18:34" ht="16.5" customHeight="1">
      <c r="R20" s="14" t="s">
        <v>100</v>
      </c>
      <c r="S20" s="129">
        <f>S19+U19*입력Tab!$D$15+주식가치평가!Y20+W19*입력Tab!$D$16</f>
        <v>50346.218443081518</v>
      </c>
      <c r="T20" s="130"/>
      <c r="U20" s="129">
        <f>U19+U19*입력Tab!$D$15</f>
        <v>14794.640098807842</v>
      </c>
      <c r="V20" s="130"/>
      <c r="W20" s="129">
        <f>W19+W19*입력Tab!$D$16</f>
        <v>837.06421666739175</v>
      </c>
      <c r="X20" s="130"/>
      <c r="Y20" s="129">
        <f>Y19+Y19*입력Tab!$D$14</f>
        <v>2754.9692464351351</v>
      </c>
      <c r="Z20" s="130"/>
      <c r="AA20" s="135">
        <f t="shared" si="4"/>
        <v>49509.154226414124</v>
      </c>
      <c r="AB20" s="135"/>
      <c r="AC20" s="135">
        <f t="shared" si="5"/>
        <v>27018.642213718878</v>
      </c>
      <c r="AD20" s="135"/>
      <c r="AE20" s="131">
        <f t="shared" si="6"/>
        <v>39607.323381131304</v>
      </c>
      <c r="AF20" s="131"/>
      <c r="AG20" s="129">
        <f>AE20*1000000/입력Tab!$K$8</f>
        <v>792146.46762262599</v>
      </c>
      <c r="AH20" s="130"/>
    </row>
    <row r="21" spans="18:34" ht="16.5" customHeight="1">
      <c r="R21" s="14" t="s">
        <v>101</v>
      </c>
      <c r="S21" s="129">
        <f>S20+U20*입력Tab!$D$15+주식가치평가!Y21+W20*입력Tab!$D$16</f>
        <v>53652.787896373964</v>
      </c>
      <c r="T21" s="130"/>
      <c r="U21" s="129">
        <f>U20+U20*입력Tab!$D$15</f>
        <v>15238.479301772077</v>
      </c>
      <c r="V21" s="130"/>
      <c r="W21" s="129">
        <f>W20+W20*입력Tab!$D$16</f>
        <v>862.17614316741356</v>
      </c>
      <c r="X21" s="130"/>
      <c r="Y21" s="129">
        <f>Y20+Y20*입력Tab!$D$14</f>
        <v>2837.6183238281892</v>
      </c>
      <c r="Z21" s="130"/>
      <c r="AA21" s="135">
        <f t="shared" si="4"/>
        <v>52790.611753206547</v>
      </c>
      <c r="AB21" s="135"/>
      <c r="AC21" s="135">
        <f t="shared" si="5"/>
        <v>27829.201480130454</v>
      </c>
      <c r="AD21" s="135"/>
      <c r="AE21" s="131">
        <f t="shared" si="6"/>
        <v>42232.489402565239</v>
      </c>
      <c r="AF21" s="131"/>
      <c r="AG21" s="129">
        <f>AE21*1000000/입력Tab!$K$8</f>
        <v>844649.78805130476</v>
      </c>
      <c r="AH21" s="130"/>
    </row>
    <row r="22" spans="18:34" ht="16.5" customHeight="1">
      <c r="R22" s="14" t="s">
        <v>102</v>
      </c>
      <c r="S22" s="129">
        <f>S21+U21*입력Tab!$D$15+주식가치평가!Y22+W21*입력Tab!$D$16</f>
        <v>57058.554433265192</v>
      </c>
      <c r="T22" s="130"/>
      <c r="U22" s="129">
        <f>U21+U21*입력Tab!$D$15</f>
        <v>15695.633680825238</v>
      </c>
      <c r="V22" s="130"/>
      <c r="W22" s="129">
        <f>W21+W21*입력Tab!$D$16</f>
        <v>888.04142746243599</v>
      </c>
      <c r="X22" s="130"/>
      <c r="Y22" s="129">
        <f>Y21+Y21*입력Tab!$D$14</f>
        <v>2922.7468735430348</v>
      </c>
      <c r="Z22" s="130"/>
      <c r="AA22" s="135">
        <f t="shared" si="4"/>
        <v>56170.513005802757</v>
      </c>
      <c r="AB22" s="135"/>
      <c r="AC22" s="135">
        <f t="shared" si="5"/>
        <v>28664.077524534361</v>
      </c>
      <c r="AD22" s="135"/>
      <c r="AE22" s="131">
        <f t="shared" si="6"/>
        <v>44936.410404642207</v>
      </c>
      <c r="AF22" s="131"/>
      <c r="AG22" s="129">
        <f>AE22*1000000/입력Tab!$K$8</f>
        <v>898728.20809284411</v>
      </c>
      <c r="AH22" s="130"/>
    </row>
    <row r="23" spans="18:34" ht="16.5" customHeight="1">
      <c r="R23" s="14" t="s">
        <v>103</v>
      </c>
      <c r="S23" s="129">
        <f>S22+U22*입력Tab!$D$15+주식가치평가!Y23+W22*입력Tab!$D$16</f>
        <v>60566.493966263151</v>
      </c>
      <c r="T23" s="130"/>
      <c r="U23" s="129">
        <f>U22+U22*입력Tab!$D$15</f>
        <v>16166.502691249996</v>
      </c>
      <c r="V23" s="130"/>
      <c r="W23" s="129">
        <f>W22+W22*입력Tab!$D$16</f>
        <v>914.68267028630908</v>
      </c>
      <c r="X23" s="130"/>
      <c r="Y23" s="129">
        <f>Y22+Y22*입력Tab!$D$14</f>
        <v>3010.4292797493258</v>
      </c>
      <c r="Z23" s="130"/>
      <c r="AA23" s="135">
        <f t="shared" si="4"/>
        <v>59651.81129597684</v>
      </c>
      <c r="AB23" s="135"/>
      <c r="AC23" s="135">
        <f t="shared" si="5"/>
        <v>29523.999850270393</v>
      </c>
      <c r="AD23" s="135"/>
      <c r="AE23" s="131">
        <f t="shared" si="6"/>
        <v>47721.449036781472</v>
      </c>
      <c r="AF23" s="131"/>
      <c r="AG23" s="129">
        <f>AE23*1000000/입력Tab!$K$8</f>
        <v>954428.98073562945</v>
      </c>
      <c r="AH23" s="130"/>
    </row>
    <row r="24" spans="18:34" ht="16.5" customHeight="1">
      <c r="R24" s="14" t="s">
        <v>104</v>
      </c>
      <c r="S24" s="129">
        <f>S23+U23*입력Tab!$D$15+주식가치평가!Y24+W23*입력Tab!$D$16</f>
        <v>64179.671685251044</v>
      </c>
      <c r="T24" s="130"/>
      <c r="U24" s="129">
        <f>U23+U23*입력Tab!$D$15</f>
        <v>16651.497771987495</v>
      </c>
      <c r="V24" s="130"/>
      <c r="W24" s="129">
        <f>W23+W23*입력Tab!$D$16</f>
        <v>942.1231503948984</v>
      </c>
      <c r="X24" s="130"/>
      <c r="Y24" s="129">
        <f>Y23+Y23*입력Tab!$D$14</f>
        <v>3100.7421581418057</v>
      </c>
      <c r="Z24" s="130"/>
      <c r="AA24" s="135">
        <f t="shared" si="4"/>
        <v>63237.548534856149</v>
      </c>
      <c r="AB24" s="135"/>
      <c r="AC24" s="135">
        <f t="shared" si="5"/>
        <v>30409.719845778502</v>
      </c>
      <c r="AD24" s="135"/>
      <c r="AE24" s="131">
        <f t="shared" si="6"/>
        <v>50590.03882788492</v>
      </c>
      <c r="AF24" s="131"/>
      <c r="AG24" s="129">
        <f>AE24*1000000/입력Tab!$K$8</f>
        <v>1011800.7765576984</v>
      </c>
      <c r="AH24" s="130"/>
    </row>
    <row r="25" spans="18:34" ht="16.5" customHeight="1">
      <c r="R25" s="14" t="s">
        <v>105</v>
      </c>
      <c r="S25" s="129">
        <f>S24+U24*입력Tab!$D$15+주식가치평가!Y25+W24*입력Tab!$D$16</f>
        <v>67901.244735808577</v>
      </c>
      <c r="T25" s="130"/>
      <c r="U25" s="129">
        <f>U24+U24*입력Tab!$D$15</f>
        <v>17151.04270514712</v>
      </c>
      <c r="V25" s="130"/>
      <c r="W25" s="129">
        <f>W24+W24*입력Tab!$D$16</f>
        <v>970.38684490674541</v>
      </c>
      <c r="X25" s="130"/>
      <c r="Y25" s="129">
        <f>Y24+Y24*입력Tab!$D$14</f>
        <v>3193.7644228860599</v>
      </c>
      <c r="Z25" s="130"/>
      <c r="AA25" s="131">
        <f t="shared" si="4"/>
        <v>66930.857890901825</v>
      </c>
      <c r="AB25" s="131"/>
      <c r="AC25" s="131">
        <f t="shared" si="5"/>
        <v>31322.011441151863</v>
      </c>
      <c r="AD25" s="131"/>
      <c r="AE25" s="131">
        <f t="shared" si="6"/>
        <v>53544.68631272146</v>
      </c>
      <c r="AF25" s="131"/>
      <c r="AG25" s="129">
        <f>AE25*1000000/입력Tab!$K$8</f>
        <v>1070893.7262544292</v>
      </c>
      <c r="AH25" s="130"/>
    </row>
    <row r="26" spans="18:34" ht="16.5" customHeight="1">
      <c r="R26" s="14" t="s">
        <v>106</v>
      </c>
      <c r="S26" s="129">
        <f>S25+U25*입력Tab!$D$15+주식가치평가!Y26+W25*입력Tab!$D$16</f>
        <v>71734.464977882846</v>
      </c>
      <c r="T26" s="130"/>
      <c r="U26" s="129">
        <f>U25+U25*입력Tab!$D$15</f>
        <v>17665.573986301533</v>
      </c>
      <c r="V26" s="130"/>
      <c r="W26" s="129">
        <f>W25+W25*입력Tab!$D$16</f>
        <v>999.49845025394779</v>
      </c>
      <c r="X26" s="130"/>
      <c r="Y26" s="129">
        <f>Y25+Y25*입력Tab!$D$14</f>
        <v>3289.5773555726419</v>
      </c>
      <c r="Z26" s="130"/>
      <c r="AA26" s="131">
        <f t="shared" si="4"/>
        <v>70734.966527628902</v>
      </c>
      <c r="AB26" s="131"/>
      <c r="AC26" s="131">
        <f t="shared" si="5"/>
        <v>32261.671784386417</v>
      </c>
      <c r="AD26" s="131"/>
      <c r="AE26" s="131">
        <f t="shared" si="6"/>
        <v>56587.973222103123</v>
      </c>
      <c r="AF26" s="131"/>
      <c r="AG26" s="129">
        <f>AE26*1000000/입력Tab!$K$8</f>
        <v>1131759.4644420624</v>
      </c>
      <c r="AH26" s="130"/>
    </row>
    <row r="27" spans="18:34" ht="16.5" customHeight="1">
      <c r="R27" s="14" t="s">
        <v>107</v>
      </c>
      <c r="S27" s="129">
        <f>S26+U26*입력Tab!$D$15+주식가치평가!Y27+W26*입력Tab!$D$16</f>
        <v>75682.681827219334</v>
      </c>
      <c r="T27" s="130"/>
      <c r="U27" s="129">
        <f>U26+U26*입력Tab!$D$15</f>
        <v>18195.541205890579</v>
      </c>
      <c r="V27" s="130"/>
      <c r="W27" s="129">
        <f>W26+W26*입력Tab!$D$16</f>
        <v>1029.4834037615663</v>
      </c>
      <c r="X27" s="130"/>
      <c r="Y27" s="129">
        <f>Y26+Y26*입력Tab!$D$14</f>
        <v>3388.2646762398213</v>
      </c>
      <c r="Z27" s="130"/>
      <c r="AA27" s="131">
        <f t="shared" si="4"/>
        <v>74653.198423457769</v>
      </c>
      <c r="AB27" s="131"/>
      <c r="AC27" s="131">
        <f t="shared" si="5"/>
        <v>33229.521937918013</v>
      </c>
      <c r="AD27" s="131"/>
      <c r="AE27" s="131">
        <f t="shared" si="6"/>
        <v>59722.558738766216</v>
      </c>
      <c r="AF27" s="131"/>
      <c r="AG27" s="129">
        <f>AE27*1000000/입력Tab!$K$8</f>
        <v>1194451.1747753243</v>
      </c>
      <c r="AH27" s="130"/>
    </row>
    <row r="28" spans="18:34" ht="16.5" customHeight="1">
      <c r="R28" s="14" t="s">
        <v>108</v>
      </c>
      <c r="S28" s="129">
        <f>S27+U27*입력Tab!$D$15+주식가치평가!Y28+W27*입력Tab!$D$16</f>
        <v>79749.345182035919</v>
      </c>
      <c r="T28" s="130"/>
      <c r="U28" s="129">
        <f>U27+U27*입력Tab!$D$15</f>
        <v>18741.407442067295</v>
      </c>
      <c r="V28" s="130"/>
      <c r="W28" s="129">
        <f>W27+W27*입력Tab!$D$16</f>
        <v>1060.3679058744133</v>
      </c>
      <c r="X28" s="130"/>
      <c r="Y28" s="129">
        <f>Y27+Y27*입력Tab!$D$14</f>
        <v>3489.9126165270159</v>
      </c>
      <c r="Z28" s="130"/>
      <c r="AA28" s="131">
        <f t="shared" si="4"/>
        <v>78688.977276161502</v>
      </c>
      <c r="AB28" s="131"/>
      <c r="AC28" s="131">
        <f t="shared" si="5"/>
        <v>34226.407596055556</v>
      </c>
      <c r="AD28" s="131"/>
      <c r="AE28" s="131">
        <f t="shared" si="6"/>
        <v>62951.181820929203</v>
      </c>
      <c r="AF28" s="131"/>
      <c r="AG28" s="129">
        <f>AE28*1000000/입력Tab!$K$8</f>
        <v>1259023.636418584</v>
      </c>
      <c r="AH28" s="130"/>
    </row>
    <row r="29" spans="18:34" ht="16.5" customHeight="1">
      <c r="R29" s="14" t="s">
        <v>109</v>
      </c>
      <c r="S29" s="129">
        <f>S28+U28*입력Tab!$D$15+주식가치평가!Y29+W28*입력Tab!$D$16</f>
        <v>83938.008437496988</v>
      </c>
      <c r="T29" s="130"/>
      <c r="U29" s="129">
        <f>U28+U28*입력Tab!$D$15</f>
        <v>19303.649665329314</v>
      </c>
      <c r="V29" s="130"/>
      <c r="W29" s="129">
        <f>W28+W28*입력Tab!$D$16</f>
        <v>1092.1789430506458</v>
      </c>
      <c r="X29" s="130"/>
      <c r="Y29" s="129">
        <f>Y28+Y28*입력Tab!$D$14</f>
        <v>3594.6099950228263</v>
      </c>
      <c r="Z29" s="130"/>
      <c r="AA29" s="131">
        <f t="shared" si="4"/>
        <v>82845.829494446341</v>
      </c>
      <c r="AB29" s="131"/>
      <c r="AC29" s="131">
        <f t="shared" si="5"/>
        <v>35253.199823937211</v>
      </c>
      <c r="AD29" s="131"/>
      <c r="AE29" s="131">
        <f t="shared" si="6"/>
        <v>66276.663595557082</v>
      </c>
      <c r="AF29" s="131"/>
      <c r="AG29" s="129">
        <f>AE29*1000000/입력Tab!$K$8</f>
        <v>1325533.2719111417</v>
      </c>
      <c r="AH29" s="130"/>
    </row>
    <row r="30" spans="18:34" ht="16.5" customHeight="1">
      <c r="R30" s="14" t="s">
        <v>110</v>
      </c>
      <c r="S30" s="129">
        <f>S29+U29*입력Tab!$D$15+주식가치평가!Y30+W29*입력Tab!$D$16</f>
        <v>88252.331590621907</v>
      </c>
      <c r="T30" s="130"/>
      <c r="U30" s="129">
        <f>U29+U29*입력Tab!$D$15</f>
        <v>19882.759155289194</v>
      </c>
      <c r="V30" s="130"/>
      <c r="W30" s="129">
        <f>W29+W29*입력Tab!$D$16</f>
        <v>1124.9443113421651</v>
      </c>
      <c r="X30" s="130"/>
      <c r="Y30" s="129">
        <f>Y29+Y29*입력Tab!$D$14</f>
        <v>3702.4482948735113</v>
      </c>
      <c r="Z30" s="130"/>
      <c r="AA30" s="131">
        <f t="shared" si="4"/>
        <v>87127.387279279748</v>
      </c>
      <c r="AB30" s="131"/>
      <c r="AC30" s="131">
        <f t="shared" si="5"/>
        <v>36310.795818655337</v>
      </c>
      <c r="AD30" s="131"/>
      <c r="AE30" s="131">
        <f t="shared" si="6"/>
        <v>69701.909823423804</v>
      </c>
      <c r="AF30" s="131"/>
      <c r="AG30" s="129">
        <f>AE30*1000000/입력Tab!$K$8</f>
        <v>1394038.196468476</v>
      </c>
      <c r="AH30" s="130"/>
    </row>
    <row r="31" spans="18:34" ht="16.5" customHeight="1">
      <c r="R31" s="14" t="s">
        <v>111</v>
      </c>
      <c r="S31" s="129">
        <f>S30+U30*입력Tab!$D$15+주식가치평가!Y31+W30*입력Tab!$D$16</f>
        <v>92696.084438340564</v>
      </c>
      <c r="T31" s="130"/>
      <c r="U31" s="129">
        <f>U30+U30*입력Tab!$D$15</f>
        <v>20479.241929947868</v>
      </c>
      <c r="V31" s="130"/>
      <c r="W31" s="129">
        <f>W30+W30*입력Tab!$D$16</f>
        <v>1158.69264068243</v>
      </c>
      <c r="X31" s="130"/>
      <c r="Y31" s="129">
        <f>Y30+Y30*입력Tab!$D$14</f>
        <v>3813.5217437197166</v>
      </c>
      <c r="Z31" s="130"/>
      <c r="AA31" s="131">
        <f t="shared" si="4"/>
        <v>91537.391797658129</v>
      </c>
      <c r="AB31" s="131"/>
      <c r="AC31" s="131">
        <f t="shared" si="5"/>
        <v>37400.119693214998</v>
      </c>
      <c r="AD31" s="131"/>
      <c r="AE31" s="131">
        <f t="shared" si="6"/>
        <v>73229.913438126503</v>
      </c>
      <c r="AF31" s="131"/>
      <c r="AG31" s="129">
        <f>AE31*1000000/입력Tab!$K$8</f>
        <v>1464598.2687625303</v>
      </c>
      <c r="AH31" s="130"/>
    </row>
    <row r="32" spans="18:34" ht="16.5" customHeight="1">
      <c r="R32" s="14" t="s">
        <v>112</v>
      </c>
      <c r="S32" s="129">
        <f>S31+U31*입력Tab!$D$15+주식가치평가!Y32+W31*입력Tab!$D$16</f>
        <v>97273.149871490794</v>
      </c>
      <c r="T32" s="130"/>
      <c r="U32" s="129">
        <f>U31+U31*입력Tab!$D$15</f>
        <v>21093.619187846303</v>
      </c>
      <c r="V32" s="130"/>
      <c r="W32" s="129">
        <f>W31+W31*입력Tab!$D$16</f>
        <v>1193.4534199029029</v>
      </c>
      <c r="X32" s="130"/>
      <c r="Y32" s="129">
        <f>Y31+Y31*입력Tab!$D$14</f>
        <v>3927.927396031308</v>
      </c>
      <c r="Z32" s="130"/>
      <c r="AA32" s="131">
        <f t="shared" si="4"/>
        <v>96079.696451587894</v>
      </c>
      <c r="AB32" s="131"/>
      <c r="AC32" s="131">
        <f t="shared" si="5"/>
        <v>38522.123284011446</v>
      </c>
      <c r="AD32" s="131"/>
      <c r="AE32" s="131">
        <f t="shared" si="6"/>
        <v>76863.757161270318</v>
      </c>
      <c r="AF32" s="131"/>
      <c r="AG32" s="129">
        <f>AE32*1000000/입력Tab!$K$8</f>
        <v>1537275.1432254065</v>
      </c>
      <c r="AH32" s="130"/>
    </row>
    <row r="33" spans="1:34" ht="16.5" customHeight="1">
      <c r="R33" s="14" t="s">
        <v>113</v>
      </c>
      <c r="S33" s="129">
        <f>S32+U32*입력Tab!$D$15+주식가치평가!Y33+W32*입력Tab!$D$16</f>
        <v>101987.52726763552</v>
      </c>
      <c r="T33" s="130"/>
      <c r="U33" s="129">
        <f>U32+U32*입력Tab!$D$15</f>
        <v>21726.427763481694</v>
      </c>
      <c r="V33" s="130"/>
      <c r="W33" s="129">
        <f>W32+W32*입력Tab!$D$16</f>
        <v>1229.2570224999899</v>
      </c>
      <c r="X33" s="130"/>
      <c r="Y33" s="129">
        <f>Y32+Y32*입력Tab!$D$14</f>
        <v>4045.7652179122474</v>
      </c>
      <c r="Z33" s="130"/>
      <c r="AA33" s="131">
        <f t="shared" si="4"/>
        <v>100758.27024513553</v>
      </c>
      <c r="AB33" s="131"/>
      <c r="AC33" s="131">
        <f t="shared" si="5"/>
        <v>39677.78698253179</v>
      </c>
      <c r="AD33" s="131"/>
      <c r="AE33" s="131">
        <f t="shared" si="6"/>
        <v>80606.616196108429</v>
      </c>
      <c r="AF33" s="131"/>
      <c r="AG33" s="129">
        <f>AE33*1000000/입력Tab!$K$8</f>
        <v>1612132.3239221685</v>
      </c>
      <c r="AH33" s="130"/>
    </row>
    <row r="34" spans="1:34" ht="16.5" customHeight="1">
      <c r="R34" s="14" t="s">
        <v>114</v>
      </c>
      <c r="S34" s="129">
        <f>S33+U33*입력Tab!$D$15+주식가치평가!Y34+W33*입력Tab!$D$16</f>
        <v>106843.3359856646</v>
      </c>
      <c r="T34" s="130"/>
      <c r="U34" s="129">
        <f>U33+U33*입력Tab!$D$15</f>
        <v>22378.220596386145</v>
      </c>
      <c r="V34" s="130"/>
      <c r="W34" s="129">
        <f>W33+W33*입력Tab!$D$16</f>
        <v>1266.1347331749896</v>
      </c>
      <c r="X34" s="130"/>
      <c r="Y34" s="129">
        <f>Y33+Y33*입력Tab!$D$14</f>
        <v>4167.1381744496148</v>
      </c>
      <c r="Z34" s="130"/>
      <c r="AA34" s="131">
        <f t="shared" si="4"/>
        <v>105577.20125248961</v>
      </c>
      <c r="AB34" s="131"/>
      <c r="AC34" s="131">
        <f t="shared" si="5"/>
        <v>40868.120592007741</v>
      </c>
      <c r="AD34" s="131"/>
      <c r="AE34" s="131">
        <f t="shared" si="6"/>
        <v>84461.76100199169</v>
      </c>
      <c r="AF34" s="131"/>
      <c r="AG34" s="129">
        <f>AE34*1000000/입력Tab!$K$8</f>
        <v>1689235.2200398336</v>
      </c>
      <c r="AH34" s="130"/>
    </row>
    <row r="35" spans="1:34" ht="16.5" customHeight="1">
      <c r="A35" s="127" t="s">
        <v>83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R35" s="22" t="s">
        <v>115</v>
      </c>
      <c r="S35" s="129">
        <f>S34+U34*입력Tab!$D$15+주식가치평가!Y35+W34*입력Tab!$D$16</f>
        <v>111844.81896523453</v>
      </c>
      <c r="T35" s="130"/>
      <c r="U35" s="132">
        <f>U34+U34*입력Tab!$D$15</f>
        <v>23049.567214277729</v>
      </c>
      <c r="V35" s="133"/>
      <c r="W35" s="132">
        <f>W34+W34*입력Tab!$D$16</f>
        <v>1304.1187751702394</v>
      </c>
      <c r="X35" s="133"/>
      <c r="Y35" s="132">
        <f>Y34+Y34*입력Tab!$D$14</f>
        <v>4292.1523196831031</v>
      </c>
      <c r="Z35" s="133"/>
      <c r="AA35" s="134">
        <f t="shared" si="4"/>
        <v>110540.70019006429</v>
      </c>
      <c r="AB35" s="134"/>
      <c r="AC35" s="134">
        <f t="shared" si="5"/>
        <v>42094.164209767972</v>
      </c>
      <c r="AD35" s="134"/>
      <c r="AE35" s="134">
        <f t="shared" si="6"/>
        <v>88432.560152051446</v>
      </c>
      <c r="AF35" s="134"/>
      <c r="AG35" s="129">
        <f>AE35*1000000/입력Tab!$K$8</f>
        <v>1768651.2030410292</v>
      </c>
      <c r="AH35" s="130"/>
    </row>
  </sheetData>
  <mergeCells count="274">
    <mergeCell ref="AE3:AF3"/>
    <mergeCell ref="AG3:AH3"/>
    <mergeCell ref="S4:T4"/>
    <mergeCell ref="U4:V4"/>
    <mergeCell ref="W4:X4"/>
    <mergeCell ref="AA4:AB4"/>
    <mergeCell ref="AC4:AD4"/>
    <mergeCell ref="AE4:AF4"/>
    <mergeCell ref="AG4:AH4"/>
    <mergeCell ref="Y3:Z3"/>
    <mergeCell ref="Y4:Z4"/>
    <mergeCell ref="S3:T3"/>
    <mergeCell ref="U3:V3"/>
    <mergeCell ref="W3:X3"/>
    <mergeCell ref="AA3:AB3"/>
    <mergeCell ref="AC3:AD3"/>
    <mergeCell ref="AE16:AF16"/>
    <mergeCell ref="AG16:AH16"/>
    <mergeCell ref="S17:T17"/>
    <mergeCell ref="U17:V17"/>
    <mergeCell ref="W17:X17"/>
    <mergeCell ref="AA17:AB17"/>
    <mergeCell ref="AC17:AD17"/>
    <mergeCell ref="AE17:AF17"/>
    <mergeCell ref="AG17:AH17"/>
    <mergeCell ref="Y16:Z16"/>
    <mergeCell ref="Y17:Z17"/>
    <mergeCell ref="S16:T16"/>
    <mergeCell ref="U16:V16"/>
    <mergeCell ref="W16:X16"/>
    <mergeCell ref="AA16:AB16"/>
    <mergeCell ref="AC16:AD16"/>
    <mergeCell ref="AE14:AF14"/>
    <mergeCell ref="AG14:AH14"/>
    <mergeCell ref="S15:T15"/>
    <mergeCell ref="U15:V15"/>
    <mergeCell ref="W15:X15"/>
    <mergeCell ref="AA15:AB15"/>
    <mergeCell ref="AC15:AD15"/>
    <mergeCell ref="AE15:AF15"/>
    <mergeCell ref="AG15:AH15"/>
    <mergeCell ref="Y14:Z14"/>
    <mergeCell ref="Y15:Z15"/>
    <mergeCell ref="S14:T14"/>
    <mergeCell ref="U14:V14"/>
    <mergeCell ref="W14:X14"/>
    <mergeCell ref="AA14:AB14"/>
    <mergeCell ref="AC14:AD14"/>
    <mergeCell ref="AA12:AB12"/>
    <mergeCell ref="AC12:AD12"/>
    <mergeCell ref="AE12:AF12"/>
    <mergeCell ref="AG12:AH12"/>
    <mergeCell ref="S13:T13"/>
    <mergeCell ref="U13:V13"/>
    <mergeCell ref="W13:X13"/>
    <mergeCell ref="AA13:AB13"/>
    <mergeCell ref="AC13:AD13"/>
    <mergeCell ref="AE13:AF13"/>
    <mergeCell ref="AG13:AH13"/>
    <mergeCell ref="Y12:Z12"/>
    <mergeCell ref="Y13:Z13"/>
    <mergeCell ref="S12:T12"/>
    <mergeCell ref="U12:V12"/>
    <mergeCell ref="W12:X12"/>
    <mergeCell ref="AE10:AF10"/>
    <mergeCell ref="AG10:AH10"/>
    <mergeCell ref="S11:T11"/>
    <mergeCell ref="U11:V11"/>
    <mergeCell ref="W11:X11"/>
    <mergeCell ref="AA11:AB11"/>
    <mergeCell ref="AC11:AD11"/>
    <mergeCell ref="AE11:AF11"/>
    <mergeCell ref="AG11:AH11"/>
    <mergeCell ref="Y10:Z10"/>
    <mergeCell ref="Y11:Z11"/>
    <mergeCell ref="S10:T10"/>
    <mergeCell ref="U10:V10"/>
    <mergeCell ref="W10:X10"/>
    <mergeCell ref="AA10:AB10"/>
    <mergeCell ref="AC10:AD10"/>
    <mergeCell ref="U9:V9"/>
    <mergeCell ref="W9:X9"/>
    <mergeCell ref="AA9:AB9"/>
    <mergeCell ref="AC9:AD9"/>
    <mergeCell ref="AE9:AF9"/>
    <mergeCell ref="AG9:AH9"/>
    <mergeCell ref="S8:T8"/>
    <mergeCell ref="U8:V8"/>
    <mergeCell ref="W8:X8"/>
    <mergeCell ref="AA8:AB8"/>
    <mergeCell ref="AC8:AD8"/>
    <mergeCell ref="Y8:Z8"/>
    <mergeCell ref="Y9:Z9"/>
    <mergeCell ref="AE8:AF8"/>
    <mergeCell ref="AG8:AH8"/>
    <mergeCell ref="S9:T9"/>
    <mergeCell ref="AG6:AH6"/>
    <mergeCell ref="S7:T7"/>
    <mergeCell ref="U7:V7"/>
    <mergeCell ref="W7:X7"/>
    <mergeCell ref="AA7:AB7"/>
    <mergeCell ref="AC7:AD7"/>
    <mergeCell ref="AE7:AF7"/>
    <mergeCell ref="AG7:AH7"/>
    <mergeCell ref="S5:T5"/>
    <mergeCell ref="U5:V5"/>
    <mergeCell ref="W5:X5"/>
    <mergeCell ref="AA5:AB5"/>
    <mergeCell ref="AC5:AD5"/>
    <mergeCell ref="AE5:AF5"/>
    <mergeCell ref="AG5:AH5"/>
    <mergeCell ref="S6:T6"/>
    <mergeCell ref="U6:V6"/>
    <mergeCell ref="W6:X6"/>
    <mergeCell ref="AA6:AB6"/>
    <mergeCell ref="AC6:AD6"/>
    <mergeCell ref="AE6:AF6"/>
    <mergeCell ref="Y5:Z5"/>
    <mergeCell ref="Y6:Z6"/>
    <mergeCell ref="Y7:Z7"/>
    <mergeCell ref="A2:P2"/>
    <mergeCell ref="S2:T2"/>
    <mergeCell ref="U2:V2"/>
    <mergeCell ref="W2:X2"/>
    <mergeCell ref="AA2:AB2"/>
    <mergeCell ref="AC2:AD2"/>
    <mergeCell ref="AE2:AF2"/>
    <mergeCell ref="AG2:AH2"/>
    <mergeCell ref="Y2:Z2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5:P35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S35:T35"/>
    <mergeCell ref="U35:V35"/>
    <mergeCell ref="W35:X35"/>
    <mergeCell ref="Y35:Z35"/>
    <mergeCell ref="AA35:AB35"/>
    <mergeCell ref="AC35:AD35"/>
    <mergeCell ref="AE35:AF35"/>
    <mergeCell ref="AG35:AH35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0" orientation="landscape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P35"/>
  <sheetViews>
    <sheetView view="pageBreakPreview" zoomScale="80" zoomScaleNormal="100" zoomScaleSheetLayoutView="80" workbookViewId="0">
      <selection activeCell="S23" sqref="S23"/>
    </sheetView>
  </sheetViews>
  <sheetFormatPr defaultColWidth="9" defaultRowHeight="17.45"/>
  <cols>
    <col min="1" max="15" width="9" style="1"/>
    <col min="16" max="16" width="6.875" style="1" customWidth="1"/>
    <col min="17" max="16384" width="9" style="1"/>
  </cols>
  <sheetData>
    <row r="2" spans="1:16" ht="24">
      <c r="A2" s="126" t="s">
        <v>116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5" spans="1:16" ht="16.5" customHeight="1">
      <c r="E5" s="9"/>
      <c r="F5" s="9"/>
      <c r="G5" s="9"/>
      <c r="H5" s="9"/>
      <c r="I5" s="9"/>
      <c r="J5" s="9"/>
      <c r="K5" s="9"/>
    </row>
    <row r="6" spans="1:16" ht="16.5" customHeight="1">
      <c r="E6" s="9"/>
      <c r="F6" s="9"/>
      <c r="G6" s="9"/>
      <c r="H6" s="9"/>
      <c r="I6" s="9"/>
      <c r="J6" s="9"/>
      <c r="K6" s="9"/>
    </row>
    <row r="35" spans="1:16" ht="21.75" customHeight="1">
      <c r="A35" s="127" t="s">
        <v>83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</row>
  </sheetData>
  <mergeCells count="2">
    <mergeCell ref="A2:P2"/>
    <mergeCell ref="A35:P35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1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35"/>
  <sheetViews>
    <sheetView tabSelected="1" view="pageBreakPreview" topLeftCell="I10" zoomScale="70" zoomScaleNormal="85" zoomScaleSheetLayoutView="70" workbookViewId="0">
      <selection activeCell="U17" sqref="U17"/>
    </sheetView>
  </sheetViews>
  <sheetFormatPr defaultColWidth="9" defaultRowHeight="17.45"/>
  <cols>
    <col min="1" max="1" width="7" style="1" customWidth="1"/>
    <col min="2" max="5" width="9" style="1" customWidth="1"/>
    <col min="6" max="7" width="11" style="1" customWidth="1"/>
    <col min="8" max="9" width="9" style="1"/>
    <col min="10" max="12" width="9" style="1" customWidth="1"/>
    <col min="13" max="14" width="9" style="1"/>
    <col min="15" max="15" width="7" style="1" customWidth="1"/>
    <col min="16" max="16" width="9" style="1"/>
    <col min="17" max="17" width="9" style="10"/>
    <col min="18" max="19" width="13" style="10" bestFit="1" customWidth="1"/>
    <col min="20" max="20" width="9.75" style="10" bestFit="1" customWidth="1"/>
    <col min="21" max="22" width="9" style="10"/>
    <col min="23" max="23" width="9.75" style="10" bestFit="1" customWidth="1"/>
    <col min="24" max="24" width="9" style="10"/>
    <col min="25" max="16384" width="9" style="1"/>
  </cols>
  <sheetData>
    <row r="1" spans="1:26" ht="16.5" customHeight="1">
      <c r="Q1" s="106"/>
      <c r="R1" s="106"/>
      <c r="S1" s="106"/>
      <c r="T1" s="106"/>
      <c r="U1" s="106"/>
      <c r="V1" s="106"/>
      <c r="W1" s="106"/>
      <c r="X1" s="106"/>
    </row>
    <row r="2" spans="1:26" ht="23.25" customHeight="1">
      <c r="A2" s="126" t="s">
        <v>117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106"/>
      <c r="R2" s="106"/>
      <c r="S2" s="106"/>
      <c r="T2" s="106"/>
      <c r="U2" s="106"/>
      <c r="V2" s="106"/>
      <c r="W2" s="106"/>
      <c r="X2" s="106"/>
    </row>
    <row r="3" spans="1:26" ht="16.5" customHeight="1">
      <c r="Q3" s="106"/>
      <c r="R3" s="106"/>
      <c r="S3" s="106"/>
      <c r="T3" s="106"/>
      <c r="U3" s="106"/>
      <c r="V3" s="106"/>
      <c r="W3" s="106"/>
      <c r="X3" s="106"/>
    </row>
    <row r="4" spans="1:26" ht="16.5" customHeight="1">
      <c r="B4" s="9"/>
      <c r="Q4" s="106"/>
      <c r="R4" s="106" t="s">
        <v>45</v>
      </c>
      <c r="S4" s="51">
        <f>입력Tab!B10</f>
        <v>0.20899999999999999</v>
      </c>
      <c r="T4" s="106"/>
      <c r="U4" s="106"/>
      <c r="V4" s="106"/>
      <c r="W4" s="106"/>
      <c r="X4" s="106"/>
    </row>
    <row r="5" spans="1:26" ht="16.5" customHeight="1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Q5" s="106"/>
      <c r="R5" s="106" t="s">
        <v>118</v>
      </c>
      <c r="S5" s="50">
        <f>입력Tab!H8/입력Tab!G8</f>
        <v>0.66362097358540284</v>
      </c>
      <c r="T5" s="106"/>
      <c r="U5" s="106"/>
      <c r="V5" s="106"/>
      <c r="W5" s="106"/>
      <c r="X5" s="106"/>
    </row>
    <row r="6" spans="1:26" ht="16.5" customHeight="1">
      <c r="B6" s="41"/>
      <c r="C6" s="41"/>
      <c r="D6" s="41"/>
      <c r="E6" s="17"/>
      <c r="F6" s="17"/>
      <c r="G6" s="42"/>
      <c r="H6" s="42"/>
      <c r="I6" s="43"/>
      <c r="J6" s="43"/>
      <c r="K6" s="44"/>
      <c r="L6" s="44"/>
      <c r="M6" s="45"/>
      <c r="N6" s="45"/>
      <c r="Q6" s="106"/>
      <c r="R6" s="106"/>
      <c r="S6" s="106"/>
      <c r="T6" s="106"/>
      <c r="U6" s="106"/>
      <c r="V6" s="106"/>
      <c r="W6" s="106"/>
      <c r="X6" s="106"/>
    </row>
    <row r="7" spans="1:26" ht="16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Q7" s="102"/>
      <c r="R7" s="102" t="s">
        <v>9</v>
      </c>
      <c r="S7" s="103"/>
      <c r="T7" s="106"/>
      <c r="U7" s="106"/>
      <c r="V7" s="106"/>
      <c r="W7" s="106"/>
      <c r="X7" s="106"/>
      <c r="Z7" s="47"/>
    </row>
    <row r="8" spans="1:26" ht="16.5" customHeight="1">
      <c r="A8" s="17"/>
      <c r="B8" s="19"/>
      <c r="C8" s="106"/>
      <c r="D8" s="106"/>
      <c r="E8" s="106"/>
      <c r="F8" s="106"/>
      <c r="G8" s="106"/>
      <c r="H8" s="106"/>
      <c r="I8" s="106"/>
      <c r="J8" s="106"/>
      <c r="Q8" s="102"/>
      <c r="R8" s="102" t="s">
        <v>119</v>
      </c>
      <c r="S8" s="103" t="s">
        <v>120</v>
      </c>
      <c r="T8" s="106" t="s">
        <v>121</v>
      </c>
      <c r="U8" s="106"/>
      <c r="V8" s="106"/>
      <c r="W8" s="106"/>
      <c r="X8" s="106"/>
      <c r="Z8" s="47"/>
    </row>
    <row r="9" spans="1:26" ht="16.5" customHeight="1">
      <c r="A9" s="17"/>
      <c r="F9" s="106"/>
      <c r="G9" s="106"/>
      <c r="M9" s="17"/>
      <c r="N9" s="17"/>
      <c r="Q9" s="66" t="s">
        <v>122</v>
      </c>
      <c r="R9" s="80">
        <f>주식가치평가!Y4</f>
        <v>1244</v>
      </c>
      <c r="S9" s="81">
        <f>R9-입력Tab!$Q$5/1000000*12</f>
        <v>1004</v>
      </c>
      <c r="T9" s="55">
        <f>S9-R9</f>
        <v>-240</v>
      </c>
      <c r="U9" s="106"/>
      <c r="V9" s="106"/>
      <c r="W9" s="106"/>
      <c r="X9" s="106"/>
      <c r="Z9" s="47"/>
    </row>
    <row r="10" spans="1:26" ht="16.5" customHeight="1">
      <c r="A10" s="17"/>
      <c r="F10" s="106"/>
      <c r="G10" s="106"/>
      <c r="J10" s="102"/>
      <c r="K10" s="102"/>
      <c r="L10" s="102"/>
      <c r="M10" s="17"/>
      <c r="N10" s="17"/>
      <c r="Q10" s="66" t="s">
        <v>123</v>
      </c>
      <c r="R10" s="80">
        <f>주식가치평가!Y5</f>
        <v>1920</v>
      </c>
      <c r="S10" s="81">
        <f>R10-입력Tab!$Q$5/1000000*12</f>
        <v>1680</v>
      </c>
      <c r="T10" s="52">
        <f t="shared" ref="T10:T11" si="0">S10-R10</f>
        <v>-240</v>
      </c>
      <c r="U10" s="106"/>
      <c r="V10" s="106"/>
      <c r="W10" s="106"/>
      <c r="X10" s="106"/>
      <c r="Z10" s="49"/>
    </row>
    <row r="11" spans="1:26" ht="16.5" customHeight="1">
      <c r="A11" s="17"/>
      <c r="B11" s="17"/>
      <c r="C11" s="17"/>
      <c r="D11" s="46"/>
      <c r="E11" s="46"/>
      <c r="F11" s="105"/>
      <c r="G11" s="35"/>
      <c r="H11" s="47"/>
      <c r="I11" s="47"/>
      <c r="J11" s="36"/>
      <c r="K11" s="101"/>
      <c r="L11" s="101"/>
      <c r="M11" s="48"/>
      <c r="N11" s="48"/>
      <c r="Q11" s="67" t="s">
        <v>124</v>
      </c>
      <c r="R11" s="80">
        <f>주식가치평가!Y6</f>
        <v>1876</v>
      </c>
      <c r="S11" s="81">
        <f>R11-입력Tab!$Q$5/1000000*12</f>
        <v>1636</v>
      </c>
      <c r="T11" s="52">
        <f t="shared" si="0"/>
        <v>-240</v>
      </c>
      <c r="U11" s="106"/>
      <c r="V11" s="106"/>
      <c r="W11" s="106"/>
      <c r="X11" s="106"/>
    </row>
    <row r="12" spans="1:26" ht="16.5" customHeight="1">
      <c r="A12" s="17"/>
      <c r="B12" s="17"/>
      <c r="C12" s="17"/>
      <c r="D12" s="46"/>
      <c r="E12" s="46"/>
      <c r="F12" s="105"/>
      <c r="G12" s="35"/>
      <c r="H12" s="47"/>
      <c r="I12" s="47"/>
      <c r="J12" s="36"/>
      <c r="K12" s="101"/>
      <c r="L12" s="101"/>
      <c r="M12" s="48"/>
      <c r="N12" s="48"/>
      <c r="Q12" s="67" t="s">
        <v>121</v>
      </c>
      <c r="R12" s="106"/>
      <c r="S12" s="106"/>
      <c r="T12" s="106"/>
      <c r="U12" s="106"/>
      <c r="V12" s="106"/>
      <c r="W12" s="106"/>
      <c r="X12" s="106"/>
    </row>
    <row r="13" spans="1:26" ht="16.5" customHeight="1">
      <c r="B13" s="17"/>
      <c r="C13" s="17"/>
      <c r="D13" s="46"/>
      <c r="E13" s="46"/>
      <c r="F13" s="105"/>
      <c r="G13" s="35"/>
      <c r="H13" s="47"/>
      <c r="I13" s="47"/>
      <c r="J13" s="36"/>
      <c r="K13" s="101"/>
      <c r="L13" s="101"/>
      <c r="M13" s="48"/>
      <c r="N13" s="48"/>
      <c r="Q13" s="106"/>
      <c r="R13" s="106"/>
      <c r="S13" s="106"/>
      <c r="T13" s="106"/>
      <c r="U13" s="106"/>
      <c r="V13" s="106"/>
      <c r="W13" s="106"/>
      <c r="X13" s="106"/>
    </row>
    <row r="14" spans="1:26" ht="16.5" customHeight="1">
      <c r="B14" s="17"/>
      <c r="C14" s="17"/>
      <c r="D14" s="46"/>
      <c r="E14" s="46"/>
      <c r="F14" s="105"/>
      <c r="G14" s="35"/>
      <c r="H14" s="47"/>
      <c r="I14" s="47"/>
      <c r="J14" s="36"/>
      <c r="K14" s="101"/>
      <c r="L14" s="101"/>
      <c r="M14" s="48"/>
      <c r="N14" s="48"/>
      <c r="Q14" s="106"/>
      <c r="R14" s="103" t="s">
        <v>125</v>
      </c>
      <c r="S14" s="103"/>
      <c r="T14" s="106"/>
      <c r="U14" s="106"/>
      <c r="V14" s="106"/>
      <c r="W14" s="106"/>
      <c r="X14" s="106"/>
    </row>
    <row r="15" spans="1:26" ht="16.5" customHeight="1">
      <c r="B15" s="17"/>
      <c r="C15" s="17"/>
      <c r="D15" s="46"/>
      <c r="E15" s="46"/>
      <c r="F15" s="105"/>
      <c r="G15" s="35"/>
      <c r="H15" s="47"/>
      <c r="I15" s="47"/>
      <c r="J15" s="36"/>
      <c r="K15" s="101"/>
      <c r="L15" s="101"/>
      <c r="M15" s="48"/>
      <c r="N15" s="48"/>
      <c r="Q15" s="106"/>
      <c r="R15" s="102" t="s">
        <v>119</v>
      </c>
      <c r="S15" s="103" t="s">
        <v>120</v>
      </c>
      <c r="T15" s="106"/>
      <c r="U15" s="106"/>
      <c r="V15" s="106"/>
      <c r="W15" s="106"/>
      <c r="X15" s="106"/>
    </row>
    <row r="16" spans="1:26" ht="16.5" customHeight="1">
      <c r="B16" s="17"/>
      <c r="C16" s="17"/>
      <c r="D16" s="46"/>
      <c r="E16" s="46"/>
      <c r="F16" s="105"/>
      <c r="G16" s="35"/>
      <c r="H16" s="47"/>
      <c r="I16" s="47"/>
      <c r="J16" s="36"/>
      <c r="K16" s="101"/>
      <c r="L16" s="101"/>
      <c r="M16" s="48"/>
      <c r="N16" s="48"/>
      <c r="Q16" s="102" t="s">
        <v>126</v>
      </c>
      <c r="R16" s="106"/>
      <c r="S16" s="106"/>
      <c r="T16" s="106"/>
      <c r="U16" s="106"/>
      <c r="V16" s="106"/>
      <c r="W16" s="106"/>
      <c r="X16" s="106"/>
    </row>
    <row r="17" spans="2:19" ht="16.5" customHeight="1">
      <c r="B17" s="17"/>
      <c r="C17" s="17"/>
      <c r="D17" s="46"/>
      <c r="E17" s="46"/>
      <c r="F17" s="105"/>
      <c r="G17" s="35"/>
      <c r="H17" s="47"/>
      <c r="I17" s="47"/>
      <c r="J17" s="36"/>
      <c r="K17" s="101"/>
      <c r="L17" s="101"/>
      <c r="M17" s="48"/>
      <c r="N17" s="48"/>
      <c r="Q17" s="102" t="s">
        <v>24</v>
      </c>
      <c r="R17" s="102" t="s">
        <v>119</v>
      </c>
      <c r="S17" s="103" t="s">
        <v>120</v>
      </c>
    </row>
    <row r="18" spans="2:19" ht="16.5" customHeight="1">
      <c r="B18" s="17"/>
      <c r="C18" s="17"/>
      <c r="D18" s="46"/>
      <c r="E18" s="46"/>
      <c r="F18" s="105"/>
      <c r="G18" s="35"/>
      <c r="H18" s="47"/>
      <c r="I18" s="47"/>
      <c r="J18" s="36"/>
      <c r="K18" s="101"/>
      <c r="L18" s="101"/>
      <c r="M18" s="48"/>
      <c r="N18" s="48"/>
      <c r="Q18" s="106" t="s">
        <v>127</v>
      </c>
      <c r="R18" s="82">
        <f>(R9*1+R10*2+R11*3)/6/0.1</f>
        <v>17853.333333333332</v>
      </c>
      <c r="S18" s="82">
        <f>(S9*1+S10*2+S11*3)/6/0.1</f>
        <v>15453.333333333332</v>
      </c>
    </row>
    <row r="19" spans="2:19" ht="16.5" customHeight="1">
      <c r="B19" s="17"/>
      <c r="C19" s="17"/>
      <c r="D19" s="46"/>
      <c r="E19" s="46"/>
      <c r="F19" s="105"/>
      <c r="G19" s="35"/>
      <c r="H19" s="47"/>
      <c r="I19" s="47"/>
      <c r="J19" s="36"/>
      <c r="K19" s="101"/>
      <c r="L19" s="101"/>
      <c r="M19" s="48"/>
      <c r="N19" s="48"/>
      <c r="Q19" s="106" t="s">
        <v>121</v>
      </c>
      <c r="R19" s="81"/>
      <c r="S19" s="83">
        <f>S18-R18</f>
        <v>-2400</v>
      </c>
    </row>
    <row r="20" spans="2:19" ht="16.5" customHeight="1">
      <c r="B20" s="17"/>
      <c r="C20" s="17"/>
      <c r="D20" s="46"/>
      <c r="E20" s="46"/>
      <c r="F20" s="105"/>
      <c r="G20" s="35"/>
      <c r="H20" s="47"/>
      <c r="I20" s="47"/>
      <c r="J20" s="36"/>
      <c r="K20" s="101"/>
      <c r="L20" s="101"/>
      <c r="M20" s="48"/>
      <c r="N20" s="48"/>
      <c r="Q20" s="106"/>
      <c r="R20" s="106"/>
      <c r="S20" s="106"/>
    </row>
    <row r="21" spans="2:19" ht="16.5" customHeight="1">
      <c r="B21" s="17"/>
      <c r="C21" s="17"/>
      <c r="D21" s="46"/>
      <c r="E21" s="46"/>
      <c r="F21" s="105"/>
      <c r="G21" s="35"/>
      <c r="H21" s="47"/>
      <c r="I21" s="47"/>
      <c r="J21" s="36"/>
      <c r="K21" s="101"/>
      <c r="L21" s="101"/>
      <c r="M21" s="48"/>
      <c r="N21" s="48"/>
      <c r="Q21" s="106"/>
      <c r="R21" s="103" t="s">
        <v>128</v>
      </c>
      <c r="S21" s="105"/>
    </row>
    <row r="22" spans="2:19" ht="16.5" customHeight="1">
      <c r="B22" s="17"/>
      <c r="C22" s="17"/>
      <c r="D22" s="46"/>
      <c r="E22" s="46"/>
      <c r="F22" s="105"/>
      <c r="G22" s="35"/>
      <c r="H22" s="47"/>
      <c r="I22" s="47"/>
      <c r="J22" s="36"/>
      <c r="K22" s="101"/>
      <c r="L22" s="101"/>
      <c r="M22" s="48"/>
      <c r="N22" s="48"/>
      <c r="Q22" s="106"/>
      <c r="R22" s="102" t="s">
        <v>119</v>
      </c>
      <c r="S22" s="103" t="s">
        <v>120</v>
      </c>
    </row>
    <row r="23" spans="2:19" ht="16.5" customHeight="1">
      <c r="B23" s="17"/>
      <c r="C23" s="17"/>
      <c r="D23" s="46"/>
      <c r="E23" s="46"/>
      <c r="F23" s="105"/>
      <c r="G23" s="35"/>
      <c r="H23" s="47"/>
      <c r="I23" s="47"/>
      <c r="J23" s="36"/>
      <c r="K23" s="101"/>
      <c r="L23" s="101"/>
      <c r="M23" s="48"/>
      <c r="N23" s="48"/>
      <c r="Q23" s="102" t="s">
        <v>126</v>
      </c>
      <c r="R23" s="81">
        <f>주식가치평가!AA4</f>
        <v>9751</v>
      </c>
      <c r="S23" s="80"/>
    </row>
    <row r="24" spans="2:19" ht="16.5" customHeight="1">
      <c r="B24" s="17"/>
      <c r="C24" s="17"/>
      <c r="D24" s="46"/>
      <c r="E24" s="46"/>
      <c r="F24" s="105"/>
      <c r="G24" s="35"/>
      <c r="H24" s="47"/>
      <c r="I24" s="47"/>
      <c r="J24" s="36"/>
      <c r="K24" s="101"/>
      <c r="L24" s="101"/>
      <c r="M24" s="48"/>
      <c r="N24" s="48"/>
      <c r="Q24" s="102" t="s">
        <v>24</v>
      </c>
      <c r="R24" s="81">
        <f>주식가치평가!AA5</f>
        <v>11671</v>
      </c>
      <c r="S24" s="81"/>
    </row>
    <row r="25" spans="2:19" ht="16.5" customHeight="1">
      <c r="J25" s="36"/>
      <c r="K25" s="101"/>
      <c r="L25" s="101"/>
      <c r="M25" s="150"/>
      <c r="N25" s="150"/>
      <c r="Q25" s="106"/>
      <c r="R25" s="80" t="s">
        <v>119</v>
      </c>
      <c r="S25" s="81" t="s">
        <v>120</v>
      </c>
    </row>
    <row r="26" spans="2:19" ht="16.5" customHeight="1">
      <c r="J26" s="36"/>
      <c r="K26" s="101"/>
      <c r="L26" s="101"/>
      <c r="M26" s="150"/>
      <c r="N26" s="150"/>
      <c r="Q26" s="106" t="s">
        <v>127</v>
      </c>
      <c r="R26" s="81">
        <f>주식가치평가!AA6</f>
        <v>13547</v>
      </c>
      <c r="S26" s="81">
        <f>R26-입력Tab!Q5/1000000*12*3</f>
        <v>12827</v>
      </c>
    </row>
    <row r="27" spans="2:19" ht="16.5" customHeight="1">
      <c r="J27" s="36"/>
      <c r="K27" s="101"/>
      <c r="L27" s="101"/>
      <c r="M27" s="150"/>
      <c r="N27" s="150"/>
      <c r="Q27" s="106" t="s">
        <v>121</v>
      </c>
      <c r="R27" s="81"/>
      <c r="S27" s="84">
        <f>R26-S26</f>
        <v>720</v>
      </c>
    </row>
    <row r="28" spans="2:19" ht="16.5" customHeight="1">
      <c r="J28" s="36"/>
      <c r="K28" s="101"/>
      <c r="L28" s="101"/>
      <c r="M28" s="150"/>
      <c r="N28" s="150"/>
      <c r="Q28" s="106"/>
      <c r="R28" s="106"/>
      <c r="S28" s="106"/>
    </row>
    <row r="29" spans="2:19" ht="16.5" customHeight="1">
      <c r="B29" s="146"/>
      <c r="C29" s="146"/>
      <c r="D29" s="147"/>
      <c r="E29" s="147"/>
      <c r="F29" s="105"/>
      <c r="G29" s="35"/>
      <c r="H29" s="149"/>
      <c r="I29" s="149"/>
      <c r="J29" s="36"/>
      <c r="K29" s="101"/>
      <c r="L29" s="101"/>
      <c r="M29" s="150"/>
      <c r="N29" s="150"/>
      <c r="Q29" s="106"/>
      <c r="R29" s="105" t="s">
        <v>129</v>
      </c>
      <c r="S29" s="47"/>
    </row>
    <row r="30" spans="2:19" ht="16.5" customHeight="1">
      <c r="B30" s="146"/>
      <c r="C30" s="146"/>
      <c r="D30" s="147"/>
      <c r="E30" s="147"/>
      <c r="F30" s="105"/>
      <c r="G30" s="35"/>
      <c r="H30" s="149"/>
      <c r="I30" s="149"/>
      <c r="J30" s="36"/>
      <c r="K30" s="101"/>
      <c r="L30" s="101"/>
      <c r="M30" s="150"/>
      <c r="N30" s="150"/>
      <c r="Q30" s="106"/>
      <c r="R30" s="102" t="s">
        <v>119</v>
      </c>
      <c r="S30" s="103" t="s">
        <v>120</v>
      </c>
    </row>
    <row r="31" spans="2:19" ht="16.5" customHeight="1">
      <c r="B31" s="146"/>
      <c r="C31" s="146"/>
      <c r="D31" s="147"/>
      <c r="E31" s="147"/>
      <c r="F31" s="148"/>
      <c r="G31" s="148"/>
      <c r="H31" s="149"/>
      <c r="I31" s="149"/>
      <c r="J31" s="36"/>
      <c r="M31" s="146"/>
      <c r="N31" s="146"/>
      <c r="Q31" s="102" t="s">
        <v>126</v>
      </c>
      <c r="R31" s="105"/>
      <c r="S31" s="47"/>
    </row>
    <row r="32" spans="2:19" ht="16.5" customHeight="1">
      <c r="Q32" s="102" t="s">
        <v>24</v>
      </c>
      <c r="R32" s="102" t="s">
        <v>119</v>
      </c>
      <c r="S32" s="103" t="s">
        <v>120</v>
      </c>
    </row>
    <row r="33" spans="1:20" ht="16.5" customHeight="1">
      <c r="Q33" s="106" t="s">
        <v>127</v>
      </c>
      <c r="R33" s="85">
        <f>IF($S$5&gt;=80%,R26,IF($S$5&gt;=50%,MAX(R26*0.8,(R18*2+R26*3)/5),MAX(R26*0.8,(R18*3+R26*2)/5)))</f>
        <v>15269.533333333331</v>
      </c>
      <c r="S33" s="85">
        <f>IF($S$5&gt;=80%,S26,IF($S$5&gt;=50%,MAX(S26*0.8,(S18*2+S26*3)/5),MAX(S26*0.8,(S18*3+S26*2)/5)))</f>
        <v>13877.533333333331</v>
      </c>
      <c r="T33" s="81" t="s">
        <v>130</v>
      </c>
    </row>
    <row r="34" spans="1:20" ht="16.5" customHeight="1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Q34" s="106" t="s">
        <v>121</v>
      </c>
      <c r="R34" s="81"/>
      <c r="S34" s="84">
        <f>R33-S33</f>
        <v>1392</v>
      </c>
      <c r="T34" s="86">
        <f>S34*입력Tab!B11</f>
        <v>696</v>
      </c>
    </row>
    <row r="35" spans="1:20" ht="16.5" customHeight="1">
      <c r="Q35" s="106"/>
      <c r="R35" s="106"/>
      <c r="S35" s="106"/>
      <c r="T35" s="106"/>
    </row>
  </sheetData>
  <sheetProtection password="FB4B" sheet="1" objects="1" scenarios="1"/>
  <mergeCells count="19">
    <mergeCell ref="M28:N28"/>
    <mergeCell ref="M27:N27"/>
    <mergeCell ref="M26:N26"/>
    <mergeCell ref="M25:N25"/>
    <mergeCell ref="A2:O2"/>
    <mergeCell ref="B30:C30"/>
    <mergeCell ref="D30:E30"/>
    <mergeCell ref="H30:I30"/>
    <mergeCell ref="M30:N30"/>
    <mergeCell ref="B29:C29"/>
    <mergeCell ref="D29:E29"/>
    <mergeCell ref="H29:I29"/>
    <mergeCell ref="M29:N29"/>
    <mergeCell ref="A34:O34"/>
    <mergeCell ref="B31:C31"/>
    <mergeCell ref="D31:E31"/>
    <mergeCell ref="F31:G31"/>
    <mergeCell ref="H31:I31"/>
    <mergeCell ref="M31:N31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6" orientation="landscape" verticalDpi="0" r:id="rId1"/>
  <colBreaks count="1" manualBreakCount="1">
    <brk id="15" max="34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5"/>
  <sheetViews>
    <sheetView view="pageBreakPreview" zoomScale="70" zoomScaleNormal="100" zoomScaleSheetLayoutView="70" workbookViewId="0">
      <selection activeCell="R21" sqref="R21"/>
    </sheetView>
  </sheetViews>
  <sheetFormatPr defaultColWidth="9" defaultRowHeight="17.45"/>
  <cols>
    <col min="1" max="1" width="7" style="1" customWidth="1"/>
    <col min="2" max="5" width="9" style="1" customWidth="1"/>
    <col min="6" max="7" width="11" style="1" customWidth="1"/>
    <col min="8" max="9" width="9" style="1"/>
    <col min="10" max="12" width="9" style="1" customWidth="1"/>
    <col min="13" max="14" width="9" style="1"/>
    <col min="15" max="15" width="7" style="1" customWidth="1"/>
    <col min="16" max="20" width="9" style="1"/>
    <col min="21" max="21" width="8.75" customWidth="1"/>
    <col min="22" max="16384" width="9" style="1"/>
  </cols>
  <sheetData>
    <row r="1" spans="1:21" ht="16.5" customHeight="1">
      <c r="R1" s="1" t="s">
        <v>131</v>
      </c>
      <c r="S1" s="1" t="s">
        <v>39</v>
      </c>
      <c r="T1" s="1" t="s">
        <v>45</v>
      </c>
      <c r="U1" s="1" t="s">
        <v>132</v>
      </c>
    </row>
    <row r="2" spans="1:21" ht="23.25" customHeight="1">
      <c r="A2" s="40"/>
      <c r="B2" s="9"/>
      <c r="O2" s="40"/>
      <c r="Q2" s="1" t="s">
        <v>43</v>
      </c>
      <c r="R2" s="53">
        <f t="shared" ref="R2:R17" si="0">S2+T2</f>
        <v>0.214</v>
      </c>
      <c r="S2" s="53">
        <f>입력Tab!P9</f>
        <v>5.0000000000000001E-3</v>
      </c>
      <c r="T2" s="53">
        <f>입력Tab!$B$10</f>
        <v>0.20899999999999999</v>
      </c>
      <c r="U2" s="56">
        <f>입력Tab!Q9</f>
        <v>3</v>
      </c>
    </row>
    <row r="3" spans="1:21" ht="16.5" customHeight="1"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Q3" s="1" t="s">
        <v>47</v>
      </c>
      <c r="R3" s="53">
        <f t="shared" si="0"/>
        <v>0.35899999999999999</v>
      </c>
      <c r="S3" s="53">
        <f>입력Tab!P10</f>
        <v>0.15</v>
      </c>
      <c r="T3" s="53">
        <f>입력Tab!$B$10</f>
        <v>0.20899999999999999</v>
      </c>
      <c r="U3" s="56">
        <f>입력Tab!Q10</f>
        <v>3</v>
      </c>
    </row>
    <row r="4" spans="1:21" ht="16.5" customHeight="1">
      <c r="B4" s="153"/>
      <c r="C4" s="153"/>
      <c r="D4" s="153"/>
      <c r="E4" s="146"/>
      <c r="F4" s="146"/>
      <c r="G4" s="154"/>
      <c r="H4" s="154"/>
      <c r="I4" s="148"/>
      <c r="J4" s="148"/>
      <c r="K4" s="155"/>
      <c r="L4" s="155"/>
      <c r="M4" s="156"/>
      <c r="N4" s="156"/>
      <c r="Q4" s="1" t="s">
        <v>50</v>
      </c>
      <c r="R4" s="53">
        <f t="shared" si="0"/>
        <v>0.45899999999999996</v>
      </c>
      <c r="S4" s="53">
        <f>입력Tab!P11</f>
        <v>0.25</v>
      </c>
      <c r="T4" s="53">
        <f>입력Tab!$B$10</f>
        <v>0.20899999999999999</v>
      </c>
      <c r="U4" s="56">
        <f>입력Tab!Q11</f>
        <v>3</v>
      </c>
    </row>
    <row r="5" spans="1:21" ht="16.5" customHeight="1">
      <c r="Q5" s="1" t="s">
        <v>52</v>
      </c>
      <c r="R5" s="53">
        <f t="shared" si="0"/>
        <v>0.55899999999999994</v>
      </c>
      <c r="S5" s="53">
        <f>입력Tab!P12</f>
        <v>0.35</v>
      </c>
      <c r="T5" s="53">
        <f>입력Tab!$B$10</f>
        <v>0.20899999999999999</v>
      </c>
      <c r="U5" s="56">
        <f>입력Tab!Q12</f>
        <v>3</v>
      </c>
    </row>
    <row r="6" spans="1:21" ht="16.5" customHeight="1">
      <c r="Q6" s="1" t="s">
        <v>54</v>
      </c>
      <c r="R6" s="53">
        <f t="shared" si="0"/>
        <v>0.90899999999999992</v>
      </c>
      <c r="S6" s="53">
        <f>입력Tab!P13</f>
        <v>0.7</v>
      </c>
      <c r="T6" s="53">
        <f>입력Tab!$B$10</f>
        <v>0.20899999999999999</v>
      </c>
      <c r="U6" s="56">
        <f>입력Tab!Q13</f>
        <v>3</v>
      </c>
    </row>
    <row r="7" spans="1:21" ht="16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Q7" s="1" t="s">
        <v>57</v>
      </c>
      <c r="R7" s="53">
        <f t="shared" si="0"/>
        <v>0.95899999999999996</v>
      </c>
      <c r="S7" s="53">
        <f>입력Tab!P14</f>
        <v>0.75</v>
      </c>
      <c r="T7" s="53">
        <f>입력Tab!$B$10</f>
        <v>0.20899999999999999</v>
      </c>
      <c r="U7" s="56">
        <f>입력Tab!Q14</f>
        <v>3</v>
      </c>
    </row>
    <row r="8" spans="1:21" ht="16.5" customHeight="1">
      <c r="A8" s="17"/>
      <c r="B8" s="19"/>
      <c r="C8" s="106"/>
      <c r="D8" s="106"/>
      <c r="E8" s="106"/>
      <c r="F8" s="106"/>
      <c r="G8" s="106"/>
      <c r="H8" s="106"/>
      <c r="I8" s="106"/>
      <c r="J8" s="106"/>
      <c r="K8" s="152"/>
      <c r="L8" s="152"/>
      <c r="M8" s="152"/>
      <c r="N8" s="152"/>
      <c r="Q8" s="1" t="s">
        <v>60</v>
      </c>
      <c r="R8" s="53">
        <f t="shared" si="0"/>
        <v>1.0090000000000001</v>
      </c>
      <c r="S8" s="53">
        <f>입력Tab!P15</f>
        <v>0.8</v>
      </c>
      <c r="T8" s="53">
        <f>입력Tab!$B$10</f>
        <v>0.20899999999999999</v>
      </c>
      <c r="U8" s="56">
        <f>입력Tab!Q15</f>
        <v>3</v>
      </c>
    </row>
    <row r="9" spans="1:21" ht="16.5" customHeight="1">
      <c r="A9" s="17"/>
      <c r="B9" s="151"/>
      <c r="C9" s="151"/>
      <c r="D9" s="151"/>
      <c r="E9" s="151"/>
      <c r="F9" s="106"/>
      <c r="G9" s="106"/>
      <c r="H9" s="151"/>
      <c r="I9" s="151"/>
      <c r="J9" s="151"/>
      <c r="K9" s="151"/>
      <c r="L9" s="151"/>
      <c r="M9" s="146"/>
      <c r="N9" s="146"/>
      <c r="Q9" s="1" t="s">
        <v>63</v>
      </c>
      <c r="R9" s="53">
        <f t="shared" si="0"/>
        <v>0.95899999999999996</v>
      </c>
      <c r="S9" s="53">
        <f>입력Tab!P16</f>
        <v>0.75</v>
      </c>
      <c r="T9" s="53">
        <f>입력Tab!$B$10</f>
        <v>0.20899999999999999</v>
      </c>
      <c r="U9" s="56">
        <f>입력Tab!Q16</f>
        <v>3</v>
      </c>
    </row>
    <row r="10" spans="1:21" ht="16.5" customHeight="1">
      <c r="A10" s="17"/>
      <c r="B10" s="151"/>
      <c r="C10" s="151"/>
      <c r="D10" s="151"/>
      <c r="E10" s="151"/>
      <c r="F10" s="106"/>
      <c r="G10" s="106"/>
      <c r="H10" s="151"/>
      <c r="I10" s="151"/>
      <c r="J10" s="102"/>
      <c r="K10" s="102"/>
      <c r="L10" s="102"/>
      <c r="M10" s="146"/>
      <c r="N10" s="146"/>
      <c r="Q10" s="1" t="s">
        <v>65</v>
      </c>
      <c r="R10" s="53">
        <f t="shared" si="0"/>
        <v>1.079</v>
      </c>
      <c r="S10" s="53">
        <f>입력Tab!P17</f>
        <v>0.87</v>
      </c>
      <c r="T10" s="53">
        <f>입력Tab!$B$10</f>
        <v>0.20899999999999999</v>
      </c>
      <c r="U10" s="56">
        <f>입력Tab!Q17</f>
        <v>3</v>
      </c>
    </row>
    <row r="11" spans="1:21" ht="16.5" customHeight="1">
      <c r="A11" s="17"/>
      <c r="B11" s="146"/>
      <c r="C11" s="146"/>
      <c r="D11" s="147"/>
      <c r="E11" s="147"/>
      <c r="F11" s="105"/>
      <c r="G11" s="35"/>
      <c r="H11" s="149"/>
      <c r="I11" s="149"/>
      <c r="J11" s="36"/>
      <c r="K11" s="101"/>
      <c r="L11" s="101"/>
      <c r="M11" s="150"/>
      <c r="N11" s="150"/>
      <c r="Q11" s="1" t="s">
        <v>67</v>
      </c>
      <c r="R11" s="53">
        <f t="shared" si="0"/>
        <v>1.089</v>
      </c>
      <c r="S11" s="53">
        <f>입력Tab!P18</f>
        <v>0.88</v>
      </c>
      <c r="T11" s="53">
        <f>입력Tab!$B$10</f>
        <v>0.20899999999999999</v>
      </c>
      <c r="U11" s="56">
        <f>입력Tab!Q18</f>
        <v>3</v>
      </c>
    </row>
    <row r="12" spans="1:21" ht="16.5" customHeight="1">
      <c r="A12" s="17"/>
      <c r="B12" s="146"/>
      <c r="C12" s="146"/>
      <c r="D12" s="147"/>
      <c r="E12" s="147"/>
      <c r="F12" s="105"/>
      <c r="G12" s="35"/>
      <c r="H12" s="149"/>
      <c r="I12" s="149"/>
      <c r="J12" s="36"/>
      <c r="K12" s="101"/>
      <c r="L12" s="101"/>
      <c r="M12" s="150"/>
      <c r="N12" s="150"/>
      <c r="Q12" s="1" t="s">
        <v>69</v>
      </c>
      <c r="R12" s="53">
        <f t="shared" si="0"/>
        <v>1.079</v>
      </c>
      <c r="S12" s="53">
        <f>입력Tab!P19</f>
        <v>0.87</v>
      </c>
      <c r="T12" s="53">
        <f>입력Tab!$B$10</f>
        <v>0.20899999999999999</v>
      </c>
      <c r="U12" s="56">
        <f>입력Tab!Q19</f>
        <v>4.5</v>
      </c>
    </row>
    <row r="13" spans="1:21" ht="16.5" customHeight="1">
      <c r="B13" s="146"/>
      <c r="C13" s="146"/>
      <c r="D13" s="147"/>
      <c r="E13" s="147"/>
      <c r="F13" s="105"/>
      <c r="G13" s="35"/>
      <c r="H13" s="149"/>
      <c r="I13" s="149"/>
      <c r="J13" s="36"/>
      <c r="K13" s="101"/>
      <c r="L13" s="101"/>
      <c r="M13" s="150"/>
      <c r="N13" s="150"/>
      <c r="Q13" s="1" t="s">
        <v>24</v>
      </c>
      <c r="R13" s="53">
        <f t="shared" si="0"/>
        <v>1.079</v>
      </c>
      <c r="S13" s="53">
        <f>입력Tab!P20</f>
        <v>0.87</v>
      </c>
      <c r="T13" s="53">
        <f>입력Tab!$B$10</f>
        <v>0.20899999999999999</v>
      </c>
      <c r="U13" s="56">
        <f>입력Tab!Q20</f>
        <v>6</v>
      </c>
    </row>
    <row r="14" spans="1:21" ht="16.5" customHeight="1">
      <c r="B14" s="146"/>
      <c r="C14" s="146"/>
      <c r="D14" s="147"/>
      <c r="E14" s="147"/>
      <c r="F14" s="105"/>
      <c r="G14" s="35"/>
      <c r="H14" s="149"/>
      <c r="I14" s="149"/>
      <c r="J14" s="36"/>
      <c r="K14" s="101"/>
      <c r="L14" s="101"/>
      <c r="M14" s="150"/>
      <c r="N14" s="150"/>
      <c r="Q14" s="1" t="s">
        <v>70</v>
      </c>
      <c r="R14" s="53">
        <f t="shared" si="0"/>
        <v>1.079</v>
      </c>
      <c r="S14" s="53">
        <f>입력Tab!P21</f>
        <v>0.87</v>
      </c>
      <c r="T14" s="53">
        <f>입력Tab!$B$10</f>
        <v>0.20899999999999999</v>
      </c>
      <c r="U14" s="56">
        <f>입력Tab!Q21</f>
        <v>7.5</v>
      </c>
    </row>
    <row r="15" spans="1:21" ht="16.5" customHeight="1">
      <c r="B15" s="146"/>
      <c r="C15" s="146"/>
      <c r="D15" s="147"/>
      <c r="E15" s="147"/>
      <c r="F15" s="105"/>
      <c r="G15" s="35"/>
      <c r="H15" s="149"/>
      <c r="I15" s="149"/>
      <c r="J15" s="36"/>
      <c r="K15" s="101"/>
      <c r="L15" s="101"/>
      <c r="M15" s="150"/>
      <c r="N15" s="150"/>
      <c r="Q15" s="1" t="s">
        <v>71</v>
      </c>
      <c r="R15" s="53">
        <f t="shared" si="0"/>
        <v>1.079</v>
      </c>
      <c r="S15" s="53">
        <f>입력Tab!P22</f>
        <v>0.87</v>
      </c>
      <c r="T15" s="53">
        <f>입력Tab!$B$10</f>
        <v>0.20899999999999999</v>
      </c>
      <c r="U15" s="56">
        <f>입력Tab!Q22</f>
        <v>9</v>
      </c>
    </row>
    <row r="16" spans="1:21" ht="16.5" customHeight="1">
      <c r="B16" s="146"/>
      <c r="C16" s="146"/>
      <c r="D16" s="147"/>
      <c r="E16" s="147"/>
      <c r="F16" s="105"/>
      <c r="G16" s="35"/>
      <c r="H16" s="149"/>
      <c r="I16" s="149"/>
      <c r="J16" s="36"/>
      <c r="K16" s="101"/>
      <c r="L16" s="101"/>
      <c r="M16" s="150"/>
      <c r="N16" s="150"/>
      <c r="Q16" s="1" t="s">
        <v>73</v>
      </c>
      <c r="R16" s="53">
        <f t="shared" si="0"/>
        <v>1.079</v>
      </c>
      <c r="S16" s="53">
        <f>입력Tab!P23</f>
        <v>0.87</v>
      </c>
      <c r="T16" s="53">
        <f>입력Tab!$B$10</f>
        <v>0.20899999999999999</v>
      </c>
      <c r="U16" s="56">
        <f>입력Tab!Q23</f>
        <v>10.5</v>
      </c>
    </row>
    <row r="17" spans="2:21" ht="16.5" customHeight="1">
      <c r="B17" s="146"/>
      <c r="C17" s="146"/>
      <c r="D17" s="147"/>
      <c r="E17" s="147"/>
      <c r="F17" s="105"/>
      <c r="G17" s="35"/>
      <c r="H17" s="149"/>
      <c r="I17" s="149"/>
      <c r="J17" s="36"/>
      <c r="K17" s="101"/>
      <c r="L17" s="101"/>
      <c r="M17" s="150"/>
      <c r="N17" s="150"/>
      <c r="Q17" s="1" t="s">
        <v>74</v>
      </c>
      <c r="R17" s="53">
        <f t="shared" si="0"/>
        <v>0.20899999999999999</v>
      </c>
      <c r="S17" s="53">
        <f>입력Tab!P24</f>
        <v>0</v>
      </c>
      <c r="T17" s="53">
        <f>입력Tab!$B$10</f>
        <v>0.20899999999999999</v>
      </c>
      <c r="U17" s="56">
        <f>입력Tab!Q24</f>
        <v>12</v>
      </c>
    </row>
    <row r="18" spans="2:21" ht="16.5" customHeight="1">
      <c r="B18" s="146"/>
      <c r="C18" s="146"/>
      <c r="D18" s="147"/>
      <c r="E18" s="147"/>
      <c r="F18" s="105"/>
      <c r="G18" s="35"/>
      <c r="H18" s="149"/>
      <c r="I18" s="149"/>
      <c r="J18" s="36"/>
      <c r="K18" s="101"/>
      <c r="L18" s="101"/>
      <c r="M18" s="150"/>
      <c r="N18" s="150"/>
      <c r="R18" s="53"/>
      <c r="S18" s="53"/>
      <c r="T18" s="26"/>
      <c r="U18" s="56"/>
    </row>
    <row r="19" spans="2:21" ht="16.5" customHeight="1">
      <c r="B19" s="146"/>
      <c r="C19" s="146"/>
      <c r="D19" s="147"/>
      <c r="E19" s="147"/>
      <c r="F19" s="105"/>
      <c r="G19" s="35"/>
      <c r="H19" s="149"/>
      <c r="I19" s="149"/>
      <c r="J19" s="36"/>
      <c r="K19" s="101"/>
      <c r="L19" s="101"/>
      <c r="M19" s="150"/>
      <c r="N19" s="150"/>
      <c r="R19" s="53"/>
      <c r="S19" s="53"/>
      <c r="T19" s="26"/>
      <c r="U19" s="56"/>
    </row>
    <row r="20" spans="2:21" ht="16.5" customHeight="1">
      <c r="B20" s="146"/>
      <c r="C20" s="146"/>
      <c r="D20" s="147"/>
      <c r="E20" s="147"/>
      <c r="F20" s="105"/>
      <c r="G20" s="35"/>
      <c r="H20" s="149"/>
      <c r="I20" s="149"/>
      <c r="J20" s="36"/>
      <c r="K20" s="101"/>
      <c r="L20" s="101"/>
      <c r="M20" s="150"/>
      <c r="N20" s="150"/>
      <c r="R20" s="53"/>
      <c r="S20" s="53"/>
      <c r="T20" s="26"/>
      <c r="U20" s="56"/>
    </row>
    <row r="21" spans="2:21" ht="16.5" customHeight="1">
      <c r="B21" s="146"/>
      <c r="C21" s="146"/>
      <c r="D21" s="147"/>
      <c r="E21" s="147"/>
      <c r="F21" s="105"/>
      <c r="G21" s="35"/>
      <c r="H21" s="149"/>
      <c r="I21" s="149"/>
      <c r="J21" s="36"/>
      <c r="K21" s="101"/>
      <c r="L21" s="101"/>
      <c r="M21" s="150"/>
      <c r="N21" s="150"/>
      <c r="R21" s="53"/>
      <c r="S21" s="53"/>
      <c r="T21" s="26"/>
      <c r="U21" s="56"/>
    </row>
    <row r="22" spans="2:21" ht="16.5" customHeight="1">
      <c r="B22" s="146"/>
      <c r="C22" s="146"/>
      <c r="D22" s="147"/>
      <c r="E22" s="147"/>
      <c r="F22" s="105"/>
      <c r="G22" s="35"/>
      <c r="H22" s="149"/>
      <c r="I22" s="149"/>
      <c r="J22" s="36"/>
      <c r="K22" s="101"/>
      <c r="L22" s="101"/>
      <c r="M22" s="150"/>
      <c r="N22" s="150"/>
    </row>
    <row r="23" spans="2:21" ht="16.5" customHeight="1">
      <c r="B23" s="146"/>
      <c r="C23" s="146"/>
      <c r="D23" s="147"/>
      <c r="E23" s="147"/>
      <c r="F23" s="105"/>
      <c r="G23" s="35"/>
      <c r="H23" s="149"/>
      <c r="I23" s="149"/>
      <c r="J23" s="36"/>
      <c r="K23" s="101"/>
      <c r="L23" s="101"/>
      <c r="M23" s="150"/>
      <c r="N23" s="150"/>
    </row>
    <row r="24" spans="2:21" ht="16.5" customHeight="1">
      <c r="B24" s="146"/>
      <c r="C24" s="146"/>
      <c r="D24" s="147"/>
      <c r="E24" s="147"/>
      <c r="F24" s="105"/>
      <c r="G24" s="35"/>
      <c r="H24" s="149"/>
      <c r="I24" s="149"/>
      <c r="J24" s="36"/>
      <c r="K24" s="101"/>
      <c r="L24" s="101"/>
      <c r="M24" s="150"/>
      <c r="N24" s="150"/>
    </row>
    <row r="25" spans="2:21" ht="16.5" customHeight="1">
      <c r="B25" s="146"/>
      <c r="C25" s="146"/>
      <c r="D25" s="147"/>
      <c r="E25" s="147"/>
      <c r="F25" s="105"/>
      <c r="G25" s="35"/>
      <c r="H25" s="149"/>
      <c r="I25" s="149"/>
      <c r="J25" s="36"/>
      <c r="K25" s="101"/>
      <c r="L25" s="101"/>
      <c r="M25" s="150"/>
      <c r="N25" s="150"/>
    </row>
    <row r="26" spans="2:21" ht="16.5" customHeight="1">
      <c r="B26" s="146"/>
      <c r="C26" s="146"/>
      <c r="D26" s="147"/>
      <c r="E26" s="147"/>
      <c r="F26" s="105"/>
      <c r="G26" s="35"/>
      <c r="H26" s="149"/>
      <c r="I26" s="149"/>
      <c r="J26" s="36"/>
      <c r="K26" s="101"/>
      <c r="L26" s="101"/>
      <c r="M26" s="150"/>
      <c r="N26" s="150"/>
    </row>
    <row r="27" spans="2:21" ht="16.5" customHeight="1">
      <c r="B27" s="146"/>
      <c r="C27" s="146"/>
      <c r="D27" s="147"/>
      <c r="E27" s="147"/>
      <c r="F27" s="105"/>
      <c r="G27" s="35"/>
      <c r="H27" s="149"/>
      <c r="I27" s="149"/>
      <c r="J27" s="36"/>
      <c r="K27" s="101"/>
      <c r="L27" s="101"/>
      <c r="M27" s="150"/>
      <c r="N27" s="150"/>
    </row>
    <row r="28" spans="2:21" ht="16.5" customHeight="1">
      <c r="B28" s="146"/>
      <c r="C28" s="146"/>
      <c r="D28" s="147"/>
      <c r="E28" s="147"/>
      <c r="F28" s="105"/>
      <c r="G28" s="35"/>
      <c r="H28" s="149"/>
      <c r="I28" s="149"/>
      <c r="J28" s="36"/>
      <c r="K28" s="101"/>
      <c r="L28" s="101"/>
      <c r="M28" s="150"/>
      <c r="N28" s="150"/>
    </row>
    <row r="29" spans="2:21" ht="16.5" customHeight="1">
      <c r="B29" s="146"/>
      <c r="C29" s="146"/>
      <c r="D29" s="147"/>
      <c r="E29" s="147"/>
      <c r="F29" s="105"/>
      <c r="G29" s="35"/>
      <c r="H29" s="149"/>
      <c r="I29" s="149"/>
      <c r="J29" s="36"/>
      <c r="K29" s="101"/>
      <c r="L29" s="101"/>
      <c r="M29" s="150"/>
      <c r="N29" s="150"/>
    </row>
    <row r="30" spans="2:21" ht="16.5" customHeight="1">
      <c r="B30" s="146"/>
      <c r="C30" s="146"/>
      <c r="D30" s="147"/>
      <c r="E30" s="147"/>
      <c r="F30" s="105"/>
      <c r="G30" s="35"/>
      <c r="H30" s="149"/>
      <c r="I30" s="149"/>
      <c r="J30" s="36"/>
      <c r="K30" s="101"/>
      <c r="L30" s="101"/>
      <c r="M30" s="150"/>
      <c r="N30" s="150"/>
    </row>
    <row r="31" spans="2:21" ht="16.5" customHeight="1">
      <c r="B31" s="146"/>
      <c r="C31" s="146"/>
      <c r="D31" s="147"/>
      <c r="E31" s="147"/>
      <c r="F31" s="148"/>
      <c r="G31" s="148"/>
      <c r="H31" s="149"/>
      <c r="I31" s="149"/>
      <c r="J31" s="36"/>
      <c r="M31" s="146"/>
      <c r="N31" s="146"/>
    </row>
    <row r="32" spans="2:21" ht="16.5" customHeight="1"/>
    <row r="33" spans="1:15" ht="16.5" customHeight="1"/>
    <row r="34" spans="1:15" ht="16.5" customHeight="1">
      <c r="A34" s="127" t="s">
        <v>83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</row>
    <row r="35" spans="1:15" ht="16.5" customHeight="1"/>
  </sheetData>
  <sheetProtection password="FB4B" sheet="1" objects="1" scenarios="1"/>
  <mergeCells count="108">
    <mergeCell ref="K8:N8"/>
    <mergeCell ref="B4:D4"/>
    <mergeCell ref="E4:F4"/>
    <mergeCell ref="G4:H4"/>
    <mergeCell ref="I4:J4"/>
    <mergeCell ref="K4:L4"/>
    <mergeCell ref="M4:N4"/>
    <mergeCell ref="B3:D3"/>
    <mergeCell ref="E3:F3"/>
    <mergeCell ref="G3:H3"/>
    <mergeCell ref="I3:J3"/>
    <mergeCell ref="K3:L3"/>
    <mergeCell ref="M3:N3"/>
    <mergeCell ref="B11:C11"/>
    <mergeCell ref="D11:E11"/>
    <mergeCell ref="H11:I11"/>
    <mergeCell ref="M11:N11"/>
    <mergeCell ref="B10:C10"/>
    <mergeCell ref="D10:E10"/>
    <mergeCell ref="H10:I10"/>
    <mergeCell ref="M10:N10"/>
    <mergeCell ref="B9:C9"/>
    <mergeCell ref="D9:E9"/>
    <mergeCell ref="H9:I9"/>
    <mergeCell ref="J9:L9"/>
    <mergeCell ref="M9:N9"/>
    <mergeCell ref="B14:C14"/>
    <mergeCell ref="D14:E14"/>
    <mergeCell ref="H14:I14"/>
    <mergeCell ref="M14:N14"/>
    <mergeCell ref="B13:C13"/>
    <mergeCell ref="D13:E13"/>
    <mergeCell ref="H13:I13"/>
    <mergeCell ref="M13:N13"/>
    <mergeCell ref="B12:C12"/>
    <mergeCell ref="D12:E12"/>
    <mergeCell ref="H12:I12"/>
    <mergeCell ref="M12:N12"/>
    <mergeCell ref="B17:C17"/>
    <mergeCell ref="D17:E17"/>
    <mergeCell ref="H17:I17"/>
    <mergeCell ref="M17:N17"/>
    <mergeCell ref="B16:C16"/>
    <mergeCell ref="D16:E16"/>
    <mergeCell ref="H16:I16"/>
    <mergeCell ref="M16:N16"/>
    <mergeCell ref="B15:C15"/>
    <mergeCell ref="D15:E15"/>
    <mergeCell ref="H15:I15"/>
    <mergeCell ref="M15:N15"/>
    <mergeCell ref="B20:C20"/>
    <mergeCell ref="D20:E20"/>
    <mergeCell ref="H20:I20"/>
    <mergeCell ref="M20:N20"/>
    <mergeCell ref="B19:C19"/>
    <mergeCell ref="D19:E19"/>
    <mergeCell ref="H19:I19"/>
    <mergeCell ref="M19:N19"/>
    <mergeCell ref="B18:C18"/>
    <mergeCell ref="D18:E18"/>
    <mergeCell ref="H18:I18"/>
    <mergeCell ref="M18:N18"/>
    <mergeCell ref="B23:C23"/>
    <mergeCell ref="D23:E23"/>
    <mergeCell ref="H23:I23"/>
    <mergeCell ref="M23:N23"/>
    <mergeCell ref="B22:C22"/>
    <mergeCell ref="D22:E22"/>
    <mergeCell ref="H22:I22"/>
    <mergeCell ref="M22:N22"/>
    <mergeCell ref="B21:C21"/>
    <mergeCell ref="D21:E21"/>
    <mergeCell ref="H21:I21"/>
    <mergeCell ref="M21:N21"/>
    <mergeCell ref="B26:C26"/>
    <mergeCell ref="D26:E26"/>
    <mergeCell ref="H26:I26"/>
    <mergeCell ref="M26:N26"/>
    <mergeCell ref="B25:C25"/>
    <mergeCell ref="D25:E25"/>
    <mergeCell ref="H25:I25"/>
    <mergeCell ref="M25:N25"/>
    <mergeCell ref="B24:C24"/>
    <mergeCell ref="D24:E24"/>
    <mergeCell ref="H24:I24"/>
    <mergeCell ref="M24:N24"/>
    <mergeCell ref="B29:C29"/>
    <mergeCell ref="D29:E29"/>
    <mergeCell ref="H29:I29"/>
    <mergeCell ref="M29:N29"/>
    <mergeCell ref="B28:C28"/>
    <mergeCell ref="D28:E28"/>
    <mergeCell ref="H28:I28"/>
    <mergeCell ref="M28:N28"/>
    <mergeCell ref="B27:C27"/>
    <mergeCell ref="D27:E27"/>
    <mergeCell ref="H27:I27"/>
    <mergeCell ref="M27:N27"/>
    <mergeCell ref="A34:O34"/>
    <mergeCell ref="B31:C31"/>
    <mergeCell ref="D31:E31"/>
    <mergeCell ref="F31:G31"/>
    <mergeCell ref="H31:I31"/>
    <mergeCell ref="M31:N31"/>
    <mergeCell ref="B30:C30"/>
    <mergeCell ref="D30:E30"/>
    <mergeCell ref="H30:I30"/>
    <mergeCell ref="M30:N30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96" orientation="landscape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J36"/>
  <sheetViews>
    <sheetView zoomScaleNormal="100" zoomScaleSheetLayoutView="100" workbookViewId="0">
      <selection activeCell="M32" sqref="M32"/>
    </sheetView>
  </sheetViews>
  <sheetFormatPr defaultColWidth="9" defaultRowHeight="17.45"/>
  <cols>
    <col min="1" max="1" width="7" style="1" customWidth="1"/>
    <col min="2" max="5" width="9" style="1" customWidth="1"/>
    <col min="6" max="7" width="11" style="1" customWidth="1"/>
    <col min="8" max="10" width="9" style="1"/>
    <col min="11" max="12" width="9.625" style="1" customWidth="1"/>
    <col min="13" max="13" width="9" style="1" customWidth="1"/>
    <col min="14" max="15" width="9" style="1"/>
    <col min="16" max="18" width="7" style="1" customWidth="1"/>
    <col min="19" max="19" width="13.5" style="1" bestFit="1" customWidth="1"/>
    <col min="20" max="25" width="9" style="1"/>
    <col min="26" max="26" width="9.25" style="1" bestFit="1" customWidth="1"/>
    <col min="27" max="16384" width="9" style="1"/>
  </cols>
  <sheetData>
    <row r="1" spans="1:36" ht="16.5" customHeight="1">
      <c r="S1" s="100" t="s">
        <v>90</v>
      </c>
      <c r="T1" s="136" t="s">
        <v>91</v>
      </c>
      <c r="U1" s="136"/>
      <c r="V1" s="136" t="s">
        <v>92</v>
      </c>
      <c r="W1" s="136"/>
      <c r="X1" s="136" t="s">
        <v>93</v>
      </c>
      <c r="Y1" s="136"/>
      <c r="Z1" s="100" t="s">
        <v>133</v>
      </c>
      <c r="AA1" s="136" t="s">
        <v>94</v>
      </c>
      <c r="AB1" s="136"/>
      <c r="AC1" s="136" t="s">
        <v>95</v>
      </c>
      <c r="AD1" s="136"/>
      <c r="AE1" s="136" t="s">
        <v>96</v>
      </c>
      <c r="AF1" s="136"/>
      <c r="AG1" s="136" t="s">
        <v>97</v>
      </c>
      <c r="AH1" s="136"/>
      <c r="AI1" s="136" t="s">
        <v>98</v>
      </c>
      <c r="AJ1" s="136"/>
    </row>
    <row r="2" spans="1:36" ht="23.25" customHeight="1">
      <c r="A2" s="126" t="s">
        <v>134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S2" s="13" t="s">
        <v>24</v>
      </c>
      <c r="T2" s="141">
        <f>주식가치평가!S3</f>
        <v>0</v>
      </c>
      <c r="U2" s="142"/>
      <c r="V2" s="141">
        <f>주식가치평가!U3</f>
        <v>0</v>
      </c>
      <c r="W2" s="142"/>
      <c r="X2" s="141">
        <f>주식가치평가!W3</f>
        <v>0</v>
      </c>
      <c r="Y2" s="142"/>
      <c r="Z2" s="75"/>
      <c r="AA2" s="141">
        <f>주식가치평가!Y3</f>
        <v>0</v>
      </c>
      <c r="AB2" s="142"/>
      <c r="AC2" s="141">
        <f>T2-X2</f>
        <v>0</v>
      </c>
      <c r="AD2" s="142"/>
      <c r="AE2" s="158"/>
      <c r="AF2" s="158"/>
      <c r="AG2" s="141"/>
      <c r="AH2" s="142"/>
      <c r="AI2" s="141"/>
      <c r="AJ2" s="142"/>
    </row>
    <row r="3" spans="1:36" ht="16.5" customHeight="1">
      <c r="S3" s="14" t="s">
        <v>26</v>
      </c>
      <c r="T3" s="129">
        <f>주식가치평가!S4</f>
        <v>11476</v>
      </c>
      <c r="U3" s="130"/>
      <c r="V3" s="129">
        <f>주식가치평가!U4</f>
        <v>4859</v>
      </c>
      <c r="W3" s="130"/>
      <c r="X3" s="129">
        <f>주식가치평가!W4</f>
        <v>1725</v>
      </c>
      <c r="Y3" s="130"/>
      <c r="Z3" s="76"/>
      <c r="AA3" s="129">
        <f>주식가치평가!Y4</f>
        <v>1244</v>
      </c>
      <c r="AB3" s="130"/>
      <c r="AC3" s="129">
        <f t="shared" ref="AC3:AC7" si="0">T3-X3</f>
        <v>9751</v>
      </c>
      <c r="AD3" s="130"/>
      <c r="AE3" s="157"/>
      <c r="AF3" s="157"/>
      <c r="AG3" s="129"/>
      <c r="AH3" s="130"/>
      <c r="AI3" s="129"/>
      <c r="AJ3" s="130"/>
    </row>
    <row r="4" spans="1:36" ht="16.5" customHeight="1">
      <c r="B4" s="9" t="s">
        <v>135</v>
      </c>
      <c r="S4" s="14" t="s">
        <v>29</v>
      </c>
      <c r="T4" s="129">
        <f>주식가치평가!S5</f>
        <v>13205</v>
      </c>
      <c r="U4" s="130"/>
      <c r="V4" s="129">
        <f>주식가치평가!U5</f>
        <v>9607</v>
      </c>
      <c r="W4" s="130"/>
      <c r="X4" s="129">
        <f>주식가치평가!W5</f>
        <v>1534</v>
      </c>
      <c r="Y4" s="130"/>
      <c r="Z4" s="76"/>
      <c r="AA4" s="129">
        <f>주식가치평가!Y5</f>
        <v>1920</v>
      </c>
      <c r="AB4" s="130"/>
      <c r="AC4" s="129">
        <f t="shared" si="0"/>
        <v>11671</v>
      </c>
      <c r="AD4" s="130"/>
      <c r="AE4" s="157">
        <f>(AA4*3+AA3*2+AA2*1)/6/0.1</f>
        <v>13746.666666666666</v>
      </c>
      <c r="AF4" s="157"/>
      <c r="AG4" s="129">
        <f>IF(V4/T4&gt;=0.8,AC4,IF(V4/T4&gt;=0.5,MAX(AC4*0.8,(AE4*2+AC4*3)/5),MAX(AC4*0.8,(AE4*3+AC4*2)/5)))</f>
        <v>12501.266666666666</v>
      </c>
      <c r="AH4" s="130"/>
      <c r="AI4" s="129">
        <f>AG4*1000000/입력Tab!$K$8</f>
        <v>250025.33333333331</v>
      </c>
      <c r="AJ4" s="130"/>
    </row>
    <row r="5" spans="1:36" ht="16.5" customHeight="1">
      <c r="B5" s="193" t="s">
        <v>136</v>
      </c>
      <c r="C5" s="161"/>
      <c r="D5" s="161"/>
      <c r="E5" s="161" t="s">
        <v>137</v>
      </c>
      <c r="F5" s="161"/>
      <c r="G5" s="161" t="s">
        <v>138</v>
      </c>
      <c r="H5" s="161"/>
      <c r="I5" s="162" t="s">
        <v>25</v>
      </c>
      <c r="J5" s="195"/>
      <c r="K5" s="193"/>
      <c r="L5" s="162" t="s">
        <v>139</v>
      </c>
      <c r="M5" s="193"/>
      <c r="N5" s="161" t="s">
        <v>34</v>
      </c>
      <c r="O5" s="162"/>
      <c r="S5" s="14" t="s">
        <v>33</v>
      </c>
      <c r="T5" s="129">
        <f>주식가치평가!S6</f>
        <v>14117</v>
      </c>
      <c r="U5" s="130"/>
      <c r="V5" s="129">
        <f>주식가치평가!U6</f>
        <v>9781</v>
      </c>
      <c r="W5" s="130"/>
      <c r="X5" s="129">
        <f>주식가치평가!W6</f>
        <v>570</v>
      </c>
      <c r="Y5" s="130"/>
      <c r="Z5" s="76"/>
      <c r="AA5" s="129">
        <f>주식가치평가!Y6</f>
        <v>1876</v>
      </c>
      <c r="AB5" s="130"/>
      <c r="AC5" s="129">
        <f t="shared" si="0"/>
        <v>13547</v>
      </c>
      <c r="AD5" s="130"/>
      <c r="AE5" s="129">
        <f t="shared" ref="AE5:AE32" si="1">(AA5*3+AA4*2+AA3*1)/6/0.1</f>
        <v>17853.333333333332</v>
      </c>
      <c r="AF5" s="130"/>
      <c r="AG5" s="129">
        <f t="shared" ref="AG5:AG32" si="2">IF(V5/T5&gt;=0.8,AC5,IF(V5/T5&gt;=0.5,MAX(AC5*0.8,(AE5*2+AC5*3)/5),MAX(AC5*0.8,(AE5*3+AC5*2)/5)))</f>
        <v>15269.533333333331</v>
      </c>
      <c r="AH5" s="130"/>
      <c r="AI5" s="129">
        <f>AG5*1000000/입력Tab!$K$8</f>
        <v>305390.66666666663</v>
      </c>
      <c r="AJ5" s="130"/>
    </row>
    <row r="6" spans="1:36" ht="16.5" customHeight="1">
      <c r="B6" s="191" t="str">
        <f>입력Tab!B7</f>
        <v>해광요업</v>
      </c>
      <c r="C6" s="192"/>
      <c r="D6" s="192"/>
      <c r="E6" s="194" t="str">
        <f>입력Tab!Q2</f>
        <v>조영재</v>
      </c>
      <c r="F6" s="194"/>
      <c r="G6" s="190">
        <f>입력Tab!Q3</f>
        <v>42</v>
      </c>
      <c r="H6" s="190"/>
      <c r="I6" s="196">
        <f>입력Tab!Q4</f>
        <v>3</v>
      </c>
      <c r="J6" s="197"/>
      <c r="K6" s="198"/>
      <c r="L6" s="186">
        <f>입력Tab!Q5</f>
        <v>20000000</v>
      </c>
      <c r="M6" s="187"/>
      <c r="N6" s="188">
        <f>입력Tab!Q7</f>
        <v>48</v>
      </c>
      <c r="O6" s="189"/>
      <c r="S6" s="15" t="s">
        <v>37</v>
      </c>
      <c r="T6" s="129">
        <f>주식가치평가!S7</f>
        <v>15181</v>
      </c>
      <c r="U6" s="130"/>
      <c r="V6" s="129">
        <f>주식가치평가!U7</f>
        <v>10074.43</v>
      </c>
      <c r="W6" s="130"/>
      <c r="X6" s="129">
        <f>주식가치평가!W7</f>
        <v>570</v>
      </c>
      <c r="Y6" s="130"/>
      <c r="Z6" s="76"/>
      <c r="AA6" s="129">
        <f>주식가치평가!Y7</f>
        <v>1876</v>
      </c>
      <c r="AB6" s="130"/>
      <c r="AC6" s="129">
        <f t="shared" si="0"/>
        <v>14611</v>
      </c>
      <c r="AD6" s="130"/>
      <c r="AE6" s="129">
        <f t="shared" si="1"/>
        <v>18833.333333333332</v>
      </c>
      <c r="AF6" s="130"/>
      <c r="AG6" s="129">
        <f t="shared" si="2"/>
        <v>16299.933333333331</v>
      </c>
      <c r="AH6" s="130"/>
      <c r="AI6" s="129">
        <f>AG6*1000000/입력Tab!$K$8</f>
        <v>325998.66666666663</v>
      </c>
      <c r="AJ6" s="130"/>
    </row>
    <row r="7" spans="1:36" ht="16.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R7" s="1" t="s">
        <v>43</v>
      </c>
      <c r="S7" s="15" t="s">
        <v>42</v>
      </c>
      <c r="T7" s="129">
        <f>T6+AA7+V6*입력Tab!$D$15-Z7*100</f>
        <v>16875.512899999998</v>
      </c>
      <c r="U7" s="130"/>
      <c r="V7" s="129">
        <f>주식가치평가!U8</f>
        <v>10376.662899999999</v>
      </c>
      <c r="W7" s="130"/>
      <c r="X7" s="129">
        <f>주식가치평가!W8</f>
        <v>587.1</v>
      </c>
      <c r="Y7" s="130"/>
      <c r="Z7" s="77">
        <f>J11</f>
        <v>3</v>
      </c>
      <c r="AA7" s="129">
        <f>주식가치평가!Y8-$G$11</f>
        <v>1692.28</v>
      </c>
      <c r="AB7" s="130"/>
      <c r="AC7" s="129">
        <f t="shared" si="0"/>
        <v>16288.412899999998</v>
      </c>
      <c r="AD7" s="130"/>
      <c r="AE7" s="129">
        <f t="shared" si="1"/>
        <v>17841.400000000001</v>
      </c>
      <c r="AF7" s="130"/>
      <c r="AG7" s="129">
        <f t="shared" si="2"/>
        <v>16909.607739999999</v>
      </c>
      <c r="AH7" s="130"/>
      <c r="AI7" s="129">
        <f>AG7*1000000/입력Tab!$K$8</f>
        <v>338192.15480000002</v>
      </c>
      <c r="AJ7" s="130"/>
    </row>
    <row r="8" spans="1:36" ht="16.5" customHeight="1">
      <c r="A8" s="17"/>
      <c r="B8" s="19" t="s">
        <v>140</v>
      </c>
      <c r="C8" s="106"/>
      <c r="D8" s="106"/>
      <c r="E8" s="106"/>
      <c r="F8" s="106"/>
      <c r="G8" s="106"/>
      <c r="H8" s="106"/>
      <c r="I8" s="106"/>
      <c r="J8" s="106"/>
      <c r="K8" s="106"/>
      <c r="L8" s="184" t="str">
        <f>"(상속증여세율 "&amp;입력Tab!B11*100&amp;"% 가정)"</f>
        <v>(상속증여세율 50% 가정)</v>
      </c>
      <c r="M8" s="184"/>
      <c r="N8" s="184"/>
      <c r="O8" s="184"/>
      <c r="Q8" s="78"/>
      <c r="R8" s="1" t="s">
        <v>47</v>
      </c>
      <c r="S8" s="15" t="s">
        <v>46</v>
      </c>
      <c r="T8" s="129">
        <f>T7+AA8+V7*입력Tab!$D$15-Z8*100</f>
        <v>18637.061186999999</v>
      </c>
      <c r="U8" s="130"/>
      <c r="V8" s="129">
        <f>주식가치평가!U9</f>
        <v>10687.962786999999</v>
      </c>
      <c r="W8" s="130"/>
      <c r="X8" s="129">
        <f>주식가치평가!W9</f>
        <v>604.71299999999997</v>
      </c>
      <c r="Y8" s="130"/>
      <c r="Z8" s="77">
        <f>Z7</f>
        <v>3</v>
      </c>
      <c r="AA8" s="129">
        <f>주식가치평가!Y9-$G$11</f>
        <v>1750.2483999999999</v>
      </c>
      <c r="AB8" s="130"/>
      <c r="AC8" s="129">
        <f>T8-X8</f>
        <v>18032.348187</v>
      </c>
      <c r="AD8" s="130"/>
      <c r="AE8" s="129">
        <f t="shared" si="1"/>
        <v>17518.841999999997</v>
      </c>
      <c r="AF8" s="130"/>
      <c r="AG8" s="129">
        <f t="shared" si="2"/>
        <v>17826.945712199999</v>
      </c>
      <c r="AH8" s="130"/>
      <c r="AI8" s="129">
        <f>AG8*1000000/입력Tab!$K$8</f>
        <v>356538.91424399993</v>
      </c>
      <c r="AJ8" s="130"/>
    </row>
    <row r="9" spans="1:36" ht="16.5" customHeight="1">
      <c r="A9" s="17"/>
      <c r="B9" s="170" t="s">
        <v>141</v>
      </c>
      <c r="C9" s="115"/>
      <c r="D9" s="115" t="s">
        <v>39</v>
      </c>
      <c r="E9" s="115"/>
      <c r="F9" s="98" t="s">
        <v>142</v>
      </c>
      <c r="G9" s="109" t="s">
        <v>143</v>
      </c>
      <c r="H9" s="167" t="s">
        <v>144</v>
      </c>
      <c r="I9" s="168"/>
      <c r="J9" s="69" t="s">
        <v>145</v>
      </c>
      <c r="K9" s="169" t="s">
        <v>146</v>
      </c>
      <c r="L9" s="169"/>
      <c r="M9" s="170"/>
      <c r="N9" s="171" t="s">
        <v>147</v>
      </c>
      <c r="O9" s="172"/>
      <c r="R9" s="1" t="s">
        <v>50</v>
      </c>
      <c r="S9" s="15" t="s">
        <v>49</v>
      </c>
      <c r="T9" s="129">
        <f>T8+AA9+V8*입력Tab!$D$15-Z9*100</f>
        <v>20467.65592261</v>
      </c>
      <c r="U9" s="130"/>
      <c r="V9" s="129">
        <f>주식가치평가!U10</f>
        <v>11008.601670609998</v>
      </c>
      <c r="W9" s="130"/>
      <c r="X9" s="129">
        <f>주식가치평가!W10</f>
        <v>622.85438999999997</v>
      </c>
      <c r="Y9" s="130"/>
      <c r="Z9" s="77">
        <f t="shared" ref="Z9:Z32" si="3">Z8</f>
        <v>3</v>
      </c>
      <c r="AA9" s="129">
        <f>주식가치평가!Y10-$G$11</f>
        <v>1809.955852</v>
      </c>
      <c r="AB9" s="130"/>
      <c r="AC9" s="129">
        <f t="shared" ref="AC9:AC32" si="4">T9-X9</f>
        <v>19844.801532609999</v>
      </c>
      <c r="AD9" s="130"/>
      <c r="AE9" s="129">
        <f t="shared" si="1"/>
        <v>17704.40726</v>
      </c>
      <c r="AF9" s="130"/>
      <c r="AG9" s="129">
        <f t="shared" si="2"/>
        <v>18988.643823565999</v>
      </c>
      <c r="AH9" s="130"/>
      <c r="AI9" s="129">
        <f>AG9*1000000/입력Tab!$K$8</f>
        <v>379772.87647131993</v>
      </c>
      <c r="AJ9" s="130"/>
    </row>
    <row r="10" spans="1:36" ht="16.5" customHeight="1">
      <c r="A10" s="17"/>
      <c r="B10" s="163"/>
      <c r="C10" s="164"/>
      <c r="D10" s="163"/>
      <c r="E10" s="164"/>
      <c r="F10" s="99" t="s">
        <v>148</v>
      </c>
      <c r="G10" s="108" t="s">
        <v>149</v>
      </c>
      <c r="H10" s="165" t="s">
        <v>150</v>
      </c>
      <c r="I10" s="166"/>
      <c r="J10" s="70" t="s">
        <v>12</v>
      </c>
      <c r="K10" s="68" t="s">
        <v>119</v>
      </c>
      <c r="L10" s="18" t="s">
        <v>120</v>
      </c>
      <c r="M10" s="38" t="s">
        <v>151</v>
      </c>
      <c r="N10" s="173"/>
      <c r="O10" s="174"/>
      <c r="Q10" s="78"/>
      <c r="R10" s="1" t="s">
        <v>52</v>
      </c>
      <c r="S10" s="15" t="s">
        <v>51</v>
      </c>
      <c r="T10" s="129">
        <f>T9+AA10+V9*입력Tab!$D$15-Z10*100</f>
        <v>22369.368500288299</v>
      </c>
      <c r="U10" s="130"/>
      <c r="V10" s="129">
        <f>주식가치평가!U11</f>
        <v>11338.859720728298</v>
      </c>
      <c r="W10" s="130"/>
      <c r="X10" s="129">
        <f>주식가치평가!W11</f>
        <v>641.54002170000001</v>
      </c>
      <c r="Y10" s="130"/>
      <c r="Z10" s="77">
        <f t="shared" si="3"/>
        <v>3</v>
      </c>
      <c r="AA10" s="129">
        <f>주식가치평가!Y11-$G$11</f>
        <v>1871.4545275599999</v>
      </c>
      <c r="AB10" s="130"/>
      <c r="AC10" s="129">
        <f t="shared" si="4"/>
        <v>21727.828478588301</v>
      </c>
      <c r="AD10" s="130"/>
      <c r="AE10" s="129">
        <f t="shared" si="1"/>
        <v>18307.539477800001</v>
      </c>
      <c r="AF10" s="130"/>
      <c r="AG10" s="129">
        <f t="shared" si="2"/>
        <v>20359.712878272978</v>
      </c>
      <c r="AH10" s="130"/>
      <c r="AI10" s="129">
        <f>AG10*1000000/입력Tab!$K$8</f>
        <v>407194.25756545959</v>
      </c>
      <c r="AJ10" s="130"/>
    </row>
    <row r="11" spans="1:36" ht="16.5" customHeight="1">
      <c r="A11" s="17"/>
      <c r="B11" s="175" t="s">
        <v>70</v>
      </c>
      <c r="C11" s="176"/>
      <c r="D11" s="181">
        <f>입력Tab!P9</f>
        <v>5.0000000000000001E-3</v>
      </c>
      <c r="E11" s="181"/>
      <c r="F11" s="23">
        <f>입력Tab!Q9</f>
        <v>3</v>
      </c>
      <c r="G11" s="24">
        <f>$L$6*12/1000000</f>
        <v>240</v>
      </c>
      <c r="H11" s="185">
        <f>($L$6*12)*IF(입력Tab!$B$10=9.9%,0.099,IF(입력Tab!$B$10=20.9%,0.209,0.231))/10000</f>
        <v>5016</v>
      </c>
      <c r="I11" s="185"/>
      <c r="J11" s="88">
        <f>입력Tab!M9</f>
        <v>3</v>
      </c>
      <c r="K11" s="20">
        <f>주식가치평가!AE8/100</f>
        <v>177.23867739999997</v>
      </c>
      <c r="L11" s="25">
        <f>AG7/100</f>
        <v>169.09607739999998</v>
      </c>
      <c r="M11" s="39">
        <f>K11-L11</f>
        <v>8.1425999999999874</v>
      </c>
      <c r="N11" s="159">
        <f>M11*VLOOKUP(입력Tab!$B$11,총괄!$A$32:$B$36,2)+H11/10000</f>
        <v>4.5728999999999935</v>
      </c>
      <c r="O11" s="160"/>
      <c r="R11" s="1" t="s">
        <v>54</v>
      </c>
      <c r="S11" s="15" t="s">
        <v>53</v>
      </c>
      <c r="T11" s="129">
        <f>T10+AA11+V10*입력Tab!$D$15-Z11*100</f>
        <v>24344.33245529695</v>
      </c>
      <c r="U11" s="130"/>
      <c r="V11" s="129">
        <f>주식가치평가!U12</f>
        <v>11679.025512350147</v>
      </c>
      <c r="W11" s="130"/>
      <c r="X11" s="129">
        <f>주식가치평가!W12</f>
        <v>660.78622235099999</v>
      </c>
      <c r="Y11" s="130"/>
      <c r="Z11" s="77">
        <f t="shared" si="3"/>
        <v>3</v>
      </c>
      <c r="AA11" s="129">
        <f>주식가치평가!Y12-$G$11</f>
        <v>1934.7981633867998</v>
      </c>
      <c r="AB11" s="130"/>
      <c r="AC11" s="129">
        <f t="shared" si="4"/>
        <v>23683.546232945951</v>
      </c>
      <c r="AD11" s="130"/>
      <c r="AE11" s="129">
        <f t="shared" si="1"/>
        <v>18928.765662133999</v>
      </c>
      <c r="AF11" s="130"/>
      <c r="AG11" s="129">
        <f t="shared" si="2"/>
        <v>20830.677890458777</v>
      </c>
      <c r="AH11" s="130"/>
      <c r="AI11" s="129">
        <f>AG11*1000000/입력Tab!$K$8</f>
        <v>416613.55780917557</v>
      </c>
      <c r="AJ11" s="130"/>
    </row>
    <row r="12" spans="1:36" ht="16.5" customHeight="1">
      <c r="A12" s="17"/>
      <c r="B12" s="175" t="s">
        <v>46</v>
      </c>
      <c r="C12" s="176"/>
      <c r="D12" s="181">
        <f>입력Tab!P10</f>
        <v>0.15</v>
      </c>
      <c r="E12" s="181"/>
      <c r="F12" s="23">
        <f>입력Tab!Q10</f>
        <v>3</v>
      </c>
      <c r="G12" s="24">
        <f t="shared" ref="G12:G23" si="5">$L$6*12/1000000</f>
        <v>240</v>
      </c>
      <c r="H12" s="178">
        <f>($L$6*12)*IF(입력Tab!$B$10=9.9%,0.099,IF(입력Tab!$B$10=20.9%,0.209,0.231))/10000</f>
        <v>5016</v>
      </c>
      <c r="I12" s="179"/>
      <c r="J12" s="88">
        <f>J11</f>
        <v>3</v>
      </c>
      <c r="K12" s="20">
        <f>주식가치평가!AE9/100</f>
        <v>192.95773512199997</v>
      </c>
      <c r="L12" s="25">
        <f>AG8/100</f>
        <v>178.26945712199998</v>
      </c>
      <c r="M12" s="39">
        <f t="shared" ref="M12:M23" si="6">K12-L12</f>
        <v>14.688277999999997</v>
      </c>
      <c r="N12" s="160">
        <f>M12*VLOOKUP(입력Tab!$B$11,총괄!$A$32:$B$36,2)+H12/10000</f>
        <v>7.8457389999999982</v>
      </c>
      <c r="O12" s="150"/>
      <c r="R12" s="1" t="s">
        <v>57</v>
      </c>
      <c r="S12" s="15" t="s">
        <v>56</v>
      </c>
      <c r="T12" s="129">
        <f>T11+AA12+V11*입력Tab!$D$15-Z12*100</f>
        <v>26394.745328955862</v>
      </c>
      <c r="U12" s="130"/>
      <c r="V12" s="129">
        <f>주식가치평가!U13</f>
        <v>12029.396277720651</v>
      </c>
      <c r="W12" s="130"/>
      <c r="X12" s="129">
        <f>주식가치평가!W13</f>
        <v>680.60980902152994</v>
      </c>
      <c r="Y12" s="130"/>
      <c r="Z12" s="77">
        <f t="shared" si="3"/>
        <v>3</v>
      </c>
      <c r="AA12" s="129">
        <f>주식가치평가!Y13-$G$11</f>
        <v>2000.0421082884041</v>
      </c>
      <c r="AB12" s="130"/>
      <c r="AC12" s="129">
        <f t="shared" si="4"/>
        <v>25714.135519934331</v>
      </c>
      <c r="AD12" s="130"/>
      <c r="AE12" s="129">
        <f t="shared" si="1"/>
        <v>19568.628631998017</v>
      </c>
      <c r="AF12" s="130"/>
      <c r="AG12" s="129">
        <f t="shared" si="2"/>
        <v>22026.831387172544</v>
      </c>
      <c r="AH12" s="130"/>
      <c r="AI12" s="129">
        <f>AG12*1000000/입력Tab!$K$8</f>
        <v>440536.62774345087</v>
      </c>
      <c r="AJ12" s="130"/>
    </row>
    <row r="13" spans="1:36" ht="16.5" customHeight="1">
      <c r="B13" s="175" t="s">
        <v>49</v>
      </c>
      <c r="C13" s="176"/>
      <c r="D13" s="181">
        <f>입력Tab!P11</f>
        <v>0.25</v>
      </c>
      <c r="E13" s="181"/>
      <c r="F13" s="23">
        <f>입력Tab!Q11</f>
        <v>3</v>
      </c>
      <c r="G13" s="24">
        <f t="shared" si="5"/>
        <v>240</v>
      </c>
      <c r="H13" s="178">
        <f>($L$6*12)*IF(입력Tab!$B$10=9.9%,0.099,IF(입력Tab!$B$10=20.9%,0.209,0.231))/10000</f>
        <v>5016</v>
      </c>
      <c r="I13" s="179"/>
      <c r="J13" s="88">
        <f t="shared" ref="J13:J23" si="7">J12</f>
        <v>3</v>
      </c>
      <c r="K13" s="20">
        <f>주식가치평가!AE10/100</f>
        <v>206.69706725044</v>
      </c>
      <c r="L13" s="25">
        <f t="shared" ref="L13:L20" si="8">AG9/100</f>
        <v>189.88643823565999</v>
      </c>
      <c r="M13" s="39">
        <f t="shared" si="6"/>
        <v>16.810629014780005</v>
      </c>
      <c r="N13" s="160">
        <f>M13*VLOOKUP(입력Tab!$B$11,총괄!$A$32:$B$36,2)+H13/10000</f>
        <v>8.9069145073900025</v>
      </c>
      <c r="O13" s="150"/>
      <c r="Q13" s="58"/>
      <c r="R13" s="1" t="s">
        <v>60</v>
      </c>
      <c r="S13" s="15" t="s">
        <v>59</v>
      </c>
      <c r="T13" s="129">
        <f>T12+AA13+V12*입력Tab!$D$15-Z13*100</f>
        <v>28522.870588824539</v>
      </c>
      <c r="U13" s="130"/>
      <c r="V13" s="129">
        <f>주식가치평가!U14</f>
        <v>12390.278166052271</v>
      </c>
      <c r="W13" s="130"/>
      <c r="X13" s="129">
        <f>주식가치평가!W14</f>
        <v>701.02810329217584</v>
      </c>
      <c r="Y13" s="130"/>
      <c r="Z13" s="77">
        <f t="shared" si="3"/>
        <v>3</v>
      </c>
      <c r="AA13" s="129">
        <f>주식가치평가!Y14-$G$11</f>
        <v>2067.2433715370562</v>
      </c>
      <c r="AB13" s="130"/>
      <c r="AC13" s="129">
        <f t="shared" si="4"/>
        <v>27821.842485532361</v>
      </c>
      <c r="AD13" s="130"/>
      <c r="AE13" s="129">
        <f t="shared" si="1"/>
        <v>20227.68749095796</v>
      </c>
      <c r="AF13" s="130"/>
      <c r="AG13" s="129">
        <f t="shared" si="2"/>
        <v>23265.34948878772</v>
      </c>
      <c r="AH13" s="130"/>
      <c r="AI13" s="129">
        <f>AG13*1000000/입력Tab!$K$8</f>
        <v>465306.98977575439</v>
      </c>
      <c r="AJ13" s="130"/>
    </row>
    <row r="14" spans="1:36" ht="16.5" customHeight="1">
      <c r="B14" s="175" t="s">
        <v>51</v>
      </c>
      <c r="C14" s="176"/>
      <c r="D14" s="181">
        <f>입력Tab!P12</f>
        <v>0.35</v>
      </c>
      <c r="E14" s="181"/>
      <c r="F14" s="23">
        <f>입력Tab!Q12</f>
        <v>3</v>
      </c>
      <c r="G14" s="24">
        <f t="shared" si="5"/>
        <v>240</v>
      </c>
      <c r="H14" s="178">
        <f>($L$6*12)*IF(입력Tab!$B$10=9.9%,0.099,IF(입력Tab!$B$10=20.9%,0.209,0.231))/10000</f>
        <v>5016</v>
      </c>
      <c r="I14" s="179"/>
      <c r="J14" s="88">
        <f t="shared" si="7"/>
        <v>3</v>
      </c>
      <c r="K14" s="20">
        <f>주식가치평가!AE11/100</f>
        <v>220.08271086795321</v>
      </c>
      <c r="L14" s="25">
        <f t="shared" si="8"/>
        <v>203.59712878272978</v>
      </c>
      <c r="M14" s="39">
        <f t="shared" si="6"/>
        <v>16.485582085223427</v>
      </c>
      <c r="N14" s="160">
        <f>M14*VLOOKUP(입력Tab!$B$11,총괄!$A$32:$B$36,2)+H14/10000</f>
        <v>8.7443910426117135</v>
      </c>
      <c r="O14" s="150"/>
      <c r="R14" s="1" t="s">
        <v>63</v>
      </c>
      <c r="S14" s="15" t="s">
        <v>62</v>
      </c>
      <c r="T14" s="129">
        <f>T13+AA14+V13*입력Tab!$D$15-Z14*100</f>
        <v>30731.039606489278</v>
      </c>
      <c r="U14" s="130"/>
      <c r="V14" s="129">
        <f>주식가치평가!U15</f>
        <v>12761.986511033838</v>
      </c>
      <c r="W14" s="130"/>
      <c r="X14" s="129">
        <f>주식가치평가!W15</f>
        <v>722.05894639094117</v>
      </c>
      <c r="Y14" s="130"/>
      <c r="Z14" s="77">
        <f t="shared" si="3"/>
        <v>3</v>
      </c>
      <c r="AA14" s="129">
        <f>주식가치평가!Y15-$G$11</f>
        <v>2136.460672683168</v>
      </c>
      <c r="AB14" s="130"/>
      <c r="AC14" s="129">
        <f t="shared" si="4"/>
        <v>30008.980660098336</v>
      </c>
      <c r="AD14" s="130"/>
      <c r="AE14" s="129">
        <f t="shared" si="1"/>
        <v>20906.518115686697</v>
      </c>
      <c r="AF14" s="130"/>
      <c r="AG14" s="129">
        <f t="shared" si="2"/>
        <v>24547.503133451351</v>
      </c>
      <c r="AH14" s="130"/>
      <c r="AI14" s="129">
        <f>AG14*1000000/입력Tab!$K$8</f>
        <v>490950.06266902701</v>
      </c>
      <c r="AJ14" s="130"/>
    </row>
    <row r="15" spans="1:36" ht="16.5" customHeight="1">
      <c r="B15" s="175" t="s">
        <v>53</v>
      </c>
      <c r="C15" s="176"/>
      <c r="D15" s="181">
        <f>입력Tab!P13</f>
        <v>0.7</v>
      </c>
      <c r="E15" s="181"/>
      <c r="F15" s="23">
        <f>입력Tab!Q13</f>
        <v>3</v>
      </c>
      <c r="G15" s="24">
        <f t="shared" si="5"/>
        <v>240</v>
      </c>
      <c r="H15" s="178">
        <f>($L$6*12)*IF(입력Tab!$B$10=9.9%,0.099,IF(입력Tab!$B$10=20.9%,0.209,0.231))/10000</f>
        <v>5016</v>
      </c>
      <c r="I15" s="179"/>
      <c r="J15" s="88">
        <f t="shared" si="7"/>
        <v>3</v>
      </c>
      <c r="K15" s="20">
        <f>주식가치평가!AE12/100</f>
        <v>233.86992379399177</v>
      </c>
      <c r="L15" s="25">
        <f t="shared" si="8"/>
        <v>208.30677890458776</v>
      </c>
      <c r="M15" s="39">
        <f t="shared" si="6"/>
        <v>25.563144889404015</v>
      </c>
      <c r="N15" s="160">
        <f>M15*VLOOKUP(입력Tab!$B$11,총괄!$A$32:$B$36,2)+H15/10000</f>
        <v>13.283172444702007</v>
      </c>
      <c r="O15" s="150"/>
      <c r="R15" s="1" t="s">
        <v>65</v>
      </c>
      <c r="S15" s="15" t="s">
        <v>64</v>
      </c>
      <c r="T15" s="129">
        <f>T14+AA15+V14*입력Tab!$D$15-Z15*100</f>
        <v>33021.653694683955</v>
      </c>
      <c r="U15" s="130"/>
      <c r="V15" s="129">
        <f>주식가치평가!U16</f>
        <v>13144.846106364854</v>
      </c>
      <c r="W15" s="130"/>
      <c r="X15" s="129">
        <f>주식가치평가!W16</f>
        <v>743.72071478266946</v>
      </c>
      <c r="Y15" s="130"/>
      <c r="Z15" s="77">
        <f t="shared" si="3"/>
        <v>3</v>
      </c>
      <c r="AA15" s="129">
        <f>주식가치평가!Y16-$G$11</f>
        <v>2207.754492863663</v>
      </c>
      <c r="AB15" s="130"/>
      <c r="AC15" s="129">
        <f t="shared" si="4"/>
        <v>32277.932979901285</v>
      </c>
      <c r="AD15" s="130"/>
      <c r="AE15" s="129">
        <f t="shared" si="1"/>
        <v>21605.7136591573</v>
      </c>
      <c r="AF15" s="130"/>
      <c r="AG15" s="129">
        <f t="shared" si="2"/>
        <v>25874.601387454895</v>
      </c>
      <c r="AH15" s="130"/>
      <c r="AI15" s="129">
        <f>AG15*1000000/입력Tab!$K$8</f>
        <v>517492.02774909791</v>
      </c>
      <c r="AJ15" s="130"/>
    </row>
    <row r="16" spans="1:36" ht="16.5" customHeight="1">
      <c r="B16" s="175" t="s">
        <v>56</v>
      </c>
      <c r="C16" s="176"/>
      <c r="D16" s="181">
        <f>입력Tab!P14</f>
        <v>0.75</v>
      </c>
      <c r="E16" s="181"/>
      <c r="F16" s="23">
        <f>입력Tab!Q14</f>
        <v>3</v>
      </c>
      <c r="G16" s="24">
        <f t="shared" si="5"/>
        <v>240</v>
      </c>
      <c r="H16" s="178">
        <f>($L$6*12)*IF(입력Tab!$B$10=9.9%,0.099,IF(입력Tab!$B$10=20.9%,0.209,0.231))/10000</f>
        <v>5016</v>
      </c>
      <c r="I16" s="179"/>
      <c r="J16" s="88">
        <f t="shared" si="7"/>
        <v>3</v>
      </c>
      <c r="K16" s="20">
        <f>주식가치평가!AE13/100</f>
        <v>248.07075310781156</v>
      </c>
      <c r="L16" s="25">
        <f t="shared" si="8"/>
        <v>220.26831387172544</v>
      </c>
      <c r="M16" s="39">
        <f t="shared" si="6"/>
        <v>27.802439236086116</v>
      </c>
      <c r="N16" s="160">
        <f>M16*VLOOKUP(입력Tab!$B$11,총괄!$A$32:$B$36,2)+H16/10000</f>
        <v>14.402819618043058</v>
      </c>
      <c r="O16" s="150"/>
      <c r="R16" s="1" t="s">
        <v>67</v>
      </c>
      <c r="S16" s="15" t="s">
        <v>66</v>
      </c>
      <c r="T16" s="129">
        <f>T15+AA16+V15*입력Tab!$D$15-Z16*100</f>
        <v>35397.186205524471</v>
      </c>
      <c r="U16" s="130"/>
      <c r="V16" s="129">
        <f>주식가치평가!U17</f>
        <v>13539.1914895558</v>
      </c>
      <c r="W16" s="130"/>
      <c r="X16" s="129">
        <f>주식가치평가!W17</f>
        <v>766.0323362261496</v>
      </c>
      <c r="Y16" s="130"/>
      <c r="Z16" s="77">
        <f t="shared" si="3"/>
        <v>3</v>
      </c>
      <c r="AA16" s="129">
        <f>주식가치평가!Y17-$G$11</f>
        <v>2281.1871276495731</v>
      </c>
      <c r="AB16" s="130"/>
      <c r="AC16" s="129">
        <f t="shared" si="4"/>
        <v>34631.153869298323</v>
      </c>
      <c r="AD16" s="130"/>
      <c r="AE16" s="129">
        <f t="shared" si="1"/>
        <v>22325.885068932024</v>
      </c>
      <c r="AF16" s="130"/>
      <c r="AG16" s="129">
        <f t="shared" si="2"/>
        <v>27704.923095438658</v>
      </c>
      <c r="AH16" s="130"/>
      <c r="AI16" s="129">
        <f>AG16*1000000/입력Tab!$K$8</f>
        <v>554098.46190877317</v>
      </c>
      <c r="AJ16" s="130"/>
    </row>
    <row r="17" spans="1:36" ht="16.5" customHeight="1">
      <c r="B17" s="175" t="s">
        <v>59</v>
      </c>
      <c r="C17" s="176"/>
      <c r="D17" s="181">
        <f>입력Tab!P15</f>
        <v>0.8</v>
      </c>
      <c r="E17" s="181"/>
      <c r="F17" s="23">
        <f>입력Tab!Q15</f>
        <v>3</v>
      </c>
      <c r="G17" s="24">
        <f t="shared" si="5"/>
        <v>240</v>
      </c>
      <c r="H17" s="178">
        <f>($L$6*12)*IF(입력Tab!$B$10=9.9%,0.099,IF(입력Tab!$B$10=20.9%,0.209,0.231))/10000</f>
        <v>5016</v>
      </c>
      <c r="I17" s="179"/>
      <c r="J17" s="88">
        <f t="shared" si="7"/>
        <v>3</v>
      </c>
      <c r="K17" s="20">
        <f>주식가치평가!AE14/100</f>
        <v>262.69760730104588</v>
      </c>
      <c r="L17" s="25">
        <f t="shared" si="8"/>
        <v>232.6534948878772</v>
      </c>
      <c r="M17" s="39">
        <f t="shared" si="6"/>
        <v>30.044112413168676</v>
      </c>
      <c r="N17" s="160">
        <f>M17*VLOOKUP(입력Tab!$B$11,총괄!$A$32:$B$36,2)+H17/10000</f>
        <v>15.523656206584338</v>
      </c>
      <c r="O17" s="150"/>
      <c r="R17" s="1" t="s">
        <v>152</v>
      </c>
      <c r="S17" s="14" t="s">
        <v>68</v>
      </c>
      <c r="T17" s="129">
        <f>T16+AA17+V16*입력Tab!$D$15-Z17*100</f>
        <v>37860.184691690207</v>
      </c>
      <c r="U17" s="130"/>
      <c r="V17" s="129">
        <f>주식가치평가!U18</f>
        <v>13945.367234242474</v>
      </c>
      <c r="W17" s="130"/>
      <c r="X17" s="129">
        <f>주식가치평가!W18</f>
        <v>789.01330631293411</v>
      </c>
      <c r="Y17" s="130"/>
      <c r="Z17" s="77">
        <f t="shared" si="3"/>
        <v>3</v>
      </c>
      <c r="AA17" s="129">
        <f>주식가치평가!Y18-$G$11</f>
        <v>2356.8227414790604</v>
      </c>
      <c r="AB17" s="130"/>
      <c r="AC17" s="129">
        <f t="shared" si="4"/>
        <v>37071.171385377274</v>
      </c>
      <c r="AD17" s="130"/>
      <c r="AE17" s="131">
        <f t="shared" si="1"/>
        <v>23067.661620999981</v>
      </c>
      <c r="AF17" s="131"/>
      <c r="AG17" s="131">
        <f t="shared" si="2"/>
        <v>29656.93710830182</v>
      </c>
      <c r="AH17" s="131"/>
      <c r="AI17" s="129">
        <f>AG17*1000000/입력Tab!$K$8</f>
        <v>593138.74216603639</v>
      </c>
      <c r="AJ17" s="130"/>
    </row>
    <row r="18" spans="1:36" ht="16.5" customHeight="1">
      <c r="B18" s="175" t="s">
        <v>62</v>
      </c>
      <c r="C18" s="176"/>
      <c r="D18" s="181">
        <f>입력Tab!P16</f>
        <v>0.75</v>
      </c>
      <c r="E18" s="181"/>
      <c r="F18" s="23">
        <f>입력Tab!Q16</f>
        <v>3</v>
      </c>
      <c r="G18" s="24">
        <f t="shared" si="5"/>
        <v>240</v>
      </c>
      <c r="H18" s="178">
        <f>($L$6*12)*IF(입력Tab!$B$10=9.9%,0.099,IF(입력Tab!$B$10=20.9%,0.209,0.231))/10000</f>
        <v>5016</v>
      </c>
      <c r="I18" s="179"/>
      <c r="J18" s="88">
        <f t="shared" si="7"/>
        <v>3</v>
      </c>
      <c r="K18" s="20">
        <f>주식가치평가!AE15/100</f>
        <v>277.76326712007727</v>
      </c>
      <c r="L18" s="25">
        <f t="shared" si="8"/>
        <v>245.47503133451352</v>
      </c>
      <c r="M18" s="39">
        <f t="shared" si="6"/>
        <v>32.288235785563757</v>
      </c>
      <c r="N18" s="160">
        <f>M18*VLOOKUP(입력Tab!$B$11,총괄!$A$32:$B$36,2)+H18/10000</f>
        <v>16.645717892781878</v>
      </c>
      <c r="O18" s="150"/>
      <c r="R18" s="1" t="s">
        <v>153</v>
      </c>
      <c r="S18" s="14" t="s">
        <v>99</v>
      </c>
      <c r="T18" s="129">
        <f>T17+AA18+V17*입력Tab!$D$15-Z18*100</f>
        <v>40413.273132440911</v>
      </c>
      <c r="U18" s="130"/>
      <c r="V18" s="129">
        <f>주식가치평가!U19</f>
        <v>14363.728251269749</v>
      </c>
      <c r="W18" s="130"/>
      <c r="X18" s="129">
        <f>주식가치평가!W19</f>
        <v>812.68370550232214</v>
      </c>
      <c r="Y18" s="130"/>
      <c r="Z18" s="77">
        <f t="shared" si="3"/>
        <v>3</v>
      </c>
      <c r="AA18" s="129">
        <f>주식가치평가!Y19-$G$11</f>
        <v>2434.7274237234324</v>
      </c>
      <c r="AB18" s="130"/>
      <c r="AC18" s="129">
        <f t="shared" si="4"/>
        <v>39600.58942693859</v>
      </c>
      <c r="AD18" s="130"/>
      <c r="AE18" s="131">
        <f t="shared" si="1"/>
        <v>23831.691469629986</v>
      </c>
      <c r="AF18" s="131"/>
      <c r="AG18" s="131">
        <f t="shared" si="2"/>
        <v>31680.471541550873</v>
      </c>
      <c r="AH18" s="131"/>
      <c r="AI18" s="129">
        <f>AG18*1000000/입력Tab!$K$8</f>
        <v>633609.43083101744</v>
      </c>
      <c r="AJ18" s="130"/>
    </row>
    <row r="19" spans="1:36" ht="16.5" customHeight="1">
      <c r="B19" s="175" t="s">
        <v>64</v>
      </c>
      <c r="C19" s="176"/>
      <c r="D19" s="181">
        <f>입력Tab!P17</f>
        <v>0.87</v>
      </c>
      <c r="E19" s="181"/>
      <c r="F19" s="23">
        <f>입력Tab!Q17</f>
        <v>3</v>
      </c>
      <c r="G19" s="24">
        <f t="shared" si="5"/>
        <v>240</v>
      </c>
      <c r="H19" s="178">
        <f>($L$6*12)*IF(입력Tab!$B$10=9.9%,0.099,IF(입력Tab!$B$10=20.9%,0.209,0.231))/10000</f>
        <v>5016</v>
      </c>
      <c r="I19" s="179"/>
      <c r="J19" s="88">
        <f t="shared" si="7"/>
        <v>3</v>
      </c>
      <c r="K19" s="20">
        <f>주식가치평가!AE16/100</f>
        <v>298.49322955747158</v>
      </c>
      <c r="L19" s="25">
        <f t="shared" si="8"/>
        <v>258.74601387454896</v>
      </c>
      <c r="M19" s="39">
        <f t="shared" si="6"/>
        <v>39.747215682922615</v>
      </c>
      <c r="N19" s="160">
        <f>M19*VLOOKUP(입력Tab!$B$11,총괄!$A$32:$B$36,2)+H19/10000</f>
        <v>20.375207841461307</v>
      </c>
      <c r="O19" s="150"/>
      <c r="R19" s="1" t="s">
        <v>154</v>
      </c>
      <c r="S19" s="14" t="s">
        <v>100</v>
      </c>
      <c r="T19" s="129">
        <f>T18+AA19+V18*입력Tab!$D$15-Z19*100</f>
        <v>43059.154226414132</v>
      </c>
      <c r="U19" s="130"/>
      <c r="V19" s="129">
        <f>주식가치평가!U20</f>
        <v>14794.640098807842</v>
      </c>
      <c r="W19" s="130"/>
      <c r="X19" s="129">
        <f>주식가치평가!W20</f>
        <v>837.06421666739175</v>
      </c>
      <c r="Y19" s="130"/>
      <c r="Z19" s="77">
        <f t="shared" si="3"/>
        <v>3</v>
      </c>
      <c r="AA19" s="129">
        <f>주식가치평가!Y20-$G$11</f>
        <v>2514.9692464351351</v>
      </c>
      <c r="AB19" s="130"/>
      <c r="AC19" s="129">
        <f t="shared" si="4"/>
        <v>42222.090009746738</v>
      </c>
      <c r="AD19" s="130"/>
      <c r="AE19" s="131">
        <f t="shared" si="1"/>
        <v>24618.642213718878</v>
      </c>
      <c r="AF19" s="131"/>
      <c r="AG19" s="131">
        <f t="shared" si="2"/>
        <v>33777.672007797395</v>
      </c>
      <c r="AH19" s="131"/>
      <c r="AI19" s="129">
        <f>AG19*1000000/입력Tab!$K$8</f>
        <v>675553.44015594793</v>
      </c>
      <c r="AJ19" s="130"/>
    </row>
    <row r="20" spans="1:36" ht="16.5" customHeight="1">
      <c r="B20" s="175" t="s">
        <v>66</v>
      </c>
      <c r="C20" s="176"/>
      <c r="D20" s="181">
        <f>입력Tab!P18</f>
        <v>0.88</v>
      </c>
      <c r="E20" s="181"/>
      <c r="F20" s="23">
        <f>입력Tab!Q18</f>
        <v>3</v>
      </c>
      <c r="G20" s="24">
        <f t="shared" si="5"/>
        <v>240</v>
      </c>
      <c r="H20" s="178">
        <f>($L$6*12)*IF(입력Tab!$B$10=9.9%,0.099,IF(입력Tab!$B$10=20.9%,0.209,0.231))/10000</f>
        <v>5016</v>
      </c>
      <c r="I20" s="179"/>
      <c r="J20" s="88">
        <f t="shared" si="7"/>
        <v>3</v>
      </c>
      <c r="K20" s="20">
        <f>주식가치평가!AE17/100</f>
        <v>321.81748964419575</v>
      </c>
      <c r="L20" s="25">
        <f t="shared" si="8"/>
        <v>277.04923095438659</v>
      </c>
      <c r="M20" s="39">
        <f t="shared" si="6"/>
        <v>44.768258689809159</v>
      </c>
      <c r="N20" s="160">
        <f>M20*VLOOKUP(입력Tab!$B$11,총괄!$A$32:$B$36,2)+H20/10000</f>
        <v>22.885729344904579</v>
      </c>
      <c r="O20" s="150"/>
      <c r="R20" s="1" t="s">
        <v>155</v>
      </c>
      <c r="S20" s="14" t="s">
        <v>101</v>
      </c>
      <c r="T20" s="129">
        <f>T19+AA20+V19*입력Tab!$D$15-Z20*100</f>
        <v>45800.611753206555</v>
      </c>
      <c r="U20" s="130"/>
      <c r="V20" s="129">
        <f>주식가치평가!U21</f>
        <v>15238.479301772077</v>
      </c>
      <c r="W20" s="130"/>
      <c r="X20" s="129">
        <f>주식가치평가!W21</f>
        <v>862.17614316741356</v>
      </c>
      <c r="Y20" s="130"/>
      <c r="Z20" s="77">
        <f t="shared" si="3"/>
        <v>3</v>
      </c>
      <c r="AA20" s="129">
        <f>주식가치평가!Y21-$G$11</f>
        <v>2597.6183238281892</v>
      </c>
      <c r="AB20" s="130"/>
      <c r="AC20" s="129">
        <f t="shared" si="4"/>
        <v>44938.435610039138</v>
      </c>
      <c r="AD20" s="130"/>
      <c r="AE20" s="131">
        <f t="shared" si="1"/>
        <v>25429.20148013045</v>
      </c>
      <c r="AF20" s="131"/>
      <c r="AG20" s="131">
        <f t="shared" si="2"/>
        <v>35950.748488031313</v>
      </c>
      <c r="AH20" s="131"/>
      <c r="AI20" s="129">
        <f>AG20*1000000/입력Tab!$K$8</f>
        <v>719014.96976062621</v>
      </c>
      <c r="AJ20" s="130"/>
    </row>
    <row r="21" spans="1:36" ht="16.5" customHeight="1">
      <c r="B21" s="175" t="s">
        <v>156</v>
      </c>
      <c r="C21" s="176"/>
      <c r="D21" s="181">
        <f>입력Tab!P19</f>
        <v>0.87</v>
      </c>
      <c r="E21" s="181"/>
      <c r="F21" s="23">
        <f>입력Tab!Q19</f>
        <v>4.5</v>
      </c>
      <c r="G21" s="24">
        <f t="shared" si="5"/>
        <v>240</v>
      </c>
      <c r="H21" s="178">
        <f>($L$6*12)*IF(입력Tab!$B$10=9.9%,0.099,IF(입력Tab!$B$10=20.9%,0.209,0.231))/10000</f>
        <v>5016</v>
      </c>
      <c r="I21" s="179"/>
      <c r="J21" s="88">
        <f t="shared" si="7"/>
        <v>3</v>
      </c>
      <c r="K21" s="20">
        <f>주식가치평가!AE22/100</f>
        <v>449.36410404642209</v>
      </c>
      <c r="L21" s="25">
        <f>AG21/100</f>
        <v>382.01977262672261</v>
      </c>
      <c r="M21" s="39">
        <f t="shared" si="6"/>
        <v>67.344331419699472</v>
      </c>
      <c r="N21" s="160">
        <f>M21*VLOOKUP(입력Tab!$B$11,총괄!$A$32:$B$36,2)+H21/10000</f>
        <v>34.173765709849739</v>
      </c>
      <c r="O21" s="150"/>
      <c r="R21" s="1" t="s">
        <v>157</v>
      </c>
      <c r="S21" s="14" t="s">
        <v>102</v>
      </c>
      <c r="T21" s="129">
        <f>T20+AA21+V20*입력Tab!$D$15-Z21*100</f>
        <v>48640.513005802757</v>
      </c>
      <c r="U21" s="130"/>
      <c r="V21" s="129">
        <f>주식가치평가!U22</f>
        <v>15695.633680825238</v>
      </c>
      <c r="W21" s="130"/>
      <c r="X21" s="129">
        <f>주식가치평가!W22</f>
        <v>888.04142746243599</v>
      </c>
      <c r="Y21" s="130"/>
      <c r="Z21" s="77">
        <f t="shared" si="3"/>
        <v>3</v>
      </c>
      <c r="AA21" s="129">
        <f>주식가치평가!Y22-$G$11</f>
        <v>2682.7468735430348</v>
      </c>
      <c r="AB21" s="130"/>
      <c r="AC21" s="129">
        <f t="shared" si="4"/>
        <v>47752.471578340323</v>
      </c>
      <c r="AD21" s="130"/>
      <c r="AE21" s="131">
        <f t="shared" si="1"/>
        <v>26264.077524534361</v>
      </c>
      <c r="AF21" s="131"/>
      <c r="AG21" s="131">
        <f t="shared" si="2"/>
        <v>38201.977262672262</v>
      </c>
      <c r="AH21" s="131"/>
      <c r="AI21" s="129">
        <f>AG21*1000000/입력Tab!$K$8</f>
        <v>764039.54525344528</v>
      </c>
      <c r="AJ21" s="130"/>
    </row>
    <row r="22" spans="1:36" ht="16.5" customHeight="1">
      <c r="B22" s="175" t="s">
        <v>158</v>
      </c>
      <c r="C22" s="176"/>
      <c r="D22" s="181">
        <f>입력Tab!P20</f>
        <v>0.87</v>
      </c>
      <c r="E22" s="181"/>
      <c r="F22" s="23">
        <f>입력Tab!Q20</f>
        <v>6</v>
      </c>
      <c r="G22" s="24">
        <f t="shared" si="5"/>
        <v>240</v>
      </c>
      <c r="H22" s="178">
        <f>($L$6*12)*IF(입력Tab!$B$10=9.9%,0.099,IF(입력Tab!$B$10=20.9%,0.209,0.231))/10000</f>
        <v>5016</v>
      </c>
      <c r="I22" s="179"/>
      <c r="J22" s="88">
        <f t="shared" si="7"/>
        <v>3</v>
      </c>
      <c r="K22" s="20">
        <f>주식가치평가!AE27/100</f>
        <v>597.22558738766213</v>
      </c>
      <c r="L22" s="25">
        <f>AG26/100</f>
        <v>510.15980051053964</v>
      </c>
      <c r="M22" s="39">
        <f>K22-L22</f>
        <v>87.065786877122491</v>
      </c>
      <c r="N22" s="160">
        <f>M22*VLOOKUP(입력Tab!$B$11,총괄!$A$32:$B$36,2)+H22/10000</f>
        <v>44.034493438561249</v>
      </c>
      <c r="O22" s="150"/>
      <c r="R22" s="1" t="s">
        <v>159</v>
      </c>
      <c r="S22" s="14" t="s">
        <v>103</v>
      </c>
      <c r="T22" s="129">
        <f>T21+AA22+V21*입력Tab!$D$15-Z22*100</f>
        <v>51581.81129597684</v>
      </c>
      <c r="U22" s="130"/>
      <c r="V22" s="129">
        <f>주식가치평가!U23</f>
        <v>16166.502691249996</v>
      </c>
      <c r="W22" s="130"/>
      <c r="X22" s="129">
        <f>주식가치평가!W23</f>
        <v>914.68267028630908</v>
      </c>
      <c r="Y22" s="130"/>
      <c r="Z22" s="77">
        <f t="shared" si="3"/>
        <v>3</v>
      </c>
      <c r="AA22" s="129">
        <f>주식가치평가!Y23-$G$11</f>
        <v>2770.4292797493258</v>
      </c>
      <c r="AB22" s="130"/>
      <c r="AC22" s="129">
        <f t="shared" si="4"/>
        <v>50667.12862569053</v>
      </c>
      <c r="AD22" s="130"/>
      <c r="AE22" s="131">
        <f t="shared" si="1"/>
        <v>27123.999850270393</v>
      </c>
      <c r="AF22" s="131"/>
      <c r="AG22" s="131">
        <f t="shared" si="2"/>
        <v>40533.702900552424</v>
      </c>
      <c r="AH22" s="131"/>
      <c r="AI22" s="129">
        <f>AG22*1000000/입력Tab!$K$8</f>
        <v>810674.05801104847</v>
      </c>
      <c r="AJ22" s="130"/>
    </row>
    <row r="23" spans="1:36" ht="16.5" customHeight="1">
      <c r="B23" s="175" t="s">
        <v>160</v>
      </c>
      <c r="C23" s="176"/>
      <c r="D23" s="181">
        <f>입력Tab!P21</f>
        <v>0.87</v>
      </c>
      <c r="E23" s="181"/>
      <c r="F23" s="23">
        <f>입력Tab!Q21</f>
        <v>7.5</v>
      </c>
      <c r="G23" s="24">
        <f t="shared" si="5"/>
        <v>240</v>
      </c>
      <c r="H23" s="178">
        <f>($L$6*12)*IF(입력Tab!$B$10=9.9%,0.099,IF(입력Tab!$B$10=20.9%,0.209,0.231))/10000</f>
        <v>5016</v>
      </c>
      <c r="I23" s="179"/>
      <c r="J23" s="88">
        <f t="shared" si="7"/>
        <v>3</v>
      </c>
      <c r="K23" s="20">
        <f>주식가치평가!AE32/100</f>
        <v>768.63757161270314</v>
      </c>
      <c r="L23" s="25">
        <f>AG31/100</f>
        <v>669.01912825389093</v>
      </c>
      <c r="M23" s="39">
        <f t="shared" si="6"/>
        <v>99.618443358812215</v>
      </c>
      <c r="N23" s="160">
        <f>M23*VLOOKUP(입력Tab!$B$11,총괄!$A$32:$B$36,2)+H23/10000</f>
        <v>50.310821679406111</v>
      </c>
      <c r="O23" s="150"/>
      <c r="R23" s="1" t="s">
        <v>161</v>
      </c>
      <c r="S23" s="14" t="s">
        <v>104</v>
      </c>
      <c r="T23" s="129">
        <f>T22+AA23+V22*입력Tab!$D$15-Z23*100</f>
        <v>54627.548534856149</v>
      </c>
      <c r="U23" s="130"/>
      <c r="V23" s="129">
        <f>주식가치평가!U24</f>
        <v>16651.497771987495</v>
      </c>
      <c r="W23" s="130"/>
      <c r="X23" s="129">
        <f>주식가치평가!W24</f>
        <v>942.1231503948984</v>
      </c>
      <c r="Y23" s="130"/>
      <c r="Z23" s="77">
        <f t="shared" si="3"/>
        <v>3</v>
      </c>
      <c r="AA23" s="129">
        <f>주식가치평가!Y24-$G$11</f>
        <v>2860.7421581418057</v>
      </c>
      <c r="AB23" s="130"/>
      <c r="AC23" s="129">
        <f t="shared" si="4"/>
        <v>53685.425384461254</v>
      </c>
      <c r="AD23" s="130"/>
      <c r="AE23" s="131">
        <f t="shared" si="1"/>
        <v>28009.719845778502</v>
      </c>
      <c r="AF23" s="131"/>
      <c r="AG23" s="131">
        <f t="shared" si="2"/>
        <v>42948.340307569008</v>
      </c>
      <c r="AH23" s="131"/>
      <c r="AI23" s="129">
        <f>AG23*1000000/입력Tab!$K$8</f>
        <v>858966.80615138018</v>
      </c>
      <c r="AJ23" s="130"/>
    </row>
    <row r="24" spans="1:36" ht="16.5" customHeight="1">
      <c r="B24" s="177"/>
      <c r="C24" s="177"/>
      <c r="D24" s="199"/>
      <c r="E24" s="199"/>
      <c r="F24" s="79"/>
      <c r="G24" s="90"/>
      <c r="H24" s="180"/>
      <c r="I24" s="180"/>
      <c r="J24" s="91"/>
      <c r="K24" s="21"/>
      <c r="L24" s="107"/>
      <c r="M24" s="92"/>
      <c r="N24" s="182"/>
      <c r="O24" s="182"/>
      <c r="R24" s="1" t="s">
        <v>162</v>
      </c>
      <c r="S24" s="14" t="s">
        <v>105</v>
      </c>
      <c r="T24" s="129">
        <f>T23+AA24+V23*입력Tab!$D$15-Z24*100</f>
        <v>57780.857890901832</v>
      </c>
      <c r="U24" s="130"/>
      <c r="V24" s="129">
        <f>주식가치평가!U25</f>
        <v>17151.04270514712</v>
      </c>
      <c r="W24" s="130"/>
      <c r="X24" s="129">
        <f>주식가치평가!W25</f>
        <v>970.38684490674541</v>
      </c>
      <c r="Y24" s="130"/>
      <c r="Z24" s="77">
        <f t="shared" si="3"/>
        <v>3</v>
      </c>
      <c r="AA24" s="129">
        <f>주식가치평가!Y25-$G$11</f>
        <v>2953.7644228860599</v>
      </c>
      <c r="AB24" s="130"/>
      <c r="AC24" s="129">
        <f t="shared" si="4"/>
        <v>56810.471045995087</v>
      </c>
      <c r="AD24" s="130"/>
      <c r="AE24" s="131">
        <f t="shared" si="1"/>
        <v>28922.011441151863</v>
      </c>
      <c r="AF24" s="131"/>
      <c r="AG24" s="131">
        <f t="shared" si="2"/>
        <v>45448.376836796073</v>
      </c>
      <c r="AH24" s="131"/>
      <c r="AI24" s="129">
        <f>AG24*1000000/입력Tab!$K$8</f>
        <v>908967.53673592152</v>
      </c>
      <c r="AJ24" s="130"/>
    </row>
    <row r="25" spans="1:36" ht="16.5" customHeight="1">
      <c r="B25" s="146"/>
      <c r="C25" s="146"/>
      <c r="D25" s="147"/>
      <c r="E25" s="147"/>
      <c r="F25" s="148"/>
      <c r="G25" s="148"/>
      <c r="H25" s="149"/>
      <c r="I25" s="149"/>
      <c r="J25" s="104"/>
      <c r="K25" s="36"/>
      <c r="N25" s="146"/>
      <c r="O25" s="146"/>
      <c r="R25" s="1" t="s">
        <v>163</v>
      </c>
      <c r="S25" s="14" t="s">
        <v>106</v>
      </c>
      <c r="T25" s="129">
        <f>T24+AA25+V24*입력Tab!$D$15-Z25*100</f>
        <v>61245.30178858326</v>
      </c>
      <c r="U25" s="130"/>
      <c r="V25" s="129">
        <f>주식가치평가!U28</f>
        <v>18741.407442067295</v>
      </c>
      <c r="W25" s="130"/>
      <c r="X25" s="129">
        <f>주식가치평가!W28</f>
        <v>1060.3679058744133</v>
      </c>
      <c r="Y25" s="130"/>
      <c r="Z25" s="77">
        <f t="shared" si="3"/>
        <v>3</v>
      </c>
      <c r="AA25" s="129">
        <f>주식가치평가!Y28-$G$11</f>
        <v>3249.9126165270159</v>
      </c>
      <c r="AB25" s="130"/>
      <c r="AC25" s="129">
        <f t="shared" si="4"/>
        <v>60184.933882708843</v>
      </c>
      <c r="AD25" s="130"/>
      <c r="AE25" s="131">
        <f t="shared" ref="AE25:AE26" si="9">(AA25*3+AA24*2+AA23*1)/6/0.1</f>
        <v>30863.348089158291</v>
      </c>
      <c r="AF25" s="131"/>
      <c r="AG25" s="129">
        <f t="shared" si="2"/>
        <v>48147.947106167077</v>
      </c>
      <c r="AH25" s="130"/>
      <c r="AI25" s="129">
        <f>AG25*1000000/입력Tab!$K$8</f>
        <v>962958.94212334149</v>
      </c>
      <c r="AJ25" s="130"/>
    </row>
    <row r="26" spans="1:36" ht="16.5" customHeight="1">
      <c r="B26" s="183" t="s">
        <v>164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R26" s="1" t="s">
        <v>165</v>
      </c>
      <c r="S26" s="14" t="s">
        <v>107</v>
      </c>
      <c r="T26" s="129">
        <f>T25+AA26+V25*입력Tab!$D$15-Z26*100</f>
        <v>64862.154006868099</v>
      </c>
      <c r="U26" s="130"/>
      <c r="V26" s="129">
        <f>주식가치평가!U29</f>
        <v>19303.649665329314</v>
      </c>
      <c r="W26" s="130"/>
      <c r="X26" s="129">
        <f>주식가치평가!W29</f>
        <v>1092.1789430506458</v>
      </c>
      <c r="Y26" s="130"/>
      <c r="Z26" s="77">
        <f t="shared" si="3"/>
        <v>3</v>
      </c>
      <c r="AA26" s="129">
        <f>주식가치평가!Y29-$G$11</f>
        <v>3354.6099950228263</v>
      </c>
      <c r="AB26" s="130"/>
      <c r="AC26" s="129">
        <f t="shared" si="4"/>
        <v>63769.975063817452</v>
      </c>
      <c r="AD26" s="130"/>
      <c r="AE26" s="131">
        <f t="shared" si="9"/>
        <v>32529.03273501428</v>
      </c>
      <c r="AF26" s="131"/>
      <c r="AG26" s="129">
        <f t="shared" si="2"/>
        <v>51015.980051053964</v>
      </c>
      <c r="AH26" s="130"/>
      <c r="AI26" s="129">
        <f>AG26*1000000/입력Tab!$K$8</f>
        <v>1020319.6010210792</v>
      </c>
      <c r="AJ26" s="130"/>
    </row>
    <row r="27" spans="1:36" ht="16.5" customHeight="1">
      <c r="B27" s="183" t="s">
        <v>166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R27" s="1" t="s">
        <v>26</v>
      </c>
      <c r="S27" s="14" t="s">
        <v>108</v>
      </c>
      <c r="T27" s="129">
        <f>T26+AA27+V26*입력Tab!$D$15-Z27*100</f>
        <v>68603.711791701498</v>
      </c>
      <c r="U27" s="130"/>
      <c r="V27" s="129">
        <f>주식가치평가!U30</f>
        <v>19882.759155289194</v>
      </c>
      <c r="W27" s="130"/>
      <c r="X27" s="129">
        <f>주식가치평가!W30</f>
        <v>1124.9443113421651</v>
      </c>
      <c r="Y27" s="130"/>
      <c r="Z27" s="77">
        <f t="shared" si="3"/>
        <v>3</v>
      </c>
      <c r="AA27" s="129">
        <f>주식가치평가!Y30-$G$11</f>
        <v>3462.4482948735113</v>
      </c>
      <c r="AB27" s="130"/>
      <c r="AC27" s="129">
        <f t="shared" si="4"/>
        <v>67478.76748035934</v>
      </c>
      <c r="AD27" s="130"/>
      <c r="AE27" s="129">
        <f t="shared" si="1"/>
        <v>33910.795818655337</v>
      </c>
      <c r="AF27" s="130"/>
      <c r="AG27" s="129">
        <f t="shared" si="2"/>
        <v>53983.013984287478</v>
      </c>
      <c r="AH27" s="130"/>
      <c r="AI27" s="129">
        <f>AG27*1000000/입력Tab!$K$8</f>
        <v>1079660.2796857494</v>
      </c>
      <c r="AJ27" s="130"/>
    </row>
    <row r="28" spans="1:36" ht="16.5" customHeight="1">
      <c r="A28" s="127" t="s">
        <v>83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" t="s">
        <v>29</v>
      </c>
      <c r="S28" s="14" t="s">
        <v>109</v>
      </c>
      <c r="T28" s="129">
        <f>T27+AA28+V27*입력Tab!$D$15-Z28*100</f>
        <v>72473.716310079893</v>
      </c>
      <c r="U28" s="130"/>
      <c r="V28" s="129">
        <f>주식가치평가!U31</f>
        <v>20479.241929947868</v>
      </c>
      <c r="W28" s="130"/>
      <c r="X28" s="129">
        <f>주식가치평가!W31</f>
        <v>1158.69264068243</v>
      </c>
      <c r="Y28" s="130"/>
      <c r="Z28" s="77">
        <f t="shared" si="3"/>
        <v>3</v>
      </c>
      <c r="AA28" s="129">
        <f>주식가치평가!Y31-$G$11</f>
        <v>3573.5217437197166</v>
      </c>
      <c r="AB28" s="130"/>
      <c r="AC28" s="129">
        <f t="shared" si="4"/>
        <v>71315.023669397458</v>
      </c>
      <c r="AD28" s="130"/>
      <c r="AE28" s="131">
        <f>(AA28*3+AA27*2+AA26*1)/6/0.1</f>
        <v>35000.119693214998</v>
      </c>
      <c r="AF28" s="131"/>
      <c r="AG28" s="131">
        <f t="shared" si="2"/>
        <v>57052.018935517968</v>
      </c>
      <c r="AH28" s="131"/>
      <c r="AI28" s="129">
        <f>AG28*1000000/입력Tab!$K$8</f>
        <v>1141040.3787103593</v>
      </c>
      <c r="AJ28" s="130"/>
    </row>
    <row r="29" spans="1:36" ht="16.5" customHeight="1">
      <c r="R29" s="1" t="s">
        <v>33</v>
      </c>
      <c r="S29" s="14" t="s">
        <v>110</v>
      </c>
      <c r="T29" s="129">
        <f>T28+AA29+V28*입력Tab!$D$15-Z29*100</f>
        <v>76476.020964009644</v>
      </c>
      <c r="U29" s="130"/>
      <c r="V29" s="129">
        <f>주식가치평가!U32</f>
        <v>21093.619187846303</v>
      </c>
      <c r="W29" s="130"/>
      <c r="X29" s="129">
        <f>주식가치평가!W32</f>
        <v>1193.4534199029029</v>
      </c>
      <c r="Y29" s="130"/>
      <c r="Z29" s="77">
        <f t="shared" si="3"/>
        <v>3</v>
      </c>
      <c r="AA29" s="129">
        <f>주식가치평가!Y32-$G$11</f>
        <v>3687.927396031308</v>
      </c>
      <c r="AB29" s="130"/>
      <c r="AC29" s="129">
        <f t="shared" si="4"/>
        <v>75282.567544106743</v>
      </c>
      <c r="AD29" s="130"/>
      <c r="AE29" s="131">
        <f>(AA29*3+AA28*2+AA27*1)/6/0.1</f>
        <v>36122.123284011446</v>
      </c>
      <c r="AF29" s="131"/>
      <c r="AG29" s="131">
        <f t="shared" si="2"/>
        <v>60226.0540352854</v>
      </c>
      <c r="AH29" s="131"/>
      <c r="AI29" s="129">
        <f>AG29*1000000/입력Tab!$K$8</f>
        <v>1204521.0807057079</v>
      </c>
      <c r="AJ29" s="130"/>
    </row>
    <row r="30" spans="1:36" ht="20.45">
      <c r="R30" s="1" t="s">
        <v>37</v>
      </c>
      <c r="S30" s="14" t="s">
        <v>111</v>
      </c>
      <c r="T30" s="129">
        <f>T29+AA30+V29*입력Tab!$D$15-Z30*100</f>
        <v>80614.594757557279</v>
      </c>
      <c r="U30" s="130"/>
      <c r="V30" s="129">
        <f>주식가치평가!U33</f>
        <v>21726.427763481694</v>
      </c>
      <c r="W30" s="130"/>
      <c r="X30" s="129">
        <f>주식가치평가!W33</f>
        <v>1229.2570224999899</v>
      </c>
      <c r="Y30" s="130"/>
      <c r="Z30" s="77">
        <f t="shared" si="3"/>
        <v>3</v>
      </c>
      <c r="AA30" s="129">
        <f>주식가치평가!Y33-$G$11</f>
        <v>3805.7652179122474</v>
      </c>
      <c r="AB30" s="130"/>
      <c r="AC30" s="129">
        <f t="shared" si="4"/>
        <v>79385.337735057285</v>
      </c>
      <c r="AD30" s="130"/>
      <c r="AE30" s="131">
        <f t="shared" si="1"/>
        <v>37277.78698253179</v>
      </c>
      <c r="AF30" s="131"/>
      <c r="AG30" s="131">
        <f t="shared" si="2"/>
        <v>63508.270188045833</v>
      </c>
      <c r="AH30" s="131"/>
      <c r="AI30" s="129">
        <f>AG30*1000000/입력Tab!$K$8</f>
        <v>1270165.4037609166</v>
      </c>
      <c r="AJ30" s="130"/>
    </row>
    <row r="31" spans="1:36" ht="20.45">
      <c r="R31" s="1" t="s">
        <v>42</v>
      </c>
      <c r="S31" s="14" t="s">
        <v>112</v>
      </c>
      <c r="T31" s="129">
        <f>T30+AA31+V30*입력Tab!$D$15-Z31*100</f>
        <v>84893.525764911348</v>
      </c>
      <c r="U31" s="130"/>
      <c r="V31" s="129">
        <f>주식가치평가!U34</f>
        <v>22378.220596386145</v>
      </c>
      <c r="W31" s="130"/>
      <c r="X31" s="129">
        <f>주식가치평가!W34</f>
        <v>1266.1347331749896</v>
      </c>
      <c r="Y31" s="130"/>
      <c r="Z31" s="77">
        <f t="shared" si="3"/>
        <v>3</v>
      </c>
      <c r="AA31" s="129">
        <f>주식가치평가!Y34-$G$11</f>
        <v>3927.1381744496148</v>
      </c>
      <c r="AB31" s="130"/>
      <c r="AC31" s="129">
        <f t="shared" si="4"/>
        <v>83627.391031736362</v>
      </c>
      <c r="AD31" s="130"/>
      <c r="AE31" s="131">
        <f t="shared" si="1"/>
        <v>38468.120592007741</v>
      </c>
      <c r="AF31" s="131"/>
      <c r="AG31" s="131">
        <f t="shared" si="2"/>
        <v>66901.912825389096</v>
      </c>
      <c r="AH31" s="131"/>
      <c r="AI31" s="129">
        <f>AG31*1000000/입력Tab!$K$8</f>
        <v>1338038.256507782</v>
      </c>
      <c r="AJ31" s="130"/>
    </row>
    <row r="32" spans="1:36" ht="20.45">
      <c r="A32" s="26">
        <v>0.1</v>
      </c>
      <c r="B32" s="1">
        <v>0.1</v>
      </c>
      <c r="R32" s="1" t="s">
        <v>46</v>
      </c>
      <c r="S32" s="14" t="s">
        <v>113</v>
      </c>
      <c r="T32" s="132">
        <f>T31+AA32+V31*입력Tab!$D$15-Z32*100</f>
        <v>89317.024702486029</v>
      </c>
      <c r="U32" s="133"/>
      <c r="V32" s="132">
        <f>주식가치평가!U35</f>
        <v>23049.567214277729</v>
      </c>
      <c r="W32" s="133"/>
      <c r="X32" s="132">
        <f>주식가치평가!W35</f>
        <v>1304.1187751702394</v>
      </c>
      <c r="Y32" s="133"/>
      <c r="Z32" s="89">
        <f t="shared" si="3"/>
        <v>3</v>
      </c>
      <c r="AA32" s="132">
        <f>주식가치평가!Y35-$G$11</f>
        <v>4052.1523196831031</v>
      </c>
      <c r="AB32" s="133"/>
      <c r="AC32" s="132">
        <f t="shared" si="4"/>
        <v>88012.905927315791</v>
      </c>
      <c r="AD32" s="133"/>
      <c r="AE32" s="134">
        <f t="shared" si="1"/>
        <v>39694.16420976798</v>
      </c>
      <c r="AF32" s="134"/>
      <c r="AG32" s="134">
        <f t="shared" si="2"/>
        <v>70410.32474185263</v>
      </c>
      <c r="AH32" s="134"/>
      <c r="AI32" s="132">
        <f>AG32*1000000/입력Tab!$K$8</f>
        <v>1408206.4948370527</v>
      </c>
      <c r="AJ32" s="133"/>
    </row>
    <row r="33" spans="1:2">
      <c r="A33" s="26">
        <v>0.2</v>
      </c>
      <c r="B33" s="1">
        <v>0.2</v>
      </c>
    </row>
    <row r="34" spans="1:2">
      <c r="A34" s="26">
        <v>0.3</v>
      </c>
      <c r="B34" s="1">
        <v>0.3</v>
      </c>
    </row>
    <row r="35" spans="1:2">
      <c r="A35" s="26">
        <v>0.4</v>
      </c>
      <c r="B35" s="1">
        <v>0.4</v>
      </c>
    </row>
    <row r="36" spans="1:2">
      <c r="A36" s="26">
        <v>0.5</v>
      </c>
      <c r="B36" s="1">
        <v>0.5</v>
      </c>
    </row>
  </sheetData>
  <mergeCells count="343">
    <mergeCell ref="B26:O26"/>
    <mergeCell ref="B27:O27"/>
    <mergeCell ref="L8:O8"/>
    <mergeCell ref="H11:I11"/>
    <mergeCell ref="L6:M6"/>
    <mergeCell ref="N6:O6"/>
    <mergeCell ref="A2:P2"/>
    <mergeCell ref="G5:H5"/>
    <mergeCell ref="G6:H6"/>
    <mergeCell ref="B6:D6"/>
    <mergeCell ref="B5:D5"/>
    <mergeCell ref="E5:F5"/>
    <mergeCell ref="E6:F6"/>
    <mergeCell ref="I5:K5"/>
    <mergeCell ref="I6:K6"/>
    <mergeCell ref="L5:M5"/>
    <mergeCell ref="D24:E24"/>
    <mergeCell ref="D17:E17"/>
    <mergeCell ref="D18:E18"/>
    <mergeCell ref="D19:E19"/>
    <mergeCell ref="D20:E20"/>
    <mergeCell ref="D21:E21"/>
    <mergeCell ref="D11:E11"/>
    <mergeCell ref="H17:I17"/>
    <mergeCell ref="H18:I18"/>
    <mergeCell ref="H19:I1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D12:E12"/>
    <mergeCell ref="D13:E13"/>
    <mergeCell ref="D14:E14"/>
    <mergeCell ref="D15:E15"/>
    <mergeCell ref="D16:E16"/>
    <mergeCell ref="H12:I12"/>
    <mergeCell ref="H13:I13"/>
    <mergeCell ref="H14:I14"/>
    <mergeCell ref="H15:I15"/>
    <mergeCell ref="H16:I16"/>
    <mergeCell ref="N21:O21"/>
    <mergeCell ref="B20:C20"/>
    <mergeCell ref="B21:C21"/>
    <mergeCell ref="B22:C22"/>
    <mergeCell ref="B23:C23"/>
    <mergeCell ref="B24:C24"/>
    <mergeCell ref="H20:I20"/>
    <mergeCell ref="H21:I21"/>
    <mergeCell ref="H22:I22"/>
    <mergeCell ref="H23:I23"/>
    <mergeCell ref="H24:I24"/>
    <mergeCell ref="D22:E22"/>
    <mergeCell ref="D23:E23"/>
    <mergeCell ref="N22:O22"/>
    <mergeCell ref="N23:O23"/>
    <mergeCell ref="N24:O24"/>
    <mergeCell ref="N20:O20"/>
    <mergeCell ref="N5:O5"/>
    <mergeCell ref="B10:C10"/>
    <mergeCell ref="D10:E10"/>
    <mergeCell ref="H10:I10"/>
    <mergeCell ref="H9:I9"/>
    <mergeCell ref="K9:M9"/>
    <mergeCell ref="B9:C9"/>
    <mergeCell ref="N9:O9"/>
    <mergeCell ref="N10:O10"/>
    <mergeCell ref="D9:E9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B25:C25"/>
    <mergeCell ref="D25:E25"/>
    <mergeCell ref="F25:G25"/>
    <mergeCell ref="H25:I25"/>
    <mergeCell ref="N25:O25"/>
    <mergeCell ref="AE1:AF1"/>
    <mergeCell ref="AG1:AH1"/>
    <mergeCell ref="AI1:AJ1"/>
    <mergeCell ref="T2:U2"/>
    <mergeCell ref="V2:W2"/>
    <mergeCell ref="X2:Y2"/>
    <mergeCell ref="AA2:AB2"/>
    <mergeCell ref="AC2:AD2"/>
    <mergeCell ref="AE2:AF2"/>
    <mergeCell ref="AG2:AH2"/>
    <mergeCell ref="AI2:AJ2"/>
    <mergeCell ref="T1:U1"/>
    <mergeCell ref="V1:W1"/>
    <mergeCell ref="X1:Y1"/>
    <mergeCell ref="AA1:AB1"/>
    <mergeCell ref="AC1:AD1"/>
    <mergeCell ref="AE3:AF3"/>
    <mergeCell ref="AG3:AH3"/>
    <mergeCell ref="AI3:AJ3"/>
    <mergeCell ref="T4:U4"/>
    <mergeCell ref="V4:W4"/>
    <mergeCell ref="X4:Y4"/>
    <mergeCell ref="AA4:AB4"/>
    <mergeCell ref="AC4:AD4"/>
    <mergeCell ref="AE4:AF4"/>
    <mergeCell ref="AG4:AH4"/>
    <mergeCell ref="AI4:AJ4"/>
    <mergeCell ref="T3:U3"/>
    <mergeCell ref="V3:W3"/>
    <mergeCell ref="X3:Y3"/>
    <mergeCell ref="AA3:AB3"/>
    <mergeCell ref="AC3:AD3"/>
    <mergeCell ref="AE5:AF5"/>
    <mergeCell ref="AG5:AH5"/>
    <mergeCell ref="AI5:AJ5"/>
    <mergeCell ref="T6:U6"/>
    <mergeCell ref="V6:W6"/>
    <mergeCell ref="X6:Y6"/>
    <mergeCell ref="AA6:AB6"/>
    <mergeCell ref="AC6:AD6"/>
    <mergeCell ref="AE6:AF6"/>
    <mergeCell ref="AG6:AH6"/>
    <mergeCell ref="AI6:AJ6"/>
    <mergeCell ref="T5:U5"/>
    <mergeCell ref="V5:W5"/>
    <mergeCell ref="X5:Y5"/>
    <mergeCell ref="AA5:AB5"/>
    <mergeCell ref="AC5:AD5"/>
    <mergeCell ref="AE7:AF7"/>
    <mergeCell ref="AG7:AH7"/>
    <mergeCell ref="AI7:AJ7"/>
    <mergeCell ref="T8:U8"/>
    <mergeCell ref="V8:W8"/>
    <mergeCell ref="X8:Y8"/>
    <mergeCell ref="AA8:AB8"/>
    <mergeCell ref="AC8:AD8"/>
    <mergeCell ref="AE8:AF8"/>
    <mergeCell ref="AG8:AH8"/>
    <mergeCell ref="AI8:AJ8"/>
    <mergeCell ref="T7:U7"/>
    <mergeCell ref="V7:W7"/>
    <mergeCell ref="X7:Y7"/>
    <mergeCell ref="AA7:AB7"/>
    <mergeCell ref="AC7:AD7"/>
    <mergeCell ref="AE9:AF9"/>
    <mergeCell ref="AG9:AH9"/>
    <mergeCell ref="AI9:AJ9"/>
    <mergeCell ref="T10:U10"/>
    <mergeCell ref="V10:W10"/>
    <mergeCell ref="X10:Y10"/>
    <mergeCell ref="AA10:AB10"/>
    <mergeCell ref="AC10:AD10"/>
    <mergeCell ref="AE10:AF10"/>
    <mergeCell ref="AG10:AH10"/>
    <mergeCell ref="AI10:AJ10"/>
    <mergeCell ref="T9:U9"/>
    <mergeCell ref="V9:W9"/>
    <mergeCell ref="X9:Y9"/>
    <mergeCell ref="AA9:AB9"/>
    <mergeCell ref="AC9:AD9"/>
    <mergeCell ref="AE11:AF11"/>
    <mergeCell ref="AG11:AH11"/>
    <mergeCell ref="AI11:AJ11"/>
    <mergeCell ref="T12:U12"/>
    <mergeCell ref="V12:W12"/>
    <mergeCell ref="X12:Y12"/>
    <mergeCell ref="AA12:AB12"/>
    <mergeCell ref="AC12:AD12"/>
    <mergeCell ref="AE12:AF12"/>
    <mergeCell ref="AG12:AH12"/>
    <mergeCell ref="AI12:AJ12"/>
    <mergeCell ref="T11:U11"/>
    <mergeCell ref="V11:W11"/>
    <mergeCell ref="X11:Y11"/>
    <mergeCell ref="AA11:AB11"/>
    <mergeCell ref="AC11:AD11"/>
    <mergeCell ref="AE13:AF13"/>
    <mergeCell ref="AG13:AH13"/>
    <mergeCell ref="AI13:AJ13"/>
    <mergeCell ref="T14:U14"/>
    <mergeCell ref="V14:W14"/>
    <mergeCell ref="X14:Y14"/>
    <mergeCell ref="AA14:AB14"/>
    <mergeCell ref="AC14:AD14"/>
    <mergeCell ref="AE14:AF14"/>
    <mergeCell ref="AG14:AH14"/>
    <mergeCell ref="AI14:AJ14"/>
    <mergeCell ref="T13:U13"/>
    <mergeCell ref="V13:W13"/>
    <mergeCell ref="X13:Y13"/>
    <mergeCell ref="AA13:AB13"/>
    <mergeCell ref="AC13:AD13"/>
    <mergeCell ref="AE15:AF15"/>
    <mergeCell ref="AG15:AH15"/>
    <mergeCell ref="AI15:AJ15"/>
    <mergeCell ref="T16:U16"/>
    <mergeCell ref="V16:W16"/>
    <mergeCell ref="X16:Y16"/>
    <mergeCell ref="AA16:AB16"/>
    <mergeCell ref="AC16:AD16"/>
    <mergeCell ref="AE16:AF16"/>
    <mergeCell ref="AG16:AH16"/>
    <mergeCell ref="AI16:AJ16"/>
    <mergeCell ref="T15:U15"/>
    <mergeCell ref="V15:W15"/>
    <mergeCell ref="X15:Y15"/>
    <mergeCell ref="AA15:AB15"/>
    <mergeCell ref="AC15:AD15"/>
    <mergeCell ref="AE17:AF17"/>
    <mergeCell ref="AG17:AH17"/>
    <mergeCell ref="AI17:AJ17"/>
    <mergeCell ref="T18:U18"/>
    <mergeCell ref="V18:W18"/>
    <mergeCell ref="X18:Y18"/>
    <mergeCell ref="AA18:AB18"/>
    <mergeCell ref="AC18:AD18"/>
    <mergeCell ref="AE18:AF18"/>
    <mergeCell ref="AG18:AH18"/>
    <mergeCell ref="AI18:AJ18"/>
    <mergeCell ref="T17:U17"/>
    <mergeCell ref="V17:W17"/>
    <mergeCell ref="X17:Y17"/>
    <mergeCell ref="AA17:AB17"/>
    <mergeCell ref="AC17:AD17"/>
    <mergeCell ref="AE19:AF19"/>
    <mergeCell ref="AG19:AH19"/>
    <mergeCell ref="AI19:AJ19"/>
    <mergeCell ref="T20:U20"/>
    <mergeCell ref="V20:W20"/>
    <mergeCell ref="X20:Y20"/>
    <mergeCell ref="AA20:AB20"/>
    <mergeCell ref="AC20:AD20"/>
    <mergeCell ref="AE20:AF20"/>
    <mergeCell ref="AG20:AH20"/>
    <mergeCell ref="AI20:AJ20"/>
    <mergeCell ref="T19:U19"/>
    <mergeCell ref="V19:W19"/>
    <mergeCell ref="X19:Y19"/>
    <mergeCell ref="AA19:AB19"/>
    <mergeCell ref="AC19:AD19"/>
    <mergeCell ref="AE21:AF21"/>
    <mergeCell ref="AG21:AH21"/>
    <mergeCell ref="AI21:AJ21"/>
    <mergeCell ref="T22:U22"/>
    <mergeCell ref="V22:W22"/>
    <mergeCell ref="X22:Y22"/>
    <mergeCell ref="AA22:AB22"/>
    <mergeCell ref="AC22:AD22"/>
    <mergeCell ref="AE22:AF22"/>
    <mergeCell ref="AG22:AH22"/>
    <mergeCell ref="AI22:AJ22"/>
    <mergeCell ref="T21:U21"/>
    <mergeCell ref="V21:W21"/>
    <mergeCell ref="X21:Y21"/>
    <mergeCell ref="AA21:AB21"/>
    <mergeCell ref="AC21:AD21"/>
    <mergeCell ref="AE23:AF23"/>
    <mergeCell ref="AG23:AH23"/>
    <mergeCell ref="AI23:AJ23"/>
    <mergeCell ref="T24:U24"/>
    <mergeCell ref="V24:W24"/>
    <mergeCell ref="X24:Y24"/>
    <mergeCell ref="AA24:AB24"/>
    <mergeCell ref="AC24:AD24"/>
    <mergeCell ref="AE24:AF24"/>
    <mergeCell ref="AG24:AH24"/>
    <mergeCell ref="AI24:AJ24"/>
    <mergeCell ref="T23:U23"/>
    <mergeCell ref="V23:W23"/>
    <mergeCell ref="X23:Y23"/>
    <mergeCell ref="AA23:AB23"/>
    <mergeCell ref="AC23:AD23"/>
    <mergeCell ref="AE25:AF25"/>
    <mergeCell ref="T25:U25"/>
    <mergeCell ref="AG25:AH25"/>
    <mergeCell ref="AI25:AJ25"/>
    <mergeCell ref="V26:W26"/>
    <mergeCell ref="X26:Y26"/>
    <mergeCell ref="AA26:AB26"/>
    <mergeCell ref="AC26:AD26"/>
    <mergeCell ref="AG26:AH26"/>
    <mergeCell ref="AI26:AJ26"/>
    <mergeCell ref="V25:W25"/>
    <mergeCell ref="X25:Y25"/>
    <mergeCell ref="AA25:AB25"/>
    <mergeCell ref="AC25:AD25"/>
    <mergeCell ref="AE26:AF26"/>
    <mergeCell ref="T26:U26"/>
    <mergeCell ref="AE27:AF27"/>
    <mergeCell ref="AG27:AH27"/>
    <mergeCell ref="AI27:AJ27"/>
    <mergeCell ref="T28:U28"/>
    <mergeCell ref="V28:W28"/>
    <mergeCell ref="X28:Y28"/>
    <mergeCell ref="AA28:AB28"/>
    <mergeCell ref="AC28:AD28"/>
    <mergeCell ref="AE28:AF28"/>
    <mergeCell ref="AG28:AH28"/>
    <mergeCell ref="AI28:AJ28"/>
    <mergeCell ref="T27:U27"/>
    <mergeCell ref="V27:W27"/>
    <mergeCell ref="X27:Y27"/>
    <mergeCell ref="AA27:AB27"/>
    <mergeCell ref="AC27:AD27"/>
    <mergeCell ref="AC30:AD30"/>
    <mergeCell ref="AE30:AF30"/>
    <mergeCell ref="AG30:AH30"/>
    <mergeCell ref="AI30:AJ30"/>
    <mergeCell ref="T29:U29"/>
    <mergeCell ref="V29:W29"/>
    <mergeCell ref="X29:Y29"/>
    <mergeCell ref="AA29:AB29"/>
    <mergeCell ref="AC29:AD29"/>
    <mergeCell ref="A28:Q28"/>
    <mergeCell ref="AE31:AF31"/>
    <mergeCell ref="AG31:AH31"/>
    <mergeCell ref="AI31:AJ31"/>
    <mergeCell ref="T32:U32"/>
    <mergeCell ref="V32:W32"/>
    <mergeCell ref="X32:Y32"/>
    <mergeCell ref="AA32:AB32"/>
    <mergeCell ref="AC32:AD32"/>
    <mergeCell ref="AE32:AF32"/>
    <mergeCell ref="AG32:AH32"/>
    <mergeCell ref="AI32:AJ32"/>
    <mergeCell ref="T31:U31"/>
    <mergeCell ref="V31:W31"/>
    <mergeCell ref="X31:Y31"/>
    <mergeCell ref="AA31:AB31"/>
    <mergeCell ref="AC31:AD31"/>
    <mergeCell ref="AE29:AF29"/>
    <mergeCell ref="AG29:AH29"/>
    <mergeCell ref="AI29:AJ29"/>
    <mergeCell ref="T30:U30"/>
    <mergeCell ref="V30:W30"/>
    <mergeCell ref="X30:Y30"/>
    <mergeCell ref="AA30:AB30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9" orientation="landscape" verticalDpi="0" r:id="rId1"/>
  <colBreaks count="1" manualBreakCount="1">
    <brk id="16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최현복/HYUN-BOK CHOI</dc:creator>
  <cp:keywords/>
  <dc:description/>
  <cp:lastModifiedBy>재홍 임</cp:lastModifiedBy>
  <cp:revision/>
  <dcterms:created xsi:type="dcterms:W3CDTF">2021-05-06T09:32:21Z</dcterms:created>
  <dcterms:modified xsi:type="dcterms:W3CDTF">2025-09-06T23:15:19Z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