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35" yWindow="-315" windowWidth="25320" windowHeight="10725" tabRatio="893"/>
  </bookViews>
  <sheets>
    <sheet name="Summary" sheetId="32" r:id="rId1"/>
    <sheet name="BLST1" sheetId="144" r:id="rId2"/>
    <sheet name="CONS1" sheetId="143" r:id="rId3"/>
    <sheet name="VDL" sheetId="163" r:id="rId4"/>
    <sheet name="BLST2" sheetId="159" r:id="rId5"/>
    <sheet name="CONS2" sheetId="160" r:id="rId6"/>
    <sheet name="VDL2" sheetId="145" r:id="rId7"/>
    <sheet name="BLST3" sheetId="165" r:id="rId8"/>
    <sheet name="CONS3" sheetId="167" r:id="rId9"/>
    <sheet name="VDL3" sheetId="149" r:id="rId10"/>
    <sheet name="BLST4" sheetId="166" r:id="rId11"/>
    <sheet name="CONS4" sheetId="162" r:id="rId12"/>
    <sheet name="VDL4" sheetId="150" r:id="rId13"/>
    <sheet name="BLST5" sheetId="161" r:id="rId14"/>
    <sheet name="CONS5" sheetId="168" r:id="rId15"/>
    <sheet name="VDL5" sheetId="151" r:id="rId16"/>
    <sheet name="Hydrostatic" sheetId="116" r:id="rId17"/>
    <sheet name="downflood" sheetId="115" r:id="rId18"/>
    <sheet name="tank" sheetId="117" r:id="rId19"/>
    <sheet name="AKG" sheetId="118" r:id="rId20"/>
    <sheet name="Current-y" sheetId="122" r:id="rId21"/>
    <sheet name="Wind-y" sheetId="123" r:id="rId22"/>
    <sheet name="Current-x" sheetId="126" r:id="rId23"/>
    <sheet name="Wind-x" sheetId="124" r:id="rId24"/>
    <sheet name="Wind-60" sheetId="125" r:id="rId25"/>
  </sheets>
  <externalReferences>
    <externalReference r:id="rId26"/>
  </externalReferences>
  <definedNames>
    <definedName name="_xlnm.Print_Area" localSheetId="1">BLST1!$B$2:$M$19</definedName>
    <definedName name="_xlnm.Print_Area" localSheetId="4">BLST2!$B$2:$M$19</definedName>
    <definedName name="_xlnm.Print_Area" localSheetId="7">BLST3!$B$2:$M$19</definedName>
    <definedName name="_xlnm.Print_Area" localSheetId="10">BLST4!$B$2:$M$19</definedName>
    <definedName name="_xlnm.Print_Area" localSheetId="13">BLST5!$B$2:$M$19</definedName>
    <definedName name="_xlnm.Print_Area" localSheetId="2">CONS1!$B$2:$M$20</definedName>
    <definedName name="_xlnm.Print_Area" localSheetId="5">CONS2!$B$2:$M$20</definedName>
    <definedName name="_xlnm.Print_Area" localSheetId="8">CONS3!$B$2:$M$20</definedName>
    <definedName name="_xlnm.Print_Area" localSheetId="11">CONS4!$B$2:$M$20</definedName>
    <definedName name="_xlnm.Print_Area" localSheetId="14">CONS5!$B$2:$M$20</definedName>
    <definedName name="_xlnm.Print_Area" localSheetId="0">Summary!$B$2:$T$121</definedName>
    <definedName name="_xlnm.Print_Area" localSheetId="18">tank!$A$1:$H$28</definedName>
    <definedName name="_xlnm.Print_Area" localSheetId="3">VDL!$B$2:$M$10</definedName>
    <definedName name="_xlnm.Print_Area" localSheetId="6">'VDL2'!$B$2:$M$10</definedName>
    <definedName name="_xlnm.Print_Area" localSheetId="9">'VDL3'!$B$2:$M$10</definedName>
    <definedName name="_xlnm.Print_Area" localSheetId="12">'VDL4'!$B$2:$M$10</definedName>
    <definedName name="_xlnm.Print_Area" localSheetId="15">'VDL5'!$B$2:$M$10</definedName>
    <definedName name="_xlnm.Print_Titles" localSheetId="1">BLST1!$2:$9</definedName>
    <definedName name="_xlnm.Print_Titles" localSheetId="4">BLST2!$2:$9</definedName>
    <definedName name="_xlnm.Print_Titles" localSheetId="7">BLST3!$2:$9</definedName>
    <definedName name="_xlnm.Print_Titles" localSheetId="10">BLST4!$2:$9</definedName>
    <definedName name="_xlnm.Print_Titles" localSheetId="13">BLST5!$2:$9</definedName>
    <definedName name="_xlnm.Print_Titles" localSheetId="2">CONS1!$2:$9</definedName>
    <definedName name="_xlnm.Print_Titles" localSheetId="5">CONS2!$2:$9</definedName>
    <definedName name="_xlnm.Print_Titles" localSheetId="8">CONS3!$2:$9</definedName>
    <definedName name="_xlnm.Print_Titles" localSheetId="11">CONS4!$2:$9</definedName>
    <definedName name="_xlnm.Print_Titles" localSheetId="14">CONS5!$2:$9</definedName>
    <definedName name="_xlnm.Print_Titles" localSheetId="3">VDL!$2:$9</definedName>
    <definedName name="_xlnm.Print_Titles" localSheetId="6">'VDL2'!$2:$9</definedName>
    <definedName name="_xlnm.Print_Titles" localSheetId="9">'VDL3'!$2:$9</definedName>
    <definedName name="_xlnm.Print_Titles" localSheetId="12">'VDL4'!$2:$9</definedName>
    <definedName name="_xlnm.Print_Titles" localSheetId="15">'VDL5'!$2:$9</definedName>
  </definedNames>
  <calcPr calcId="144525"/>
</workbook>
</file>

<file path=xl/calcChain.xml><?xml version="1.0" encoding="utf-8"?>
<calcChain xmlns="http://schemas.openxmlformats.org/spreadsheetml/2006/main">
  <c r="J90" i="163" l="1"/>
  <c r="L41" i="168"/>
  <c r="U41" i="168" s="1"/>
  <c r="K41" i="168"/>
  <c r="T41" i="168" s="1"/>
  <c r="G39" i="168"/>
  <c r="F38" i="168"/>
  <c r="G38" i="168" s="1"/>
  <c r="G41" i="168" s="1"/>
  <c r="L33" i="168"/>
  <c r="U33" i="168" s="1"/>
  <c r="K33" i="168"/>
  <c r="T33" i="168" s="1"/>
  <c r="G31" i="168"/>
  <c r="G30" i="168"/>
  <c r="G33" i="168" s="1"/>
  <c r="F30" i="168"/>
  <c r="L27" i="168"/>
  <c r="U27" i="168" s="1"/>
  <c r="K27" i="168"/>
  <c r="T27" i="168" s="1"/>
  <c r="G25" i="168"/>
  <c r="F24" i="168"/>
  <c r="G24" i="168" s="1"/>
  <c r="G27" i="168" s="1"/>
  <c r="L19" i="168"/>
  <c r="U19" i="168" s="1"/>
  <c r="K19" i="168"/>
  <c r="T19" i="168" s="1"/>
  <c r="F17" i="168"/>
  <c r="G17" i="168" s="1"/>
  <c r="F16" i="168"/>
  <c r="G16" i="168" s="1"/>
  <c r="F15" i="168"/>
  <c r="G15" i="168" s="1"/>
  <c r="F14" i="168"/>
  <c r="G14" i="168" s="1"/>
  <c r="G19" i="168" s="1"/>
  <c r="L5" i="168"/>
  <c r="L4" i="168"/>
  <c r="L3" i="168"/>
  <c r="L2" i="168"/>
  <c r="L41" i="167"/>
  <c r="U41" i="167" s="1"/>
  <c r="K41" i="167"/>
  <c r="T41" i="167" s="1"/>
  <c r="G39" i="167"/>
  <c r="F38" i="167"/>
  <c r="G38" i="167" s="1"/>
  <c r="G41" i="167" s="1"/>
  <c r="L33" i="167"/>
  <c r="U33" i="167" s="1"/>
  <c r="K33" i="167"/>
  <c r="T33" i="167" s="1"/>
  <c r="G31" i="167"/>
  <c r="G30" i="167"/>
  <c r="G33" i="167" s="1"/>
  <c r="F30" i="167"/>
  <c r="L27" i="167"/>
  <c r="U27" i="167" s="1"/>
  <c r="K27" i="167"/>
  <c r="T27" i="167" s="1"/>
  <c r="G25" i="167"/>
  <c r="F24" i="167"/>
  <c r="G24" i="167" s="1"/>
  <c r="G27" i="167" s="1"/>
  <c r="L19" i="167"/>
  <c r="U19" i="167" s="1"/>
  <c r="K19" i="167"/>
  <c r="T19" i="167" s="1"/>
  <c r="F17" i="167"/>
  <c r="G17" i="167" s="1"/>
  <c r="F16" i="167"/>
  <c r="G16" i="167" s="1"/>
  <c r="F15" i="167"/>
  <c r="G15" i="167" s="1"/>
  <c r="F14" i="167"/>
  <c r="G14" i="167" s="1"/>
  <c r="L5" i="167"/>
  <c r="L4" i="167"/>
  <c r="L3" i="167"/>
  <c r="L2" i="167"/>
  <c r="S58" i="166"/>
  <c r="L58" i="166"/>
  <c r="U58" i="166" s="1"/>
  <c r="K58" i="166"/>
  <c r="T58" i="166" s="1"/>
  <c r="J56" i="166"/>
  <c r="F56" i="166"/>
  <c r="G56" i="166" s="1"/>
  <c r="F55" i="166"/>
  <c r="G55" i="166" s="1"/>
  <c r="G58" i="166" s="1"/>
  <c r="L52" i="166"/>
  <c r="U52" i="166" s="1"/>
  <c r="K52" i="166"/>
  <c r="T52" i="166" s="1"/>
  <c r="F50" i="166"/>
  <c r="G50" i="166" s="1"/>
  <c r="F49" i="166"/>
  <c r="G49" i="166" s="1"/>
  <c r="F48" i="166"/>
  <c r="G48" i="166" s="1"/>
  <c r="G52" i="166" s="1"/>
  <c r="L45" i="166"/>
  <c r="U45" i="166" s="1"/>
  <c r="K45" i="166"/>
  <c r="T45" i="166" s="1"/>
  <c r="F43" i="166"/>
  <c r="G43" i="166" s="1"/>
  <c r="F42" i="166"/>
  <c r="G42" i="166" s="1"/>
  <c r="F41" i="166"/>
  <c r="G41" i="166" s="1"/>
  <c r="G45" i="166" s="1"/>
  <c r="L38" i="166"/>
  <c r="U38" i="166" s="1"/>
  <c r="K38" i="166"/>
  <c r="T38" i="166" s="1"/>
  <c r="F36" i="166"/>
  <c r="G36" i="166" s="1"/>
  <c r="F35" i="166"/>
  <c r="G35" i="166" s="1"/>
  <c r="F34" i="166"/>
  <c r="G34" i="166" s="1"/>
  <c r="F33" i="166"/>
  <c r="G33" i="166" s="1"/>
  <c r="F32" i="166"/>
  <c r="G32" i="166" s="1"/>
  <c r="G38" i="166" s="1"/>
  <c r="L29" i="166"/>
  <c r="U29" i="166" s="1"/>
  <c r="K29" i="166"/>
  <c r="T29" i="166" s="1"/>
  <c r="F27" i="166"/>
  <c r="G27" i="166" s="1"/>
  <c r="F26" i="166"/>
  <c r="G26" i="166" s="1"/>
  <c r="F25" i="166"/>
  <c r="G25" i="166" s="1"/>
  <c r="F24" i="166"/>
  <c r="G24" i="166" s="1"/>
  <c r="G29" i="166" s="1"/>
  <c r="L21" i="166"/>
  <c r="U21" i="166" s="1"/>
  <c r="K21" i="166"/>
  <c r="T21" i="166" s="1"/>
  <c r="F19" i="166"/>
  <c r="G19" i="166" s="1"/>
  <c r="F18" i="166"/>
  <c r="G18" i="166" s="1"/>
  <c r="F17" i="166"/>
  <c r="G17" i="166" s="1"/>
  <c r="F16" i="166"/>
  <c r="G16" i="166" s="1"/>
  <c r="F15" i="166"/>
  <c r="G15" i="166" s="1"/>
  <c r="F14" i="166"/>
  <c r="G14" i="166" s="1"/>
  <c r="F13" i="166"/>
  <c r="G13" i="166" s="1"/>
  <c r="F12" i="166"/>
  <c r="G12" i="166" s="1"/>
  <c r="G21" i="166" s="1"/>
  <c r="L5" i="166"/>
  <c r="L4" i="166"/>
  <c r="L3" i="166"/>
  <c r="L2" i="166"/>
  <c r="S58" i="165"/>
  <c r="L58" i="165"/>
  <c r="U58" i="165" s="1"/>
  <c r="K58" i="165"/>
  <c r="T58" i="165" s="1"/>
  <c r="J56" i="165"/>
  <c r="G56" i="165"/>
  <c r="F56" i="165"/>
  <c r="G55" i="165"/>
  <c r="G58" i="165" s="1"/>
  <c r="F55" i="165"/>
  <c r="L52" i="165"/>
  <c r="U52" i="165" s="1"/>
  <c r="K52" i="165"/>
  <c r="T52" i="165" s="1"/>
  <c r="G50" i="165"/>
  <c r="F50" i="165"/>
  <c r="G49" i="165"/>
  <c r="F49" i="165"/>
  <c r="F48" i="165"/>
  <c r="G48" i="165" s="1"/>
  <c r="G52" i="165" s="1"/>
  <c r="L45" i="165"/>
  <c r="U45" i="165" s="1"/>
  <c r="K45" i="165"/>
  <c r="T45" i="165" s="1"/>
  <c r="F43" i="165"/>
  <c r="G43" i="165" s="1"/>
  <c r="F42" i="165"/>
  <c r="G42" i="165" s="1"/>
  <c r="F41" i="165"/>
  <c r="G41" i="165" s="1"/>
  <c r="L38" i="165"/>
  <c r="U38" i="165" s="1"/>
  <c r="K38" i="165"/>
  <c r="T38" i="165" s="1"/>
  <c r="F36" i="165"/>
  <c r="G36" i="165" s="1"/>
  <c r="F35" i="165"/>
  <c r="G35" i="165" s="1"/>
  <c r="F34" i="165"/>
  <c r="G34" i="165" s="1"/>
  <c r="F33" i="165"/>
  <c r="G33" i="165" s="1"/>
  <c r="F32" i="165"/>
  <c r="G32" i="165" s="1"/>
  <c r="G38" i="165" s="1"/>
  <c r="L29" i="165"/>
  <c r="U29" i="165" s="1"/>
  <c r="K29" i="165"/>
  <c r="T29" i="165" s="1"/>
  <c r="F27" i="165"/>
  <c r="G27" i="165" s="1"/>
  <c r="F26" i="165"/>
  <c r="G26" i="165" s="1"/>
  <c r="F25" i="165"/>
  <c r="G25" i="165" s="1"/>
  <c r="F24" i="165"/>
  <c r="G24" i="165" s="1"/>
  <c r="G29" i="165" s="1"/>
  <c r="L21" i="165"/>
  <c r="U21" i="165" s="1"/>
  <c r="K21" i="165"/>
  <c r="T21" i="165" s="1"/>
  <c r="F19" i="165"/>
  <c r="G19" i="165" s="1"/>
  <c r="F18" i="165"/>
  <c r="G18" i="165" s="1"/>
  <c r="F17" i="165"/>
  <c r="G17" i="165" s="1"/>
  <c r="F16" i="165"/>
  <c r="G16" i="165" s="1"/>
  <c r="F15" i="165"/>
  <c r="G15" i="165" s="1"/>
  <c r="F14" i="165"/>
  <c r="G14" i="165" s="1"/>
  <c r="F13" i="165"/>
  <c r="G13" i="165" s="1"/>
  <c r="F12" i="165"/>
  <c r="G12" i="165" s="1"/>
  <c r="G21" i="165" s="1"/>
  <c r="L5" i="165"/>
  <c r="L4" i="165"/>
  <c r="L3" i="165"/>
  <c r="L2" i="165"/>
  <c r="U142" i="163"/>
  <c r="T142" i="163"/>
  <c r="G140" i="163"/>
  <c r="G139" i="163"/>
  <c r="G138" i="163"/>
  <c r="G137" i="163"/>
  <c r="G136" i="163"/>
  <c r="G135" i="163"/>
  <c r="G134" i="163"/>
  <c r="G133" i="163"/>
  <c r="G142" i="163" s="1"/>
  <c r="L130" i="163"/>
  <c r="U130" i="163" s="1"/>
  <c r="K130" i="163"/>
  <c r="T130" i="163" s="1"/>
  <c r="G130" i="163"/>
  <c r="J130" i="163" s="1"/>
  <c r="S130" i="163" s="1"/>
  <c r="L124" i="163"/>
  <c r="U124" i="163" s="1"/>
  <c r="K124" i="163"/>
  <c r="T124" i="163" s="1"/>
  <c r="G124" i="163"/>
  <c r="J124" i="163" s="1"/>
  <c r="S124" i="163" s="1"/>
  <c r="L119" i="163"/>
  <c r="U119" i="163" s="1"/>
  <c r="K119" i="163"/>
  <c r="T119" i="163" s="1"/>
  <c r="F116" i="163"/>
  <c r="G116" i="163" s="1"/>
  <c r="F115" i="163"/>
  <c r="G115" i="163" s="1"/>
  <c r="G114" i="163"/>
  <c r="G113" i="163"/>
  <c r="G112" i="163"/>
  <c r="U107" i="163"/>
  <c r="T107" i="163"/>
  <c r="G103" i="163"/>
  <c r="G107" i="163" s="1"/>
  <c r="L100" i="163"/>
  <c r="U100" i="163" s="1"/>
  <c r="K100" i="163"/>
  <c r="T100" i="163" s="1"/>
  <c r="G100" i="163"/>
  <c r="J100" i="163" s="1"/>
  <c r="S100" i="163" s="1"/>
  <c r="L90" i="163"/>
  <c r="U90" i="163" s="1"/>
  <c r="K90" i="163"/>
  <c r="T90" i="163" s="1"/>
  <c r="G90" i="163"/>
  <c r="S90" i="163" s="1"/>
  <c r="F85" i="163"/>
  <c r="L78" i="163"/>
  <c r="U78" i="163" s="1"/>
  <c r="K78" i="163"/>
  <c r="T78" i="163" s="1"/>
  <c r="J78" i="163"/>
  <c r="S78" i="163" s="1"/>
  <c r="H78" i="163"/>
  <c r="Q78" i="163" s="1"/>
  <c r="G78" i="163"/>
  <c r="P78" i="163" s="1"/>
  <c r="L67" i="163"/>
  <c r="U67" i="163" s="1"/>
  <c r="K67" i="163"/>
  <c r="T67" i="163" s="1"/>
  <c r="G65" i="163"/>
  <c r="G64" i="163"/>
  <c r="H63" i="163"/>
  <c r="H64" i="163" s="1"/>
  <c r="H65" i="163" s="1"/>
  <c r="G63" i="163"/>
  <c r="G62" i="163"/>
  <c r="G61" i="163"/>
  <c r="G60" i="163"/>
  <c r="H59" i="163"/>
  <c r="H60" i="163" s="1"/>
  <c r="H61" i="163" s="1"/>
  <c r="G59" i="163"/>
  <c r="G58" i="163"/>
  <c r="G67" i="163" s="1"/>
  <c r="L53" i="163"/>
  <c r="U53" i="163" s="1"/>
  <c r="K53" i="163"/>
  <c r="T53" i="163" s="1"/>
  <c r="G51" i="163"/>
  <c r="G50" i="163"/>
  <c r="G53" i="163" s="1"/>
  <c r="L47" i="163"/>
  <c r="U47" i="163" s="1"/>
  <c r="K47" i="163"/>
  <c r="T47" i="163" s="1"/>
  <c r="G45" i="163"/>
  <c r="G44" i="163"/>
  <c r="G47" i="163" s="1"/>
  <c r="L39" i="163"/>
  <c r="U39" i="163" s="1"/>
  <c r="K39" i="163"/>
  <c r="T39" i="163" s="1"/>
  <c r="G37" i="163"/>
  <c r="G36" i="163"/>
  <c r="G35" i="163"/>
  <c r="G39" i="163" s="1"/>
  <c r="L32" i="163"/>
  <c r="U32" i="163" s="1"/>
  <c r="K32" i="163"/>
  <c r="T32" i="163" s="1"/>
  <c r="F30" i="163"/>
  <c r="G30" i="163" s="1"/>
  <c r="F29" i="163"/>
  <c r="G29" i="163" s="1"/>
  <c r="G32" i="163" s="1"/>
  <c r="L24" i="163"/>
  <c r="U24" i="163" s="1"/>
  <c r="K24" i="163"/>
  <c r="T24" i="163" s="1"/>
  <c r="G22" i="163"/>
  <c r="G21" i="163"/>
  <c r="G24" i="163" s="1"/>
  <c r="G20" i="163"/>
  <c r="L17" i="163"/>
  <c r="U17" i="163" s="1"/>
  <c r="K17" i="163"/>
  <c r="T17" i="163" s="1"/>
  <c r="G15" i="163"/>
  <c r="F15" i="163"/>
  <c r="G14" i="163"/>
  <c r="G17" i="163" s="1"/>
  <c r="F14" i="163"/>
  <c r="L5" i="163"/>
  <c r="L4" i="163"/>
  <c r="L3" i="163"/>
  <c r="L2" i="163"/>
  <c r="L41" i="162"/>
  <c r="U41" i="162" s="1"/>
  <c r="K41" i="162"/>
  <c r="T41" i="162" s="1"/>
  <c r="G39" i="162"/>
  <c r="F38" i="162"/>
  <c r="G38" i="162" s="1"/>
  <c r="G41" i="162" s="1"/>
  <c r="L33" i="162"/>
  <c r="U33" i="162" s="1"/>
  <c r="K33" i="162"/>
  <c r="T33" i="162" s="1"/>
  <c r="G31" i="162"/>
  <c r="G30" i="162"/>
  <c r="G33" i="162" s="1"/>
  <c r="F30" i="162"/>
  <c r="L27" i="162"/>
  <c r="U27" i="162" s="1"/>
  <c r="K27" i="162"/>
  <c r="T27" i="162" s="1"/>
  <c r="G25" i="162"/>
  <c r="F24" i="162"/>
  <c r="G24" i="162" s="1"/>
  <c r="G27" i="162" s="1"/>
  <c r="L19" i="162"/>
  <c r="U19" i="162" s="1"/>
  <c r="K19" i="162"/>
  <c r="T19" i="162" s="1"/>
  <c r="F17" i="162"/>
  <c r="G17" i="162" s="1"/>
  <c r="F16" i="162"/>
  <c r="G16" i="162" s="1"/>
  <c r="F15" i="162"/>
  <c r="G15" i="162" s="1"/>
  <c r="F14" i="162"/>
  <c r="G14" i="162" s="1"/>
  <c r="G19" i="162" s="1"/>
  <c r="L5" i="162"/>
  <c r="L4" i="162"/>
  <c r="L3" i="162"/>
  <c r="L2" i="162"/>
  <c r="S58" i="161"/>
  <c r="L58" i="161"/>
  <c r="U58" i="161" s="1"/>
  <c r="K58" i="161"/>
  <c r="T58" i="161" s="1"/>
  <c r="J56" i="161"/>
  <c r="F56" i="161"/>
  <c r="G56" i="161" s="1"/>
  <c r="F55" i="161"/>
  <c r="G55" i="161" s="1"/>
  <c r="G58" i="161" s="1"/>
  <c r="L52" i="161"/>
  <c r="U52" i="161" s="1"/>
  <c r="K52" i="161"/>
  <c r="T52" i="161" s="1"/>
  <c r="F50" i="161"/>
  <c r="G50" i="161" s="1"/>
  <c r="F49" i="161"/>
  <c r="G49" i="161" s="1"/>
  <c r="F48" i="161"/>
  <c r="G48" i="161" s="1"/>
  <c r="L45" i="161"/>
  <c r="U45" i="161" s="1"/>
  <c r="K45" i="161"/>
  <c r="T45" i="161" s="1"/>
  <c r="F43" i="161"/>
  <c r="G43" i="161" s="1"/>
  <c r="F42" i="161"/>
  <c r="G42" i="161" s="1"/>
  <c r="F41" i="161"/>
  <c r="G41" i="161" s="1"/>
  <c r="G45" i="161" s="1"/>
  <c r="L38" i="161"/>
  <c r="U38" i="161" s="1"/>
  <c r="K38" i="161"/>
  <c r="T38" i="161" s="1"/>
  <c r="F36" i="161"/>
  <c r="G36" i="161" s="1"/>
  <c r="F35" i="161"/>
  <c r="G35" i="161" s="1"/>
  <c r="F34" i="161"/>
  <c r="G34" i="161" s="1"/>
  <c r="F33" i="161"/>
  <c r="G33" i="161" s="1"/>
  <c r="F32" i="161"/>
  <c r="G32" i="161" s="1"/>
  <c r="L29" i="161"/>
  <c r="U29" i="161" s="1"/>
  <c r="K29" i="161"/>
  <c r="T29" i="161" s="1"/>
  <c r="F27" i="161"/>
  <c r="G27" i="161" s="1"/>
  <c r="F26" i="161"/>
  <c r="G26" i="161" s="1"/>
  <c r="F25" i="161"/>
  <c r="G25" i="161" s="1"/>
  <c r="F24" i="161"/>
  <c r="G24" i="161" s="1"/>
  <c r="L21" i="161"/>
  <c r="U21" i="161" s="1"/>
  <c r="K21" i="161"/>
  <c r="T21" i="161" s="1"/>
  <c r="F19" i="161"/>
  <c r="G19" i="161" s="1"/>
  <c r="F18" i="161"/>
  <c r="G18" i="161" s="1"/>
  <c r="F17" i="161"/>
  <c r="G17" i="161" s="1"/>
  <c r="F16" i="161"/>
  <c r="G16" i="161" s="1"/>
  <c r="F15" i="161"/>
  <c r="G15" i="161" s="1"/>
  <c r="F14" i="161"/>
  <c r="G14" i="161" s="1"/>
  <c r="F13" i="161"/>
  <c r="G13" i="161" s="1"/>
  <c r="F12" i="161"/>
  <c r="G12" i="161" s="1"/>
  <c r="L5" i="161"/>
  <c r="L4" i="161"/>
  <c r="L3" i="161"/>
  <c r="L2" i="161"/>
  <c r="L41" i="160"/>
  <c r="U41" i="160" s="1"/>
  <c r="K41" i="160"/>
  <c r="T41" i="160" s="1"/>
  <c r="G39" i="160"/>
  <c r="F38" i="160"/>
  <c r="G38" i="160" s="1"/>
  <c r="G41" i="160" s="1"/>
  <c r="L33" i="160"/>
  <c r="U33" i="160" s="1"/>
  <c r="K33" i="160"/>
  <c r="T33" i="160" s="1"/>
  <c r="G31" i="160"/>
  <c r="G30" i="160"/>
  <c r="G33" i="160" s="1"/>
  <c r="F30" i="160"/>
  <c r="L27" i="160"/>
  <c r="U27" i="160" s="1"/>
  <c r="K27" i="160"/>
  <c r="T27" i="160" s="1"/>
  <c r="G25" i="160"/>
  <c r="F24" i="160"/>
  <c r="G24" i="160" s="1"/>
  <c r="G27" i="160" s="1"/>
  <c r="L19" i="160"/>
  <c r="U19" i="160" s="1"/>
  <c r="K19" i="160"/>
  <c r="T19" i="160" s="1"/>
  <c r="F17" i="160"/>
  <c r="G17" i="160" s="1"/>
  <c r="F16" i="160"/>
  <c r="G16" i="160" s="1"/>
  <c r="F15" i="160"/>
  <c r="G15" i="160" s="1"/>
  <c r="F14" i="160"/>
  <c r="G14" i="160" s="1"/>
  <c r="G19" i="160" s="1"/>
  <c r="L5" i="160"/>
  <c r="L4" i="160"/>
  <c r="L3" i="160"/>
  <c r="L2" i="160"/>
  <c r="S58" i="159"/>
  <c r="L58" i="159"/>
  <c r="U58" i="159" s="1"/>
  <c r="K58" i="159"/>
  <c r="T58" i="159" s="1"/>
  <c r="J56" i="159"/>
  <c r="F56" i="159"/>
  <c r="G56" i="159" s="1"/>
  <c r="F55" i="159"/>
  <c r="G55" i="159" s="1"/>
  <c r="G58" i="159" s="1"/>
  <c r="L52" i="159"/>
  <c r="U52" i="159" s="1"/>
  <c r="K52" i="159"/>
  <c r="T52" i="159" s="1"/>
  <c r="F50" i="159"/>
  <c r="G50" i="159" s="1"/>
  <c r="F49" i="159"/>
  <c r="G49" i="159" s="1"/>
  <c r="F48" i="159"/>
  <c r="G48" i="159" s="1"/>
  <c r="L45" i="159"/>
  <c r="U45" i="159" s="1"/>
  <c r="K45" i="159"/>
  <c r="T45" i="159" s="1"/>
  <c r="F43" i="159"/>
  <c r="G43" i="159" s="1"/>
  <c r="F42" i="159"/>
  <c r="G42" i="159" s="1"/>
  <c r="F41" i="159"/>
  <c r="G41" i="159" s="1"/>
  <c r="G45" i="159" s="1"/>
  <c r="L38" i="159"/>
  <c r="U38" i="159" s="1"/>
  <c r="K38" i="159"/>
  <c r="T38" i="159" s="1"/>
  <c r="F36" i="159"/>
  <c r="G36" i="159" s="1"/>
  <c r="F35" i="159"/>
  <c r="G35" i="159" s="1"/>
  <c r="F34" i="159"/>
  <c r="G34" i="159" s="1"/>
  <c r="F33" i="159"/>
  <c r="G33" i="159" s="1"/>
  <c r="F32" i="159"/>
  <c r="G32" i="159" s="1"/>
  <c r="L29" i="159"/>
  <c r="U29" i="159" s="1"/>
  <c r="K29" i="159"/>
  <c r="T29" i="159" s="1"/>
  <c r="F27" i="159"/>
  <c r="G27" i="159" s="1"/>
  <c r="F26" i="159"/>
  <c r="G26" i="159" s="1"/>
  <c r="F25" i="159"/>
  <c r="G25" i="159" s="1"/>
  <c r="F24" i="159"/>
  <c r="G24" i="159" s="1"/>
  <c r="L21" i="159"/>
  <c r="U21" i="159" s="1"/>
  <c r="K21" i="159"/>
  <c r="T21" i="159" s="1"/>
  <c r="F19" i="159"/>
  <c r="G19" i="159" s="1"/>
  <c r="F18" i="159"/>
  <c r="G18" i="159" s="1"/>
  <c r="F17" i="159"/>
  <c r="G17" i="159" s="1"/>
  <c r="F16" i="159"/>
  <c r="G16" i="159" s="1"/>
  <c r="F15" i="159"/>
  <c r="G15" i="159" s="1"/>
  <c r="F14" i="159"/>
  <c r="G14" i="159" s="1"/>
  <c r="F13" i="159"/>
  <c r="G13" i="159" s="1"/>
  <c r="F12" i="159"/>
  <c r="G12" i="159" s="1"/>
  <c r="L5" i="159"/>
  <c r="L4" i="159"/>
  <c r="L3" i="159"/>
  <c r="L2" i="159"/>
  <c r="N115" i="32"/>
  <c r="N105" i="32"/>
  <c r="F14" i="143"/>
  <c r="F12" i="144"/>
  <c r="F56" i="144"/>
  <c r="F55" i="144"/>
  <c r="F50" i="144"/>
  <c r="F43" i="144"/>
  <c r="F48" i="144"/>
  <c r="F41" i="144"/>
  <c r="P33" i="168" l="1"/>
  <c r="I33" i="168"/>
  <c r="R33" i="168" s="1"/>
  <c r="J33" i="168"/>
  <c r="S33" i="168" s="1"/>
  <c r="H33" i="168"/>
  <c r="Q33" i="168" s="1"/>
  <c r="J41" i="168"/>
  <c r="S41" i="168" s="1"/>
  <c r="H41" i="168"/>
  <c r="Q41" i="168" s="1"/>
  <c r="P41" i="168"/>
  <c r="I41" i="168"/>
  <c r="R41" i="168" s="1"/>
  <c r="P19" i="168"/>
  <c r="I19" i="168"/>
  <c r="R19" i="168" s="1"/>
  <c r="J19" i="168"/>
  <c r="S19" i="168" s="1"/>
  <c r="H19" i="168"/>
  <c r="Q19" i="168" s="1"/>
  <c r="J27" i="168"/>
  <c r="S27" i="168" s="1"/>
  <c r="H27" i="168"/>
  <c r="Q27" i="168" s="1"/>
  <c r="P27" i="168"/>
  <c r="I27" i="168"/>
  <c r="R27" i="168" s="1"/>
  <c r="P21" i="166"/>
  <c r="I21" i="166"/>
  <c r="R21" i="166" s="1"/>
  <c r="J21" i="166"/>
  <c r="S21" i="166" s="1"/>
  <c r="H21" i="166"/>
  <c r="Q21" i="166" s="1"/>
  <c r="P29" i="166"/>
  <c r="I29" i="166"/>
  <c r="R29" i="166" s="1"/>
  <c r="J29" i="166"/>
  <c r="S29" i="166" s="1"/>
  <c r="H29" i="166"/>
  <c r="Q29" i="166" s="1"/>
  <c r="P38" i="166"/>
  <c r="I38" i="166"/>
  <c r="R38" i="166" s="1"/>
  <c r="J38" i="166"/>
  <c r="S38" i="166" s="1"/>
  <c r="H38" i="166"/>
  <c r="Q38" i="166" s="1"/>
  <c r="P52" i="166"/>
  <c r="I52" i="166"/>
  <c r="R52" i="166" s="1"/>
  <c r="J52" i="166"/>
  <c r="S52" i="166" s="1"/>
  <c r="H52" i="166"/>
  <c r="Q52" i="166" s="1"/>
  <c r="P33" i="167"/>
  <c r="I33" i="167"/>
  <c r="R33" i="167" s="1"/>
  <c r="J33" i="167"/>
  <c r="S33" i="167" s="1"/>
  <c r="H33" i="167"/>
  <c r="Q33" i="167" s="1"/>
  <c r="J41" i="167"/>
  <c r="S41" i="167" s="1"/>
  <c r="H41" i="167"/>
  <c r="Q41" i="167" s="1"/>
  <c r="P41" i="167"/>
  <c r="I41" i="167"/>
  <c r="R41" i="167" s="1"/>
  <c r="P45" i="166"/>
  <c r="I45" i="166"/>
  <c r="R45" i="166" s="1"/>
  <c r="J45" i="166"/>
  <c r="S45" i="166" s="1"/>
  <c r="H45" i="166"/>
  <c r="Q45" i="166" s="1"/>
  <c r="P58" i="166"/>
  <c r="H58" i="166"/>
  <c r="Q58" i="166" s="1"/>
  <c r="I58" i="166"/>
  <c r="R58" i="166" s="1"/>
  <c r="G19" i="167"/>
  <c r="J27" i="167"/>
  <c r="S27" i="167" s="1"/>
  <c r="H27" i="167"/>
  <c r="Q27" i="167" s="1"/>
  <c r="P27" i="167"/>
  <c r="I27" i="167"/>
  <c r="R27" i="167" s="1"/>
  <c r="G45" i="165"/>
  <c r="J21" i="165"/>
  <c r="S21" i="165" s="1"/>
  <c r="H21" i="165"/>
  <c r="Q21" i="165" s="1"/>
  <c r="P21" i="165"/>
  <c r="I21" i="165"/>
  <c r="R21" i="165" s="1"/>
  <c r="J29" i="165"/>
  <c r="S29" i="165" s="1"/>
  <c r="H29" i="165"/>
  <c r="Q29" i="165" s="1"/>
  <c r="P29" i="165"/>
  <c r="I29" i="165"/>
  <c r="R29" i="165" s="1"/>
  <c r="J38" i="165"/>
  <c r="S38" i="165" s="1"/>
  <c r="H38" i="165"/>
  <c r="Q38" i="165" s="1"/>
  <c r="P38" i="165"/>
  <c r="I38" i="165"/>
  <c r="R38" i="165" s="1"/>
  <c r="J52" i="165"/>
  <c r="S52" i="165" s="1"/>
  <c r="H52" i="165"/>
  <c r="Q52" i="165" s="1"/>
  <c r="P52" i="165"/>
  <c r="I52" i="165"/>
  <c r="R52" i="165" s="1"/>
  <c r="I58" i="165"/>
  <c r="R58" i="165" s="1"/>
  <c r="P58" i="165"/>
  <c r="H58" i="165"/>
  <c r="Q58" i="165" s="1"/>
  <c r="P47" i="163"/>
  <c r="I47" i="163"/>
  <c r="R47" i="163" s="1"/>
  <c r="J47" i="163"/>
  <c r="S47" i="163" s="1"/>
  <c r="H47" i="163"/>
  <c r="Q47" i="163" s="1"/>
  <c r="P53" i="163"/>
  <c r="I53" i="163"/>
  <c r="R53" i="163" s="1"/>
  <c r="J53" i="163"/>
  <c r="S53" i="163" s="1"/>
  <c r="H53" i="163"/>
  <c r="Q53" i="163" s="1"/>
  <c r="P67" i="163"/>
  <c r="I67" i="163"/>
  <c r="R67" i="163" s="1"/>
  <c r="J67" i="163"/>
  <c r="S67" i="163" s="1"/>
  <c r="H67" i="163"/>
  <c r="Q67" i="163" s="1"/>
  <c r="P107" i="163"/>
  <c r="I107" i="163"/>
  <c r="R107" i="163" s="1"/>
  <c r="J107" i="163"/>
  <c r="S107" i="163" s="1"/>
  <c r="H107" i="163"/>
  <c r="Q107" i="163" s="1"/>
  <c r="G119" i="163"/>
  <c r="J142" i="163"/>
  <c r="S142" i="163" s="1"/>
  <c r="H142" i="163"/>
  <c r="Q142" i="163" s="1"/>
  <c r="P142" i="163"/>
  <c r="I142" i="163"/>
  <c r="R142" i="163" s="1"/>
  <c r="P17" i="163"/>
  <c r="I17" i="163"/>
  <c r="R17" i="163" s="1"/>
  <c r="J17" i="163"/>
  <c r="S17" i="163" s="1"/>
  <c r="H17" i="163"/>
  <c r="Q17" i="163" s="1"/>
  <c r="J24" i="163"/>
  <c r="S24" i="163" s="1"/>
  <c r="H24" i="163"/>
  <c r="Q24" i="163" s="1"/>
  <c r="P24" i="163"/>
  <c r="I24" i="163"/>
  <c r="R24" i="163" s="1"/>
  <c r="J32" i="163"/>
  <c r="S32" i="163" s="1"/>
  <c r="H32" i="163"/>
  <c r="Q32" i="163" s="1"/>
  <c r="P32" i="163"/>
  <c r="I32" i="163"/>
  <c r="R32" i="163" s="1"/>
  <c r="P39" i="163"/>
  <c r="I39" i="163"/>
  <c r="R39" i="163" s="1"/>
  <c r="J39" i="163"/>
  <c r="S39" i="163" s="1"/>
  <c r="H39" i="163"/>
  <c r="Q39" i="163" s="1"/>
  <c r="I90" i="163"/>
  <c r="R90" i="163" s="1"/>
  <c r="P90" i="163"/>
  <c r="I100" i="163"/>
  <c r="R100" i="163" s="1"/>
  <c r="P100" i="163"/>
  <c r="I124" i="163"/>
  <c r="R124" i="163" s="1"/>
  <c r="P124" i="163"/>
  <c r="I130" i="163"/>
  <c r="R130" i="163" s="1"/>
  <c r="P130" i="163"/>
  <c r="I78" i="163"/>
  <c r="R78" i="163" s="1"/>
  <c r="H90" i="163"/>
  <c r="Q90" i="163" s="1"/>
  <c r="H100" i="163"/>
  <c r="Q100" i="163" s="1"/>
  <c r="H124" i="163"/>
  <c r="Q124" i="163" s="1"/>
  <c r="H130" i="163"/>
  <c r="Q130" i="163" s="1"/>
  <c r="G21" i="161"/>
  <c r="G29" i="161"/>
  <c r="G38" i="161"/>
  <c r="G52" i="161"/>
  <c r="P33" i="162"/>
  <c r="I33" i="162"/>
  <c r="R33" i="162" s="1"/>
  <c r="J33" i="162"/>
  <c r="S33" i="162" s="1"/>
  <c r="H33" i="162"/>
  <c r="Q33" i="162" s="1"/>
  <c r="J41" i="162"/>
  <c r="S41" i="162" s="1"/>
  <c r="H41" i="162"/>
  <c r="Q41" i="162" s="1"/>
  <c r="P41" i="162"/>
  <c r="I41" i="162"/>
  <c r="R41" i="162" s="1"/>
  <c r="P45" i="161"/>
  <c r="I45" i="161"/>
  <c r="R45" i="161" s="1"/>
  <c r="J45" i="161"/>
  <c r="S45" i="161" s="1"/>
  <c r="H45" i="161"/>
  <c r="Q45" i="161" s="1"/>
  <c r="P58" i="161"/>
  <c r="H58" i="161"/>
  <c r="Q58" i="161" s="1"/>
  <c r="I58" i="161"/>
  <c r="R58" i="161" s="1"/>
  <c r="P19" i="162"/>
  <c r="I19" i="162"/>
  <c r="R19" i="162" s="1"/>
  <c r="J19" i="162"/>
  <c r="S19" i="162" s="1"/>
  <c r="H19" i="162"/>
  <c r="Q19" i="162" s="1"/>
  <c r="J27" i="162"/>
  <c r="S27" i="162" s="1"/>
  <c r="H27" i="162"/>
  <c r="Q27" i="162" s="1"/>
  <c r="P27" i="162"/>
  <c r="I27" i="162"/>
  <c r="R27" i="162" s="1"/>
  <c r="G21" i="159"/>
  <c r="G29" i="159"/>
  <c r="G38" i="159"/>
  <c r="G52" i="159"/>
  <c r="P33" i="160"/>
  <c r="I33" i="160"/>
  <c r="R33" i="160" s="1"/>
  <c r="J33" i="160"/>
  <c r="S33" i="160" s="1"/>
  <c r="H33" i="160"/>
  <c r="Q33" i="160" s="1"/>
  <c r="J41" i="160"/>
  <c r="S41" i="160" s="1"/>
  <c r="H41" i="160"/>
  <c r="Q41" i="160" s="1"/>
  <c r="P41" i="160"/>
  <c r="I41" i="160"/>
  <c r="R41" i="160" s="1"/>
  <c r="P45" i="159"/>
  <c r="I45" i="159"/>
  <c r="R45" i="159" s="1"/>
  <c r="J45" i="159"/>
  <c r="S45" i="159" s="1"/>
  <c r="H45" i="159"/>
  <c r="Q45" i="159" s="1"/>
  <c r="P58" i="159"/>
  <c r="H58" i="159"/>
  <c r="Q58" i="159" s="1"/>
  <c r="I58" i="159"/>
  <c r="R58" i="159" s="1"/>
  <c r="P19" i="160"/>
  <c r="I19" i="160"/>
  <c r="R19" i="160" s="1"/>
  <c r="J19" i="160"/>
  <c r="S19" i="160" s="1"/>
  <c r="H19" i="160"/>
  <c r="Q19" i="160" s="1"/>
  <c r="J27" i="160"/>
  <c r="S27" i="160" s="1"/>
  <c r="H27" i="160"/>
  <c r="Q27" i="160" s="1"/>
  <c r="P27" i="160"/>
  <c r="I27" i="160"/>
  <c r="R27" i="160" s="1"/>
  <c r="F38" i="143"/>
  <c r="F30" i="143"/>
  <c r="F24" i="143"/>
  <c r="F32" i="144"/>
  <c r="J56" i="144"/>
  <c r="G56" i="144"/>
  <c r="G50" i="144"/>
  <c r="G42" i="144"/>
  <c r="G43" i="144"/>
  <c r="F18" i="144"/>
  <c r="F16" i="144"/>
  <c r="F19" i="144"/>
  <c r="F17" i="144"/>
  <c r="F35" i="144"/>
  <c r="F34" i="144"/>
  <c r="F33" i="144"/>
  <c r="F27" i="144"/>
  <c r="F26" i="144"/>
  <c r="F25" i="144"/>
  <c r="F24" i="144"/>
  <c r="P19" i="167" l="1"/>
  <c r="I19" i="167"/>
  <c r="R19" i="167" s="1"/>
  <c r="J19" i="167"/>
  <c r="S19" i="167" s="1"/>
  <c r="H19" i="167"/>
  <c r="Q19" i="167" s="1"/>
  <c r="J45" i="165"/>
  <c r="S45" i="165" s="1"/>
  <c r="H45" i="165"/>
  <c r="Q45" i="165" s="1"/>
  <c r="P45" i="165"/>
  <c r="I45" i="165"/>
  <c r="R45" i="165" s="1"/>
  <c r="J119" i="163"/>
  <c r="S119" i="163" s="1"/>
  <c r="H119" i="163"/>
  <c r="Q119" i="163" s="1"/>
  <c r="P119" i="163"/>
  <c r="I119" i="163"/>
  <c r="R119" i="163" s="1"/>
  <c r="P52" i="161"/>
  <c r="I52" i="161"/>
  <c r="R52" i="161" s="1"/>
  <c r="J52" i="161"/>
  <c r="S52" i="161" s="1"/>
  <c r="H52" i="161"/>
  <c r="Q52" i="161" s="1"/>
  <c r="P29" i="161"/>
  <c r="I29" i="161"/>
  <c r="R29" i="161" s="1"/>
  <c r="J29" i="161"/>
  <c r="S29" i="161" s="1"/>
  <c r="H29" i="161"/>
  <c r="Q29" i="161" s="1"/>
  <c r="P38" i="161"/>
  <c r="I38" i="161"/>
  <c r="R38" i="161" s="1"/>
  <c r="J38" i="161"/>
  <c r="S38" i="161" s="1"/>
  <c r="H38" i="161"/>
  <c r="Q38" i="161" s="1"/>
  <c r="P21" i="161"/>
  <c r="I21" i="161"/>
  <c r="R21" i="161" s="1"/>
  <c r="J21" i="161"/>
  <c r="S21" i="161" s="1"/>
  <c r="H21" i="161"/>
  <c r="Q21" i="161" s="1"/>
  <c r="P52" i="159"/>
  <c r="I52" i="159"/>
  <c r="R52" i="159" s="1"/>
  <c r="J52" i="159"/>
  <c r="S52" i="159" s="1"/>
  <c r="H52" i="159"/>
  <c r="Q52" i="159" s="1"/>
  <c r="P29" i="159"/>
  <c r="I29" i="159"/>
  <c r="R29" i="159" s="1"/>
  <c r="J29" i="159"/>
  <c r="S29" i="159" s="1"/>
  <c r="H29" i="159"/>
  <c r="Q29" i="159" s="1"/>
  <c r="P38" i="159"/>
  <c r="I38" i="159"/>
  <c r="R38" i="159" s="1"/>
  <c r="J38" i="159"/>
  <c r="S38" i="159" s="1"/>
  <c r="H38" i="159"/>
  <c r="Q38" i="159" s="1"/>
  <c r="P21" i="159"/>
  <c r="I21" i="159"/>
  <c r="R21" i="159" s="1"/>
  <c r="J21" i="159"/>
  <c r="S21" i="159" s="1"/>
  <c r="H21" i="159"/>
  <c r="Q21" i="159" s="1"/>
  <c r="F13" i="144"/>
  <c r="F14" i="144"/>
  <c r="F15" i="144"/>
  <c r="N100" i="32"/>
  <c r="N82" i="32"/>
  <c r="O82" i="32"/>
  <c r="P82" i="32"/>
  <c r="S82" i="32"/>
  <c r="S78" i="32"/>
  <c r="S79" i="32"/>
  <c r="S80" i="32" s="1"/>
  <c r="S81" i="32" s="1"/>
  <c r="P81" i="32"/>
  <c r="O81" i="32"/>
  <c r="N81" i="32"/>
  <c r="P78" i="32"/>
  <c r="O78" i="32"/>
  <c r="N78" i="32"/>
  <c r="N79" i="32"/>
  <c r="O79" i="32"/>
  <c r="P79" i="32"/>
  <c r="N80" i="32"/>
  <c r="O80" i="32"/>
  <c r="P80" i="32"/>
  <c r="AB82" i="32"/>
  <c r="AB81" i="32"/>
  <c r="AB78" i="32"/>
  <c r="M79" i="32"/>
  <c r="M81" i="32"/>
  <c r="M82" i="32"/>
  <c r="B1" i="125"/>
  <c r="B2" i="124"/>
  <c r="B2" i="123"/>
  <c r="C7" i="122"/>
  <c r="M80" i="32"/>
  <c r="V69" i="32"/>
  <c r="V70" i="32"/>
  <c r="V71" i="32"/>
  <c r="V72" i="32"/>
  <c r="V73" i="32"/>
  <c r="V68" i="32"/>
  <c r="V59" i="32"/>
  <c r="V60" i="32"/>
  <c r="V61" i="32"/>
  <c r="V58" i="32"/>
  <c r="U142" i="151"/>
  <c r="T142" i="151"/>
  <c r="G140" i="151"/>
  <c r="G139" i="151"/>
  <c r="G138" i="151"/>
  <c r="G137" i="151"/>
  <c r="G136" i="151"/>
  <c r="G135" i="151"/>
  <c r="G134" i="151"/>
  <c r="G133" i="151"/>
  <c r="G142" i="151"/>
  <c r="L130" i="151"/>
  <c r="U130" i="151"/>
  <c r="K130" i="151"/>
  <c r="T130" i="151"/>
  <c r="G130" i="151"/>
  <c r="J130" i="151"/>
  <c r="S130" i="151" s="1"/>
  <c r="L124" i="151"/>
  <c r="U124" i="151" s="1"/>
  <c r="K124" i="151"/>
  <c r="T124" i="151" s="1"/>
  <c r="G124" i="151"/>
  <c r="J124" i="151" s="1"/>
  <c r="S124" i="151" s="1"/>
  <c r="L119" i="151"/>
  <c r="U119" i="151"/>
  <c r="K119" i="151"/>
  <c r="T119" i="151"/>
  <c r="F116" i="151"/>
  <c r="G116" i="151"/>
  <c r="F115" i="151"/>
  <c r="G115" i="151"/>
  <c r="G114" i="151"/>
  <c r="G113" i="151"/>
  <c r="G112" i="151"/>
  <c r="G119" i="151"/>
  <c r="U107" i="151"/>
  <c r="T107" i="151"/>
  <c r="G103" i="151"/>
  <c r="G107" i="151"/>
  <c r="L100" i="151"/>
  <c r="U100" i="151"/>
  <c r="K100" i="151"/>
  <c r="T100" i="151"/>
  <c r="G100" i="151"/>
  <c r="J100" i="151"/>
  <c r="S100" i="151" s="1"/>
  <c r="L90" i="151"/>
  <c r="U90" i="151" s="1"/>
  <c r="K90" i="151"/>
  <c r="T90" i="151" s="1"/>
  <c r="G90" i="151"/>
  <c r="J90" i="151" s="1"/>
  <c r="S90" i="151" s="1"/>
  <c r="F85" i="151"/>
  <c r="L78" i="151"/>
  <c r="U78" i="151" s="1"/>
  <c r="K78" i="151"/>
  <c r="T78" i="151" s="1"/>
  <c r="G78" i="151"/>
  <c r="P78" i="151" s="1"/>
  <c r="L67" i="151"/>
  <c r="U67" i="151" s="1"/>
  <c r="K67" i="151"/>
  <c r="T67" i="151" s="1"/>
  <c r="G65" i="151"/>
  <c r="G64" i="151"/>
  <c r="H63" i="151"/>
  <c r="H64" i="151" s="1"/>
  <c r="H65" i="151" s="1"/>
  <c r="G63" i="151"/>
  <c r="G62" i="151"/>
  <c r="G61" i="151"/>
  <c r="G60" i="151"/>
  <c r="H59" i="151"/>
  <c r="H60" i="151"/>
  <c r="H61" i="151" s="1"/>
  <c r="G59" i="151"/>
  <c r="G58" i="151"/>
  <c r="G67" i="151"/>
  <c r="L53" i="151"/>
  <c r="U53" i="151"/>
  <c r="K53" i="151"/>
  <c r="T53" i="151"/>
  <c r="G51" i="151"/>
  <c r="G50" i="151"/>
  <c r="G53" i="151" s="1"/>
  <c r="L47" i="151"/>
  <c r="U47" i="151" s="1"/>
  <c r="K47" i="151"/>
  <c r="T47" i="151" s="1"/>
  <c r="G45" i="151"/>
  <c r="G44" i="151"/>
  <c r="G47" i="151"/>
  <c r="L39" i="151"/>
  <c r="U39" i="151"/>
  <c r="K39" i="151"/>
  <c r="T39" i="151"/>
  <c r="G37" i="151"/>
  <c r="G36" i="151"/>
  <c r="G35" i="151"/>
  <c r="G39" i="151"/>
  <c r="L32" i="151"/>
  <c r="U32" i="151"/>
  <c r="K32" i="151"/>
  <c r="T32" i="151"/>
  <c r="F30" i="151"/>
  <c r="G30" i="151"/>
  <c r="F29" i="151"/>
  <c r="G29" i="151"/>
  <c r="G32" i="151" s="1"/>
  <c r="L24" i="151"/>
  <c r="U24" i="151" s="1"/>
  <c r="K24" i="151"/>
  <c r="T24" i="151" s="1"/>
  <c r="G22" i="151"/>
  <c r="G21" i="151"/>
  <c r="G20" i="151"/>
  <c r="G24" i="151" s="1"/>
  <c r="L17" i="151"/>
  <c r="U17" i="151" s="1"/>
  <c r="K17" i="151"/>
  <c r="T17" i="151" s="1"/>
  <c r="F15" i="151"/>
  <c r="G15" i="151" s="1"/>
  <c r="F14" i="151"/>
  <c r="G14" i="151" s="1"/>
  <c r="L5" i="151"/>
  <c r="L4" i="151"/>
  <c r="L3" i="151"/>
  <c r="L2" i="151"/>
  <c r="U142" i="150"/>
  <c r="T142" i="150"/>
  <c r="G140" i="150"/>
  <c r="G139" i="150"/>
  <c r="G138" i="150"/>
  <c r="G137" i="150"/>
  <c r="G136" i="150"/>
  <c r="G135" i="150"/>
  <c r="G134" i="150"/>
  <c r="G133" i="150"/>
  <c r="G142" i="150" s="1"/>
  <c r="L130" i="150"/>
  <c r="U130" i="150" s="1"/>
  <c r="K130" i="150"/>
  <c r="T130" i="150" s="1"/>
  <c r="G130" i="150"/>
  <c r="P130" i="150" s="1"/>
  <c r="L124" i="150"/>
  <c r="U124" i="150" s="1"/>
  <c r="K124" i="150"/>
  <c r="T124" i="150" s="1"/>
  <c r="G124" i="150"/>
  <c r="J124" i="150" s="1"/>
  <c r="S124" i="150" s="1"/>
  <c r="L119" i="150"/>
  <c r="U119" i="150"/>
  <c r="K119" i="150"/>
  <c r="T119" i="150"/>
  <c r="F116" i="150"/>
  <c r="G116" i="150"/>
  <c r="F115" i="150"/>
  <c r="G115" i="150"/>
  <c r="G114" i="150"/>
  <c r="G113" i="150"/>
  <c r="G112" i="150"/>
  <c r="U107" i="150"/>
  <c r="T107" i="150"/>
  <c r="G103" i="150"/>
  <c r="G107" i="150" s="1"/>
  <c r="L100" i="150"/>
  <c r="U100" i="150" s="1"/>
  <c r="K100" i="150"/>
  <c r="T100" i="150" s="1"/>
  <c r="G100" i="150"/>
  <c r="J100" i="150" s="1"/>
  <c r="S100" i="150" s="1"/>
  <c r="L90" i="150"/>
  <c r="U90" i="150"/>
  <c r="K90" i="150"/>
  <c r="T90" i="150"/>
  <c r="G90" i="150"/>
  <c r="J90" i="150"/>
  <c r="S90" i="150" s="1"/>
  <c r="F85" i="150"/>
  <c r="L78" i="150"/>
  <c r="U78" i="150"/>
  <c r="K78" i="150"/>
  <c r="T78" i="150"/>
  <c r="G78" i="150"/>
  <c r="J78" i="150" s="1"/>
  <c r="S78" i="150" s="1"/>
  <c r="P78" i="150"/>
  <c r="L67" i="150"/>
  <c r="U67" i="150"/>
  <c r="K67" i="150"/>
  <c r="T67" i="150"/>
  <c r="G65" i="150"/>
  <c r="G64" i="150"/>
  <c r="H63" i="150"/>
  <c r="H64" i="150"/>
  <c r="H65" i="150" s="1"/>
  <c r="G63" i="150"/>
  <c r="G62" i="150"/>
  <c r="G61" i="150"/>
  <c r="G60" i="150"/>
  <c r="H59" i="150"/>
  <c r="H60" i="150" s="1"/>
  <c r="H61" i="150" s="1"/>
  <c r="G59" i="150"/>
  <c r="G58" i="150"/>
  <c r="G67" i="150" s="1"/>
  <c r="L53" i="150"/>
  <c r="U53" i="150" s="1"/>
  <c r="K53" i="150"/>
  <c r="T53" i="150" s="1"/>
  <c r="G51" i="150"/>
  <c r="G50" i="150"/>
  <c r="G53" i="150"/>
  <c r="L47" i="150"/>
  <c r="U47" i="150"/>
  <c r="K47" i="150"/>
  <c r="T47" i="150"/>
  <c r="G45" i="150"/>
  <c r="G44" i="150"/>
  <c r="G47" i="150" s="1"/>
  <c r="L39" i="150"/>
  <c r="U39" i="150" s="1"/>
  <c r="K39" i="150"/>
  <c r="T39" i="150" s="1"/>
  <c r="G37" i="150"/>
  <c r="G36" i="150"/>
  <c r="G35" i="150"/>
  <c r="G39" i="150" s="1"/>
  <c r="L32" i="150"/>
  <c r="U32" i="150" s="1"/>
  <c r="K32" i="150"/>
  <c r="T32" i="150" s="1"/>
  <c r="F30" i="150"/>
  <c r="G30" i="150" s="1"/>
  <c r="F29" i="150"/>
  <c r="G29" i="150" s="1"/>
  <c r="G32" i="150" s="1"/>
  <c r="L24" i="150"/>
  <c r="U24" i="150"/>
  <c r="K24" i="150"/>
  <c r="T24" i="150"/>
  <c r="G22" i="150"/>
  <c r="G21" i="150"/>
  <c r="G20" i="150"/>
  <c r="G24" i="150"/>
  <c r="L17" i="150"/>
  <c r="U17" i="150"/>
  <c r="K17" i="150"/>
  <c r="T17" i="150"/>
  <c r="F15" i="150"/>
  <c r="G15" i="150"/>
  <c r="F14" i="150"/>
  <c r="G14" i="150"/>
  <c r="L5" i="150"/>
  <c r="L4" i="150"/>
  <c r="L3" i="150"/>
  <c r="L2" i="150"/>
  <c r="U142" i="149"/>
  <c r="T142" i="149"/>
  <c r="G140" i="149"/>
  <c r="G139" i="149"/>
  <c r="G138" i="149"/>
  <c r="G137" i="149"/>
  <c r="G136" i="149"/>
  <c r="G135" i="149"/>
  <c r="G134" i="149"/>
  <c r="G133" i="149"/>
  <c r="G142" i="149" s="1"/>
  <c r="L130" i="149"/>
  <c r="U130" i="149" s="1"/>
  <c r="K130" i="149"/>
  <c r="T130" i="149" s="1"/>
  <c r="G130" i="149"/>
  <c r="J130" i="149" s="1"/>
  <c r="S130" i="149" s="1"/>
  <c r="L124" i="149"/>
  <c r="U124" i="149"/>
  <c r="K124" i="149"/>
  <c r="T124" i="149"/>
  <c r="G124" i="149"/>
  <c r="J124" i="149"/>
  <c r="S124" i="149" s="1"/>
  <c r="L119" i="149"/>
  <c r="U119" i="149" s="1"/>
  <c r="K119" i="149"/>
  <c r="T119" i="149" s="1"/>
  <c r="F116" i="149"/>
  <c r="G116" i="149" s="1"/>
  <c r="F115" i="149"/>
  <c r="G115" i="149" s="1"/>
  <c r="G114" i="149"/>
  <c r="G113" i="149"/>
  <c r="G112" i="149"/>
  <c r="G119" i="149" s="1"/>
  <c r="U107" i="149"/>
  <c r="T107" i="149"/>
  <c r="G103" i="149"/>
  <c r="G107" i="149" s="1"/>
  <c r="L100" i="149"/>
  <c r="U100" i="149" s="1"/>
  <c r="K100" i="149"/>
  <c r="T100" i="149" s="1"/>
  <c r="G100" i="149"/>
  <c r="J100" i="149" s="1"/>
  <c r="S100" i="149" s="1"/>
  <c r="L90" i="149"/>
  <c r="U90" i="149"/>
  <c r="K90" i="149"/>
  <c r="T90" i="149"/>
  <c r="G90" i="149"/>
  <c r="J90" i="149"/>
  <c r="S90" i="149" s="1"/>
  <c r="F85" i="149"/>
  <c r="L78" i="149"/>
  <c r="U78" i="149"/>
  <c r="K78" i="149"/>
  <c r="T78" i="149"/>
  <c r="G78" i="149"/>
  <c r="J78" i="149" s="1"/>
  <c r="S78" i="149" s="1"/>
  <c r="P78" i="149"/>
  <c r="L67" i="149"/>
  <c r="U67" i="149"/>
  <c r="K67" i="149"/>
  <c r="T67" i="149"/>
  <c r="G65" i="149"/>
  <c r="G64" i="149"/>
  <c r="H63" i="149"/>
  <c r="H64" i="149"/>
  <c r="H65" i="149" s="1"/>
  <c r="G63" i="149"/>
  <c r="G62" i="149"/>
  <c r="G61" i="149"/>
  <c r="G60" i="149"/>
  <c r="H59" i="149"/>
  <c r="H60" i="149" s="1"/>
  <c r="H61" i="149" s="1"/>
  <c r="G59" i="149"/>
  <c r="G58" i="149"/>
  <c r="G67" i="149" s="1"/>
  <c r="L53" i="149"/>
  <c r="U53" i="149" s="1"/>
  <c r="K53" i="149"/>
  <c r="T53" i="149" s="1"/>
  <c r="G51" i="149"/>
  <c r="G50" i="149"/>
  <c r="G53" i="149"/>
  <c r="L47" i="149"/>
  <c r="U47" i="149"/>
  <c r="K47" i="149"/>
  <c r="T47" i="149"/>
  <c r="G45" i="149"/>
  <c r="G44" i="149"/>
  <c r="G47" i="149" s="1"/>
  <c r="L39" i="149"/>
  <c r="U39" i="149" s="1"/>
  <c r="K39" i="149"/>
  <c r="T39" i="149" s="1"/>
  <c r="G37" i="149"/>
  <c r="G36" i="149"/>
  <c r="G35" i="149"/>
  <c r="G39" i="149" s="1"/>
  <c r="L32" i="149"/>
  <c r="U32" i="149" s="1"/>
  <c r="K32" i="149"/>
  <c r="T32" i="149" s="1"/>
  <c r="F30" i="149"/>
  <c r="G30" i="149" s="1"/>
  <c r="F29" i="149"/>
  <c r="G29" i="149" s="1"/>
  <c r="G32" i="149" s="1"/>
  <c r="L24" i="149"/>
  <c r="U24" i="149"/>
  <c r="K24" i="149"/>
  <c r="T24" i="149"/>
  <c r="G22" i="149"/>
  <c r="G21" i="149"/>
  <c r="G20" i="149"/>
  <c r="G24" i="149" s="1"/>
  <c r="L17" i="149"/>
  <c r="U17" i="149"/>
  <c r="K17" i="149"/>
  <c r="T17" i="149"/>
  <c r="F15" i="149"/>
  <c r="G15" i="149" s="1"/>
  <c r="F14" i="149"/>
  <c r="G14" i="149" s="1"/>
  <c r="L5" i="149"/>
  <c r="L4" i="149"/>
  <c r="L3" i="149"/>
  <c r="L2" i="149"/>
  <c r="U142" i="145"/>
  <c r="T142" i="145"/>
  <c r="U107" i="145"/>
  <c r="T107" i="145"/>
  <c r="L53" i="145"/>
  <c r="U53" i="145"/>
  <c r="K53" i="145"/>
  <c r="T53" i="145"/>
  <c r="G50" i="145"/>
  <c r="G51" i="145"/>
  <c r="G53" i="145" s="1"/>
  <c r="J53" i="145" s="1"/>
  <c r="S53" i="145" s="1"/>
  <c r="L47" i="145"/>
  <c r="U47" i="145" s="1"/>
  <c r="K47" i="145"/>
  <c r="T47" i="145" s="1"/>
  <c r="G44" i="145"/>
  <c r="G45" i="145"/>
  <c r="G47" i="145"/>
  <c r="J47" i="145" s="1"/>
  <c r="S47" i="145" s="1"/>
  <c r="L39" i="145"/>
  <c r="U39" i="145"/>
  <c r="K39" i="145"/>
  <c r="T39" i="145"/>
  <c r="G35" i="145"/>
  <c r="G36" i="145"/>
  <c r="G37" i="145"/>
  <c r="G39" i="145" s="1"/>
  <c r="L32" i="145"/>
  <c r="U32" i="145"/>
  <c r="K32" i="145"/>
  <c r="T32" i="145"/>
  <c r="F29" i="145"/>
  <c r="G29" i="145"/>
  <c r="F30" i="145"/>
  <c r="G30" i="145"/>
  <c r="L24" i="145"/>
  <c r="U24" i="145"/>
  <c r="K24" i="145"/>
  <c r="T24" i="145"/>
  <c r="G20" i="145"/>
  <c r="G21" i="145"/>
  <c r="G22" i="145"/>
  <c r="G24" i="145" s="1"/>
  <c r="L17" i="145"/>
  <c r="U17" i="145"/>
  <c r="K17" i="145"/>
  <c r="T17" i="145"/>
  <c r="F14" i="145"/>
  <c r="G14" i="145"/>
  <c r="F15" i="145"/>
  <c r="G15" i="145"/>
  <c r="L41" i="143"/>
  <c r="U41" i="143" s="1"/>
  <c r="K41" i="143"/>
  <c r="T41" i="143" s="1"/>
  <c r="G38" i="143"/>
  <c r="G41" i="143" s="1"/>
  <c r="J41" i="143" s="1"/>
  <c r="S41" i="143" s="1"/>
  <c r="G39" i="143"/>
  <c r="L33" i="143"/>
  <c r="U33" i="143" s="1"/>
  <c r="K33" i="143"/>
  <c r="T33" i="143" s="1"/>
  <c r="G30" i="143"/>
  <c r="G33" i="143" s="1"/>
  <c r="G31" i="143"/>
  <c r="L27" i="143"/>
  <c r="U27" i="143" s="1"/>
  <c r="K27" i="143"/>
  <c r="T27" i="143" s="1"/>
  <c r="G24" i="143"/>
  <c r="G27" i="143" s="1"/>
  <c r="J27" i="143" s="1"/>
  <c r="S27" i="143" s="1"/>
  <c r="G25" i="143"/>
  <c r="L58" i="144"/>
  <c r="U58" i="144" s="1"/>
  <c r="K58" i="144"/>
  <c r="T58" i="144" s="1"/>
  <c r="S58" i="144"/>
  <c r="G55" i="144"/>
  <c r="G58" i="144"/>
  <c r="I58" i="144" s="1"/>
  <c r="R58" i="144" s="1"/>
  <c r="L52" i="144"/>
  <c r="U52" i="144" s="1"/>
  <c r="K52" i="144"/>
  <c r="T52" i="144" s="1"/>
  <c r="G48" i="144"/>
  <c r="F49" i="144"/>
  <c r="G49" i="144"/>
  <c r="L45" i="144"/>
  <c r="U45" i="144" s="1"/>
  <c r="K45" i="144"/>
  <c r="T45" i="144" s="1"/>
  <c r="G41" i="144"/>
  <c r="F42" i="144"/>
  <c r="L38" i="144"/>
  <c r="U38" i="144" s="1"/>
  <c r="K38" i="144"/>
  <c r="T38" i="144" s="1"/>
  <c r="G32" i="144"/>
  <c r="G33" i="144"/>
  <c r="G34" i="144"/>
  <c r="G35" i="144"/>
  <c r="F36" i="144"/>
  <c r="G36" i="144"/>
  <c r="F17" i="143"/>
  <c r="G17" i="143"/>
  <c r="F16" i="143"/>
  <c r="G16" i="143"/>
  <c r="F15" i="143"/>
  <c r="G15" i="143"/>
  <c r="G14" i="143"/>
  <c r="G27" i="144"/>
  <c r="G26" i="144"/>
  <c r="G25" i="144"/>
  <c r="G24" i="144"/>
  <c r="G29" i="144" s="1"/>
  <c r="J29" i="144" s="1"/>
  <c r="S29" i="144" s="1"/>
  <c r="G19" i="144"/>
  <c r="G18" i="144"/>
  <c r="G17" i="144"/>
  <c r="G16" i="144"/>
  <c r="G15" i="144"/>
  <c r="G14" i="144"/>
  <c r="G13" i="144"/>
  <c r="G12" i="144"/>
  <c r="L29" i="144"/>
  <c r="U29" i="144"/>
  <c r="K29" i="144"/>
  <c r="T29" i="144"/>
  <c r="K21" i="144"/>
  <c r="T21" i="144" s="1"/>
  <c r="L21" i="144"/>
  <c r="U21" i="144" s="1"/>
  <c r="G133" i="145"/>
  <c r="G134" i="145"/>
  <c r="G135" i="145"/>
  <c r="G136" i="145"/>
  <c r="G137" i="145"/>
  <c r="G138" i="145"/>
  <c r="G139" i="145"/>
  <c r="G140" i="145"/>
  <c r="G142" i="145"/>
  <c r="P142" i="145" s="1"/>
  <c r="I142" i="145"/>
  <c r="R142" i="145" s="1"/>
  <c r="L130" i="145"/>
  <c r="U130" i="145" s="1"/>
  <c r="K130" i="145"/>
  <c r="T130" i="145" s="1"/>
  <c r="G130" i="145"/>
  <c r="P130" i="145" s="1"/>
  <c r="I130" i="145"/>
  <c r="R130" i="145" s="1"/>
  <c r="L124" i="145"/>
  <c r="U124" i="145" s="1"/>
  <c r="K124" i="145"/>
  <c r="T124" i="145" s="1"/>
  <c r="G124" i="145"/>
  <c r="P124" i="145" s="1"/>
  <c r="L119" i="145"/>
  <c r="U119" i="145" s="1"/>
  <c r="K119" i="145"/>
  <c r="T119" i="145" s="1"/>
  <c r="G112" i="145"/>
  <c r="G113" i="145"/>
  <c r="G114" i="145"/>
  <c r="F115" i="145"/>
  <c r="G115" i="145" s="1"/>
  <c r="F116" i="145"/>
  <c r="G116" i="145" s="1"/>
  <c r="G103" i="145"/>
  <c r="G107" i="145" s="1"/>
  <c r="L100" i="145"/>
  <c r="U100" i="145"/>
  <c r="K100" i="145"/>
  <c r="T100" i="145"/>
  <c r="G100" i="145"/>
  <c r="P100" i="145"/>
  <c r="I100" i="145"/>
  <c r="R100" i="145"/>
  <c r="L90" i="145"/>
  <c r="U90" i="145"/>
  <c r="K90" i="145"/>
  <c r="T90" i="145"/>
  <c r="G90" i="145"/>
  <c r="P90" i="145"/>
  <c r="I90" i="145"/>
  <c r="R90" i="145"/>
  <c r="F85" i="145"/>
  <c r="L78" i="145"/>
  <c r="U78" i="145" s="1"/>
  <c r="K78" i="145"/>
  <c r="T78" i="145" s="1"/>
  <c r="G78" i="145"/>
  <c r="P78" i="145" s="1"/>
  <c r="J78" i="145"/>
  <c r="S78" i="145" s="1"/>
  <c r="I78" i="145"/>
  <c r="R78" i="145" s="1"/>
  <c r="H78" i="145"/>
  <c r="Q78" i="145" s="1"/>
  <c r="L67" i="145"/>
  <c r="U67" i="145" s="1"/>
  <c r="K67" i="145"/>
  <c r="T67" i="145" s="1"/>
  <c r="G58" i="145"/>
  <c r="G59" i="145"/>
  <c r="G60" i="145"/>
  <c r="G61" i="145"/>
  <c r="G62" i="145"/>
  <c r="G63" i="145"/>
  <c r="G64" i="145"/>
  <c r="G65" i="145"/>
  <c r="H59" i="145"/>
  <c r="H60" i="145" s="1"/>
  <c r="H61" i="145" s="1"/>
  <c r="H63" i="145"/>
  <c r="H64" i="145"/>
  <c r="H65" i="145" s="1"/>
  <c r="L2" i="145"/>
  <c r="L3" i="145"/>
  <c r="L4" i="145"/>
  <c r="L5" i="145"/>
  <c r="L2" i="144"/>
  <c r="L3" i="144"/>
  <c r="L4" i="144"/>
  <c r="L5" i="144"/>
  <c r="L2" i="143"/>
  <c r="L3" i="143"/>
  <c r="L4" i="143"/>
  <c r="L5" i="143"/>
  <c r="G19" i="143"/>
  <c r="H19" i="143" s="1"/>
  <c r="Q19" i="143" s="1"/>
  <c r="K19" i="143"/>
  <c r="L19" i="143"/>
  <c r="T19" i="143"/>
  <c r="U19" i="143"/>
  <c r="R28" i="32"/>
  <c r="R30" i="32" s="1"/>
  <c r="Q28" i="32"/>
  <c r="Q30" i="32" s="1"/>
  <c r="V17" i="116"/>
  <c r="V18" i="116"/>
  <c r="V19" i="116"/>
  <c r="V20" i="116"/>
  <c r="V21" i="116"/>
  <c r="V22" i="116"/>
  <c r="V23" i="116"/>
  <c r="V24" i="116"/>
  <c r="V25" i="116"/>
  <c r="V26" i="116"/>
  <c r="V27" i="116"/>
  <c r="V28" i="116"/>
  <c r="V29" i="116"/>
  <c r="V30" i="116"/>
  <c r="V31" i="116"/>
  <c r="V32" i="116"/>
  <c r="V33" i="116"/>
  <c r="V34" i="116"/>
  <c r="V35" i="116"/>
  <c r="V36" i="116"/>
  <c r="V37" i="116"/>
  <c r="V38" i="116"/>
  <c r="V39" i="116"/>
  <c r="V40" i="116"/>
  <c r="V41" i="116"/>
  <c r="V42" i="116"/>
  <c r="V43" i="116"/>
  <c r="V44" i="116"/>
  <c r="V45" i="116"/>
  <c r="V46" i="116"/>
  <c r="V47" i="116"/>
  <c r="V48" i="116"/>
  <c r="V49" i="116"/>
  <c r="V50" i="116"/>
  <c r="V51" i="116"/>
  <c r="V52" i="116"/>
  <c r="V53" i="116"/>
  <c r="V54" i="116"/>
  <c r="V55" i="116"/>
  <c r="V56" i="116"/>
  <c r="V57" i="116"/>
  <c r="V58" i="116"/>
  <c r="V59" i="116"/>
  <c r="V60" i="116"/>
  <c r="V61" i="116"/>
  <c r="V62" i="116"/>
  <c r="V63" i="116"/>
  <c r="V64" i="116"/>
  <c r="V65" i="116"/>
  <c r="V66" i="116"/>
  <c r="V67" i="116"/>
  <c r="V68" i="116"/>
  <c r="V69" i="116"/>
  <c r="V70" i="116"/>
  <c r="V71" i="116"/>
  <c r="V72" i="116"/>
  <c r="V73" i="116"/>
  <c r="V74" i="116"/>
  <c r="V75" i="116"/>
  <c r="V76" i="116"/>
  <c r="V77" i="116"/>
  <c r="V78" i="116"/>
  <c r="V79" i="116"/>
  <c r="V80" i="116"/>
  <c r="V81" i="116"/>
  <c r="V82" i="116"/>
  <c r="V83" i="116"/>
  <c r="V84" i="116"/>
  <c r="V85" i="116"/>
  <c r="V86" i="116"/>
  <c r="V87" i="116"/>
  <c r="V88" i="116"/>
  <c r="V89" i="116"/>
  <c r="V90" i="116"/>
  <c r="V91" i="116"/>
  <c r="V92" i="116"/>
  <c r="V93" i="116"/>
  <c r="V94" i="116"/>
  <c r="V95" i="116"/>
  <c r="V96" i="116"/>
  <c r="V97" i="116"/>
  <c r="V98" i="116"/>
  <c r="V99" i="116"/>
  <c r="V100" i="116"/>
  <c r="V101" i="116"/>
  <c r="V102" i="116"/>
  <c r="V103" i="116"/>
  <c r="V104" i="116"/>
  <c r="V105" i="116"/>
  <c r="V106" i="116"/>
  <c r="V107" i="116"/>
  <c r="V108" i="116"/>
  <c r="V109" i="116"/>
  <c r="V110" i="116"/>
  <c r="V111" i="116"/>
  <c r="V112" i="116"/>
  <c r="V113" i="116"/>
  <c r="V114" i="116"/>
  <c r="V115" i="116"/>
  <c r="V116" i="116"/>
  <c r="V117" i="116"/>
  <c r="V118" i="116"/>
  <c r="V119" i="116"/>
  <c r="V120" i="116"/>
  <c r="V121" i="116"/>
  <c r="V122" i="116"/>
  <c r="V123" i="116"/>
  <c r="V124" i="116"/>
  <c r="V125" i="116"/>
  <c r="V126" i="116"/>
  <c r="V127" i="116"/>
  <c r="V128" i="116"/>
  <c r="V129" i="116"/>
  <c r="V130" i="116"/>
  <c r="V131" i="116"/>
  <c r="V132" i="116"/>
  <c r="V133" i="116"/>
  <c r="V134" i="116"/>
  <c r="V135" i="116"/>
  <c r="V136" i="116"/>
  <c r="V137" i="116"/>
  <c r="V138" i="116"/>
  <c r="V139" i="116"/>
  <c r="V140" i="116"/>
  <c r="V141" i="116"/>
  <c r="V142" i="116"/>
  <c r="V143" i="116"/>
  <c r="V144" i="116"/>
  <c r="V145" i="116"/>
  <c r="V146" i="116"/>
  <c r="V147" i="116"/>
  <c r="V148" i="116"/>
  <c r="V149" i="116"/>
  <c r="V150" i="116"/>
  <c r="V151" i="116"/>
  <c r="V152" i="116"/>
  <c r="V153" i="116"/>
  <c r="V154" i="116"/>
  <c r="V155" i="116"/>
  <c r="V156" i="116"/>
  <c r="V157" i="116"/>
  <c r="V158" i="116"/>
  <c r="V159" i="116"/>
  <c r="V160" i="116"/>
  <c r="V161" i="116"/>
  <c r="V162" i="116"/>
  <c r="V163" i="116"/>
  <c r="V164" i="116"/>
  <c r="V165" i="116"/>
  <c r="V166" i="116"/>
  <c r="V167" i="116"/>
  <c r="V168" i="116"/>
  <c r="V169" i="116"/>
  <c r="V170" i="116"/>
  <c r="V171" i="116"/>
  <c r="V172" i="116"/>
  <c r="V173" i="116"/>
  <c r="V174" i="116"/>
  <c r="V175" i="116"/>
  <c r="V176" i="116"/>
  <c r="V177" i="116"/>
  <c r="V178" i="116"/>
  <c r="V179" i="116"/>
  <c r="V180" i="116"/>
  <c r="V181" i="116"/>
  <c r="V182" i="116"/>
  <c r="V183" i="116"/>
  <c r="V184" i="116"/>
  <c r="V185" i="116"/>
  <c r="V186" i="116"/>
  <c r="V187" i="116"/>
  <c r="V188" i="116"/>
  <c r="V189" i="116"/>
  <c r="V190" i="116"/>
  <c r="V191" i="116"/>
  <c r="V192" i="116"/>
  <c r="V193" i="116"/>
  <c r="V194" i="116"/>
  <c r="V195" i="116"/>
  <c r="V196" i="116"/>
  <c r="V197" i="116"/>
  <c r="V198" i="116"/>
  <c r="V199" i="116"/>
  <c r="V200" i="116"/>
  <c r="V201" i="116"/>
  <c r="V202" i="116"/>
  <c r="V15" i="116"/>
  <c r="V14" i="116"/>
  <c r="V13" i="116"/>
  <c r="V12" i="116"/>
  <c r="V11" i="116"/>
  <c r="V10" i="116"/>
  <c r="V9" i="116"/>
  <c r="V8" i="116"/>
  <c r="V7" i="116"/>
  <c r="V6" i="116"/>
  <c r="V5" i="116"/>
  <c r="V4" i="116"/>
  <c r="V3" i="116"/>
  <c r="V16" i="116"/>
  <c r="R84" i="32"/>
  <c r="Q84" i="32"/>
  <c r="A42" i="124"/>
  <c r="A43" i="124" s="1"/>
  <c r="A44" i="124" s="1"/>
  <c r="A45" i="124" s="1"/>
  <c r="A46" i="124" s="1"/>
  <c r="A47" i="124" s="1"/>
  <c r="A48" i="124" s="1"/>
  <c r="A49" i="124" s="1"/>
  <c r="A50" i="124" s="1"/>
  <c r="A51" i="124" s="1"/>
  <c r="A52" i="124" s="1"/>
  <c r="A53" i="124" s="1"/>
  <c r="A54" i="124" s="1"/>
  <c r="A55" i="124" s="1"/>
  <c r="A42" i="123"/>
  <c r="A43" i="123" s="1"/>
  <c r="A44" i="123" s="1"/>
  <c r="A45" i="123" s="1"/>
  <c r="A46" i="123" s="1"/>
  <c r="A47" i="123" s="1"/>
  <c r="A48" i="123" s="1"/>
  <c r="A49" i="123" s="1"/>
  <c r="A50" i="123" s="1"/>
  <c r="A51" i="123" s="1"/>
  <c r="A52" i="123" s="1"/>
  <c r="A53" i="123" s="1"/>
  <c r="A54" i="123" s="1"/>
  <c r="A55" i="123" s="1"/>
  <c r="H6" i="124"/>
  <c r="H7" i="124"/>
  <c r="H8" i="124"/>
  <c r="H9" i="124"/>
  <c r="H10" i="124"/>
  <c r="H11" i="124"/>
  <c r="H12" i="124"/>
  <c r="H13" i="124"/>
  <c r="H14" i="124"/>
  <c r="H15" i="124"/>
  <c r="H16" i="124"/>
  <c r="H17" i="124"/>
  <c r="H18" i="124"/>
  <c r="H19" i="124"/>
  <c r="H20" i="124"/>
  <c r="H21" i="124"/>
  <c r="H22" i="124"/>
  <c r="H23" i="124"/>
  <c r="H24" i="124"/>
  <c r="H5" i="124"/>
  <c r="I24" i="124"/>
  <c r="I23" i="124"/>
  <c r="I22" i="124"/>
  <c r="I21" i="124"/>
  <c r="I20" i="124"/>
  <c r="I19" i="124"/>
  <c r="I18" i="124"/>
  <c r="I17" i="124"/>
  <c r="I16" i="124"/>
  <c r="I15" i="124"/>
  <c r="I14" i="124"/>
  <c r="I13" i="124"/>
  <c r="I12" i="124"/>
  <c r="I11" i="124"/>
  <c r="I10" i="124"/>
  <c r="I9" i="124"/>
  <c r="I8" i="124"/>
  <c r="I7" i="124"/>
  <c r="F2" i="124"/>
  <c r="B2" i="126"/>
  <c r="I7" i="126"/>
  <c r="D7" i="126"/>
  <c r="C6" i="126"/>
  <c r="E2" i="126"/>
  <c r="I6" i="122"/>
  <c r="H24" i="123"/>
  <c r="H23" i="123"/>
  <c r="H21" i="123"/>
  <c r="H20" i="123"/>
  <c r="H19" i="123"/>
  <c r="H5" i="123"/>
  <c r="I24" i="123"/>
  <c r="I23" i="123"/>
  <c r="I21" i="123"/>
  <c r="I20" i="123"/>
  <c r="I19" i="123"/>
  <c r="F2" i="123"/>
  <c r="G6" i="122"/>
  <c r="H46" i="124"/>
  <c r="G45" i="124"/>
  <c r="G35" i="124"/>
  <c r="G40" i="124" s="1"/>
  <c r="G34" i="124"/>
  <c r="D18" i="123"/>
  <c r="I18" i="123" s="1"/>
  <c r="K18" i="123" s="1"/>
  <c r="C17" i="123"/>
  <c r="I17" i="123" s="1"/>
  <c r="K17" i="123" s="1"/>
  <c r="H17" i="123"/>
  <c r="C7" i="123"/>
  <c r="D7" i="123"/>
  <c r="C6" i="123"/>
  <c r="H6" i="123"/>
  <c r="I6" i="123" s="1"/>
  <c r="K6" i="123" s="1"/>
  <c r="C29" i="123"/>
  <c r="C31" i="123" s="1"/>
  <c r="E10" i="123"/>
  <c r="C29" i="124"/>
  <c r="C30" i="124" s="1"/>
  <c r="C31" i="124" s="1"/>
  <c r="I5" i="124"/>
  <c r="I5" i="123"/>
  <c r="N20" i="123"/>
  <c r="O20" i="123"/>
  <c r="N20" i="124"/>
  <c r="O20" i="124"/>
  <c r="E2" i="124"/>
  <c r="K22" i="124"/>
  <c r="K23" i="124"/>
  <c r="I6" i="124"/>
  <c r="K6" i="124" s="1"/>
  <c r="N6" i="124"/>
  <c r="O6" i="124" s="1"/>
  <c r="N7" i="124"/>
  <c r="O7" i="124" s="1"/>
  <c r="K8" i="124"/>
  <c r="N8" i="124"/>
  <c r="O8" i="124"/>
  <c r="K9" i="124"/>
  <c r="N9" i="124"/>
  <c r="O9" i="124" s="1"/>
  <c r="N10" i="124"/>
  <c r="O10" i="124" s="1"/>
  <c r="K11" i="124"/>
  <c r="N11" i="124"/>
  <c r="O11" i="124"/>
  <c r="P11" i="124"/>
  <c r="K12" i="124"/>
  <c r="N12" i="124"/>
  <c r="O12" i="124"/>
  <c r="K13" i="124"/>
  <c r="N13" i="124"/>
  <c r="O13" i="124" s="1"/>
  <c r="K14" i="124"/>
  <c r="N14" i="124"/>
  <c r="O14" i="124"/>
  <c r="K15" i="124"/>
  <c r="N15" i="124"/>
  <c r="O15" i="124" s="1"/>
  <c r="K16" i="124"/>
  <c r="N16" i="124"/>
  <c r="O16" i="124"/>
  <c r="K17" i="124"/>
  <c r="N17" i="124"/>
  <c r="O17" i="124" s="1"/>
  <c r="K18" i="124"/>
  <c r="N18" i="124"/>
  <c r="O18" i="124"/>
  <c r="K19" i="124"/>
  <c r="N19" i="124"/>
  <c r="O19" i="124" s="1"/>
  <c r="K21" i="124"/>
  <c r="N21" i="124"/>
  <c r="O21" i="124"/>
  <c r="N22" i="124"/>
  <c r="O22" i="124"/>
  <c r="N23" i="124"/>
  <c r="O23" i="124"/>
  <c r="K24" i="124"/>
  <c r="N24" i="124"/>
  <c r="O24" i="124" s="1"/>
  <c r="B75" i="124"/>
  <c r="B75" i="123"/>
  <c r="C30" i="123"/>
  <c r="N24" i="123"/>
  <c r="Q24" i="123" s="1"/>
  <c r="N23" i="123"/>
  <c r="O23" i="123" s="1"/>
  <c r="N21" i="123"/>
  <c r="Q21" i="123" s="1"/>
  <c r="N19" i="123"/>
  <c r="P19" i="123"/>
  <c r="N17" i="123"/>
  <c r="Q17" i="123" s="1"/>
  <c r="E2" i="123"/>
  <c r="K21" i="123" s="1"/>
  <c r="N6" i="123"/>
  <c r="P6" i="123" s="1"/>
  <c r="E2" i="122"/>
  <c r="J6" i="122" s="1"/>
  <c r="D7" i="122"/>
  <c r="G7" i="122"/>
  <c r="H7" i="122" s="1"/>
  <c r="C6" i="122"/>
  <c r="D28" i="115"/>
  <c r="C9" i="115"/>
  <c r="C8" i="115"/>
  <c r="C7" i="115"/>
  <c r="C6" i="115"/>
  <c r="N94" i="32"/>
  <c r="N108" i="32"/>
  <c r="H6" i="122"/>
  <c r="Q20" i="124"/>
  <c r="Q21" i="124"/>
  <c r="Q16" i="124"/>
  <c r="Q14" i="124"/>
  <c r="Q12" i="124"/>
  <c r="Q8" i="124"/>
  <c r="H35" i="124"/>
  <c r="G50" i="124"/>
  <c r="P17" i="124"/>
  <c r="P16" i="124"/>
  <c r="P15" i="124"/>
  <c r="P14" i="124"/>
  <c r="Q13" i="124"/>
  <c r="P6" i="124"/>
  <c r="P20" i="124"/>
  <c r="P21" i="123"/>
  <c r="Q11" i="124"/>
  <c r="Q24" i="124"/>
  <c r="G36" i="124"/>
  <c r="G37" i="124"/>
  <c r="P22" i="124"/>
  <c r="P12" i="124"/>
  <c r="K20" i="124"/>
  <c r="G6" i="126"/>
  <c r="H6" i="126" s="1"/>
  <c r="I6" i="126"/>
  <c r="G7" i="126"/>
  <c r="J7" i="126"/>
  <c r="K7" i="126" s="1"/>
  <c r="I7" i="122"/>
  <c r="P20" i="123"/>
  <c r="K5" i="123"/>
  <c r="K20" i="123"/>
  <c r="P24" i="123"/>
  <c r="Q20" i="123"/>
  <c r="O21" i="123"/>
  <c r="H36" i="124"/>
  <c r="Q19" i="123"/>
  <c r="O19" i="123"/>
  <c r="H18" i="123"/>
  <c r="Q15" i="124"/>
  <c r="P23" i="124"/>
  <c r="Q10" i="124"/>
  <c r="Q22" i="124"/>
  <c r="J6" i="126"/>
  <c r="K6" i="126" s="1"/>
  <c r="K8" i="126" s="1"/>
  <c r="J7" i="122"/>
  <c r="K7" i="122" s="1"/>
  <c r="G38" i="124"/>
  <c r="H38" i="124" s="1"/>
  <c r="G39" i="124" s="1"/>
  <c r="H39" i="124" s="1"/>
  <c r="H37" i="124"/>
  <c r="K5" i="124"/>
  <c r="O24" i="123"/>
  <c r="K10" i="124"/>
  <c r="K7" i="124"/>
  <c r="H7" i="126"/>
  <c r="Q19" i="124"/>
  <c r="Q18" i="124"/>
  <c r="P19" i="124"/>
  <c r="P13" i="124"/>
  <c r="P10" i="124"/>
  <c r="P8" i="124"/>
  <c r="Q23" i="124"/>
  <c r="P21" i="124"/>
  <c r="P18" i="124"/>
  <c r="Q6" i="123"/>
  <c r="O6" i="123"/>
  <c r="I124" i="145"/>
  <c r="R124" i="145"/>
  <c r="P19" i="143"/>
  <c r="I19" i="143"/>
  <c r="R19" i="143" s="1"/>
  <c r="G67" i="145"/>
  <c r="G17" i="145"/>
  <c r="G17" i="150"/>
  <c r="J24" i="150"/>
  <c r="S24" i="150" s="1"/>
  <c r="H24" i="150"/>
  <c r="Q24" i="150" s="1"/>
  <c r="P24" i="150"/>
  <c r="I24" i="150"/>
  <c r="R24" i="150"/>
  <c r="P47" i="150"/>
  <c r="I47" i="150"/>
  <c r="R47" i="150" s="1"/>
  <c r="J47" i="150"/>
  <c r="S47" i="150" s="1"/>
  <c r="H47" i="150"/>
  <c r="Q47" i="150" s="1"/>
  <c r="P53" i="150"/>
  <c r="I53" i="150"/>
  <c r="R53" i="150"/>
  <c r="J53" i="150"/>
  <c r="S53" i="150"/>
  <c r="H53" i="150"/>
  <c r="Q53" i="150"/>
  <c r="P67" i="150"/>
  <c r="I67" i="150"/>
  <c r="R67" i="150" s="1"/>
  <c r="J67" i="150"/>
  <c r="S67" i="150" s="1"/>
  <c r="H67" i="150"/>
  <c r="Q67" i="150" s="1"/>
  <c r="P107" i="150"/>
  <c r="I107" i="150"/>
  <c r="R107" i="150"/>
  <c r="J107" i="150"/>
  <c r="S107" i="150"/>
  <c r="H107" i="150"/>
  <c r="Q107" i="150"/>
  <c r="G119" i="150"/>
  <c r="J32" i="150"/>
  <c r="S32" i="150" s="1"/>
  <c r="H32" i="150"/>
  <c r="Q32" i="150" s="1"/>
  <c r="P32" i="150"/>
  <c r="I32" i="150"/>
  <c r="R32" i="150"/>
  <c r="P39" i="150"/>
  <c r="I39" i="150"/>
  <c r="R39" i="150" s="1"/>
  <c r="J39" i="150"/>
  <c r="S39" i="150" s="1"/>
  <c r="H39" i="150"/>
  <c r="Q39" i="150" s="1"/>
  <c r="I90" i="150"/>
  <c r="R90" i="150" s="1"/>
  <c r="P90" i="150"/>
  <c r="I100" i="150"/>
  <c r="R100" i="150"/>
  <c r="P100" i="150"/>
  <c r="I124" i="150"/>
  <c r="R124" i="150" s="1"/>
  <c r="P124" i="150"/>
  <c r="I130" i="150"/>
  <c r="R130" i="150"/>
  <c r="P142" i="150"/>
  <c r="I142" i="150"/>
  <c r="R142" i="150" s="1"/>
  <c r="J142" i="150"/>
  <c r="S142" i="150" s="1"/>
  <c r="H142" i="150"/>
  <c r="Q142" i="150" s="1"/>
  <c r="J24" i="151"/>
  <c r="S24" i="151"/>
  <c r="H24" i="151"/>
  <c r="Q24" i="151"/>
  <c r="P24" i="151"/>
  <c r="I24" i="151"/>
  <c r="R24" i="151" s="1"/>
  <c r="P47" i="151"/>
  <c r="I47" i="151"/>
  <c r="R47" i="151"/>
  <c r="J47" i="151"/>
  <c r="S47" i="151"/>
  <c r="H47" i="151"/>
  <c r="Q47" i="151"/>
  <c r="P53" i="151"/>
  <c r="I53" i="151"/>
  <c r="R53" i="151" s="1"/>
  <c r="J53" i="151"/>
  <c r="S53" i="151" s="1"/>
  <c r="H53" i="151"/>
  <c r="Q53" i="151" s="1"/>
  <c r="P67" i="151"/>
  <c r="I67" i="151"/>
  <c r="R67" i="151"/>
  <c r="J67" i="151"/>
  <c r="S67" i="151"/>
  <c r="H67" i="151"/>
  <c r="Q67" i="151"/>
  <c r="P107" i="151"/>
  <c r="I107" i="151"/>
  <c r="R107" i="151" s="1"/>
  <c r="J107" i="151"/>
  <c r="S107" i="151" s="1"/>
  <c r="H107" i="151"/>
  <c r="Q107" i="151" s="1"/>
  <c r="J142" i="151"/>
  <c r="S142" i="151" s="1"/>
  <c r="H142" i="151"/>
  <c r="Q142" i="151" s="1"/>
  <c r="P142" i="151"/>
  <c r="I142" i="151"/>
  <c r="R142" i="151"/>
  <c r="I78" i="150"/>
  <c r="R78" i="150"/>
  <c r="H90" i="150"/>
  <c r="Q90" i="150"/>
  <c r="H100" i="150"/>
  <c r="Q100" i="150"/>
  <c r="H124" i="150"/>
  <c r="Q124" i="150"/>
  <c r="H130" i="150"/>
  <c r="Q130" i="150"/>
  <c r="J130" i="150"/>
  <c r="S130" i="150"/>
  <c r="J32" i="151"/>
  <c r="S32" i="151"/>
  <c r="H32" i="151"/>
  <c r="Q32" i="151"/>
  <c r="P32" i="151"/>
  <c r="I32" i="151"/>
  <c r="R32" i="151" s="1"/>
  <c r="P39" i="151"/>
  <c r="I39" i="151"/>
  <c r="R39" i="151"/>
  <c r="J39" i="151"/>
  <c r="S39" i="151" s="1"/>
  <c r="H39" i="151"/>
  <c r="Q39" i="151" s="1"/>
  <c r="J119" i="151"/>
  <c r="S119" i="151" s="1"/>
  <c r="H119" i="151"/>
  <c r="Q119" i="151" s="1"/>
  <c r="P119" i="151"/>
  <c r="I119" i="151"/>
  <c r="R119" i="151"/>
  <c r="H78" i="151"/>
  <c r="Q78" i="151"/>
  <c r="J78" i="151"/>
  <c r="S78" i="151" s="1"/>
  <c r="I90" i="151"/>
  <c r="R90" i="151" s="1"/>
  <c r="P90" i="151"/>
  <c r="I100" i="151"/>
  <c r="R100" i="151"/>
  <c r="P100" i="151"/>
  <c r="I124" i="151"/>
  <c r="R124" i="151" s="1"/>
  <c r="P124" i="151"/>
  <c r="I130" i="151"/>
  <c r="R130" i="151" s="1"/>
  <c r="P130" i="151"/>
  <c r="I78" i="151"/>
  <c r="R78" i="151" s="1"/>
  <c r="H90" i="151"/>
  <c r="Q90" i="151" s="1"/>
  <c r="H100" i="151"/>
  <c r="Q100" i="151" s="1"/>
  <c r="H124" i="151"/>
  <c r="Q124" i="151" s="1"/>
  <c r="H130" i="151"/>
  <c r="Q130" i="151" s="1"/>
  <c r="P47" i="149"/>
  <c r="I47" i="149"/>
  <c r="R47" i="149"/>
  <c r="J47" i="149"/>
  <c r="S47" i="149"/>
  <c r="H47" i="149"/>
  <c r="Q47" i="149"/>
  <c r="P53" i="149"/>
  <c r="I53" i="149"/>
  <c r="R53" i="149" s="1"/>
  <c r="J53" i="149"/>
  <c r="S53" i="149" s="1"/>
  <c r="H53" i="149"/>
  <c r="Q53" i="149" s="1"/>
  <c r="P67" i="149"/>
  <c r="I67" i="149"/>
  <c r="R67" i="149"/>
  <c r="J67" i="149"/>
  <c r="S67" i="149"/>
  <c r="H67" i="149"/>
  <c r="Q67" i="149" s="1"/>
  <c r="P107" i="149"/>
  <c r="I107" i="149"/>
  <c r="R107" i="149" s="1"/>
  <c r="J107" i="149"/>
  <c r="S107" i="149" s="1"/>
  <c r="H107" i="149"/>
  <c r="Q107" i="149" s="1"/>
  <c r="J142" i="149"/>
  <c r="S142" i="149" s="1"/>
  <c r="H142" i="149"/>
  <c r="Q142" i="149" s="1"/>
  <c r="P142" i="149"/>
  <c r="I142" i="149"/>
  <c r="R142" i="149"/>
  <c r="J24" i="149"/>
  <c r="S24" i="149" s="1"/>
  <c r="H24" i="149"/>
  <c r="Q24" i="149" s="1"/>
  <c r="P24" i="149"/>
  <c r="I24" i="149"/>
  <c r="R24" i="149"/>
  <c r="J32" i="149"/>
  <c r="S32" i="149"/>
  <c r="H32" i="149"/>
  <c r="Q32" i="149"/>
  <c r="P32" i="149"/>
  <c r="I32" i="149"/>
  <c r="R32" i="149" s="1"/>
  <c r="P39" i="149"/>
  <c r="I39" i="149"/>
  <c r="R39" i="149"/>
  <c r="J39" i="149"/>
  <c r="S39" i="149"/>
  <c r="H39" i="149"/>
  <c r="Q39" i="149"/>
  <c r="J119" i="149"/>
  <c r="S119" i="149" s="1"/>
  <c r="H119" i="149"/>
  <c r="Q119" i="149" s="1"/>
  <c r="P119" i="149"/>
  <c r="I119" i="149"/>
  <c r="R119" i="149"/>
  <c r="I90" i="149"/>
  <c r="R90" i="149" s="1"/>
  <c r="P90" i="149"/>
  <c r="I100" i="149"/>
  <c r="R100" i="149" s="1"/>
  <c r="P100" i="149"/>
  <c r="I124" i="149"/>
  <c r="R124" i="149"/>
  <c r="P124" i="149"/>
  <c r="I130" i="149"/>
  <c r="R130" i="149" s="1"/>
  <c r="P130" i="149"/>
  <c r="I78" i="149"/>
  <c r="R78" i="149" s="1"/>
  <c r="H90" i="149"/>
  <c r="Q90" i="149" s="1"/>
  <c r="H100" i="149"/>
  <c r="Q100" i="149" s="1"/>
  <c r="H124" i="149"/>
  <c r="Q124" i="149" s="1"/>
  <c r="H130" i="149"/>
  <c r="Q130" i="149" s="1"/>
  <c r="K25" i="124"/>
  <c r="H7" i="123"/>
  <c r="C12" i="123"/>
  <c r="I7" i="123"/>
  <c r="K7" i="123" s="1"/>
  <c r="N7" i="123"/>
  <c r="C8" i="123"/>
  <c r="C22" i="123"/>
  <c r="P67" i="145"/>
  <c r="I67" i="145"/>
  <c r="R67" i="145" s="1"/>
  <c r="J67" i="145"/>
  <c r="S67" i="145" s="1"/>
  <c r="H67" i="145"/>
  <c r="Q67" i="145" s="1"/>
  <c r="J8" i="126"/>
  <c r="I13" i="126"/>
  <c r="G52" i="144"/>
  <c r="J17" i="145"/>
  <c r="S17" i="145"/>
  <c r="I17" i="145"/>
  <c r="R17" i="145"/>
  <c r="H17" i="145"/>
  <c r="Q17" i="145"/>
  <c r="P17" i="145"/>
  <c r="J24" i="145"/>
  <c r="S24" i="145" s="1"/>
  <c r="I24" i="145"/>
  <c r="R24" i="145" s="1"/>
  <c r="H24" i="145"/>
  <c r="Q24" i="145" s="1"/>
  <c r="P24" i="145"/>
  <c r="G32" i="145"/>
  <c r="J19" i="143"/>
  <c r="S19" i="143" s="1"/>
  <c r="H90" i="145"/>
  <c r="Q90" i="145" s="1"/>
  <c r="J90" i="145"/>
  <c r="S90" i="145" s="1"/>
  <c r="H100" i="145"/>
  <c r="Q100" i="145" s="1"/>
  <c r="J100" i="145"/>
  <c r="S100" i="145" s="1"/>
  <c r="H107" i="145"/>
  <c r="Q107" i="145" s="1"/>
  <c r="J107" i="145"/>
  <c r="S107" i="145" s="1"/>
  <c r="H124" i="145"/>
  <c r="Q124" i="145" s="1"/>
  <c r="J124" i="145"/>
  <c r="S124" i="145" s="1"/>
  <c r="H130" i="145"/>
  <c r="Q130" i="145" s="1"/>
  <c r="J130" i="145"/>
  <c r="S130" i="145" s="1"/>
  <c r="H142" i="145"/>
  <c r="Q142" i="145" s="1"/>
  <c r="J142" i="145"/>
  <c r="S142" i="145" s="1"/>
  <c r="P29" i="144"/>
  <c r="H29" i="144"/>
  <c r="Q29" i="144" s="1"/>
  <c r="I29" i="144"/>
  <c r="R29" i="144" s="1"/>
  <c r="G45" i="144"/>
  <c r="P45" i="144" s="1"/>
  <c r="J33" i="143"/>
  <c r="S33" i="143" s="1"/>
  <c r="I33" i="143"/>
  <c r="R33" i="143" s="1"/>
  <c r="H33" i="143"/>
  <c r="Q33" i="143" s="1"/>
  <c r="P33" i="143"/>
  <c r="J39" i="145"/>
  <c r="S39" i="145"/>
  <c r="I39" i="145"/>
  <c r="R39" i="145"/>
  <c r="H39" i="145"/>
  <c r="Q39" i="145"/>
  <c r="P39" i="145"/>
  <c r="P47" i="145"/>
  <c r="H47" i="145"/>
  <c r="Q47" i="145"/>
  <c r="I47" i="145"/>
  <c r="R47" i="145"/>
  <c r="P53" i="145"/>
  <c r="H53" i="145"/>
  <c r="Q53" i="145" s="1"/>
  <c r="I53" i="145"/>
  <c r="R53" i="145" s="1"/>
  <c r="P58" i="144"/>
  <c r="H58" i="144"/>
  <c r="Q58" i="144" s="1"/>
  <c r="P27" i="143"/>
  <c r="H27" i="143"/>
  <c r="Q27" i="143" s="1"/>
  <c r="I27" i="143"/>
  <c r="R27" i="143" s="1"/>
  <c r="P41" i="143"/>
  <c r="H41" i="143"/>
  <c r="Q41" i="143" s="1"/>
  <c r="I41" i="143"/>
  <c r="R41" i="143" s="1"/>
  <c r="J119" i="150"/>
  <c r="S119" i="150" s="1"/>
  <c r="H119" i="150"/>
  <c r="Q119" i="150" s="1"/>
  <c r="P119" i="150"/>
  <c r="I119" i="150"/>
  <c r="R119" i="150"/>
  <c r="P17" i="150"/>
  <c r="I17" i="150"/>
  <c r="R17" i="150" s="1"/>
  <c r="J17" i="150"/>
  <c r="S17" i="150" s="1"/>
  <c r="H17" i="150"/>
  <c r="Q17" i="150" s="1"/>
  <c r="J52" i="144"/>
  <c r="S52" i="144" s="1"/>
  <c r="I52" i="144"/>
  <c r="R52" i="144" s="1"/>
  <c r="H52" i="144"/>
  <c r="Q52" i="144" s="1"/>
  <c r="P52" i="144"/>
  <c r="D8" i="123"/>
  <c r="C9" i="123"/>
  <c r="K27" i="124"/>
  <c r="K28" i="124" s="1"/>
  <c r="K29" i="124"/>
  <c r="I10" i="126"/>
  <c r="C2" i="126"/>
  <c r="C2" i="124" s="1"/>
  <c r="J45" i="144"/>
  <c r="S45" i="144" s="1"/>
  <c r="H45" i="144"/>
  <c r="Q45" i="144" s="1"/>
  <c r="J32" i="145"/>
  <c r="S32" i="145"/>
  <c r="I32" i="145"/>
  <c r="R32" i="145"/>
  <c r="H32" i="145"/>
  <c r="Q32" i="145"/>
  <c r="P32" i="145"/>
  <c r="I22" i="123"/>
  <c r="K22" i="123" s="1"/>
  <c r="H22" i="123"/>
  <c r="N22" i="123"/>
  <c r="O7" i="123"/>
  <c r="P7" i="123"/>
  <c r="Q7" i="123"/>
  <c r="C16" i="123"/>
  <c r="D12" i="123"/>
  <c r="J20" i="124"/>
  <c r="L20" i="124" s="1"/>
  <c r="J14" i="124"/>
  <c r="L14" i="124" s="1"/>
  <c r="J21" i="124"/>
  <c r="L21" i="124" s="1"/>
  <c r="J13" i="124"/>
  <c r="L13" i="124" s="1"/>
  <c r="J15" i="124"/>
  <c r="L15" i="124" s="1"/>
  <c r="J8" i="124"/>
  <c r="L8" i="124" s="1"/>
  <c r="J11" i="124"/>
  <c r="L11" i="124" s="1"/>
  <c r="J6" i="124"/>
  <c r="L6" i="124" s="1"/>
  <c r="J22" i="124"/>
  <c r="L22" i="124" s="1"/>
  <c r="C34" i="124"/>
  <c r="C15" i="123"/>
  <c r="N12" i="123"/>
  <c r="H12" i="123"/>
  <c r="I12" i="123"/>
  <c r="K12" i="123" s="1"/>
  <c r="C14" i="123"/>
  <c r="C13" i="123"/>
  <c r="I8" i="123"/>
  <c r="K8" i="123"/>
  <c r="H8" i="123"/>
  <c r="N8" i="123"/>
  <c r="H16" i="123"/>
  <c r="I16" i="123"/>
  <c r="K16" i="123" s="1"/>
  <c r="N16" i="123"/>
  <c r="O22" i="123"/>
  <c r="P22" i="123"/>
  <c r="Q22" i="123"/>
  <c r="D9" i="123"/>
  <c r="C10" i="123"/>
  <c r="D10" i="123" s="1"/>
  <c r="P8" i="123"/>
  <c r="O8" i="123"/>
  <c r="Q8" i="123"/>
  <c r="H13" i="123"/>
  <c r="I13" i="123"/>
  <c r="K13" i="123"/>
  <c r="N13" i="123"/>
  <c r="P12" i="123"/>
  <c r="Q12" i="123"/>
  <c r="O12" i="123"/>
  <c r="P16" i="123"/>
  <c r="Q16" i="123"/>
  <c r="O16" i="123"/>
  <c r="H9" i="123"/>
  <c r="I9" i="123"/>
  <c r="K9" i="123" s="1"/>
  <c r="N9" i="123"/>
  <c r="I14" i="123"/>
  <c r="K14" i="123"/>
  <c r="H14" i="123"/>
  <c r="N14" i="123"/>
  <c r="N15" i="123"/>
  <c r="I15" i="123"/>
  <c r="K15" i="123"/>
  <c r="H15" i="123"/>
  <c r="P15" i="123"/>
  <c r="Q15" i="123"/>
  <c r="O15" i="123"/>
  <c r="Q14" i="123"/>
  <c r="P14" i="123"/>
  <c r="O14" i="123"/>
  <c r="P9" i="123"/>
  <c r="Q9" i="123"/>
  <c r="O9" i="123"/>
  <c r="Q13" i="123"/>
  <c r="O13" i="123"/>
  <c r="P13" i="123"/>
  <c r="M78" i="32"/>
  <c r="M84" i="32" s="1"/>
  <c r="Q51" i="32"/>
  <c r="M49" i="32"/>
  <c r="Q69" i="32"/>
  <c r="Q34" i="32"/>
  <c r="R40" i="32"/>
  <c r="R33" i="32"/>
  <c r="Q40" i="32"/>
  <c r="Q59" i="32"/>
  <c r="R60" i="32"/>
  <c r="R39" i="32"/>
  <c r="Q61" i="32"/>
  <c r="Q23" i="32"/>
  <c r="R50" i="32"/>
  <c r="R73" i="32"/>
  <c r="R42" i="32"/>
  <c r="Q22" i="32"/>
  <c r="P23" i="32"/>
  <c r="N61" i="32"/>
  <c r="P21" i="32"/>
  <c r="N39" i="32"/>
  <c r="N42" i="32"/>
  <c r="O49" i="32"/>
  <c r="M58" i="32"/>
  <c r="P43" i="32"/>
  <c r="N51" i="32"/>
  <c r="M21" i="32"/>
  <c r="N33" i="32"/>
  <c r="N23" i="32"/>
  <c r="M69" i="32"/>
  <c r="M22" i="32"/>
  <c r="R61" i="32"/>
  <c r="R48" i="32"/>
  <c r="M42" i="32"/>
  <c r="Q73" i="32"/>
  <c r="Q68" i="32"/>
  <c r="Q50" i="32"/>
  <c r="M50" i="32"/>
  <c r="R51" i="32"/>
  <c r="O41" i="32"/>
  <c r="N40" i="32"/>
  <c r="Q58" i="32"/>
  <c r="Q48" i="32"/>
  <c r="R59" i="32"/>
  <c r="M41" i="32"/>
  <c r="R22" i="32"/>
  <c r="R43" i="32"/>
  <c r="N50" i="32"/>
  <c r="M23" i="32"/>
  <c r="N28" i="32"/>
  <c r="P33" i="32"/>
  <c r="P61" i="32"/>
  <c r="P41" i="32"/>
  <c r="N43" i="32"/>
  <c r="N21" i="32"/>
  <c r="N41" i="32"/>
  <c r="P49" i="32"/>
  <c r="O61" i="32"/>
  <c r="N69" i="32"/>
  <c r="Q21" i="32"/>
  <c r="Q43" i="32"/>
  <c r="R69" i="32"/>
  <c r="Q41" i="32"/>
  <c r="O50" i="32"/>
  <c r="O51" i="32"/>
  <c r="Q60" i="32"/>
  <c r="R71" i="32"/>
  <c r="Q33" i="32"/>
  <c r="R21" i="32"/>
  <c r="R70" i="32"/>
  <c r="R68" i="32"/>
  <c r="M51" i="32"/>
  <c r="R72" i="32"/>
  <c r="O42" i="32"/>
  <c r="Q71" i="32"/>
  <c r="M34" i="32"/>
  <c r="P58" i="32"/>
  <c r="O21" i="32"/>
  <c r="N58" i="32"/>
  <c r="M28" i="32"/>
  <c r="P51" i="32"/>
  <c r="N49" i="32"/>
  <c r="O23" i="32"/>
  <c r="P50" i="32"/>
  <c r="P39" i="32"/>
  <c r="M39" i="32"/>
  <c r="O39" i="32"/>
  <c r="O28" i="32"/>
  <c r="P69" i="32"/>
  <c r="P22" i="32"/>
  <c r="M40" i="32"/>
  <c r="R41" i="32"/>
  <c r="O40" i="32"/>
  <c r="Q72" i="32"/>
  <c r="Q70" i="32"/>
  <c r="Q39" i="32"/>
  <c r="R23" i="32"/>
  <c r="P73" i="32"/>
  <c r="Q49" i="32"/>
  <c r="R49" i="32"/>
  <c r="P28" i="32"/>
  <c r="R58" i="32"/>
  <c r="R34" i="32"/>
  <c r="P40" i="32"/>
  <c r="Q42" i="32"/>
  <c r="O58" i="32"/>
  <c r="N59" i="32"/>
  <c r="N60" i="32"/>
  <c r="O59" i="32"/>
  <c r="P34" i="32"/>
  <c r="M33" i="32"/>
  <c r="P60" i="32"/>
  <c r="O60" i="32"/>
  <c r="O33" i="32"/>
  <c r="M59" i="32"/>
  <c r="P42" i="32"/>
  <c r="M61" i="32"/>
  <c r="M60" i="32"/>
  <c r="O69" i="32"/>
  <c r="N22" i="32"/>
  <c r="O22" i="32"/>
  <c r="O34" i="32"/>
  <c r="N34" i="32"/>
  <c r="P59" i="32"/>
  <c r="I45" i="144" l="1"/>
  <c r="R45" i="144" s="1"/>
  <c r="P84" i="32"/>
  <c r="O84" i="32"/>
  <c r="N84" i="32"/>
  <c r="G21" i="144"/>
  <c r="I21" i="144" s="1"/>
  <c r="R21" i="144" s="1"/>
  <c r="M25" i="32"/>
  <c r="P25" i="32" s="1"/>
  <c r="M63" i="32"/>
  <c r="P63" i="32" s="1"/>
  <c r="M30" i="32"/>
  <c r="M36" i="32" s="1"/>
  <c r="N36" i="32" s="1"/>
  <c r="R63" i="32"/>
  <c r="Q53" i="32"/>
  <c r="R75" i="32"/>
  <c r="Q63" i="32"/>
  <c r="R45" i="32"/>
  <c r="R25" i="32"/>
  <c r="Q36" i="32"/>
  <c r="Q45" i="32"/>
  <c r="R36" i="32"/>
  <c r="Q75" i="32"/>
  <c r="R53" i="32"/>
  <c r="Q25" i="32"/>
  <c r="H10" i="123"/>
  <c r="C11" i="123"/>
  <c r="D11" i="123" s="1"/>
  <c r="I10" i="123"/>
  <c r="K10" i="123" s="1"/>
  <c r="N10" i="123"/>
  <c r="J10" i="124"/>
  <c r="L10" i="124" s="1"/>
  <c r="J7" i="124"/>
  <c r="L7" i="124" s="1"/>
  <c r="L25" i="124" s="1"/>
  <c r="J16" i="124"/>
  <c r="L16" i="124" s="1"/>
  <c r="J5" i="124"/>
  <c r="L5" i="124" s="1"/>
  <c r="J17" i="124"/>
  <c r="L17" i="124" s="1"/>
  <c r="J9" i="124"/>
  <c r="L9" i="124" s="1"/>
  <c r="J23" i="124"/>
  <c r="L23" i="124" s="1"/>
  <c r="J18" i="124"/>
  <c r="L18" i="124" s="1"/>
  <c r="J19" i="124"/>
  <c r="L19" i="124" s="1"/>
  <c r="J12" i="124"/>
  <c r="L12" i="124" s="1"/>
  <c r="J24" i="124"/>
  <c r="L24" i="124" s="1"/>
  <c r="G119" i="145"/>
  <c r="J8" i="122"/>
  <c r="I13" i="122" s="1"/>
  <c r="K6" i="122"/>
  <c r="K8" i="122" s="1"/>
  <c r="H40" i="124"/>
  <c r="G44" i="124"/>
  <c r="I107" i="145"/>
  <c r="R107" i="145" s="1"/>
  <c r="P107" i="145"/>
  <c r="G38" i="144"/>
  <c r="Q17" i="124"/>
  <c r="Q23" i="123"/>
  <c r="K24" i="123"/>
  <c r="P17" i="123"/>
  <c r="O17" i="123"/>
  <c r="K23" i="123"/>
  <c r="Q9" i="124"/>
  <c r="P9" i="124"/>
  <c r="Q7" i="124"/>
  <c r="P23" i="123"/>
  <c r="P7" i="124"/>
  <c r="P24" i="124"/>
  <c r="Q6" i="124"/>
  <c r="K19" i="123"/>
  <c r="N18" i="123"/>
  <c r="G17" i="149"/>
  <c r="G17" i="151"/>
  <c r="H78" i="149"/>
  <c r="Q78" i="149" s="1"/>
  <c r="H78" i="150"/>
  <c r="Q78" i="150" s="1"/>
  <c r="O73" i="32"/>
  <c r="N73" i="32"/>
  <c r="M73" i="32"/>
  <c r="O68" i="32"/>
  <c r="O43" i="32"/>
  <c r="M43" i="32"/>
  <c r="H21" i="144" l="1"/>
  <c r="Q21" i="144" s="1"/>
  <c r="P21" i="144"/>
  <c r="J21" i="144"/>
  <c r="S21" i="144" s="1"/>
  <c r="O63" i="32"/>
  <c r="N25" i="32"/>
  <c r="Q55" i="32"/>
  <c r="Q65" i="32" s="1"/>
  <c r="P30" i="32"/>
  <c r="N63" i="32"/>
  <c r="O25" i="32"/>
  <c r="O36" i="32"/>
  <c r="M45" i="32"/>
  <c r="N45" i="32" s="1"/>
  <c r="J25" i="124"/>
  <c r="L27" i="124"/>
  <c r="L28" i="124" s="1"/>
  <c r="C33" i="124" s="1"/>
  <c r="J38" i="144"/>
  <c r="S38" i="144" s="1"/>
  <c r="I38" i="144"/>
  <c r="R38" i="144" s="1"/>
  <c r="H38" i="144"/>
  <c r="Q38" i="144" s="1"/>
  <c r="P38" i="144"/>
  <c r="I17" i="151"/>
  <c r="R17" i="151" s="1"/>
  <c r="J17" i="151"/>
  <c r="S17" i="151" s="1"/>
  <c r="H17" i="151"/>
  <c r="Q17" i="151" s="1"/>
  <c r="P17" i="151"/>
  <c r="G43" i="124"/>
  <c r="G41" i="124"/>
  <c r="G42" i="124"/>
  <c r="P17" i="149"/>
  <c r="I17" i="149"/>
  <c r="R17" i="149" s="1"/>
  <c r="J17" i="149"/>
  <c r="S17" i="149" s="1"/>
  <c r="H17" i="149"/>
  <c r="Q17" i="149" s="1"/>
  <c r="O18" i="123"/>
  <c r="Q18" i="123"/>
  <c r="P18" i="123"/>
  <c r="I10" i="122"/>
  <c r="C2" i="122" s="1"/>
  <c r="C2" i="123" s="1"/>
  <c r="P119" i="145"/>
  <c r="I119" i="145"/>
  <c r="R119" i="145" s="1"/>
  <c r="J119" i="145"/>
  <c r="S119" i="145" s="1"/>
  <c r="H119" i="145"/>
  <c r="Q119" i="145" s="1"/>
  <c r="Q10" i="123"/>
  <c r="P10" i="123"/>
  <c r="O10" i="123"/>
  <c r="H11" i="123"/>
  <c r="I11" i="123"/>
  <c r="K11" i="123" s="1"/>
  <c r="K25" i="123" s="1"/>
  <c r="N11" i="123"/>
  <c r="R55" i="32"/>
  <c r="O30" i="32"/>
  <c r="N30" i="32"/>
  <c r="P36" i="32"/>
  <c r="M72" i="32"/>
  <c r="P72" i="32"/>
  <c r="O72" i="32"/>
  <c r="N72" i="32"/>
  <c r="P71" i="32"/>
  <c r="M71" i="32"/>
  <c r="N71" i="32"/>
  <c r="O71" i="32"/>
  <c r="N68" i="32"/>
  <c r="P68" i="32"/>
  <c r="N48" i="32"/>
  <c r="P48" i="32"/>
  <c r="O48" i="32"/>
  <c r="M48" i="32"/>
  <c r="N70" i="32"/>
  <c r="M70" i="32"/>
  <c r="O70" i="32"/>
  <c r="M68" i="32"/>
  <c r="P70" i="32"/>
  <c r="Q86" i="32" l="1"/>
  <c r="N96" i="32" s="1"/>
  <c r="M53" i="32"/>
  <c r="P53" i="32" s="1"/>
  <c r="M75" i="32"/>
  <c r="N75" i="32" s="1"/>
  <c r="K27" i="123"/>
  <c r="K28" i="123"/>
  <c r="K29" i="123" s="1"/>
  <c r="C44" i="124"/>
  <c r="D44" i="124" s="1"/>
  <c r="E44" i="124" s="1"/>
  <c r="C50" i="124"/>
  <c r="D50" i="124" s="1"/>
  <c r="E50" i="124" s="1"/>
  <c r="C49" i="124"/>
  <c r="D49" i="124" s="1"/>
  <c r="E49" i="124" s="1"/>
  <c r="C43" i="124"/>
  <c r="D43" i="124" s="1"/>
  <c r="E43" i="124" s="1"/>
  <c r="C46" i="124"/>
  <c r="D46" i="124" s="1"/>
  <c r="E46" i="124" s="1"/>
  <c r="C52" i="124"/>
  <c r="D52" i="124" s="1"/>
  <c r="E52" i="124" s="1"/>
  <c r="C51" i="124"/>
  <c r="D51" i="124" s="1"/>
  <c r="E51" i="124" s="1"/>
  <c r="C41" i="124"/>
  <c r="C53" i="124"/>
  <c r="D53" i="124" s="1"/>
  <c r="E53" i="124" s="1"/>
  <c r="C48" i="124"/>
  <c r="D48" i="124" s="1"/>
  <c r="E48" i="124" s="1"/>
  <c r="C55" i="124"/>
  <c r="D55" i="124" s="1"/>
  <c r="E55" i="124" s="1"/>
  <c r="C47" i="124"/>
  <c r="D47" i="124" s="1"/>
  <c r="E47" i="124" s="1"/>
  <c r="C54" i="124"/>
  <c r="D54" i="124" s="1"/>
  <c r="E54" i="124" s="1"/>
  <c r="C42" i="124"/>
  <c r="D42" i="124" s="1"/>
  <c r="E42" i="124" s="1"/>
  <c r="C45" i="124"/>
  <c r="D45" i="124" s="1"/>
  <c r="E45" i="124" s="1"/>
  <c r="O11" i="123"/>
  <c r="Q11" i="123"/>
  <c r="P11" i="123"/>
  <c r="R65" i="32"/>
  <c r="R86" i="32" s="1"/>
  <c r="N97" i="32" s="1"/>
  <c r="N98" i="32" s="1"/>
  <c r="O45" i="32"/>
  <c r="P45" i="32"/>
  <c r="J5" i="123"/>
  <c r="L5" i="123" s="1"/>
  <c r="J24" i="123"/>
  <c r="L24" i="123" s="1"/>
  <c r="J19" i="123"/>
  <c r="L19" i="123" s="1"/>
  <c r="J17" i="123"/>
  <c r="L17" i="123" s="1"/>
  <c r="J20" i="123"/>
  <c r="L20" i="123" s="1"/>
  <c r="J6" i="123"/>
  <c r="L6" i="123" s="1"/>
  <c r="J23" i="123"/>
  <c r="L23" i="123" s="1"/>
  <c r="J18" i="123"/>
  <c r="L18" i="123" s="1"/>
  <c r="J21" i="123"/>
  <c r="L21" i="123" s="1"/>
  <c r="J7" i="123"/>
  <c r="L7" i="123" s="1"/>
  <c r="J22" i="123"/>
  <c r="L22" i="123" s="1"/>
  <c r="J8" i="123"/>
  <c r="L8" i="123" s="1"/>
  <c r="J16" i="123"/>
  <c r="L16" i="123" s="1"/>
  <c r="J9" i="123"/>
  <c r="L9" i="123" s="1"/>
  <c r="J14" i="123"/>
  <c r="L14" i="123" s="1"/>
  <c r="J11" i="123"/>
  <c r="L11" i="123" s="1"/>
  <c r="J12" i="123"/>
  <c r="L12" i="123" s="1"/>
  <c r="J13" i="123"/>
  <c r="L13" i="123" s="1"/>
  <c r="J10" i="123"/>
  <c r="L10" i="123" s="1"/>
  <c r="J15" i="123"/>
  <c r="L15" i="123" s="1"/>
  <c r="C34" i="123"/>
  <c r="P75" i="32" l="1"/>
  <c r="O53" i="32"/>
  <c r="O75" i="32"/>
  <c r="M55" i="32"/>
  <c r="O55" i="32" s="1"/>
  <c r="N53" i="32"/>
  <c r="L25" i="123"/>
  <c r="C56" i="124"/>
  <c r="D41" i="124"/>
  <c r="E41" i="124" s="1"/>
  <c r="C57" i="124"/>
  <c r="C58" i="124"/>
  <c r="P55" i="32"/>
  <c r="M65" i="32"/>
  <c r="N55" i="32"/>
  <c r="M86" i="32"/>
  <c r="P65" i="32" l="1"/>
  <c r="O65" i="32"/>
  <c r="N65" i="32"/>
  <c r="N86" i="32" s="1"/>
  <c r="N109" i="32" s="1"/>
  <c r="N110" i="32" s="1"/>
  <c r="O86" i="32"/>
  <c r="N119" i="32" s="1"/>
  <c r="N120" i="32" s="1"/>
  <c r="P86" i="32"/>
  <c r="N95" i="32" s="1"/>
  <c r="J25" i="123"/>
  <c r="L27" i="123"/>
  <c r="L28" i="123" s="1"/>
  <c r="C33" i="123" s="1"/>
  <c r="C52" i="123" l="1"/>
  <c r="D52" i="123" s="1"/>
  <c r="E52" i="123" s="1"/>
  <c r="C49" i="123"/>
  <c r="D49" i="123" s="1"/>
  <c r="E49" i="123" s="1"/>
  <c r="C54" i="123"/>
  <c r="D54" i="123" s="1"/>
  <c r="E54" i="123" s="1"/>
  <c r="C43" i="123"/>
  <c r="D43" i="123" s="1"/>
  <c r="E43" i="123" s="1"/>
  <c r="C44" i="123"/>
  <c r="D44" i="123" s="1"/>
  <c r="E44" i="123" s="1"/>
  <c r="C55" i="123"/>
  <c r="D55" i="123" s="1"/>
  <c r="E55" i="123" s="1"/>
  <c r="C51" i="123"/>
  <c r="D51" i="123" s="1"/>
  <c r="E51" i="123" s="1"/>
  <c r="C47" i="123"/>
  <c r="D47" i="123" s="1"/>
  <c r="E47" i="123" s="1"/>
  <c r="C48" i="123"/>
  <c r="D48" i="123" s="1"/>
  <c r="E48" i="123" s="1"/>
  <c r="C53" i="123"/>
  <c r="D53" i="123" s="1"/>
  <c r="E53" i="123" s="1"/>
  <c r="C46" i="123"/>
  <c r="D46" i="123" s="1"/>
  <c r="E46" i="123" s="1"/>
  <c r="C42" i="123"/>
  <c r="D42" i="123" s="1"/>
  <c r="E42" i="123" s="1"/>
  <c r="C45" i="123"/>
  <c r="D45" i="123" s="1"/>
  <c r="E45" i="123" s="1"/>
  <c r="C41" i="123"/>
  <c r="C50" i="123"/>
  <c r="D50" i="123" s="1"/>
  <c r="E50" i="123" s="1"/>
  <c r="N106" i="32"/>
  <c r="N107" i="32" s="1"/>
  <c r="N111" i="32" s="1"/>
  <c r="N116" i="32"/>
  <c r="N117" i="32" s="1"/>
  <c r="N121" i="32" s="1"/>
  <c r="N99" i="32"/>
  <c r="N101" i="32" s="1"/>
  <c r="AE78" i="32" l="1"/>
  <c r="AE81" i="32"/>
  <c r="AE82" i="32"/>
  <c r="AC81" i="32"/>
  <c r="AC78" i="32"/>
  <c r="AC82" i="32"/>
  <c r="AD82" i="32"/>
  <c r="AD78" i="32"/>
  <c r="AD81" i="32"/>
  <c r="D41" i="123"/>
  <c r="E41" i="123" s="1"/>
  <c r="C56" i="123"/>
  <c r="B2" i="125" s="1"/>
  <c r="C58" i="123"/>
  <c r="B4" i="125" s="1"/>
  <c r="C57" i="123"/>
  <c r="B3" i="125" s="1"/>
  <c r="AF78" i="32" l="1"/>
  <c r="AF82" i="32"/>
  <c r="AF81" i="32"/>
</calcChain>
</file>

<file path=xl/sharedStrings.xml><?xml version="1.0" encoding="utf-8"?>
<sst xmlns="http://schemas.openxmlformats.org/spreadsheetml/2006/main" count="3244" uniqueCount="580">
  <si>
    <t>CG - X</t>
  </si>
  <si>
    <t>x</t>
  </si>
  <si>
    <t xml:space="preserve">CG - X </t>
  </si>
  <si>
    <t>CG - Y</t>
  </si>
  <si>
    <t>CG - Z</t>
  </si>
  <si>
    <t xml:space="preserve">Subtotal : </t>
  </si>
  <si>
    <t>[m]</t>
  </si>
  <si>
    <t>Description</t>
  </si>
  <si>
    <t>Total Weight</t>
  </si>
  <si>
    <t>Comments</t>
  </si>
  <si>
    <t>Notes</t>
  </si>
  <si>
    <t>Total Item Weight</t>
  </si>
  <si>
    <t>Item Description</t>
  </si>
  <si>
    <t xml:space="preserve">Booking Code : </t>
  </si>
  <si>
    <t xml:space="preserve">Date : </t>
  </si>
  <si>
    <t xml:space="preserve">Revision : </t>
  </si>
  <si>
    <t>A</t>
  </si>
  <si>
    <t>Tab Name</t>
  </si>
  <si>
    <t>Weight</t>
  </si>
  <si>
    <t>[mT]</t>
  </si>
  <si>
    <t>11-014</t>
  </si>
  <si>
    <r>
      <t>Condition Flag</t>
    </r>
    <r>
      <rPr>
        <b/>
        <vertAlign val="superscript"/>
        <sz val="11"/>
        <rFont val="Calibri"/>
        <family val="2"/>
      </rPr>
      <t>1</t>
    </r>
    <r>
      <rPr>
        <b/>
        <sz val="11"/>
        <rFont val="Calibri"/>
        <family val="2"/>
      </rPr>
      <t>:</t>
    </r>
  </si>
  <si>
    <t>(mark box if applicable)</t>
  </si>
  <si>
    <t xml:space="preserve">By / Checked By : </t>
  </si>
  <si>
    <t>VDL CALCULATION</t>
  </si>
  <si>
    <t>ID</t>
  </si>
  <si>
    <t>LFSC</t>
  </si>
  <si>
    <t>TFSC</t>
  </si>
  <si>
    <t>[mT-m]</t>
  </si>
  <si>
    <t>Volume</t>
  </si>
  <si>
    <t>Density</t>
  </si>
  <si>
    <t>[mT/m³]</t>
  </si>
  <si>
    <t>[m³]</t>
  </si>
  <si>
    <t xml:space="preserve">TOTAL ► </t>
  </si>
  <si>
    <t>LFSC Moment</t>
  </si>
  <si>
    <t>TFSC Moment</t>
  </si>
  <si>
    <t>Sounding</t>
  </si>
  <si>
    <t>LIGHTSHIP</t>
  </si>
  <si>
    <t>n/a</t>
  </si>
  <si>
    <t>Misc</t>
  </si>
  <si>
    <t>Quarter</t>
  </si>
  <si>
    <t>Setback</t>
  </si>
  <si>
    <t>DF
ID</t>
  </si>
  <si>
    <t>Location</t>
  </si>
  <si>
    <t>X
[m]</t>
  </si>
  <si>
    <t>Y
[m]</t>
  </si>
  <si>
    <t>Z
[m]</t>
  </si>
  <si>
    <t>Note</t>
  </si>
  <si>
    <t>NFP</t>
  </si>
  <si>
    <t>Port/Fwd</t>
  </si>
  <si>
    <t>non-weathertight #1</t>
  </si>
  <si>
    <t>NFS</t>
  </si>
  <si>
    <t>Stbd/Fwd</t>
  </si>
  <si>
    <t>non-weathertight #2</t>
  </si>
  <si>
    <t>NAP</t>
  </si>
  <si>
    <t>Port/Aft</t>
  </si>
  <si>
    <t>non-weathertight #3</t>
  </si>
  <si>
    <t>Engine</t>
  </si>
  <si>
    <t>NAS</t>
  </si>
  <si>
    <t>Stbd/Aft</t>
  </si>
  <si>
    <t>non-weathertight #4</t>
  </si>
  <si>
    <t>FP</t>
  </si>
  <si>
    <t>weathertight #11</t>
  </si>
  <si>
    <t>Vent</t>
  </si>
  <si>
    <t>FS</t>
  </si>
  <si>
    <t>weathertight #12</t>
  </si>
  <si>
    <t>AP</t>
  </si>
  <si>
    <t>weathertight #13</t>
  </si>
  <si>
    <t>AS</t>
  </si>
  <si>
    <t>weathertight #14</t>
  </si>
  <si>
    <t>Draft 
[m]</t>
  </si>
  <si>
    <t>Compartment</t>
  </si>
  <si>
    <t>Perm.</t>
  </si>
  <si>
    <t>Volume 
[m³]</t>
  </si>
  <si>
    <t>Z 
[m]</t>
  </si>
  <si>
    <t>MUD PUMP ROOM 1</t>
  </si>
  <si>
    <t>FMP1</t>
  </si>
  <si>
    <t>TRIM TANK</t>
  </si>
  <si>
    <t>FTTK</t>
  </si>
  <si>
    <t>MUD TANK 3</t>
  </si>
  <si>
    <t>PAM3</t>
  </si>
  <si>
    <t>MUD TANK 4</t>
  </si>
  <si>
    <t>PAM4</t>
  </si>
  <si>
    <t>BASE OIL</t>
  </si>
  <si>
    <t>PBO</t>
  </si>
  <si>
    <t>DRILLWATER NO. 1</t>
  </si>
  <si>
    <t>PD1</t>
  </si>
  <si>
    <t>DYNAMIC BALLAST TANK 1</t>
  </si>
  <si>
    <t>PDB1</t>
  </si>
  <si>
    <t>DYNAMIC BALLAST TANK 2</t>
  </si>
  <si>
    <t>PDB2</t>
  </si>
  <si>
    <t>DYNAMIC BALLAST TANK 3</t>
  </si>
  <si>
    <t>PDB3</t>
  </si>
  <si>
    <t>DYNAMIC BALLAST TANK 7</t>
  </si>
  <si>
    <t>PDB7</t>
  </si>
  <si>
    <t>DYNAMIC BALLAST TANK 8</t>
  </si>
  <si>
    <t>PDB8</t>
  </si>
  <si>
    <t>MUD TANK 1</t>
  </si>
  <si>
    <t>PFM1</t>
  </si>
  <si>
    <t>Thruster ROOM1</t>
  </si>
  <si>
    <t>PFT1</t>
  </si>
  <si>
    <t>MUD PUMP ROOM 2</t>
  </si>
  <si>
    <t>PMP2</t>
  </si>
  <si>
    <t>MUD TANK 5</t>
  </si>
  <si>
    <t>SAM5</t>
  </si>
  <si>
    <t>MUD TANK 6</t>
  </si>
  <si>
    <t>SAM6</t>
  </si>
  <si>
    <t>BRINE</t>
  </si>
  <si>
    <t>SBR</t>
  </si>
  <si>
    <t>DRILLWATER NO. 2</t>
  </si>
  <si>
    <t>SD2</t>
  </si>
  <si>
    <t>DYNAMIC BALLAST TANK 10</t>
  </si>
  <si>
    <t>SDB10</t>
  </si>
  <si>
    <t>DYNAMIC BALLAST TANK 4</t>
  </si>
  <si>
    <t>SDB4</t>
  </si>
  <si>
    <t>DYNAMIC BALLAST TANK 5</t>
  </si>
  <si>
    <t>SDB5</t>
  </si>
  <si>
    <t>DYNAMIC BALLAST TANK 6</t>
  </si>
  <si>
    <t>SDB6</t>
  </si>
  <si>
    <t>DYNAMIC BALLAST TANK 9</t>
  </si>
  <si>
    <t>SDB9</t>
  </si>
  <si>
    <t>Thruster ROOM2</t>
  </si>
  <si>
    <t>SFT2</t>
  </si>
  <si>
    <t>SFM2</t>
  </si>
  <si>
    <t>MUD TANK 2</t>
  </si>
  <si>
    <t>MUD PUMP ROOM 3</t>
  </si>
  <si>
    <t>SMP3</t>
  </si>
  <si>
    <t>STABILITY CALCULATION</t>
  </si>
  <si>
    <t>DISP</t>
  </si>
  <si>
    <t>Displacement</t>
  </si>
  <si>
    <t>From Hydrostatics</t>
  </si>
  <si>
    <t>mT</t>
  </si>
  <si>
    <t>DRFT</t>
  </si>
  <si>
    <t>Mean Draft (@LCF)</t>
  </si>
  <si>
    <t>Requirement</t>
  </si>
  <si>
    <t>m</t>
  </si>
  <si>
    <t>VCG</t>
  </si>
  <si>
    <t>LFSC Sum</t>
  </si>
  <si>
    <t>TFSC Sum</t>
  </si>
  <si>
    <t>MFSC</t>
  </si>
  <si>
    <t>Maximum Free Surface Correction</t>
  </si>
  <si>
    <t>Larger of LFSC or TFSC</t>
  </si>
  <si>
    <t>KG</t>
  </si>
  <si>
    <t>Corrected KG</t>
  </si>
  <si>
    <t>KG = VCG + MFSC</t>
  </si>
  <si>
    <t>MKG</t>
  </si>
  <si>
    <t>Allowable KG (Rig Move)</t>
  </si>
  <si>
    <t>KGM</t>
  </si>
  <si>
    <t>KG Margin</t>
  </si>
  <si>
    <t>KGM = MKG - KG</t>
  </si>
  <si>
    <t>TRIM CALCULATION</t>
  </si>
  <si>
    <t>LEN</t>
  </si>
  <si>
    <t>Hull Length</t>
  </si>
  <si>
    <t>From "Principal Dimension"</t>
  </si>
  <si>
    <t>KML</t>
  </si>
  <si>
    <t>KGL</t>
  </si>
  <si>
    <t>Corrected KGL</t>
  </si>
  <si>
    <t>KGL = VCG + LFSC</t>
  </si>
  <si>
    <t>GML</t>
  </si>
  <si>
    <t>LCB</t>
  </si>
  <si>
    <t>LCG</t>
  </si>
  <si>
    <t>TLEV</t>
  </si>
  <si>
    <t>Trimming Lever</t>
  </si>
  <si>
    <t>TLEV = LCG - LCB</t>
  </si>
  <si>
    <t>TRIM</t>
  </si>
  <si>
    <t>Trim (m) (+ Stern)</t>
  </si>
  <si>
    <t>HEEL CALCULATION</t>
  </si>
  <si>
    <t>WID</t>
  </si>
  <si>
    <t>Hull Width</t>
  </si>
  <si>
    <t>KMT</t>
  </si>
  <si>
    <t>KGT</t>
  </si>
  <si>
    <t>Corrected KGT</t>
  </si>
  <si>
    <t>KGT = VCG + TFSC</t>
  </si>
  <si>
    <t>GMT</t>
  </si>
  <si>
    <t>TCB</t>
  </si>
  <si>
    <t>TCG</t>
  </si>
  <si>
    <t>HLEV</t>
  </si>
  <si>
    <t>Heeling Lever</t>
  </si>
  <si>
    <t>HLEV = TCG - TCB</t>
  </si>
  <si>
    <t>HEEL</t>
  </si>
  <si>
    <t>Heel (Feet) (+Stbd)</t>
  </si>
  <si>
    <t>Wind Speed</t>
  </si>
  <si>
    <t>WIND</t>
  </si>
  <si>
    <t>Knots</t>
  </si>
  <si>
    <t>TRIM = LEN  x  TLEV / GML</t>
  </si>
  <si>
    <t>From "Hydrostatics"</t>
  </si>
  <si>
    <t>VCG (Uncorrected)</t>
  </si>
  <si>
    <t>(see above)</t>
  </si>
  <si>
    <t>HEEL = HLEV x WID / GMT</t>
  </si>
  <si>
    <t>symmetry</t>
  </si>
  <si>
    <t>(Copy value from Lightship)</t>
  </si>
  <si>
    <t>Item No:</t>
  </si>
  <si>
    <t>Source</t>
  </si>
  <si>
    <t>Value</t>
  </si>
  <si>
    <t>Units</t>
  </si>
  <si>
    <t>Intact Stability</t>
  </si>
  <si>
    <t>Cases</t>
  </si>
  <si>
    <t>Draft</t>
  </si>
  <si>
    <t>Critical Yaw Axis 
[°]</t>
  </si>
  <si>
    <t>Downflood (Weathertight) Angle [°]</t>
  </si>
  <si>
    <t>AKG¹ 
[m]</t>
  </si>
  <si>
    <t>Area 
Ratio
[–]</t>
  </si>
  <si>
    <t>1st Int.
[°]</t>
  </si>
  <si>
    <t>2nd -1st Int.
[°]</t>
  </si>
  <si>
    <t>MODU</t>
  </si>
  <si>
    <t>TAD</t>
  </si>
  <si>
    <t>J-lay</t>
  </si>
  <si>
    <t>From "AKG"</t>
  </si>
  <si>
    <t>Item</t>
  </si>
  <si>
    <t>Qty</t>
  </si>
  <si>
    <t>Bottom Elev. ABL</t>
  </si>
  <si>
    <t>Top       Elev. ABL</t>
  </si>
  <si>
    <t>Width</t>
  </si>
  <si>
    <t>Coeff</t>
  </si>
  <si>
    <t>Height</t>
  </si>
  <si>
    <t>Arm        Abv. CLR</t>
  </si>
  <si>
    <t>Force</t>
  </si>
  <si>
    <t>Moment Abt. CLR</t>
  </si>
  <si>
    <t>Centroid Abv. W.L.</t>
  </si>
  <si>
    <t>Ch ABS</t>
  </si>
  <si>
    <t>Ch  API</t>
  </si>
  <si>
    <t>1/10 law</t>
  </si>
  <si>
    <t>Cs</t>
  </si>
  <si>
    <t>Ch</t>
  </si>
  <si>
    <t>mT-m</t>
  </si>
  <si>
    <t>Columns</t>
  </si>
  <si>
    <t>Box Deck</t>
  </si>
  <si>
    <t>Quarter deck</t>
  </si>
  <si>
    <t>Misc other houses above box deck</t>
  </si>
  <si>
    <t>Helideck Support Structure</t>
  </si>
  <si>
    <t>Helideck</t>
  </si>
  <si>
    <t>800t Crane Pedestal</t>
  </si>
  <si>
    <t>800t Crane Cab</t>
  </si>
  <si>
    <t>800t Crane Boom</t>
  </si>
  <si>
    <t>800t Crane A-Frame</t>
  </si>
  <si>
    <t>45t/50t Cranes Pedestal</t>
  </si>
  <si>
    <t>45t/50t Cranes Cab</t>
  </si>
  <si>
    <t>45t/50t Cranes Boom</t>
  </si>
  <si>
    <t>Riser + Pipes storage</t>
  </si>
  <si>
    <t>Mast</t>
  </si>
  <si>
    <t>Subtotal</t>
  </si>
  <si>
    <t>Margin, Ladders, Etc. 10% of Subtotal</t>
  </si>
  <si>
    <t>Total</t>
  </si>
  <si>
    <t>Existing Deck Horizontal Area</t>
  </si>
  <si>
    <t>Wind force coeff   =</t>
  </si>
  <si>
    <t>mT/(m/s)^2</t>
  </si>
  <si>
    <t>Other Deck Areas(10% of all the area)</t>
  </si>
  <si>
    <t>abt CLR</t>
  </si>
  <si>
    <t>(deg.)</t>
  </si>
  <si>
    <t>(mT-m)</t>
  </si>
  <si>
    <t>C0</t>
  </si>
  <si>
    <t>C1</t>
  </si>
  <si>
    <t>C2</t>
  </si>
  <si>
    <t>Input</t>
  </si>
  <si>
    <t>Qty*area</t>
  </si>
  <si>
    <t>GM</t>
  </si>
  <si>
    <t>JL / JP</t>
  </si>
  <si>
    <r>
      <t>m</t>
    </r>
    <r>
      <rPr>
        <vertAlign val="superscript"/>
        <sz val="10"/>
        <rFont val="Calibri"/>
        <family val="2"/>
      </rPr>
      <t>2</t>
    </r>
  </si>
  <si>
    <r>
      <t>Vertical Area Moment, C</t>
    </r>
    <r>
      <rPr>
        <vertAlign val="subscript"/>
        <sz val="10"/>
        <rFont val="Calibri"/>
        <family val="2"/>
      </rPr>
      <t>1</t>
    </r>
    <r>
      <rPr>
        <sz val="10"/>
        <rFont val="Calibri"/>
        <family val="2"/>
      </rPr>
      <t>f</t>
    </r>
  </si>
  <si>
    <r>
      <t>Horizontal Area Moment, C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f</t>
    </r>
  </si>
  <si>
    <r>
      <t>OTMOM = C</t>
    </r>
    <r>
      <rPr>
        <vertAlign val="subscript"/>
        <sz val="10"/>
        <rFont val="Calibri"/>
        <family val="2"/>
      </rPr>
      <t>1</t>
    </r>
    <r>
      <rPr>
        <sz val="10"/>
        <rFont val="Calibri"/>
        <family val="2"/>
      </rPr>
      <t>f cos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f + C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f cosf sinf</t>
    </r>
  </si>
  <si>
    <t>Heel, f</t>
  </si>
  <si>
    <r>
      <t>Moment/Vw</t>
    </r>
    <r>
      <rPr>
        <vertAlign val="superscript"/>
        <sz val="10"/>
        <rFont val="Calibri"/>
        <family val="2"/>
      </rPr>
      <t>2</t>
    </r>
  </si>
  <si>
    <t>Pontoons</t>
  </si>
  <si>
    <t>column</t>
  </si>
  <si>
    <t>(Center of Lateral Resistance or CLR)</t>
  </si>
  <si>
    <t>Current Load Coefficient =</t>
  </si>
  <si>
    <t>m^2</t>
  </si>
  <si>
    <t>force</t>
  </si>
  <si>
    <t>moment</t>
  </si>
  <si>
    <t>mT/knot^2</t>
  </si>
  <si>
    <t>Wind Speed [kn]</t>
  </si>
  <si>
    <t>Wind Speed [m/s]</t>
  </si>
  <si>
    <t>disp 
[mT]</t>
  </si>
  <si>
    <t>CLR 
[m]</t>
  </si>
  <si>
    <t>Current Speed [kn]</t>
  </si>
  <si>
    <t>Current Speed [m/s]</t>
  </si>
  <si>
    <t>Heeling arm</t>
  </si>
  <si>
    <t>validated from MOSES output</t>
  </si>
  <si>
    <t>Moment</t>
  </si>
  <si>
    <t>(No: of column will be 2, since only 2 columns wil be exposed to wind)</t>
  </si>
  <si>
    <t>Pontoon</t>
  </si>
  <si>
    <t>Drill Floor Walkway</t>
  </si>
  <si>
    <t>Drillfloor Substructure</t>
  </si>
  <si>
    <t>Drillfloor/Process Deck</t>
  </si>
  <si>
    <t>Not required as already considered in drill floor area</t>
  </si>
  <si>
    <t>is this quarters deck at machine deck level?</t>
  </si>
  <si>
    <t>Drawworks</t>
  </si>
  <si>
    <t>Aft Mid Port</t>
  </si>
  <si>
    <t>Fwd Stbd</t>
  </si>
  <si>
    <t>Mid Stbd</t>
  </si>
  <si>
    <t>Aft Mid Stbd</t>
  </si>
  <si>
    <t>FPTK1</t>
  </si>
  <si>
    <t>FSTK2</t>
  </si>
  <si>
    <t>APTK3</t>
  </si>
  <si>
    <t>ASTK4</t>
  </si>
  <si>
    <t>c0</t>
  </si>
  <si>
    <t>c2</t>
  </si>
  <si>
    <t>c1</t>
  </si>
  <si>
    <t>PV1</t>
  </si>
  <si>
    <t>SV2</t>
  </si>
  <si>
    <t>FVC3</t>
  </si>
  <si>
    <t>PVC4</t>
  </si>
  <si>
    <t>SVC5</t>
  </si>
  <si>
    <t>PVC6</t>
  </si>
  <si>
    <t>SVC7</t>
  </si>
  <si>
    <t>PDW1</t>
  </si>
  <si>
    <t>SDW2</t>
  </si>
  <si>
    <t>APF1</t>
  </si>
  <si>
    <t>APF2</t>
  </si>
  <si>
    <t>ASF3</t>
  </si>
  <si>
    <t>ASF4</t>
  </si>
  <si>
    <t>moment arm z=0</t>
  </si>
  <si>
    <t>Lever arm elevation =</t>
  </si>
  <si>
    <t>CLR
[m]</t>
  </si>
  <si>
    <t>draft 
[m]</t>
  </si>
  <si>
    <t>volumn from MOSES</t>
  </si>
  <si>
    <t>moment above CLR</t>
  </si>
  <si>
    <t>Forward Column</t>
  </si>
  <si>
    <t>PM01</t>
  </si>
  <si>
    <t>Port Aft Column</t>
  </si>
  <si>
    <t>PM02</t>
  </si>
  <si>
    <t>PM03</t>
  </si>
  <si>
    <t>Starboard Aft Column</t>
  </si>
  <si>
    <t>Active Mud 1</t>
  </si>
  <si>
    <t>Active Mud 2</t>
  </si>
  <si>
    <t>Active Mud 3</t>
  </si>
  <si>
    <t>PM04</t>
  </si>
  <si>
    <t>Active Mud 4</t>
  </si>
  <si>
    <t>PM05</t>
  </si>
  <si>
    <t>Active Mud 5</t>
  </si>
  <si>
    <t>PM06</t>
  </si>
  <si>
    <t>Active Mud 6</t>
  </si>
  <si>
    <t>PM07</t>
  </si>
  <si>
    <t>Active Mud 7</t>
  </si>
  <si>
    <t>PM08</t>
  </si>
  <si>
    <t>Active Mud 8</t>
  </si>
  <si>
    <t>SER01</t>
  </si>
  <si>
    <t>SER02</t>
  </si>
  <si>
    <t>Engine Room 2</t>
  </si>
  <si>
    <t>PWO01</t>
  </si>
  <si>
    <t>Waste Oil Tank</t>
  </si>
  <si>
    <t>PDT01</t>
  </si>
  <si>
    <t>Day Tank at cement unit</t>
  </si>
  <si>
    <t>PST01</t>
  </si>
  <si>
    <t>Surge Tank at cement unit</t>
  </si>
  <si>
    <t>PLT01</t>
  </si>
  <si>
    <t>LAS Tank at cement unit</t>
  </si>
  <si>
    <t>PCP01</t>
  </si>
  <si>
    <t>Crane Pedestal/Storage</t>
  </si>
  <si>
    <t>PSS01</t>
  </si>
  <si>
    <t>Sack Storage (max 8000 sacks)</t>
  </si>
  <si>
    <t>SMH01</t>
  </si>
  <si>
    <t>Machine Shop</t>
  </si>
  <si>
    <t>SES01</t>
  </si>
  <si>
    <t>Electrical Shop</t>
  </si>
  <si>
    <t>SMS01</t>
  </si>
  <si>
    <t>Warehouse</t>
  </si>
  <si>
    <t>PST02</t>
  </si>
  <si>
    <t>Surge Tank at Mud Mixing Room (2nos)</t>
  </si>
  <si>
    <t>SELR01</t>
  </si>
  <si>
    <t>Electrical Room 1</t>
  </si>
  <si>
    <t>SELR02</t>
  </si>
  <si>
    <t>Electrical Room 2</t>
  </si>
  <si>
    <t>SLOTK01</t>
  </si>
  <si>
    <t>L.O Tank at at Electrical Shop</t>
  </si>
  <si>
    <t>PHPC01</t>
  </si>
  <si>
    <t>HVAC pipe and cables</t>
  </si>
  <si>
    <t>PS02</t>
  </si>
  <si>
    <t>Storage area</t>
  </si>
  <si>
    <t>SHPC01</t>
  </si>
  <si>
    <t>SS01</t>
  </si>
  <si>
    <t>SBOP01</t>
  </si>
  <si>
    <t>BOP Unit</t>
  </si>
  <si>
    <t>SAM01</t>
  </si>
  <si>
    <t>Auxilary Machines</t>
  </si>
  <si>
    <t>Pipe Rack</t>
  </si>
  <si>
    <t>DP01</t>
  </si>
  <si>
    <t>5 7/8" OD drill pipe</t>
  </si>
  <si>
    <t>DP02</t>
  </si>
  <si>
    <t>5" OD drill pipe</t>
  </si>
  <si>
    <t>DP03</t>
  </si>
  <si>
    <t>5 7/8" HW drill pipe</t>
  </si>
  <si>
    <t>DC01</t>
  </si>
  <si>
    <t>8"x 3" drill collars</t>
  </si>
  <si>
    <t>DC02</t>
  </si>
  <si>
    <t>6.75"x2.813" drill collars</t>
  </si>
  <si>
    <t xml:space="preserve">Setback </t>
  </si>
  <si>
    <t>PROV</t>
  </si>
  <si>
    <t>SROV</t>
  </si>
  <si>
    <t>PTT01</t>
  </si>
  <si>
    <t>Trip Tank</t>
  </si>
  <si>
    <t>PTT02</t>
  </si>
  <si>
    <t>Degasser Tank</t>
  </si>
  <si>
    <t>Sandtrap</t>
  </si>
  <si>
    <t>Desilter Tank</t>
  </si>
  <si>
    <t>Shearing Tank</t>
  </si>
  <si>
    <t>Stripping Tank</t>
  </si>
  <si>
    <t>PCT01</t>
  </si>
  <si>
    <t>Clean Mud Tank</t>
  </si>
  <si>
    <t>Aft Port Fuel</t>
  </si>
  <si>
    <t>Aft Stbd Fuel</t>
  </si>
  <si>
    <t>Stbd Drill Water</t>
  </si>
  <si>
    <t>Port Drill Water</t>
  </si>
  <si>
    <t>corner effect</t>
  </si>
  <si>
    <t>permissible</t>
  </si>
  <si>
    <t>depth</t>
  </si>
  <si>
    <t>x*y*z*perm*sounding/dep*corner</t>
  </si>
  <si>
    <t>(16.2^2-(16.2-2*1.5)^2)*height*perm*sounding/depth*corner</t>
  </si>
  <si>
    <t>GML = KML - KGL</t>
  </si>
  <si>
    <t>GMT = KMT - KGT</t>
  </si>
  <si>
    <t>see above " TOTAL WEIGHT"</t>
  </si>
  <si>
    <t>1 m^3=bbbls</t>
  </si>
  <si>
    <t>DON’T EDIT/DELETE THIS COLUMNS !</t>
  </si>
  <si>
    <t>Callout</t>
  </si>
  <si>
    <t>CG-X</t>
  </si>
  <si>
    <t>CG-Y</t>
  </si>
  <si>
    <t>CG-Z</t>
  </si>
  <si>
    <t>LFSC-M</t>
  </si>
  <si>
    <t>TFSC-M</t>
  </si>
  <si>
    <t>DO NOT DELETE !</t>
  </si>
  <si>
    <t>SETBACK</t>
  </si>
  <si>
    <t>QUARTER</t>
  </si>
  <si>
    <t>[%]</t>
  </si>
  <si>
    <t>Reserve Mud Tank</t>
  </si>
  <si>
    <t>SM01</t>
  </si>
  <si>
    <t>PB04</t>
  </si>
  <si>
    <t>SB04</t>
  </si>
  <si>
    <t>Portable Water</t>
  </si>
  <si>
    <t xml:space="preserve">Reserve  Mud Tank </t>
  </si>
  <si>
    <t>PPT01</t>
  </si>
  <si>
    <t>P-Tank  01</t>
  </si>
  <si>
    <t>PPT02</t>
  </si>
  <si>
    <t>P-Tank  02</t>
  </si>
  <si>
    <t>PPT03</t>
  </si>
  <si>
    <t>P-Tank  03</t>
  </si>
  <si>
    <t>SM02</t>
  </si>
  <si>
    <t xml:space="preserve">Reserve Mud Tank </t>
  </si>
  <si>
    <t>SM03</t>
  </si>
  <si>
    <t>SST01</t>
  </si>
  <si>
    <t>P-Tank 05</t>
  </si>
  <si>
    <t>SST02</t>
  </si>
  <si>
    <t>P-Tank 06</t>
  </si>
  <si>
    <t>SST03</t>
  </si>
  <si>
    <t>P-Tank 07</t>
  </si>
  <si>
    <t>Cruise &amp; Effect</t>
  </si>
  <si>
    <t>Food &amp; Galley</t>
  </si>
  <si>
    <t>FQ1</t>
  </si>
  <si>
    <t>FQ2</t>
  </si>
  <si>
    <t>FQ3</t>
  </si>
  <si>
    <t>Fwd column double wall</t>
  </si>
  <si>
    <t>Port column wall</t>
  </si>
  <si>
    <t>Port sponson at column</t>
  </si>
  <si>
    <t>Stbd column wall</t>
  </si>
  <si>
    <t>Stbd sponson at column</t>
  </si>
  <si>
    <t>BALLAST</t>
  </si>
  <si>
    <t>Ballast 1</t>
  </si>
  <si>
    <t>(add item)</t>
  </si>
  <si>
    <t>DRILLING WATER</t>
  </si>
  <si>
    <t>FUEL</t>
  </si>
  <si>
    <t>MUD</t>
  </si>
  <si>
    <t>POTABLE WATER</t>
  </si>
  <si>
    <t>P-TANK</t>
  </si>
  <si>
    <t>Aft Pontoon</t>
  </si>
  <si>
    <t>Port Pontoon</t>
  </si>
  <si>
    <t>Starboard Pontoon</t>
  </si>
  <si>
    <t>Base Oil</t>
  </si>
  <si>
    <t>SDB3</t>
  </si>
  <si>
    <t>Ballast 2</t>
  </si>
  <si>
    <t>Ballast 3</t>
  </si>
  <si>
    <t>Ballast 4</t>
  </si>
  <si>
    <t>PDB5</t>
  </si>
  <si>
    <t>PDB6</t>
  </si>
  <si>
    <t>SDB8</t>
  </si>
  <si>
    <t>L-shape Trim Tank (Port Side)</t>
  </si>
  <si>
    <t>L-shape Trim Tank (Starboard Side)</t>
  </si>
  <si>
    <t>Void (Port Side - near Fuel Tank)</t>
  </si>
  <si>
    <t>Void (Starboard Side - near Fuel Tank)</t>
  </si>
  <si>
    <t>Void (circle around Forward Column)</t>
  </si>
  <si>
    <t>Brine Tank</t>
  </si>
  <si>
    <t>MISCELLANEOUS - Aft</t>
  </si>
  <si>
    <t>MISCELLANEOUS - MOONPOOL</t>
  </si>
  <si>
    <t>MISCELLANEOUS - FORWARD</t>
  </si>
  <si>
    <t>EQUIPMENT</t>
  </si>
  <si>
    <t>ROV Equipment (Port Side)</t>
  </si>
  <si>
    <t>ROV Equipment (Starboard Side)</t>
  </si>
  <si>
    <t>PIPE RACK</t>
  </si>
  <si>
    <t>Mud</t>
  </si>
  <si>
    <t>Misc. Items (Moonpool Area)</t>
  </si>
  <si>
    <t>Misc. Items (Aft Area)</t>
  </si>
  <si>
    <t>Misc. Items (Forward Area)</t>
  </si>
  <si>
    <t>Equipment</t>
  </si>
  <si>
    <t>PROCESS TANK</t>
  </si>
  <si>
    <t>Process Deck</t>
  </si>
  <si>
    <t>Potable Water</t>
  </si>
  <si>
    <t>P-Tank</t>
  </si>
  <si>
    <t>Machinery Deck</t>
  </si>
  <si>
    <t>Main Deck</t>
  </si>
  <si>
    <t xml:space="preserve">TOTAL BALLAST  ► </t>
  </si>
  <si>
    <t xml:space="preserve">LIGHTSHIP  ► </t>
  </si>
  <si>
    <t>capacity 544 mt</t>
  </si>
  <si>
    <t>3000 bbls x*y*z*perm*sounding/dep*corner</t>
  </si>
  <si>
    <t>Fwd Port</t>
  </si>
  <si>
    <t xml:space="preserve">Mid Port </t>
  </si>
  <si>
    <t>KB</t>
  </si>
  <si>
    <t>LCF</t>
  </si>
  <si>
    <t>Water Plane Area</t>
  </si>
  <si>
    <t>BMT</t>
  </si>
  <si>
    <t>BML</t>
  </si>
  <si>
    <t>volumn from drawing</t>
  </si>
  <si>
    <t>LOAD FORM</t>
  </si>
  <si>
    <t>Casing</t>
  </si>
  <si>
    <t>Drill Water Port</t>
  </si>
  <si>
    <t>Drill Water Stbd</t>
  </si>
  <si>
    <t>Fuel Aft</t>
  </si>
  <si>
    <t>Base oil Port</t>
  </si>
  <si>
    <t>VDL</t>
  </si>
  <si>
    <t xml:space="preserve">TOTAL VDL  ► </t>
  </si>
  <si>
    <t xml:space="preserve">TOTAL CONSUMABLE LIQUID  ► </t>
  </si>
  <si>
    <t>CONSUMABLE LIQUID at PONTOON</t>
  </si>
  <si>
    <t>Modu</t>
  </si>
  <si>
    <t>Transit TAD (w assembled DES)</t>
  </si>
  <si>
    <t>Oper TAD (w assembled DES)</t>
  </si>
  <si>
    <t>Oper TAD (w dis-assembled DES)</t>
  </si>
  <si>
    <t>Open TAD (wo DES)</t>
  </si>
  <si>
    <r>
      <t>TOTAL (</t>
    </r>
    <r>
      <rPr>
        <b/>
        <sz val="10"/>
        <color indexed="60"/>
        <rFont val="Calibri"/>
        <family val="2"/>
      </rPr>
      <t>PAYLOAD + BALLAST + LIGHTSHIP</t>
    </r>
    <r>
      <rPr>
        <b/>
        <sz val="10"/>
        <rFont val="Calibri"/>
        <family val="2"/>
      </rPr>
      <t>) ►</t>
    </r>
  </si>
  <si>
    <r>
      <t>PAYLOAD (</t>
    </r>
    <r>
      <rPr>
        <b/>
        <sz val="10"/>
        <color indexed="60"/>
        <rFont val="Calibri"/>
        <family val="2"/>
      </rPr>
      <t>VDL + CONSUMABLES</t>
    </r>
    <r>
      <rPr>
        <b/>
        <sz val="10"/>
        <rFont val="Calibri"/>
        <family val="2"/>
      </rPr>
      <t xml:space="preserve">)  ► </t>
    </r>
  </si>
  <si>
    <r>
      <t xml:space="preserve">MPSETADS PHASE III - </t>
    </r>
    <r>
      <rPr>
        <b/>
        <sz val="12"/>
        <color indexed="10"/>
        <rFont val="Calibri"/>
        <family val="2"/>
      </rPr>
      <t>CONSUMABLES</t>
    </r>
  </si>
  <si>
    <t>AFT PONTOON</t>
  </si>
  <si>
    <r>
      <t xml:space="preserve">MPSETADS PHASE III - </t>
    </r>
    <r>
      <rPr>
        <b/>
        <sz val="12"/>
        <color indexed="10"/>
        <rFont val="Calibri"/>
        <family val="2"/>
      </rPr>
      <t>BALLAST</t>
    </r>
  </si>
  <si>
    <t>MACHINERY DECK</t>
  </si>
  <si>
    <t>MAIN DECK</t>
  </si>
  <si>
    <t>PP-BLST</t>
  </si>
  <si>
    <t>PP-DRWT</t>
  </si>
  <si>
    <t>MC-MUD</t>
  </si>
  <si>
    <t>MC-AFT</t>
  </si>
  <si>
    <t>MC-MNPL</t>
  </si>
  <si>
    <t>MC-FWD</t>
  </si>
  <si>
    <t>MC-QRTR</t>
  </si>
  <si>
    <t>MD-STBK</t>
  </si>
  <si>
    <t>MD-EQPT</t>
  </si>
  <si>
    <t>MD-PRCS</t>
  </si>
  <si>
    <t>MD-PIPE</t>
  </si>
  <si>
    <t>PP-BOIL</t>
  </si>
  <si>
    <t>PORT PONTOON</t>
  </si>
  <si>
    <t>STARBOARD PONTOON</t>
  </si>
  <si>
    <t>AP-FUEL</t>
  </si>
  <si>
    <t>SP-DRWT</t>
  </si>
  <si>
    <t>PORT COLUMN</t>
  </si>
  <si>
    <t>STARBOARD COLUMN</t>
  </si>
  <si>
    <t>FORWARD COLUMN</t>
  </si>
  <si>
    <t>PC-MUD</t>
  </si>
  <si>
    <t>PC-PTNK</t>
  </si>
  <si>
    <t>SC-MUD</t>
  </si>
  <si>
    <t>SC-PTNK</t>
  </si>
  <si>
    <t>FC-MUD</t>
  </si>
  <si>
    <t>FC-POTW</t>
  </si>
  <si>
    <t>Port Column</t>
  </si>
  <si>
    <t>Starboard Column</t>
  </si>
  <si>
    <t>SP-BLST</t>
  </si>
  <si>
    <t>PC-BLST</t>
  </si>
  <si>
    <t>SC-BLST</t>
  </si>
  <si>
    <t>FC-BLST</t>
  </si>
  <si>
    <t>AP-BLST</t>
  </si>
  <si>
    <r>
      <t>1</t>
    </r>
    <r>
      <rPr>
        <b/>
        <u/>
        <sz val="11"/>
        <rFont val="Calibri"/>
        <family val="2"/>
      </rPr>
      <t>Condition Flag Description:</t>
    </r>
  </si>
  <si>
    <t>Operating TAD (with dis-assembled DES)</t>
  </si>
  <si>
    <t>Operating TAD (without DES)</t>
  </si>
  <si>
    <t>MPSETADS PHASE III</t>
  </si>
  <si>
    <t>MODU (draft 18, 50% consumable liquid, 4500-5000 vdl)</t>
  </si>
  <si>
    <t>Operating TAD (with assembled DES,draft 18)</t>
  </si>
  <si>
    <t>Transit TAD (with assembled DES,draft 6.3, consumable liquid 67%, payload 3500)</t>
  </si>
  <si>
    <t>end</t>
  </si>
  <si>
    <t>draft</t>
  </si>
  <si>
    <t>before squared column</t>
  </si>
  <si>
    <t xml:space="preserve">6/3/11 with all pontoons semi-circle and column radius 1.8 </t>
  </si>
  <si>
    <t>Fwd column wall</t>
  </si>
  <si>
    <t>PVC9</t>
  </si>
  <si>
    <t>SVC10</t>
  </si>
  <si>
    <t>FVC11</t>
  </si>
  <si>
    <t xml:space="preserve">6/6/11 with three sides pontoons semi-circle and column radius 1.8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</si>
</sst>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[$-409]d\-mmm\-yy;@"/>
    <numFmt numFmtId="166" formatCode="0.0000"/>
    <numFmt numFmtId="167" formatCode="0.0%"/>
    <numFmt numFmtId="168" formatCode="0.0"/>
    <numFmt numFmtId="169" formatCode="#,##0.000"/>
  </numFmts>
  <fonts count="61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Arial"/>
      <family val="2"/>
    </font>
    <font>
      <b/>
      <sz val="12"/>
      <color indexed="8"/>
      <name val="Calibri"/>
      <family val="2"/>
    </font>
    <font>
      <sz val="10"/>
      <name val="Calibri"/>
      <family val="2"/>
    </font>
    <font>
      <sz val="10"/>
      <color indexed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vertAlign val="superscript"/>
      <sz val="11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b/>
      <sz val="11"/>
      <color indexed="12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3"/>
      <name val="Calibri"/>
      <family val="2"/>
    </font>
    <font>
      <sz val="10"/>
      <color indexed="55"/>
      <name val="Calibri"/>
      <family val="2"/>
    </font>
    <font>
      <sz val="10"/>
      <color indexed="12"/>
      <name val="Calibri"/>
      <family val="2"/>
    </font>
    <font>
      <sz val="8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vertAlign val="superscript"/>
      <sz val="10"/>
      <name val="Calibri"/>
      <family val="2"/>
    </font>
    <font>
      <vertAlign val="subscript"/>
      <sz val="1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62"/>
      <name val="Calibri"/>
      <family val="2"/>
    </font>
    <font>
      <sz val="10"/>
      <color indexed="62"/>
      <name val="Calibri"/>
      <family val="2"/>
    </font>
    <font>
      <b/>
      <sz val="10"/>
      <color indexed="62"/>
      <name val="Calibri"/>
      <family val="2"/>
    </font>
    <font>
      <sz val="10"/>
      <color indexed="10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8"/>
      <name val="Arial"/>
      <family val="2"/>
    </font>
    <font>
      <b/>
      <sz val="12"/>
      <color indexed="10"/>
      <name val="Calibri"/>
      <family val="2"/>
    </font>
    <font>
      <sz val="10"/>
      <color indexed="10"/>
      <name val="Calibri"/>
      <family val="2"/>
    </font>
    <font>
      <b/>
      <sz val="10"/>
      <color indexed="60"/>
      <name val="Calibri"/>
      <family val="2"/>
    </font>
    <font>
      <b/>
      <u/>
      <vertAlign val="superscript"/>
      <sz val="11"/>
      <name val="Calibri"/>
      <family val="2"/>
    </font>
    <font>
      <b/>
      <u/>
      <sz val="11"/>
      <name val="Calibri"/>
      <family val="2"/>
    </font>
    <font>
      <sz val="8"/>
      <name val="Arial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</fills>
  <borders count="1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2">
    <xf numFmtId="0" fontId="0" fillId="0" borderId="0"/>
    <xf numFmtId="0" fontId="9" fillId="2" borderId="0" applyNumberFormat="0" applyBorder="0" applyAlignment="0" applyProtection="0"/>
    <xf numFmtId="0" fontId="1" fillId="2" borderId="0" applyNumberFormat="0" applyBorder="0" applyAlignment="0" applyProtection="0"/>
    <xf numFmtId="0" fontId="9" fillId="3" borderId="0" applyNumberFormat="0" applyBorder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  <xf numFmtId="0" fontId="1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" fillId="6" borderId="0" applyNumberFormat="0" applyBorder="0" applyAlignment="0" applyProtection="0"/>
    <xf numFmtId="0" fontId="9" fillId="7" borderId="0" applyNumberFormat="0" applyBorder="0" applyAlignment="0" applyProtection="0"/>
    <xf numFmtId="0" fontId="1" fillId="7" borderId="0" applyNumberFormat="0" applyBorder="0" applyAlignment="0" applyProtection="0"/>
    <xf numFmtId="0" fontId="9" fillId="8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0" applyNumberFormat="0" applyBorder="0" applyAlignment="0" applyProtection="0"/>
    <xf numFmtId="0" fontId="1" fillId="9" borderId="0" applyNumberFormat="0" applyBorder="0" applyAlignment="0" applyProtection="0"/>
    <xf numFmtId="0" fontId="9" fillId="10" borderId="0" applyNumberFormat="0" applyBorder="0" applyAlignment="0" applyProtection="0"/>
    <xf numFmtId="0" fontId="1" fillId="10" borderId="0" applyNumberFormat="0" applyBorder="0" applyAlignment="0" applyProtection="0"/>
    <xf numFmtId="0" fontId="9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8" borderId="0" applyNumberFormat="0" applyBorder="0" applyAlignment="0" applyProtection="0"/>
    <xf numFmtId="0" fontId="1" fillId="8" borderId="0" applyNumberFormat="0" applyBorder="0" applyAlignment="0" applyProtection="0"/>
    <xf numFmtId="0" fontId="9" fillId="11" borderId="0" applyNumberFormat="0" applyBorder="0" applyAlignment="0" applyProtection="0"/>
    <xf numFmtId="0" fontId="1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60" fillId="0" borderId="0"/>
    <xf numFmtId="0" fontId="60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9" fillId="23" borderId="7" applyNumberFormat="0" applyFont="0" applyAlignment="0" applyProtection="0"/>
    <xf numFmtId="0" fontId="1" fillId="23" borderId="7" applyNumberFormat="0" applyFon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9" fillId="0" borderId="0" applyNumberFormat="0" applyFill="0" applyBorder="0" applyAlignment="0" applyProtection="0"/>
    <xf numFmtId="167" fontId="7" fillId="0" borderId="10" applyBorder="0">
      <alignment horizontal="center" vertical="center"/>
      <protection locked="0"/>
    </xf>
  </cellStyleXfs>
  <cellXfs count="648">
    <xf numFmtId="0" fontId="0" fillId="0" borderId="0" xfId="0"/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1" fillId="24" borderId="13" xfId="0" applyFont="1" applyFill="1" applyBorder="1" applyAlignment="1">
      <alignment horizontal="center" vertical="center" wrapText="1"/>
    </xf>
    <xf numFmtId="3" fontId="3" fillId="25" borderId="14" xfId="0" applyNumberFormat="1" applyFont="1" applyFill="1" applyBorder="1" applyAlignment="1">
      <alignment horizontal="center" vertical="center"/>
    </xf>
    <xf numFmtId="0" fontId="3" fillId="26" borderId="15" xfId="0" applyFont="1" applyFill="1" applyBorder="1" applyAlignment="1">
      <alignment vertical="center"/>
    </xf>
    <xf numFmtId="0" fontId="9" fillId="0" borderId="16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8" fillId="0" borderId="18" xfId="0" applyFont="1" applyBorder="1" applyAlignment="1">
      <alignment vertical="center"/>
    </xf>
    <xf numFmtId="164" fontId="6" fillId="0" borderId="19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6" fillId="0" borderId="17" xfId="0" applyFont="1" applyFill="1" applyBorder="1" applyAlignment="1">
      <alignment horizontal="left" vertical="center"/>
    </xf>
    <xf numFmtId="0" fontId="12" fillId="24" borderId="13" xfId="0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21" xfId="0" applyNumberFormat="1" applyFont="1" applyFill="1" applyBorder="1" applyAlignment="1">
      <alignment horizontal="center" vertical="center"/>
    </xf>
    <xf numFmtId="0" fontId="3" fillId="26" borderId="22" xfId="0" applyFont="1" applyFill="1" applyBorder="1" applyAlignment="1">
      <alignment vertical="center"/>
    </xf>
    <xf numFmtId="0" fontId="3" fillId="26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3" fillId="26" borderId="15" xfId="0" applyNumberFormat="1" applyFont="1" applyFill="1" applyBorder="1" applyAlignment="1">
      <alignment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3" fontId="6" fillId="25" borderId="21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 vertical="center"/>
    </xf>
    <xf numFmtId="3" fontId="6" fillId="25" borderId="20" xfId="0" applyNumberFormat="1" applyFont="1" applyFill="1" applyBorder="1" applyAlignment="1">
      <alignment horizontal="center" vertical="center"/>
    </xf>
    <xf numFmtId="169" fontId="6" fillId="0" borderId="2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6" fillId="0" borderId="19" xfId="0" applyNumberFormat="1" applyFont="1" applyFill="1" applyBorder="1" applyAlignment="1">
      <alignment vertical="center"/>
    </xf>
    <xf numFmtId="0" fontId="6" fillId="0" borderId="20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7" xfId="0" applyFont="1" applyFill="1" applyBorder="1" applyAlignment="1">
      <alignment horizontal="right" vertical="center"/>
    </xf>
    <xf numFmtId="0" fontId="6" fillId="0" borderId="28" xfId="0" applyFont="1" applyBorder="1" applyAlignment="1">
      <alignment horizontal="left" vertical="center"/>
    </xf>
    <xf numFmtId="0" fontId="3" fillId="24" borderId="29" xfId="0" quotePrefix="1" applyFont="1" applyFill="1" applyBorder="1" applyAlignment="1">
      <alignment vertical="center"/>
    </xf>
    <xf numFmtId="0" fontId="3" fillId="24" borderId="30" xfId="0" quotePrefix="1" applyFont="1" applyFill="1" applyBorder="1" applyAlignment="1">
      <alignment vertical="center"/>
    </xf>
    <xf numFmtId="0" fontId="3" fillId="24" borderId="31" xfId="0" applyFont="1" applyFill="1" applyBorder="1" applyAlignment="1">
      <alignment horizontal="right" vertical="center"/>
    </xf>
    <xf numFmtId="3" fontId="3" fillId="25" borderId="32" xfId="0" applyNumberFormat="1" applyFont="1" applyFill="1" applyBorder="1" applyAlignment="1">
      <alignment horizontal="center" vertical="center"/>
    </xf>
    <xf numFmtId="164" fontId="3" fillId="27" borderId="32" xfId="0" applyNumberFormat="1" applyFont="1" applyFill="1" applyBorder="1" applyAlignment="1">
      <alignment horizontal="center" vertical="center"/>
    </xf>
    <xf numFmtId="0" fontId="6" fillId="24" borderId="33" xfId="0" applyFont="1" applyFill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10" fillId="0" borderId="34" xfId="0" quotePrefix="1" applyFont="1" applyFill="1" applyBorder="1" applyAlignment="1">
      <alignment vertical="center" wrapText="1"/>
    </xf>
    <xf numFmtId="0" fontId="10" fillId="0" borderId="24" xfId="0" quotePrefix="1" applyFont="1" applyFill="1" applyBorder="1" applyAlignment="1">
      <alignment vertical="center" wrapText="1"/>
    </xf>
    <xf numFmtId="0" fontId="11" fillId="0" borderId="35" xfId="0" applyFont="1" applyFill="1" applyBorder="1" applyAlignment="1">
      <alignment horizontal="right" vertical="center"/>
    </xf>
    <xf numFmtId="0" fontId="31" fillId="28" borderId="36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right" vertical="center"/>
    </xf>
    <xf numFmtId="165" fontId="31" fillId="28" borderId="38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right" vertical="center"/>
    </xf>
    <xf numFmtId="0" fontId="12" fillId="0" borderId="39" xfId="0" applyFont="1" applyFill="1" applyBorder="1" applyAlignment="1">
      <alignment vertical="center"/>
    </xf>
    <xf numFmtId="0" fontId="10" fillId="0" borderId="40" xfId="0" applyFont="1" applyFill="1" applyBorder="1" applyAlignment="1">
      <alignment horizontal="right" vertical="center"/>
    </xf>
    <xf numFmtId="0" fontId="31" fillId="28" borderId="41" xfId="0" applyFont="1" applyFill="1" applyBorder="1" applyAlignment="1">
      <alignment horizontal="center" vertical="center"/>
    </xf>
    <xf numFmtId="0" fontId="12" fillId="29" borderId="21" xfId="0" applyFont="1" applyFill="1" applyBorder="1" applyAlignment="1">
      <alignment horizontal="center" vertical="center"/>
    </xf>
    <xf numFmtId="0" fontId="12" fillId="29" borderId="19" xfId="0" applyFont="1" applyFill="1" applyBorder="1" applyAlignment="1">
      <alignment horizontal="center" vertical="center"/>
    </xf>
    <xf numFmtId="0" fontId="12" fillId="29" borderId="20" xfId="0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6" fillId="0" borderId="42" xfId="0" applyNumberFormat="1" applyFont="1" applyFill="1" applyBorder="1" applyAlignment="1">
      <alignment horizontal="center" vertical="center"/>
    </xf>
    <xf numFmtId="0" fontId="6" fillId="0" borderId="43" xfId="0" applyNumberFormat="1" applyFont="1" applyFill="1" applyBorder="1" applyAlignment="1">
      <alignment horizontal="center" vertical="center"/>
    </xf>
    <xf numFmtId="3" fontId="3" fillId="27" borderId="32" xfId="0" applyNumberFormat="1" applyFont="1" applyFill="1" applyBorder="1" applyAlignment="1">
      <alignment horizontal="center" vertical="center"/>
    </xf>
    <xf numFmtId="169" fontId="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Border="1" applyAlignment="1">
      <alignment vertical="center"/>
    </xf>
    <xf numFmtId="0" fontId="36" fillId="0" borderId="10" xfId="0" applyFont="1" applyBorder="1" applyAlignment="1">
      <alignment vertical="center"/>
    </xf>
    <xf numFmtId="169" fontId="6" fillId="0" borderId="46" xfId="0" applyNumberFormat="1" applyFont="1" applyFill="1" applyBorder="1" applyAlignment="1">
      <alignment horizontal="center" vertical="center"/>
    </xf>
    <xf numFmtId="169" fontId="6" fillId="0" borderId="19" xfId="0" applyNumberFormat="1" applyFont="1" applyFill="1" applyBorder="1" applyAlignment="1">
      <alignment horizontal="center" vertical="center"/>
    </xf>
    <xf numFmtId="164" fontId="6" fillId="0" borderId="47" xfId="0" applyNumberFormat="1" applyFont="1" applyFill="1" applyBorder="1" applyAlignment="1">
      <alignment horizontal="center" vertical="center"/>
    </xf>
    <xf numFmtId="0" fontId="6" fillId="0" borderId="48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6" fillId="0" borderId="49" xfId="0" applyFont="1" applyFill="1" applyBorder="1" applyAlignment="1">
      <alignment horizontal="left" vertical="center"/>
    </xf>
    <xf numFmtId="0" fontId="6" fillId="0" borderId="50" xfId="0" applyFont="1" applyFill="1" applyBorder="1" applyAlignment="1">
      <alignment horizontal="left" vertical="center"/>
    </xf>
    <xf numFmtId="164" fontId="36" fillId="0" borderId="10" xfId="0" applyNumberFormat="1" applyFont="1" applyBorder="1" applyAlignment="1">
      <alignment vertical="center"/>
    </xf>
    <xf numFmtId="0" fontId="6" fillId="0" borderId="51" xfId="0" applyFont="1" applyFill="1" applyBorder="1" applyAlignment="1">
      <alignment horizontal="left" vertical="center"/>
    </xf>
    <xf numFmtId="0" fontId="3" fillId="0" borderId="0" xfId="51" applyFont="1" applyFill="1" applyBorder="1" applyAlignment="1">
      <alignment horizontal="center" vertical="center"/>
    </xf>
    <xf numFmtId="0" fontId="9" fillId="0" borderId="52" xfId="0" applyFont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24" borderId="30" xfId="0" applyFont="1" applyFill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43" xfId="51" applyFont="1" applyFill="1" applyBorder="1" applyAlignment="1">
      <alignment horizontal="center" vertical="center"/>
    </xf>
    <xf numFmtId="0" fontId="6" fillId="0" borderId="54" xfId="51" applyFont="1" applyFill="1" applyBorder="1" applyAlignment="1">
      <alignment horizontal="center" vertical="center"/>
    </xf>
    <xf numFmtId="0" fontId="3" fillId="26" borderId="22" xfId="51" applyFont="1" applyFill="1" applyBorder="1" applyAlignment="1">
      <alignment vertical="center"/>
    </xf>
    <xf numFmtId="0" fontId="11" fillId="24" borderId="55" xfId="51" applyFont="1" applyFill="1" applyBorder="1" applyAlignment="1">
      <alignment horizontal="center" vertical="center" wrapText="1"/>
    </xf>
    <xf numFmtId="0" fontId="11" fillId="24" borderId="56" xfId="51" applyFont="1" applyFill="1" applyBorder="1" applyAlignment="1">
      <alignment horizontal="center" vertical="center"/>
    </xf>
    <xf numFmtId="0" fontId="11" fillId="24" borderId="57" xfId="51" applyFont="1" applyFill="1" applyBorder="1" applyAlignment="1">
      <alignment horizontal="center" vertical="center"/>
    </xf>
    <xf numFmtId="0" fontId="9" fillId="0" borderId="58" xfId="0" applyFont="1" applyBorder="1" applyAlignment="1">
      <alignment vertical="center" wrapText="1"/>
    </xf>
    <xf numFmtId="0" fontId="9" fillId="0" borderId="59" xfId="0" applyFont="1" applyBorder="1" applyAlignment="1">
      <alignment vertical="center" wrapText="1"/>
    </xf>
    <xf numFmtId="0" fontId="6" fillId="0" borderId="60" xfId="51" applyFont="1" applyFill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168" fontId="43" fillId="0" borderId="0" xfId="49" applyNumberFormat="1" applyFont="1" applyBorder="1" applyAlignment="1">
      <alignment horizontal="center"/>
    </xf>
    <xf numFmtId="0" fontId="43" fillId="0" borderId="0" xfId="49" applyFont="1"/>
    <xf numFmtId="168" fontId="43" fillId="0" borderId="0" xfId="49" applyNumberFormat="1" applyFont="1"/>
    <xf numFmtId="0" fontId="43" fillId="0" borderId="0" xfId="49" applyFont="1" applyBorder="1"/>
    <xf numFmtId="168" fontId="43" fillId="0" borderId="0" xfId="49" applyNumberFormat="1" applyFont="1" applyBorder="1" applyAlignment="1">
      <alignment horizontal="center" vertical="center"/>
    </xf>
    <xf numFmtId="3" fontId="43" fillId="0" borderId="0" xfId="49" applyNumberFormat="1" applyFont="1" applyBorder="1" applyAlignment="1">
      <alignment vertical="center"/>
    </xf>
    <xf numFmtId="2" fontId="43" fillId="0" borderId="0" xfId="49" applyNumberFormat="1" applyFont="1" applyBorder="1" applyAlignment="1">
      <alignment horizontal="center" vertical="center"/>
    </xf>
    <xf numFmtId="3" fontId="43" fillId="0" borderId="0" xfId="49" applyNumberFormat="1" applyFont="1" applyBorder="1" applyAlignment="1">
      <alignment horizontal="center" vertical="center"/>
    </xf>
    <xf numFmtId="0" fontId="39" fillId="0" borderId="55" xfId="49" applyFont="1" applyBorder="1" applyAlignment="1">
      <alignment horizontal="center" vertical="center" wrapText="1"/>
    </xf>
    <xf numFmtId="0" fontId="39" fillId="0" borderId="65" xfId="49" applyFont="1" applyBorder="1" applyAlignment="1">
      <alignment horizontal="center" vertical="center" wrapText="1"/>
    </xf>
    <xf numFmtId="0" fontId="39" fillId="0" borderId="56" xfId="49" quotePrefix="1" applyFont="1" applyBorder="1" applyAlignment="1">
      <alignment horizontal="center" vertical="center" wrapText="1"/>
    </xf>
    <xf numFmtId="0" fontId="39" fillId="0" borderId="56" xfId="49" applyFont="1" applyBorder="1" applyAlignment="1">
      <alignment horizontal="center" vertical="center" wrapText="1"/>
    </xf>
    <xf numFmtId="0" fontId="39" fillId="0" borderId="57" xfId="49" applyFont="1" applyBorder="1" applyAlignment="1">
      <alignment horizontal="center" vertical="center" wrapText="1"/>
    </xf>
    <xf numFmtId="0" fontId="43" fillId="0" borderId="0" xfId="49" applyFont="1" applyAlignment="1">
      <alignment horizontal="left"/>
    </xf>
    <xf numFmtId="1" fontId="40" fillId="0" borderId="66" xfId="49" applyNumberFormat="1" applyFont="1" applyBorder="1" applyAlignment="1">
      <alignment horizontal="center"/>
    </xf>
    <xf numFmtId="1" fontId="40" fillId="0" borderId="67" xfId="49" applyNumberFormat="1" applyFont="1" applyBorder="1" applyAlignment="1">
      <alignment horizontal="center"/>
    </xf>
    <xf numFmtId="2" fontId="40" fillId="0" borderId="67" xfId="49" applyNumberFormat="1" applyFont="1" applyBorder="1" applyAlignment="1">
      <alignment horizontal="center"/>
    </xf>
    <xf numFmtId="168" fontId="40" fillId="0" borderId="67" xfId="49" applyNumberFormat="1" applyFont="1" applyBorder="1" applyAlignment="1">
      <alignment horizontal="center"/>
    </xf>
    <xf numFmtId="0" fontId="43" fillId="0" borderId="68" xfId="49" applyFont="1" applyBorder="1" applyAlignment="1">
      <alignment horizontal="left"/>
    </xf>
    <xf numFmtId="1" fontId="40" fillId="0" borderId="69" xfId="49" applyNumberFormat="1" applyFont="1" applyBorder="1" applyAlignment="1">
      <alignment horizontal="center"/>
    </xf>
    <xf numFmtId="1" fontId="40" fillId="0" borderId="14" xfId="49" applyNumberFormat="1" applyFont="1" applyBorder="1" applyAlignment="1">
      <alignment horizontal="center"/>
    </xf>
    <xf numFmtId="2" fontId="40" fillId="0" borderId="14" xfId="49" applyNumberFormat="1" applyFont="1" applyBorder="1" applyAlignment="1">
      <alignment horizontal="center"/>
    </xf>
    <xf numFmtId="168" fontId="40" fillId="0" borderId="14" xfId="49" applyNumberFormat="1" applyFont="1" applyBorder="1" applyAlignment="1">
      <alignment horizontal="center"/>
    </xf>
    <xf numFmtId="0" fontId="43" fillId="0" borderId="70" xfId="49" applyFont="1" applyBorder="1" applyAlignment="1">
      <alignment horizontal="left"/>
    </xf>
    <xf numFmtId="1" fontId="40" fillId="0" borderId="71" xfId="49" applyNumberFormat="1" applyFont="1" applyBorder="1" applyAlignment="1">
      <alignment horizontal="center"/>
    </xf>
    <xf numFmtId="1" fontId="40" fillId="0" borderId="72" xfId="49" applyNumberFormat="1" applyFont="1" applyBorder="1" applyAlignment="1">
      <alignment horizontal="center"/>
    </xf>
    <xf numFmtId="2" fontId="40" fillId="0" borderId="72" xfId="49" applyNumberFormat="1" applyFont="1" applyBorder="1" applyAlignment="1">
      <alignment horizontal="center"/>
    </xf>
    <xf numFmtId="168" fontId="40" fillId="0" borderId="72" xfId="49" applyNumberFormat="1" applyFont="1" applyBorder="1" applyAlignment="1">
      <alignment horizontal="center"/>
    </xf>
    <xf numFmtId="0" fontId="43" fillId="0" borderId="73" xfId="49" applyFont="1" applyBorder="1" applyAlignment="1">
      <alignment horizontal="left"/>
    </xf>
    <xf numFmtId="0" fontId="43" fillId="0" borderId="0" xfId="49" applyFont="1" applyAlignment="1"/>
    <xf numFmtId="0" fontId="39" fillId="0" borderId="74" xfId="49" applyFont="1" applyFill="1" applyBorder="1" applyAlignment="1">
      <alignment horizontal="center" vertical="center"/>
    </xf>
    <xf numFmtId="0" fontId="39" fillId="0" borderId="75" xfId="49" applyFont="1" applyFill="1" applyBorder="1" applyAlignment="1">
      <alignment horizontal="center" vertical="center" wrapText="1"/>
    </xf>
    <xf numFmtId="3" fontId="39" fillId="0" borderId="75" xfId="49" quotePrefix="1" applyNumberFormat="1" applyFont="1" applyFill="1" applyBorder="1" applyAlignment="1">
      <alignment horizontal="center" vertical="center" wrapText="1"/>
    </xf>
    <xf numFmtId="2" fontId="39" fillId="0" borderId="75" xfId="49" applyNumberFormat="1" applyFont="1" applyFill="1" applyBorder="1" applyAlignment="1">
      <alignment horizontal="center" vertical="center" wrapText="1"/>
    </xf>
    <xf numFmtId="2" fontId="39" fillId="0" borderId="76" xfId="49" applyNumberFormat="1" applyFont="1" applyFill="1" applyBorder="1" applyAlignment="1">
      <alignment horizontal="center" vertical="center" wrapText="1"/>
    </xf>
    <xf numFmtId="0" fontId="40" fillId="0" borderId="0" xfId="49" applyFont="1" applyFill="1" applyBorder="1" applyAlignment="1">
      <alignment horizontal="left" vertical="center"/>
    </xf>
    <xf numFmtId="0" fontId="40" fillId="0" borderId="0" xfId="49" applyFont="1" applyFill="1" applyBorder="1" applyAlignment="1">
      <alignment horizontal="center" vertical="center"/>
    </xf>
    <xf numFmtId="11" fontId="43" fillId="0" borderId="0" xfId="49" applyNumberFormat="1" applyFont="1"/>
    <xf numFmtId="0" fontId="43" fillId="0" borderId="0" xfId="49" applyFont="1" applyBorder="1" applyAlignment="1">
      <alignment horizontal="left" vertical="center"/>
    </xf>
    <xf numFmtId="3" fontId="40" fillId="0" borderId="0" xfId="49" applyNumberFormat="1" applyFont="1" applyFill="1" applyBorder="1" applyAlignment="1">
      <alignment horizontal="center" vertical="center"/>
    </xf>
    <xf numFmtId="2" fontId="40" fillId="0" borderId="0" xfId="49" applyNumberFormat="1" applyFont="1" applyFill="1" applyBorder="1" applyAlignment="1">
      <alignment horizontal="center" vertical="center"/>
    </xf>
    <xf numFmtId="0" fontId="43" fillId="0" borderId="0" xfId="49" applyFont="1" applyAlignment="1">
      <alignment vertical="center"/>
    </xf>
    <xf numFmtId="3" fontId="43" fillId="0" borderId="0" xfId="49" applyNumberFormat="1" applyFont="1" applyAlignment="1">
      <alignment vertical="center"/>
    </xf>
    <xf numFmtId="2" fontId="43" fillId="0" borderId="0" xfId="49" applyNumberFormat="1" applyFont="1" applyAlignment="1">
      <alignment vertical="center"/>
    </xf>
    <xf numFmtId="0" fontId="39" fillId="0" borderId="55" xfId="49" applyFont="1" applyBorder="1" applyAlignment="1">
      <alignment horizontal="center" vertical="center"/>
    </xf>
    <xf numFmtId="0" fontId="39" fillId="0" borderId="56" xfId="49" applyFont="1" applyBorder="1" applyAlignment="1">
      <alignment horizontal="center" vertical="center"/>
    </xf>
    <xf numFmtId="2" fontId="39" fillId="0" borderId="67" xfId="49" applyNumberFormat="1" applyFont="1" applyBorder="1" applyAlignment="1">
      <alignment horizontal="center" vertical="center" wrapText="1"/>
    </xf>
    <xf numFmtId="0" fontId="43" fillId="0" borderId="67" xfId="49" applyFont="1" applyBorder="1" applyAlignment="1">
      <alignment horizontal="center" vertical="center"/>
    </xf>
    <xf numFmtId="2" fontId="43" fillId="0" borderId="67" xfId="49" applyNumberFormat="1" applyFont="1" applyBorder="1" applyAlignment="1">
      <alignment horizontal="center" vertical="center"/>
    </xf>
    <xf numFmtId="2" fontId="39" fillId="0" borderId="67" xfId="49" applyNumberFormat="1" applyFont="1" applyBorder="1" applyAlignment="1">
      <alignment horizontal="center" vertical="center"/>
    </xf>
    <xf numFmtId="2" fontId="43" fillId="0" borderId="68" xfId="49" applyNumberFormat="1" applyFont="1" applyBorder="1" applyAlignment="1">
      <alignment horizontal="center" vertical="center"/>
    </xf>
    <xf numFmtId="2" fontId="39" fillId="0" borderId="14" xfId="49" applyNumberFormat="1" applyFont="1" applyBorder="1" applyAlignment="1">
      <alignment horizontal="center" vertical="center" wrapText="1"/>
    </xf>
    <xf numFmtId="0" fontId="43" fillId="0" borderId="14" xfId="49" applyFont="1" applyBorder="1" applyAlignment="1">
      <alignment horizontal="center" vertical="center"/>
    </xf>
    <xf numFmtId="2" fontId="43" fillId="0" borderId="14" xfId="49" applyNumberFormat="1" applyFont="1" applyBorder="1" applyAlignment="1">
      <alignment horizontal="center" vertical="center"/>
    </xf>
    <xf numFmtId="2" fontId="39" fillId="0" borderId="14" xfId="49" applyNumberFormat="1" applyFont="1" applyBorder="1" applyAlignment="1">
      <alignment horizontal="center" vertical="center"/>
    </xf>
    <xf numFmtId="2" fontId="43" fillId="0" borderId="70" xfId="49" applyNumberFormat="1" applyFont="1" applyBorder="1" applyAlignment="1">
      <alignment horizontal="center" vertical="center"/>
    </xf>
    <xf numFmtId="2" fontId="39" fillId="0" borderId="77" xfId="49" applyNumberFormat="1" applyFont="1" applyBorder="1" applyAlignment="1">
      <alignment horizontal="center" vertical="center" wrapText="1"/>
    </xf>
    <xf numFmtId="0" fontId="43" fillId="0" borderId="77" xfId="49" applyFont="1" applyBorder="1" applyAlignment="1">
      <alignment horizontal="center" vertical="center"/>
    </xf>
    <xf numFmtId="2" fontId="43" fillId="0" borderId="77" xfId="49" applyNumberFormat="1" applyFont="1" applyBorder="1" applyAlignment="1">
      <alignment horizontal="center" vertical="center"/>
    </xf>
    <xf numFmtId="2" fontId="39" fillId="0" borderId="77" xfId="49" applyNumberFormat="1" applyFont="1" applyBorder="1" applyAlignment="1">
      <alignment horizontal="center" vertical="center"/>
    </xf>
    <xf numFmtId="2" fontId="43" fillId="0" borderId="78" xfId="49" applyNumberFormat="1" applyFont="1" applyBorder="1" applyAlignment="1">
      <alignment horizontal="center" vertical="center"/>
    </xf>
    <xf numFmtId="2" fontId="39" fillId="0" borderId="79" xfId="49" applyNumberFormat="1" applyFont="1" applyFill="1" applyBorder="1" applyAlignment="1">
      <alignment horizontal="center" vertical="center" wrapText="1"/>
    </xf>
    <xf numFmtId="0" fontId="43" fillId="0" borderId="79" xfId="49" applyFont="1" applyFill="1" applyBorder="1" applyAlignment="1">
      <alignment horizontal="center" vertical="center"/>
    </xf>
    <xf numFmtId="2" fontId="43" fillId="0" borderId="79" xfId="49" applyNumberFormat="1" applyFont="1" applyFill="1" applyBorder="1" applyAlignment="1">
      <alignment horizontal="center" vertical="center"/>
    </xf>
    <xf numFmtId="2" fontId="39" fillId="0" borderId="79" xfId="49" applyNumberFormat="1" applyFont="1" applyFill="1" applyBorder="1" applyAlignment="1">
      <alignment horizontal="center" vertical="center"/>
    </xf>
    <xf numFmtId="2" fontId="43" fillId="0" borderId="73" xfId="49" applyNumberFormat="1" applyFont="1" applyBorder="1" applyAlignment="1">
      <alignment horizontal="center" vertical="center"/>
    </xf>
    <xf numFmtId="0" fontId="13" fillId="0" borderId="0" xfId="0" applyFont="1" applyFill="1" applyBorder="1"/>
    <xf numFmtId="0" fontId="6" fillId="0" borderId="0" xfId="0" applyFont="1" applyFill="1" applyBorder="1"/>
    <xf numFmtId="0" fontId="44" fillId="0" borderId="0" xfId="0" applyFont="1" applyFill="1" applyBorder="1"/>
    <xf numFmtId="2" fontId="44" fillId="0" borderId="0" xfId="0" applyNumberFormat="1" applyFont="1" applyFill="1" applyBorder="1"/>
    <xf numFmtId="0" fontId="44" fillId="0" borderId="0" xfId="0" applyFont="1" applyFill="1" applyBorder="1" applyAlignment="1">
      <alignment horizontal="right"/>
    </xf>
    <xf numFmtId="0" fontId="44" fillId="0" borderId="0" xfId="0" applyFont="1" applyFill="1" applyBorder="1" applyAlignment="1">
      <alignment horizontal="center"/>
    </xf>
    <xf numFmtId="3" fontId="44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0" fontId="44" fillId="0" borderId="0" xfId="0" quotePrefix="1" applyFont="1" applyFill="1" applyBorder="1" applyAlignment="1">
      <alignment horizontal="right"/>
    </xf>
    <xf numFmtId="2" fontId="12" fillId="0" borderId="0" xfId="0" applyNumberFormat="1" applyFont="1" applyFill="1" applyBorder="1"/>
    <xf numFmtId="3" fontId="6" fillId="0" borderId="21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2" fontId="6" fillId="0" borderId="0" xfId="0" applyNumberFormat="1" applyFont="1" applyFill="1" applyBorder="1"/>
    <xf numFmtId="0" fontId="6" fillId="0" borderId="0" xfId="0" applyFont="1" applyFill="1"/>
    <xf numFmtId="168" fontId="6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3" fontId="6" fillId="0" borderId="0" xfId="0" applyNumberFormat="1" applyFont="1" applyFill="1" applyBorder="1"/>
    <xf numFmtId="0" fontId="6" fillId="0" borderId="0" xfId="0" quotePrefix="1" applyFont="1" applyFill="1" applyBorder="1" applyAlignment="1">
      <alignment horizontal="left"/>
    </xf>
    <xf numFmtId="1" fontId="6" fillId="0" borderId="0" xfId="0" applyNumberFormat="1" applyFont="1" applyFill="1" applyBorder="1"/>
    <xf numFmtId="2" fontId="3" fillId="0" borderId="0" xfId="0" applyNumberFormat="1" applyFont="1" applyFill="1" applyBorder="1"/>
    <xf numFmtId="3" fontId="3" fillId="0" borderId="0" xfId="0" applyNumberFormat="1" applyFont="1" applyFill="1" applyBorder="1"/>
    <xf numFmtId="2" fontId="6" fillId="0" borderId="0" xfId="0" quotePrefix="1" applyNumberFormat="1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left"/>
    </xf>
    <xf numFmtId="164" fontId="6" fillId="0" borderId="0" xfId="0" applyNumberFormat="1" applyFont="1" applyFill="1" applyBorder="1"/>
    <xf numFmtId="0" fontId="6" fillId="0" borderId="0" xfId="0" quotePrefix="1" applyFont="1" applyFill="1" applyBorder="1" applyAlignment="1">
      <alignment horizontal="right"/>
    </xf>
    <xf numFmtId="0" fontId="6" fillId="0" borderId="0" xfId="0" quotePrefix="1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3" fontId="6" fillId="0" borderId="0" xfId="0" applyNumberFormat="1" applyFont="1" applyFill="1" applyBorder="1" applyAlignment="1">
      <alignment horizontal="centerContinuous"/>
    </xf>
    <xf numFmtId="166" fontId="6" fillId="0" borderId="0" xfId="0" applyNumberFormat="1" applyFont="1" applyFill="1" applyBorder="1"/>
    <xf numFmtId="166" fontId="6" fillId="0" borderId="0" xfId="0" quotePrefix="1" applyNumberFormat="1" applyFont="1" applyFill="1" applyBorder="1"/>
    <xf numFmtId="0" fontId="44" fillId="0" borderId="0" xfId="0" quotePrefix="1" applyFont="1" applyFill="1" applyBorder="1" applyAlignment="1">
      <alignment horizontal="center"/>
    </xf>
    <xf numFmtId="3" fontId="44" fillId="0" borderId="0" xfId="0" applyNumberFormat="1" applyFont="1" applyFill="1" applyBorder="1" applyAlignment="1">
      <alignment horizontal="center"/>
    </xf>
    <xf numFmtId="164" fontId="44" fillId="0" borderId="0" xfId="0" applyNumberFormat="1" applyFont="1" applyFill="1" applyBorder="1"/>
    <xf numFmtId="2" fontId="44" fillId="0" borderId="0" xfId="0" applyNumberFormat="1" applyFont="1" applyFill="1" applyBorder="1" applyProtection="1"/>
    <xf numFmtId="1" fontId="44" fillId="0" borderId="0" xfId="0" applyNumberFormat="1" applyFont="1" applyFill="1" applyBorder="1" applyAlignment="1">
      <alignment horizontal="center"/>
    </xf>
    <xf numFmtId="2" fontId="44" fillId="0" borderId="0" xfId="0" quotePrefix="1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/>
    <xf numFmtId="168" fontId="46" fillId="0" borderId="0" xfId="0" applyNumberFormat="1" applyFont="1" applyFill="1" applyBorder="1"/>
    <xf numFmtId="2" fontId="46" fillId="0" borderId="0" xfId="0" applyNumberFormat="1" applyFont="1" applyFill="1" applyBorder="1"/>
    <xf numFmtId="3" fontId="46" fillId="0" borderId="0" xfId="0" applyNumberFormat="1" applyFont="1" applyFill="1" applyBorder="1"/>
    <xf numFmtId="0" fontId="47" fillId="0" borderId="0" xfId="0" applyFont="1" applyFill="1" applyBorder="1"/>
    <xf numFmtId="0" fontId="48" fillId="0" borderId="0" xfId="0" applyFont="1" applyFill="1" applyBorder="1" applyAlignment="1">
      <alignment horizontal="center" wrapText="1"/>
    </xf>
    <xf numFmtId="0" fontId="48" fillId="0" borderId="0" xfId="0" applyFont="1" applyFill="1" applyBorder="1" applyAlignment="1">
      <alignment horizontal="center"/>
    </xf>
    <xf numFmtId="0" fontId="48" fillId="0" borderId="0" xfId="0" applyFont="1" applyFill="1" applyBorder="1" applyAlignment="1"/>
    <xf numFmtId="0" fontId="49" fillId="0" borderId="0" xfId="0" applyFont="1" applyFill="1" applyBorder="1"/>
    <xf numFmtId="0" fontId="49" fillId="0" borderId="0" xfId="0" applyFont="1" applyFill="1"/>
    <xf numFmtId="0" fontId="49" fillId="0" borderId="0" xfId="0" applyFont="1" applyFill="1" applyBorder="1" applyAlignment="1">
      <alignment horizontal="left"/>
    </xf>
    <xf numFmtId="2" fontId="49" fillId="0" borderId="0" xfId="0" applyNumberFormat="1" applyFont="1" applyFill="1" applyBorder="1" applyAlignment="1">
      <alignment horizontal="center"/>
    </xf>
    <xf numFmtId="2" fontId="49" fillId="0" borderId="0" xfId="0" applyNumberFormat="1" applyFont="1" applyFill="1" applyBorder="1"/>
    <xf numFmtId="1" fontId="44" fillId="0" borderId="0" xfId="0" applyNumberFormat="1" applyFont="1" applyFill="1" applyBorder="1"/>
    <xf numFmtId="2" fontId="12" fillId="0" borderId="0" xfId="0" applyNumberFormat="1" applyFont="1" applyFill="1" applyBorder="1" applyAlignment="1">
      <alignment horizontal="right" vertical="center"/>
    </xf>
    <xf numFmtId="166" fontId="6" fillId="0" borderId="21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right"/>
    </xf>
    <xf numFmtId="3" fontId="52" fillId="30" borderId="0" xfId="0" applyNumberFormat="1" applyFont="1" applyFill="1"/>
    <xf numFmtId="2" fontId="3" fillId="0" borderId="0" xfId="0" applyNumberFormat="1" applyFont="1" applyFill="1" applyBorder="1" applyAlignment="1">
      <alignment wrapText="1"/>
    </xf>
    <xf numFmtId="0" fontId="3" fillId="0" borderId="0" xfId="0" quotePrefix="1" applyFont="1" applyFill="1" applyBorder="1" applyAlignment="1">
      <alignment horizontal="center" wrapText="1"/>
    </xf>
    <xf numFmtId="3" fontId="45" fillId="0" borderId="0" xfId="0" applyNumberFormat="1" applyFont="1" applyFill="1" applyBorder="1" applyAlignment="1">
      <alignment horizontal="center" wrapText="1"/>
    </xf>
    <xf numFmtId="3" fontId="0" fillId="0" borderId="0" xfId="0" applyNumberFormat="1" applyFill="1"/>
    <xf numFmtId="0" fontId="13" fillId="0" borderId="0" xfId="51" applyFill="1"/>
    <xf numFmtId="0" fontId="13" fillId="0" borderId="0" xfId="51" applyBorder="1"/>
    <xf numFmtId="0" fontId="13" fillId="26" borderId="15" xfId="51" applyFill="1" applyBorder="1" applyAlignment="1">
      <alignment vertical="center"/>
    </xf>
    <xf numFmtId="0" fontId="3" fillId="26" borderId="15" xfId="51" applyFont="1" applyFill="1" applyBorder="1" applyAlignment="1">
      <alignment horizontal="center" vertical="center"/>
    </xf>
    <xf numFmtId="1" fontId="3" fillId="26" borderId="15" xfId="51" applyNumberFormat="1" applyFont="1" applyFill="1" applyBorder="1" applyAlignment="1">
      <alignment vertical="center"/>
    </xf>
    <xf numFmtId="0" fontId="6" fillId="0" borderId="42" xfId="51" applyNumberFormat="1" applyFont="1" applyFill="1" applyBorder="1" applyAlignment="1">
      <alignment horizontal="center" vertical="center"/>
    </xf>
    <xf numFmtId="0" fontId="6" fillId="0" borderId="21" xfId="51" applyNumberFormat="1" applyFont="1" applyFill="1" applyBorder="1" applyAlignment="1">
      <alignment vertical="center"/>
    </xf>
    <xf numFmtId="0" fontId="6" fillId="0" borderId="21" xfId="51" applyNumberFormat="1" applyFont="1" applyFill="1" applyBorder="1" applyAlignment="1">
      <alignment horizontal="center" vertical="center"/>
    </xf>
    <xf numFmtId="2" fontId="6" fillId="0" borderId="21" xfId="51" applyNumberFormat="1" applyFont="1" applyFill="1" applyBorder="1" applyAlignment="1">
      <alignment horizontal="center" vertical="center"/>
    </xf>
    <xf numFmtId="1" fontId="6" fillId="0" borderId="21" xfId="51" applyNumberFormat="1" applyFont="1" applyFill="1" applyBorder="1" applyAlignment="1">
      <alignment horizontal="center" vertical="center"/>
    </xf>
    <xf numFmtId="3" fontId="6" fillId="25" borderId="21" xfId="51" applyNumberFormat="1" applyFont="1" applyFill="1" applyBorder="1" applyAlignment="1">
      <alignment horizontal="center" vertical="center"/>
    </xf>
    <xf numFmtId="164" fontId="6" fillId="0" borderId="21" xfId="51" applyNumberFormat="1" applyFont="1" applyFill="1" applyBorder="1" applyAlignment="1">
      <alignment horizontal="center" vertical="center"/>
    </xf>
    <xf numFmtId="0" fontId="6" fillId="0" borderId="43" xfId="51" applyNumberFormat="1" applyFont="1" applyFill="1" applyBorder="1" applyAlignment="1">
      <alignment horizontal="center" vertical="center"/>
    </xf>
    <xf numFmtId="0" fontId="6" fillId="0" borderId="19" xfId="51" applyNumberFormat="1" applyFont="1" applyFill="1" applyBorder="1" applyAlignment="1">
      <alignment horizontal="center" vertical="center"/>
    </xf>
    <xf numFmtId="2" fontId="6" fillId="0" borderId="19" xfId="51" applyNumberFormat="1" applyFont="1" applyFill="1" applyBorder="1" applyAlignment="1">
      <alignment horizontal="center" vertical="center"/>
    </xf>
    <xf numFmtId="1" fontId="6" fillId="0" borderId="19" xfId="51" applyNumberFormat="1" applyFont="1" applyFill="1" applyBorder="1" applyAlignment="1">
      <alignment horizontal="center" vertical="center"/>
    </xf>
    <xf numFmtId="164" fontId="6" fillId="0" borderId="19" xfId="51" applyNumberFormat="1" applyFont="1" applyFill="1" applyBorder="1" applyAlignment="1">
      <alignment horizontal="center" vertical="center"/>
    </xf>
    <xf numFmtId="0" fontId="3" fillId="26" borderId="15" xfId="51" applyFont="1" applyFill="1" applyBorder="1" applyAlignment="1">
      <alignment vertical="center"/>
    </xf>
    <xf numFmtId="0" fontId="6" fillId="0" borderId="12" xfId="51" applyNumberFormat="1" applyFont="1" applyFill="1" applyBorder="1" applyAlignment="1">
      <alignment horizontal="center" vertical="center"/>
    </xf>
    <xf numFmtId="0" fontId="6" fillId="0" borderId="0" xfId="51" applyNumberFormat="1" applyFont="1" applyFill="1" applyBorder="1" applyAlignment="1">
      <alignment vertical="center"/>
    </xf>
    <xf numFmtId="0" fontId="6" fillId="0" borderId="0" xfId="51" applyNumberFormat="1" applyFont="1" applyFill="1" applyBorder="1" applyAlignment="1">
      <alignment horizontal="center" vertical="center"/>
    </xf>
    <xf numFmtId="2" fontId="6" fillId="0" borderId="0" xfId="51" applyNumberFormat="1" applyFont="1" applyFill="1" applyBorder="1" applyAlignment="1">
      <alignment horizontal="center" vertical="center"/>
    </xf>
    <xf numFmtId="3" fontId="6" fillId="0" borderId="10" xfId="51" applyNumberFormat="1" applyFont="1" applyFill="1" applyBorder="1" applyAlignment="1">
      <alignment horizontal="center" vertical="center"/>
    </xf>
    <xf numFmtId="164" fontId="6" fillId="0" borderId="10" xfId="51" applyNumberFormat="1" applyFont="1" applyFill="1" applyBorder="1" applyAlignment="1">
      <alignment horizontal="center" vertical="center"/>
    </xf>
    <xf numFmtId="0" fontId="6" fillId="0" borderId="20" xfId="51" applyNumberFormat="1" applyFont="1" applyFill="1" applyBorder="1" applyAlignment="1">
      <alignment vertical="center"/>
    </xf>
    <xf numFmtId="164" fontId="6" fillId="0" borderId="20" xfId="51" applyNumberFormat="1" applyFont="1" applyFill="1" applyBorder="1" applyAlignment="1">
      <alignment horizontal="center" vertical="center"/>
    </xf>
    <xf numFmtId="3" fontId="6" fillId="25" borderId="20" xfId="51" applyNumberFormat="1" applyFont="1" applyFill="1" applyBorder="1" applyAlignment="1">
      <alignment horizontal="center" vertical="center"/>
    </xf>
    <xf numFmtId="0" fontId="6" fillId="0" borderId="44" xfId="51" applyNumberFormat="1" applyFont="1" applyFill="1" applyBorder="1" applyAlignment="1">
      <alignment vertical="center"/>
    </xf>
    <xf numFmtId="3" fontId="6" fillId="25" borderId="44" xfId="51" applyNumberFormat="1" applyFont="1" applyFill="1" applyBorder="1" applyAlignment="1">
      <alignment horizontal="center" vertical="center"/>
    </xf>
    <xf numFmtId="164" fontId="6" fillId="0" borderId="44" xfId="51" applyNumberFormat="1" applyFont="1" applyFill="1" applyBorder="1" applyAlignment="1">
      <alignment horizontal="center" vertical="center"/>
    </xf>
    <xf numFmtId="0" fontId="6" fillId="0" borderId="80" xfId="51" applyNumberFormat="1" applyFont="1" applyFill="1" applyBorder="1" applyAlignment="1">
      <alignment horizontal="center" vertical="center"/>
    </xf>
    <xf numFmtId="2" fontId="6" fillId="0" borderId="20" xfId="51" applyNumberFormat="1" applyFont="1" applyFill="1" applyBorder="1" applyAlignment="1">
      <alignment horizontal="center" vertical="center"/>
    </xf>
    <xf numFmtId="0" fontId="3" fillId="0" borderId="10" xfId="51" applyFont="1" applyFill="1" applyBorder="1" applyAlignment="1">
      <alignment horizontal="right" vertical="center"/>
    </xf>
    <xf numFmtId="0" fontId="6" fillId="0" borderId="19" xfId="51" applyNumberFormat="1" applyFont="1" applyFill="1" applyBorder="1" applyAlignment="1">
      <alignment vertical="center"/>
    </xf>
    <xf numFmtId="0" fontId="49" fillId="0" borderId="42" xfId="51" applyNumberFormat="1" applyFont="1" applyFill="1" applyBorder="1" applyAlignment="1">
      <alignment horizontal="center" vertical="center"/>
    </xf>
    <xf numFmtId="0" fontId="49" fillId="0" borderId="21" xfId="51" applyNumberFormat="1" applyFont="1" applyFill="1" applyBorder="1" applyAlignment="1">
      <alignment vertical="center"/>
    </xf>
    <xf numFmtId="0" fontId="49" fillId="0" borderId="21" xfId="51" applyNumberFormat="1" applyFont="1" applyFill="1" applyBorder="1" applyAlignment="1">
      <alignment horizontal="center" vertical="center"/>
    </xf>
    <xf numFmtId="2" fontId="49" fillId="0" borderId="21" xfId="51" applyNumberFormat="1" applyFont="1" applyFill="1" applyBorder="1" applyAlignment="1">
      <alignment horizontal="center" vertical="center"/>
    </xf>
    <xf numFmtId="1" fontId="49" fillId="0" borderId="21" xfId="51" applyNumberFormat="1" applyFont="1" applyFill="1" applyBorder="1" applyAlignment="1">
      <alignment horizontal="center" vertical="center"/>
    </xf>
    <xf numFmtId="3" fontId="49" fillId="25" borderId="21" xfId="51" applyNumberFormat="1" applyFont="1" applyFill="1" applyBorder="1" applyAlignment="1">
      <alignment horizontal="center" vertical="center"/>
    </xf>
    <xf numFmtId="164" fontId="49" fillId="0" borderId="21" xfId="51" applyNumberFormat="1" applyFont="1" applyFill="1" applyBorder="1" applyAlignment="1">
      <alignment horizontal="center" vertical="center"/>
    </xf>
    <xf numFmtId="1" fontId="49" fillId="0" borderId="19" xfId="51" applyNumberFormat="1" applyFont="1" applyFill="1" applyBorder="1" applyAlignment="1">
      <alignment horizontal="center" vertical="center"/>
    </xf>
    <xf numFmtId="164" fontId="49" fillId="0" borderId="20" xfId="51" applyNumberFormat="1" applyFont="1" applyFill="1" applyBorder="1" applyAlignment="1">
      <alignment horizontal="center" vertical="center"/>
    </xf>
    <xf numFmtId="0" fontId="49" fillId="0" borderId="43" xfId="51" applyNumberFormat="1" applyFont="1" applyFill="1" applyBorder="1" applyAlignment="1">
      <alignment horizontal="center" vertical="center"/>
    </xf>
    <xf numFmtId="164" fontId="49" fillId="0" borderId="19" xfId="51" applyNumberFormat="1" applyFont="1" applyFill="1" applyBorder="1" applyAlignment="1">
      <alignment horizontal="center" vertical="center"/>
    </xf>
    <xf numFmtId="0" fontId="49" fillId="0" borderId="12" xfId="51" applyNumberFormat="1" applyFont="1" applyFill="1" applyBorder="1" applyAlignment="1">
      <alignment horizontal="center" vertical="center"/>
    </xf>
    <xf numFmtId="1" fontId="6" fillId="0" borderId="21" xfId="0" applyNumberFormat="1" applyFont="1" applyFill="1" applyBorder="1" applyAlignment="1">
      <alignment horizontal="center" vertical="center"/>
    </xf>
    <xf numFmtId="1" fontId="6" fillId="0" borderId="20" xfId="51" applyNumberFormat="1" applyFont="1" applyFill="1" applyBorder="1" applyAlignment="1">
      <alignment horizontal="center" vertical="center"/>
    </xf>
    <xf numFmtId="0" fontId="6" fillId="0" borderId="81" xfId="51" applyNumberFormat="1" applyFont="1" applyFill="1" applyBorder="1" applyAlignment="1">
      <alignment vertical="center"/>
    </xf>
    <xf numFmtId="0" fontId="6" fillId="26" borderId="23" xfId="51" applyFont="1" applyFill="1" applyBorder="1" applyAlignment="1">
      <alignment vertical="center"/>
    </xf>
    <xf numFmtId="0" fontId="6" fillId="0" borderId="38" xfId="51" applyNumberFormat="1" applyFont="1" applyFill="1" applyBorder="1" applyAlignment="1">
      <alignment vertical="center"/>
    </xf>
    <xf numFmtId="0" fontId="6" fillId="0" borderId="82" xfId="51" applyNumberFormat="1" applyFont="1" applyFill="1" applyBorder="1" applyAlignment="1">
      <alignment vertical="center"/>
    </xf>
    <xf numFmtId="0" fontId="6" fillId="0" borderId="83" xfId="51" applyNumberFormat="1" applyFont="1" applyFill="1" applyBorder="1" applyAlignment="1">
      <alignment vertical="center"/>
    </xf>
    <xf numFmtId="0" fontId="6" fillId="0" borderId="20" xfId="51" applyNumberFormat="1" applyFont="1" applyFill="1" applyBorder="1" applyAlignment="1">
      <alignment horizontal="center" vertical="center"/>
    </xf>
    <xf numFmtId="0" fontId="3" fillId="0" borderId="84" xfId="51" applyFont="1" applyFill="1" applyBorder="1" applyAlignment="1">
      <alignment horizontal="right" vertical="center"/>
    </xf>
    <xf numFmtId="3" fontId="6" fillId="0" borderId="84" xfId="51" applyNumberFormat="1" applyFont="1" applyFill="1" applyBorder="1" applyAlignment="1">
      <alignment horizontal="center" vertical="center"/>
    </xf>
    <xf numFmtId="164" fontId="6" fillId="0" borderId="84" xfId="51" applyNumberFormat="1" applyFont="1" applyFill="1" applyBorder="1" applyAlignment="1">
      <alignment horizontal="center" vertical="center"/>
    </xf>
    <xf numFmtId="0" fontId="6" fillId="0" borderId="17" xfId="51" applyNumberFormat="1" applyFont="1" applyFill="1" applyBorder="1" applyAlignment="1">
      <alignment vertical="center"/>
    </xf>
    <xf numFmtId="0" fontId="13" fillId="0" borderId="85" xfId="5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8" fillId="0" borderId="24" xfId="0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2" fontId="6" fillId="0" borderId="19" xfId="51" applyNumberFormat="1" applyFont="1" applyFill="1" applyBorder="1" applyAlignment="1">
      <alignment horizontal="right" vertical="center"/>
    </xf>
    <xf numFmtId="0" fontId="6" fillId="0" borderId="38" xfId="5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6" fontId="6" fillId="0" borderId="19" xfId="51" applyNumberFormat="1" applyFont="1" applyFill="1" applyBorder="1" applyAlignment="1">
      <alignment horizontal="right" vertical="center"/>
    </xf>
    <xf numFmtId="0" fontId="6" fillId="0" borderId="86" xfId="51" applyFont="1" applyFill="1" applyBorder="1" applyAlignment="1">
      <alignment horizontal="left" vertical="center"/>
    </xf>
    <xf numFmtId="166" fontId="6" fillId="0" borderId="87" xfId="51" applyNumberFormat="1" applyFont="1" applyFill="1" applyBorder="1" applyAlignment="1">
      <alignment horizontal="right" vertical="center"/>
    </xf>
    <xf numFmtId="0" fontId="6" fillId="0" borderId="41" xfId="51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85" xfId="0" applyFont="1" applyFill="1" applyBorder="1" applyAlignment="1">
      <alignment horizontal="center" vertical="center"/>
    </xf>
    <xf numFmtId="0" fontId="2" fillId="0" borderId="88" xfId="0" applyFont="1" applyFill="1" applyBorder="1" applyAlignment="1">
      <alignment vertical="center"/>
    </xf>
    <xf numFmtId="0" fontId="13" fillId="0" borderId="85" xfId="0" applyFont="1" applyFill="1" applyBorder="1" applyAlignment="1">
      <alignment horizontal="left" vertical="center"/>
    </xf>
    <xf numFmtId="0" fontId="13" fillId="0" borderId="85" xfId="0" applyFont="1" applyFill="1" applyBorder="1" applyAlignment="1">
      <alignment vertical="center"/>
    </xf>
    <xf numFmtId="0" fontId="2" fillId="0" borderId="85" xfId="0" applyFont="1" applyFill="1" applyBorder="1" applyAlignment="1">
      <alignment vertical="center"/>
    </xf>
    <xf numFmtId="2" fontId="6" fillId="0" borderId="21" xfId="0" applyNumberFormat="1" applyFont="1" applyFill="1" applyBorder="1" applyAlignment="1">
      <alignment horizontal="center" vertical="center"/>
    </xf>
    <xf numFmtId="2" fontId="6" fillId="0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0" fontId="6" fillId="0" borderId="81" xfId="0" applyNumberFormat="1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89" xfId="51" applyNumberFormat="1" applyFont="1" applyFill="1" applyBorder="1" applyAlignment="1">
      <alignment horizontal="center" vertical="center"/>
    </xf>
    <xf numFmtId="9" fontId="6" fillId="0" borderId="21" xfId="0" applyNumberFormat="1" applyFont="1" applyFill="1" applyBorder="1" applyAlignment="1">
      <alignment horizontal="center" vertical="center"/>
    </xf>
    <xf numFmtId="9" fontId="6" fillId="0" borderId="19" xfId="0" applyNumberFormat="1" applyFont="1" applyFill="1" applyBorder="1" applyAlignment="1">
      <alignment horizontal="center" vertical="center"/>
    </xf>
    <xf numFmtId="0" fontId="6" fillId="0" borderId="90" xfId="51" applyNumberFormat="1" applyFont="1" applyFill="1" applyBorder="1" applyAlignment="1">
      <alignment horizontal="center" vertical="center"/>
    </xf>
    <xf numFmtId="0" fontId="6" fillId="0" borderId="91" xfId="51" applyNumberFormat="1" applyFont="1" applyFill="1" applyBorder="1" applyAlignment="1">
      <alignment vertical="center"/>
    </xf>
    <xf numFmtId="0" fontId="6" fillId="0" borderId="91" xfId="51" applyNumberFormat="1" applyFont="1" applyFill="1" applyBorder="1" applyAlignment="1">
      <alignment horizontal="center" vertical="center"/>
    </xf>
    <xf numFmtId="2" fontId="6" fillId="0" borderId="91" xfId="51" applyNumberFormat="1" applyFont="1" applyFill="1" applyBorder="1" applyAlignment="1">
      <alignment horizontal="center" vertical="center"/>
    </xf>
    <xf numFmtId="0" fontId="3" fillId="29" borderId="92" xfId="51" applyFont="1" applyFill="1" applyBorder="1" applyAlignment="1">
      <alignment horizontal="right" vertical="center"/>
    </xf>
    <xf numFmtId="3" fontId="6" fillId="29" borderId="92" xfId="51" applyNumberFormat="1" applyFont="1" applyFill="1" applyBorder="1" applyAlignment="1">
      <alignment horizontal="center" vertical="center"/>
    </xf>
    <xf numFmtId="164" fontId="6" fillId="29" borderId="92" xfId="51" applyNumberFormat="1" applyFont="1" applyFill="1" applyBorder="1" applyAlignment="1">
      <alignment horizontal="center" vertical="center"/>
    </xf>
    <xf numFmtId="164" fontId="36" fillId="0" borderId="12" xfId="0" applyNumberFormat="1" applyFont="1" applyBorder="1" applyAlignment="1">
      <alignment vertical="center"/>
    </xf>
    <xf numFmtId="164" fontId="36" fillId="0" borderId="0" xfId="0" applyNumberFormat="1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6" fillId="0" borderId="17" xfId="0" applyFont="1" applyBorder="1" applyAlignment="1">
      <alignment horizontal="left" vertical="center"/>
    </xf>
    <xf numFmtId="0" fontId="6" fillId="0" borderId="93" xfId="0" applyFont="1" applyFill="1" applyBorder="1" applyAlignment="1">
      <alignment horizontal="left" vertical="center"/>
    </xf>
    <xf numFmtId="0" fontId="6" fillId="0" borderId="94" xfId="0" applyFont="1" applyFill="1" applyBorder="1" applyAlignment="1">
      <alignment horizontal="left" vertical="center"/>
    </xf>
    <xf numFmtId="0" fontId="12" fillId="29" borderId="46" xfId="0" applyFont="1" applyFill="1" applyBorder="1" applyAlignment="1">
      <alignment horizontal="center" vertical="center"/>
    </xf>
    <xf numFmtId="3" fontId="6" fillId="25" borderId="46" xfId="0" applyNumberFormat="1" applyFont="1" applyFill="1" applyBorder="1" applyAlignment="1">
      <alignment horizontal="center" vertical="center"/>
    </xf>
    <xf numFmtId="3" fontId="6" fillId="0" borderId="46" xfId="0" applyNumberFormat="1" applyFont="1" applyFill="1" applyBorder="1" applyAlignment="1">
      <alignment horizontal="center" vertical="center"/>
    </xf>
    <xf numFmtId="3" fontId="6" fillId="25" borderId="19" xfId="0" applyNumberFormat="1" applyFont="1" applyFill="1" applyBorder="1" applyAlignment="1">
      <alignment horizontal="center" vertical="center"/>
    </xf>
    <xf numFmtId="3" fontId="6" fillId="0" borderId="19" xfId="0" applyNumberFormat="1" applyFont="1" applyFill="1" applyBorder="1" applyAlignment="1">
      <alignment horizontal="center" vertical="center"/>
    </xf>
    <xf numFmtId="0" fontId="6" fillId="0" borderId="95" xfId="0" applyFont="1" applyFill="1" applyBorder="1" applyAlignment="1">
      <alignment horizontal="left" vertical="center"/>
    </xf>
    <xf numFmtId="0" fontId="6" fillId="0" borderId="96" xfId="0" applyFont="1" applyFill="1" applyBorder="1" applyAlignment="1">
      <alignment horizontal="left" vertical="center"/>
    </xf>
    <xf numFmtId="0" fontId="12" fillId="29" borderId="47" xfId="0" applyFont="1" applyFill="1" applyBorder="1" applyAlignment="1">
      <alignment horizontal="center" vertical="center"/>
    </xf>
    <xf numFmtId="3" fontId="6" fillId="25" borderId="47" xfId="0" applyNumberFormat="1" applyFont="1" applyFill="1" applyBorder="1" applyAlignment="1">
      <alignment horizontal="center" vertical="center"/>
    </xf>
    <xf numFmtId="0" fontId="13" fillId="0" borderId="0" xfId="51" applyFill="1" applyBorder="1" applyAlignment="1">
      <alignment vertical="center"/>
    </xf>
    <xf numFmtId="0" fontId="6" fillId="0" borderId="97" xfId="51" applyNumberFormat="1" applyFont="1" applyFill="1" applyBorder="1" applyAlignment="1">
      <alignment vertical="center"/>
    </xf>
    <xf numFmtId="0" fontId="6" fillId="0" borderId="85" xfId="51" applyNumberFormat="1" applyFont="1" applyFill="1" applyBorder="1" applyAlignment="1">
      <alignment vertical="center"/>
    </xf>
    <xf numFmtId="0" fontId="13" fillId="0" borderId="46" xfId="51" applyFill="1" applyBorder="1" applyAlignment="1">
      <alignment vertical="center"/>
    </xf>
    <xf numFmtId="0" fontId="13" fillId="0" borderId="19" xfId="51" applyFill="1" applyBorder="1" applyAlignment="1">
      <alignment vertical="center"/>
    </xf>
    <xf numFmtId="0" fontId="6" fillId="0" borderId="47" xfId="51" applyNumberFormat="1" applyFont="1" applyFill="1" applyBorder="1" applyAlignment="1">
      <alignment horizontal="center" vertical="center"/>
    </xf>
    <xf numFmtId="0" fontId="40" fillId="0" borderId="67" xfId="49" applyFont="1" applyBorder="1" applyAlignment="1">
      <alignment horizontal="center" vertical="center"/>
    </xf>
    <xf numFmtId="2" fontId="40" fillId="0" borderId="67" xfId="49" applyNumberFormat="1" applyFont="1" applyBorder="1" applyAlignment="1">
      <alignment horizontal="center" vertical="center"/>
    </xf>
    <xf numFmtId="2" fontId="40" fillId="0" borderId="68" xfId="49" applyNumberFormat="1" applyFont="1" applyBorder="1" applyAlignment="1">
      <alignment horizontal="center" vertical="center"/>
    </xf>
    <xf numFmtId="166" fontId="3" fillId="0" borderId="19" xfId="51" applyNumberFormat="1" applyFont="1" applyFill="1" applyBorder="1" applyAlignment="1">
      <alignment horizontal="right" vertical="center"/>
    </xf>
    <xf numFmtId="0" fontId="6" fillId="0" borderId="98" xfId="0" applyFont="1" applyBorder="1" applyAlignment="1">
      <alignment horizontal="left" vertical="center"/>
    </xf>
    <xf numFmtId="0" fontId="6" fillId="0" borderId="99" xfId="0" applyFont="1" applyBorder="1" applyAlignment="1">
      <alignment horizontal="left" vertical="center"/>
    </xf>
    <xf numFmtId="164" fontId="3" fillId="0" borderId="14" xfId="0" applyNumberFormat="1" applyFont="1" applyFill="1" applyBorder="1" applyAlignment="1">
      <alignment horizontal="center" vertical="center"/>
    </xf>
    <xf numFmtId="3" fontId="3" fillId="0" borderId="14" xfId="0" applyNumberFormat="1" applyFont="1" applyFill="1" applyBorder="1" applyAlignment="1">
      <alignment horizontal="center" vertical="center"/>
    </xf>
    <xf numFmtId="164" fontId="36" fillId="0" borderId="90" xfId="0" applyNumberFormat="1" applyFont="1" applyFill="1" applyBorder="1" applyAlignment="1">
      <alignment vertical="center"/>
    </xf>
    <xf numFmtId="164" fontId="36" fillId="0" borderId="91" xfId="0" applyNumberFormat="1" applyFont="1" applyFill="1" applyBorder="1" applyAlignment="1">
      <alignment vertical="center"/>
    </xf>
    <xf numFmtId="0" fontId="6" fillId="0" borderId="91" xfId="0" applyFont="1" applyFill="1" applyBorder="1" applyAlignment="1">
      <alignment horizontal="left" vertical="center"/>
    </xf>
    <xf numFmtId="0" fontId="6" fillId="0" borderId="100" xfId="0" applyFont="1" applyFill="1" applyBorder="1" applyAlignment="1">
      <alignment horizontal="left" vertical="center"/>
    </xf>
    <xf numFmtId="0" fontId="36" fillId="31" borderId="101" xfId="0" applyFont="1" applyFill="1" applyBorder="1" applyAlignment="1">
      <alignment vertical="center"/>
    </xf>
    <xf numFmtId="0" fontId="3" fillId="31" borderId="102" xfId="0" applyFont="1" applyFill="1" applyBorder="1" applyAlignment="1">
      <alignment vertical="center"/>
    </xf>
    <xf numFmtId="0" fontId="3" fillId="31" borderId="103" xfId="0" applyFont="1" applyFill="1" applyBorder="1" applyAlignment="1">
      <alignment horizontal="right" vertical="center"/>
    </xf>
    <xf numFmtId="3" fontId="3" fillId="31" borderId="92" xfId="0" applyNumberFormat="1" applyFont="1" applyFill="1" applyBorder="1" applyAlignment="1">
      <alignment horizontal="center" vertical="center"/>
    </xf>
    <xf numFmtId="164" fontId="3" fillId="31" borderId="92" xfId="0" applyNumberFormat="1" applyFont="1" applyFill="1" applyBorder="1" applyAlignment="1">
      <alignment horizontal="center" vertical="center"/>
    </xf>
    <xf numFmtId="0" fontId="2" fillId="31" borderId="88" xfId="0" applyFont="1" applyFill="1" applyBorder="1" applyAlignment="1">
      <alignment vertical="center"/>
    </xf>
    <xf numFmtId="168" fontId="55" fillId="0" borderId="0" xfId="49" applyNumberFormat="1" applyFont="1"/>
    <xf numFmtId="0" fontId="13" fillId="0" borderId="20" xfId="51" applyFill="1" applyBorder="1" applyAlignment="1">
      <alignment vertical="center"/>
    </xf>
    <xf numFmtId="0" fontId="6" fillId="0" borderId="44" xfId="51" applyNumberFormat="1" applyFont="1" applyFill="1" applyBorder="1" applyAlignment="1">
      <alignment horizontal="center" vertical="center"/>
    </xf>
    <xf numFmtId="2" fontId="6" fillId="0" borderId="44" xfId="51" applyNumberFormat="1" applyFont="1" applyFill="1" applyBorder="1" applyAlignment="1">
      <alignment horizontal="center" vertical="center"/>
    </xf>
    <xf numFmtId="0" fontId="36" fillId="32" borderId="101" xfId="0" applyFont="1" applyFill="1" applyBorder="1" applyAlignment="1">
      <alignment vertical="center"/>
    </xf>
    <xf numFmtId="0" fontId="3" fillId="32" borderId="102" xfId="0" applyFont="1" applyFill="1" applyBorder="1" applyAlignment="1">
      <alignment vertical="center"/>
    </xf>
    <xf numFmtId="3" fontId="3" fillId="32" borderId="92" xfId="0" applyNumberFormat="1" applyFont="1" applyFill="1" applyBorder="1" applyAlignment="1">
      <alignment horizontal="center" vertical="center"/>
    </xf>
    <xf numFmtId="164" fontId="3" fillId="32" borderId="92" xfId="0" applyNumberFormat="1" applyFont="1" applyFill="1" applyBorder="1" applyAlignment="1">
      <alignment horizontal="center" vertical="center"/>
    </xf>
    <xf numFmtId="0" fontId="3" fillId="27" borderId="22" xfId="0" applyFont="1" applyFill="1" applyBorder="1" applyAlignment="1">
      <alignment vertical="center"/>
    </xf>
    <xf numFmtId="0" fontId="3" fillId="27" borderId="15" xfId="0" applyFont="1" applyFill="1" applyBorder="1" applyAlignment="1">
      <alignment vertical="center"/>
    </xf>
    <xf numFmtId="164" fontId="3" fillId="27" borderId="15" xfId="0" applyNumberFormat="1" applyFont="1" applyFill="1" applyBorder="1" applyAlignment="1">
      <alignment vertical="center"/>
    </xf>
    <xf numFmtId="0" fontId="3" fillId="27" borderId="23" xfId="0" applyFont="1" applyFill="1" applyBorder="1" applyAlignment="1">
      <alignment horizontal="center" vertical="center"/>
    </xf>
    <xf numFmtId="0" fontId="3" fillId="27" borderId="15" xfId="0" applyFont="1" applyFill="1" applyBorder="1" applyAlignment="1">
      <alignment horizontal="center" vertical="center"/>
    </xf>
    <xf numFmtId="0" fontId="2" fillId="0" borderId="0" xfId="53" applyFont="1" applyAlignment="1">
      <alignment vertical="center"/>
    </xf>
    <xf numFmtId="0" fontId="2" fillId="0" borderId="0" xfId="53" applyAlignment="1">
      <alignment vertical="center"/>
    </xf>
    <xf numFmtId="0" fontId="2" fillId="0" borderId="0" xfId="53"/>
    <xf numFmtId="0" fontId="2" fillId="0" borderId="85" xfId="53" applyBorder="1"/>
    <xf numFmtId="0" fontId="2" fillId="0" borderId="0" xfId="53" applyBorder="1"/>
    <xf numFmtId="0" fontId="2" fillId="0" borderId="88" xfId="53" applyBorder="1"/>
    <xf numFmtId="0" fontId="2" fillId="0" borderId="11" xfId="53" applyFont="1" applyFill="1" applyBorder="1" applyAlignment="1"/>
    <xf numFmtId="0" fontId="2" fillId="0" borderId="16" xfId="53" applyFont="1" applyFill="1" applyBorder="1" applyAlignment="1"/>
    <xf numFmtId="0" fontId="10" fillId="0" borderId="34" xfId="53" quotePrefix="1" applyFont="1" applyFill="1" applyBorder="1" applyAlignment="1">
      <alignment vertical="center" wrapText="1"/>
    </xf>
    <xf numFmtId="0" fontId="11" fillId="0" borderId="35" xfId="53" applyFont="1" applyFill="1" applyBorder="1" applyAlignment="1">
      <alignment horizontal="right" vertical="center"/>
    </xf>
    <xf numFmtId="0" fontId="31" fillId="0" borderId="36" xfId="53" applyFont="1" applyFill="1" applyBorder="1" applyAlignment="1">
      <alignment horizontal="center" vertical="center"/>
    </xf>
    <xf numFmtId="0" fontId="12" fillId="0" borderId="16" xfId="53" applyFont="1" applyFill="1" applyBorder="1" applyAlignment="1">
      <alignment vertical="center"/>
    </xf>
    <xf numFmtId="0" fontId="2" fillId="0" borderId="12" xfId="53" applyFont="1" applyFill="1" applyBorder="1" applyAlignment="1"/>
    <xf numFmtId="0" fontId="2" fillId="0" borderId="17" xfId="53" applyFont="1" applyFill="1" applyBorder="1" applyAlignment="1"/>
    <xf numFmtId="0" fontId="10" fillId="0" borderId="24" xfId="53" quotePrefix="1" applyFont="1" applyFill="1" applyBorder="1" applyAlignment="1">
      <alignment vertical="center" wrapText="1"/>
    </xf>
    <xf numFmtId="0" fontId="11" fillId="0" borderId="37" xfId="53" applyFont="1" applyFill="1" applyBorder="1" applyAlignment="1">
      <alignment horizontal="right" vertical="center"/>
    </xf>
    <xf numFmtId="14" fontId="31" fillId="0" borderId="38" xfId="53" applyNumberFormat="1" applyFont="1" applyFill="1" applyBorder="1" applyAlignment="1">
      <alignment horizontal="center" vertical="center"/>
    </xf>
    <xf numFmtId="0" fontId="12" fillId="0" borderId="17" xfId="53" applyFont="1" applyFill="1" applyBorder="1" applyAlignment="1">
      <alignment vertical="center"/>
    </xf>
    <xf numFmtId="0" fontId="8" fillId="0" borderId="24" xfId="53" applyFont="1" applyFill="1" applyBorder="1"/>
    <xf numFmtId="0" fontId="10" fillId="0" borderId="37" xfId="53" applyFont="1" applyFill="1" applyBorder="1" applyAlignment="1">
      <alignment horizontal="right" vertical="center"/>
    </xf>
    <xf numFmtId="0" fontId="31" fillId="0" borderId="38" xfId="53" applyFont="1" applyFill="1" applyBorder="1" applyAlignment="1">
      <alignment horizontal="center" vertical="center"/>
    </xf>
    <xf numFmtId="0" fontId="2" fillId="0" borderId="18" xfId="53" applyFont="1" applyFill="1" applyBorder="1" applyAlignment="1"/>
    <xf numFmtId="0" fontId="2" fillId="0" borderId="59" xfId="53" applyFont="1" applyFill="1" applyBorder="1" applyAlignment="1"/>
    <xf numFmtId="0" fontId="12" fillId="0" borderId="39" xfId="53" applyFont="1" applyFill="1" applyBorder="1" applyAlignment="1">
      <alignment vertical="center"/>
    </xf>
    <xf numFmtId="0" fontId="10" fillId="0" borderId="40" xfId="53" applyFont="1" applyFill="1" applyBorder="1" applyAlignment="1">
      <alignment horizontal="right" vertical="center"/>
    </xf>
    <xf numFmtId="0" fontId="31" fillId="0" borderId="41" xfId="53" applyFont="1" applyFill="1" applyBorder="1" applyAlignment="1">
      <alignment horizontal="center" vertical="center"/>
    </xf>
    <xf numFmtId="0" fontId="12" fillId="0" borderId="59" xfId="53" applyFont="1" applyFill="1" applyBorder="1" applyAlignment="1">
      <alignment vertical="center"/>
    </xf>
    <xf numFmtId="0" fontId="12" fillId="0" borderId="0" xfId="53" applyFont="1" applyBorder="1" applyAlignment="1">
      <alignment vertical="center"/>
    </xf>
    <xf numFmtId="0" fontId="12" fillId="0" borderId="0" xfId="53" quotePrefix="1" applyFont="1" applyBorder="1" applyAlignment="1">
      <alignment vertical="center" wrapText="1"/>
    </xf>
    <xf numFmtId="0" fontId="10" fillId="0" borderId="0" xfId="53" quotePrefix="1" applyFont="1" applyBorder="1" applyAlignment="1">
      <alignment vertical="center"/>
    </xf>
    <xf numFmtId="0" fontId="11" fillId="0" borderId="0" xfId="53" applyFont="1" applyBorder="1" applyAlignment="1">
      <alignment horizontal="center" vertical="center"/>
    </xf>
    <xf numFmtId="0" fontId="10" fillId="0" borderId="0" xfId="53" applyFont="1" applyBorder="1" applyAlignment="1">
      <alignment horizontal="center" vertical="center"/>
    </xf>
    <xf numFmtId="0" fontId="1" fillId="0" borderId="0" xfId="53" applyFont="1" applyBorder="1" applyAlignment="1">
      <alignment vertical="center" wrapText="1"/>
    </xf>
    <xf numFmtId="0" fontId="2" fillId="31" borderId="104" xfId="53" applyFont="1" applyFill="1" applyBorder="1"/>
    <xf numFmtId="0" fontId="2" fillId="31" borderId="15" xfId="53" applyFont="1" applyFill="1" applyBorder="1"/>
    <xf numFmtId="0" fontId="2" fillId="31" borderId="15" xfId="0" applyNumberFormat="1" applyFont="1" applyFill="1" applyBorder="1"/>
    <xf numFmtId="0" fontId="2" fillId="31" borderId="105" xfId="53" applyFont="1" applyFill="1" applyBorder="1"/>
    <xf numFmtId="0" fontId="11" fillId="24" borderId="13" xfId="53" applyFont="1" applyFill="1" applyBorder="1" applyAlignment="1">
      <alignment horizontal="center" vertical="center" wrapText="1"/>
    </xf>
    <xf numFmtId="0" fontId="2" fillId="0" borderId="85" xfId="53" applyFont="1" applyBorder="1"/>
    <xf numFmtId="0" fontId="6" fillId="0" borderId="90" xfId="53" applyFont="1" applyFill="1" applyBorder="1" applyAlignment="1">
      <alignment horizontal="center" vertical="center"/>
    </xf>
    <xf numFmtId="0" fontId="2" fillId="0" borderId="0" xfId="53" applyFont="1" applyFill="1" applyBorder="1" applyAlignment="1">
      <alignment horizontal="center" vertical="center"/>
    </xf>
    <xf numFmtId="0" fontId="2" fillId="0" borderId="100" xfId="53" applyFont="1" applyFill="1" applyBorder="1" applyAlignment="1">
      <alignment vertical="center"/>
    </xf>
    <xf numFmtId="0" fontId="3" fillId="26" borderId="22" xfId="53" applyFont="1" applyFill="1" applyBorder="1" applyAlignment="1">
      <alignment vertical="center"/>
    </xf>
    <xf numFmtId="0" fontId="3" fillId="26" borderId="15" xfId="53" applyFont="1" applyFill="1" applyBorder="1" applyAlignment="1">
      <alignment vertical="center"/>
    </xf>
    <xf numFmtId="0" fontId="2" fillId="26" borderId="15" xfId="53" applyFill="1" applyBorder="1" applyAlignment="1">
      <alignment vertical="center"/>
    </xf>
    <xf numFmtId="0" fontId="3" fillId="26" borderId="15" xfId="53" applyFont="1" applyFill="1" applyBorder="1" applyAlignment="1">
      <alignment horizontal="center" vertical="center"/>
    </xf>
    <xf numFmtId="0" fontId="6" fillId="26" borderId="23" xfId="53" applyFont="1" applyFill="1" applyBorder="1" applyAlignment="1">
      <alignment vertical="center"/>
    </xf>
    <xf numFmtId="0" fontId="2" fillId="0" borderId="85" xfId="53" applyFill="1" applyBorder="1"/>
    <xf numFmtId="0" fontId="2" fillId="0" borderId="0" xfId="53" applyFill="1" applyBorder="1"/>
    <xf numFmtId="0" fontId="2" fillId="0" borderId="88" xfId="53" applyFill="1" applyBorder="1"/>
    <xf numFmtId="0" fontId="2" fillId="0" borderId="0" xfId="53" applyFill="1"/>
    <xf numFmtId="0" fontId="6" fillId="0" borderId="81" xfId="53" applyNumberFormat="1" applyFont="1" applyFill="1" applyBorder="1" applyAlignment="1">
      <alignment vertical="center"/>
    </xf>
    <xf numFmtId="0" fontId="6" fillId="0" borderId="80" xfId="53" applyNumberFormat="1" applyFont="1" applyFill="1" applyBorder="1" applyAlignment="1">
      <alignment horizontal="center" vertical="center"/>
    </xf>
    <xf numFmtId="0" fontId="6" fillId="0" borderId="44" xfId="53" applyNumberFormat="1" applyFont="1" applyFill="1" applyBorder="1" applyAlignment="1">
      <alignment vertical="center"/>
    </xf>
    <xf numFmtId="2" fontId="6" fillId="0" borderId="20" xfId="53" applyNumberFormat="1" applyFont="1" applyFill="1" applyBorder="1" applyAlignment="1">
      <alignment horizontal="center" vertical="center"/>
    </xf>
    <xf numFmtId="1" fontId="6" fillId="0" borderId="20" xfId="53" applyNumberFormat="1" applyFont="1" applyFill="1" applyBorder="1" applyAlignment="1">
      <alignment horizontal="center" vertical="center"/>
    </xf>
    <xf numFmtId="3" fontId="6" fillId="25" borderId="44" xfId="53" applyNumberFormat="1" applyFont="1" applyFill="1" applyBorder="1" applyAlignment="1">
      <alignment horizontal="center" vertical="center"/>
    </xf>
    <xf numFmtId="164" fontId="6" fillId="0" borderId="20" xfId="53" applyNumberFormat="1" applyFont="1" applyFill="1" applyBorder="1" applyAlignment="1">
      <alignment horizontal="center" vertical="center"/>
    </xf>
    <xf numFmtId="0" fontId="6" fillId="0" borderId="82" xfId="53" applyNumberFormat="1" applyFont="1" applyFill="1" applyBorder="1" applyAlignment="1">
      <alignment vertical="center"/>
    </xf>
    <xf numFmtId="0" fontId="6" fillId="0" borderId="90" xfId="53" applyNumberFormat="1" applyFont="1" applyFill="1" applyBorder="1" applyAlignment="1">
      <alignment horizontal="center" vertical="center"/>
    </xf>
    <xf numFmtId="0" fontId="6" fillId="0" borderId="91" xfId="53" applyNumberFormat="1" applyFont="1" applyFill="1" applyBorder="1" applyAlignment="1">
      <alignment vertical="center"/>
    </xf>
    <xf numFmtId="2" fontId="6" fillId="0" borderId="91" xfId="53" applyNumberFormat="1" applyFont="1" applyFill="1" applyBorder="1" applyAlignment="1">
      <alignment horizontal="center" vertical="center"/>
    </xf>
    <xf numFmtId="0" fontId="3" fillId="29" borderId="92" xfId="53" applyFont="1" applyFill="1" applyBorder="1" applyAlignment="1">
      <alignment horizontal="right" vertical="center"/>
    </xf>
    <xf numFmtId="3" fontId="6" fillId="29" borderId="92" xfId="53" applyNumberFormat="1" applyFont="1" applyFill="1" applyBorder="1" applyAlignment="1">
      <alignment horizontal="center" vertical="center"/>
    </xf>
    <xf numFmtId="164" fontId="6" fillId="29" borderId="92" xfId="53" applyNumberFormat="1" applyFont="1" applyFill="1" applyBorder="1" applyAlignment="1">
      <alignment horizontal="center" vertical="center"/>
    </xf>
    <xf numFmtId="0" fontId="6" fillId="0" borderId="106" xfId="53" applyNumberFormat="1" applyFont="1" applyFill="1" applyBorder="1" applyAlignment="1">
      <alignment vertical="center"/>
    </xf>
    <xf numFmtId="0" fontId="2" fillId="0" borderId="85" xfId="53" applyFont="1" applyFill="1" applyBorder="1"/>
    <xf numFmtId="3" fontId="2" fillId="0" borderId="0" xfId="53" applyNumberFormat="1" applyFill="1" applyBorder="1"/>
    <xf numFmtId="3" fontId="2" fillId="0" borderId="88" xfId="53" applyNumberFormat="1" applyFill="1" applyBorder="1"/>
    <xf numFmtId="0" fontId="6" fillId="0" borderId="0" xfId="53" applyNumberFormat="1" applyFont="1" applyFill="1" applyBorder="1" applyAlignment="1">
      <alignment vertical="center"/>
    </xf>
    <xf numFmtId="2" fontId="6" fillId="0" borderId="0" xfId="53" applyNumberFormat="1" applyFont="1" applyFill="1" applyBorder="1" applyAlignment="1">
      <alignment horizontal="center" vertical="center"/>
    </xf>
    <xf numFmtId="1" fontId="6" fillId="29" borderId="92" xfId="53" applyNumberFormat="1" applyFont="1" applyFill="1" applyBorder="1" applyAlignment="1">
      <alignment horizontal="center" vertical="center"/>
    </xf>
    <xf numFmtId="0" fontId="2" fillId="0" borderId="0" xfId="53" applyFont="1"/>
    <xf numFmtId="0" fontId="2" fillId="0" borderId="0" xfId="53" applyFont="1" applyBorder="1"/>
    <xf numFmtId="0" fontId="2" fillId="0" borderId="0" xfId="53" applyFont="1" applyAlignment="1"/>
    <xf numFmtId="0" fontId="30" fillId="0" borderId="0" xfId="53" applyFont="1" applyFill="1"/>
    <xf numFmtId="0" fontId="2" fillId="0" borderId="0" xfId="53" applyAlignment="1"/>
    <xf numFmtId="0" fontId="6" fillId="0" borderId="12" xfId="53" applyNumberFormat="1" applyFont="1" applyFill="1" applyBorder="1" applyAlignment="1">
      <alignment horizontal="center" vertical="center"/>
    </xf>
    <xf numFmtId="0" fontId="3" fillId="0" borderId="84" xfId="53" applyFont="1" applyFill="1" applyBorder="1" applyAlignment="1">
      <alignment horizontal="right" vertical="center"/>
    </xf>
    <xf numFmtId="3" fontId="6" fillId="0" borderId="84" xfId="53" applyNumberFormat="1" applyFont="1" applyFill="1" applyBorder="1" applyAlignment="1">
      <alignment horizontal="center" vertical="center"/>
    </xf>
    <xf numFmtId="164" fontId="6" fillId="0" borderId="84" xfId="53" applyNumberFormat="1" applyFont="1" applyFill="1" applyBorder="1" applyAlignment="1">
      <alignment horizontal="center" vertical="center"/>
    </xf>
    <xf numFmtId="0" fontId="6" fillId="0" borderId="17" xfId="53" applyNumberFormat="1" applyFont="1" applyFill="1" applyBorder="1" applyAlignment="1">
      <alignment vertical="center"/>
    </xf>
    <xf numFmtId="3" fontId="6" fillId="0" borderId="0" xfId="53" applyNumberFormat="1" applyFont="1" applyFill="1" applyBorder="1" applyAlignment="1">
      <alignment horizontal="center" vertical="center"/>
    </xf>
    <xf numFmtId="164" fontId="6" fillId="0" borderId="0" xfId="53" applyNumberFormat="1" applyFont="1" applyFill="1" applyBorder="1" applyAlignment="1">
      <alignment horizontal="center" vertical="center"/>
    </xf>
    <xf numFmtId="0" fontId="6" fillId="27" borderId="22" xfId="53" applyNumberFormat="1" applyFont="1" applyFill="1" applyBorder="1" applyAlignment="1">
      <alignment horizontal="center" vertical="center"/>
    </xf>
    <xf numFmtId="0" fontId="6" fillId="27" borderId="15" xfId="53" applyNumberFormat="1" applyFont="1" applyFill="1" applyBorder="1" applyAlignment="1">
      <alignment horizontal="center" vertical="center"/>
    </xf>
    <xf numFmtId="2" fontId="6" fillId="27" borderId="15" xfId="53" applyNumberFormat="1" applyFont="1" applyFill="1" applyBorder="1" applyAlignment="1">
      <alignment horizontal="center" vertical="center"/>
    </xf>
    <xf numFmtId="0" fontId="3" fillId="27" borderId="15" xfId="53" applyFont="1" applyFill="1" applyBorder="1" applyAlignment="1">
      <alignment horizontal="right" vertical="center"/>
    </xf>
    <xf numFmtId="3" fontId="6" fillId="27" borderId="15" xfId="53" applyNumberFormat="1" applyFont="1" applyFill="1" applyBorder="1" applyAlignment="1">
      <alignment horizontal="center" vertical="center"/>
    </xf>
    <xf numFmtId="164" fontId="6" fillId="27" borderId="15" xfId="53" applyNumberFormat="1" applyFont="1" applyFill="1" applyBorder="1" applyAlignment="1">
      <alignment horizontal="center" vertical="center"/>
    </xf>
    <xf numFmtId="0" fontId="6" fillId="27" borderId="23" xfId="53" applyNumberFormat="1" applyFont="1" applyFill="1" applyBorder="1" applyAlignment="1">
      <alignment vertical="center"/>
    </xf>
    <xf numFmtId="0" fontId="3" fillId="27" borderId="15" xfId="53" applyNumberFormat="1" applyFont="1" applyFill="1" applyBorder="1" applyAlignment="1">
      <alignment vertical="center"/>
    </xf>
    <xf numFmtId="0" fontId="6" fillId="0" borderId="0" xfId="53" applyNumberFormat="1" applyFont="1" applyFill="1" applyBorder="1" applyAlignment="1">
      <alignment horizontal="center" vertical="center"/>
    </xf>
    <xf numFmtId="0" fontId="3" fillId="0" borderId="10" xfId="53" applyFont="1" applyFill="1" applyBorder="1" applyAlignment="1">
      <alignment horizontal="right" vertical="center"/>
    </xf>
    <xf numFmtId="3" fontId="6" fillId="0" borderId="10" xfId="53" applyNumberFormat="1" applyFont="1" applyFill="1" applyBorder="1" applyAlignment="1">
      <alignment horizontal="center" vertical="center"/>
    </xf>
    <xf numFmtId="164" fontId="6" fillId="0" borderId="10" xfId="53" applyNumberFormat="1" applyFont="1" applyFill="1" applyBorder="1" applyAlignment="1">
      <alignment horizontal="center" vertical="center"/>
    </xf>
    <xf numFmtId="0" fontId="6" fillId="0" borderId="107" xfId="53" applyFont="1" applyFill="1" applyBorder="1" applyAlignment="1">
      <alignment horizontal="center" vertical="center"/>
    </xf>
    <xf numFmtId="0" fontId="2" fillId="0" borderId="108" xfId="53" applyFont="1" applyFill="1" applyBorder="1" applyAlignment="1">
      <alignment vertical="center"/>
    </xf>
    <xf numFmtId="9" fontId="2" fillId="0" borderId="0" xfId="53" applyNumberFormat="1" applyFont="1" applyFill="1" applyBorder="1" applyAlignment="1">
      <alignment horizontal="center" vertical="center"/>
    </xf>
    <xf numFmtId="9" fontId="6" fillId="27" borderId="15" xfId="53" applyNumberFormat="1" applyFont="1" applyFill="1" applyBorder="1" applyAlignment="1">
      <alignment horizontal="center" vertical="center"/>
    </xf>
    <xf numFmtId="9" fontId="6" fillId="0" borderId="91" xfId="53" applyNumberFormat="1" applyFont="1" applyFill="1" applyBorder="1" applyAlignment="1">
      <alignment horizontal="center" vertical="center"/>
    </xf>
    <xf numFmtId="9" fontId="6" fillId="0" borderId="0" xfId="53" applyNumberFormat="1" applyFont="1" applyFill="1" applyBorder="1" applyAlignment="1">
      <alignment horizontal="center" vertical="center"/>
    </xf>
    <xf numFmtId="9" fontId="6" fillId="0" borderId="91" xfId="51" applyNumberFormat="1" applyFont="1" applyFill="1" applyBorder="1" applyAlignment="1">
      <alignment horizontal="center" vertical="center"/>
    </xf>
    <xf numFmtId="9" fontId="6" fillId="0" borderId="0" xfId="51" applyNumberFormat="1" applyFont="1" applyFill="1" applyBorder="1" applyAlignment="1">
      <alignment horizontal="center" vertical="center"/>
    </xf>
    <xf numFmtId="9" fontId="2" fillId="26" borderId="15" xfId="53" applyNumberFormat="1" applyFill="1" applyBorder="1" applyAlignment="1">
      <alignment vertical="center"/>
    </xf>
    <xf numFmtId="9" fontId="13" fillId="26" borderId="15" xfId="51" applyNumberFormat="1" applyFill="1" applyBorder="1" applyAlignment="1">
      <alignment vertical="center"/>
    </xf>
    <xf numFmtId="0" fontId="2" fillId="0" borderId="12" xfId="53" applyFont="1" applyBorder="1"/>
    <xf numFmtId="0" fontId="2" fillId="0" borderId="17" xfId="53" applyBorder="1" applyAlignment="1"/>
    <xf numFmtId="0" fontId="3" fillId="32" borderId="103" xfId="0" applyFont="1" applyFill="1" applyBorder="1" applyAlignment="1">
      <alignment horizontal="right" vertical="center"/>
    </xf>
    <xf numFmtId="164" fontId="36" fillId="0" borderId="90" xfId="0" applyNumberFormat="1" applyFont="1" applyBorder="1" applyAlignment="1">
      <alignment vertical="center"/>
    </xf>
    <xf numFmtId="164" fontId="36" fillId="0" borderId="91" xfId="0" applyNumberFormat="1" applyFont="1" applyBorder="1" applyAlignment="1">
      <alignment vertical="center"/>
    </xf>
    <xf numFmtId="0" fontId="6" fillId="0" borderId="91" xfId="0" applyFont="1" applyBorder="1" applyAlignment="1">
      <alignment horizontal="left" vertical="center"/>
    </xf>
    <xf numFmtId="0" fontId="6" fillId="0" borderId="100" xfId="0" applyFont="1" applyBorder="1" applyAlignment="1">
      <alignment horizontal="left" vertical="center"/>
    </xf>
    <xf numFmtId="2" fontId="37" fillId="0" borderId="19" xfId="51" applyNumberFormat="1" applyFont="1" applyFill="1" applyBorder="1" applyAlignment="1">
      <alignment horizontal="right" vertical="center"/>
    </xf>
    <xf numFmtId="2" fontId="6" fillId="0" borderId="47" xfId="51" applyNumberFormat="1" applyFont="1" applyFill="1" applyBorder="1" applyAlignment="1">
      <alignment horizontal="right" vertical="center"/>
    </xf>
    <xf numFmtId="0" fontId="6" fillId="0" borderId="80" xfId="51" applyFont="1" applyFill="1" applyBorder="1" applyAlignment="1">
      <alignment horizontal="center" vertical="center"/>
    </xf>
    <xf numFmtId="2" fontId="3" fillId="31" borderId="20" xfId="51" applyNumberFormat="1" applyFont="1" applyFill="1" applyBorder="1" applyAlignment="1">
      <alignment horizontal="right" vertical="center"/>
    </xf>
    <xf numFmtId="0" fontId="6" fillId="0" borderId="82" xfId="51" applyFont="1" applyFill="1" applyBorder="1" applyAlignment="1">
      <alignment horizontal="left" vertical="center"/>
    </xf>
    <xf numFmtId="0" fontId="2" fillId="28" borderId="12" xfId="0" applyFont="1" applyFill="1" applyBorder="1" applyAlignment="1">
      <alignment vertical="center"/>
    </xf>
    <xf numFmtId="0" fontId="2" fillId="28" borderId="0" xfId="0" applyFont="1" applyFill="1" applyBorder="1" applyAlignment="1">
      <alignment horizontal="left" vertical="center"/>
    </xf>
    <xf numFmtId="0" fontId="2" fillId="28" borderId="0" xfId="0" applyFont="1" applyFill="1" applyBorder="1" applyAlignment="1">
      <alignment horizontal="right" vertical="center"/>
    </xf>
    <xf numFmtId="0" fontId="2" fillId="28" borderId="17" xfId="0" applyFont="1" applyFill="1" applyBorder="1" applyAlignment="1">
      <alignment horizontal="left" vertical="center"/>
    </xf>
    <xf numFmtId="166" fontId="6" fillId="0" borderId="20" xfId="51" applyNumberFormat="1" applyFont="1" applyFill="1" applyBorder="1" applyAlignment="1">
      <alignment horizontal="right" vertical="center"/>
    </xf>
    <xf numFmtId="0" fontId="6" fillId="0" borderId="42" xfId="51" applyFont="1" applyFill="1" applyBorder="1" applyAlignment="1">
      <alignment horizontal="center" vertical="center"/>
    </xf>
    <xf numFmtId="2" fontId="37" fillId="0" borderId="21" xfId="51" applyNumberFormat="1" applyFont="1" applyFill="1" applyBorder="1" applyAlignment="1">
      <alignment horizontal="right" vertical="center"/>
    </xf>
    <xf numFmtId="0" fontId="6" fillId="0" borderId="81" xfId="51" applyFont="1" applyFill="1" applyBorder="1" applyAlignment="1">
      <alignment horizontal="left" vertical="center"/>
    </xf>
    <xf numFmtId="2" fontId="3" fillId="0" borderId="21" xfId="51" applyNumberFormat="1" applyFont="1" applyFill="1" applyBorder="1" applyAlignment="1">
      <alignment horizontal="right" vertical="center"/>
    </xf>
    <xf numFmtId="0" fontId="2" fillId="28" borderId="22" xfId="0" applyFont="1" applyFill="1" applyBorder="1" applyAlignment="1">
      <alignment vertical="center"/>
    </xf>
    <xf numFmtId="0" fontId="2" fillId="28" borderId="15" xfId="0" applyFont="1" applyFill="1" applyBorder="1" applyAlignment="1">
      <alignment horizontal="left" vertical="center"/>
    </xf>
    <xf numFmtId="0" fontId="2" fillId="28" borderId="15" xfId="0" applyFont="1" applyFill="1" applyBorder="1" applyAlignment="1">
      <alignment horizontal="right" vertical="center"/>
    </xf>
    <xf numFmtId="0" fontId="2" fillId="28" borderId="23" xfId="0" applyFont="1" applyFill="1" applyBorder="1" applyAlignment="1">
      <alignment horizontal="left" vertical="center"/>
    </xf>
    <xf numFmtId="0" fontId="6" fillId="26" borderId="15" xfId="51" applyFont="1" applyFill="1" applyBorder="1" applyAlignment="1">
      <alignment horizontal="left" vertical="center"/>
    </xf>
    <xf numFmtId="0" fontId="6" fillId="26" borderId="15" xfId="51" applyFont="1" applyFill="1" applyBorder="1" applyAlignment="1">
      <alignment horizontal="right" vertical="center"/>
    </xf>
    <xf numFmtId="0" fontId="6" fillId="26" borderId="23" xfId="51" applyFont="1" applyFill="1" applyBorder="1" applyAlignment="1">
      <alignment horizontal="left" vertical="center"/>
    </xf>
    <xf numFmtId="0" fontId="2" fillId="28" borderId="15" xfId="0" applyFont="1" applyFill="1" applyBorder="1" applyAlignment="1">
      <alignment vertical="center"/>
    </xf>
    <xf numFmtId="0" fontId="2" fillId="26" borderId="15" xfId="0" applyFont="1" applyFill="1" applyBorder="1" applyAlignment="1">
      <alignment vertical="center"/>
    </xf>
    <xf numFmtId="0" fontId="6" fillId="0" borderId="109" xfId="51" applyFont="1" applyFill="1" applyBorder="1" applyAlignment="1">
      <alignment horizontal="center" vertical="center"/>
    </xf>
    <xf numFmtId="2" fontId="3" fillId="31" borderId="110" xfId="51" applyNumberFormat="1" applyFont="1" applyFill="1" applyBorder="1" applyAlignment="1">
      <alignment horizontal="right" vertical="center"/>
    </xf>
    <xf numFmtId="0" fontId="6" fillId="0" borderId="36" xfId="51" applyFont="1" applyFill="1" applyBorder="1" applyAlignment="1">
      <alignment horizontal="left" vertical="center"/>
    </xf>
    <xf numFmtId="0" fontId="2" fillId="28" borderId="0" xfId="0" applyFont="1" applyFill="1" applyBorder="1" applyAlignment="1">
      <alignment vertical="center"/>
    </xf>
    <xf numFmtId="0" fontId="12" fillId="0" borderId="58" xfId="0" applyFont="1" applyFill="1" applyBorder="1" applyAlignment="1">
      <alignment vertical="center"/>
    </xf>
    <xf numFmtId="0" fontId="11" fillId="0" borderId="58" xfId="0" quotePrefix="1" applyFont="1" applyFill="1" applyBorder="1" applyAlignment="1">
      <alignment vertical="center"/>
    </xf>
    <xf numFmtId="165" fontId="11" fillId="0" borderId="58" xfId="0" applyNumberFormat="1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88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8" xfId="0" applyFont="1" applyBorder="1" applyAlignment="1">
      <alignment vertical="center"/>
    </xf>
    <xf numFmtId="3" fontId="6" fillId="25" borderId="19" xfId="0" applyNumberFormat="1" applyFont="1" applyFill="1" applyBorder="1" applyAlignment="1">
      <alignment horizontal="left" vertical="center"/>
    </xf>
    <xf numFmtId="0" fontId="2" fillId="0" borderId="85" xfId="0" applyFont="1" applyFill="1" applyBorder="1" applyAlignment="1">
      <alignment horizontal="left" vertical="center"/>
    </xf>
    <xf numFmtId="1" fontId="6" fillId="0" borderId="111" xfId="0" applyNumberFormat="1" applyFont="1" applyBorder="1" applyAlignment="1">
      <alignment vertical="center"/>
    </xf>
    <xf numFmtId="1" fontId="6" fillId="0" borderId="112" xfId="0" applyNumberFormat="1" applyFont="1" applyBorder="1" applyAlignment="1">
      <alignment vertical="center"/>
    </xf>
    <xf numFmtId="0" fontId="6" fillId="0" borderId="113" xfId="0" applyFont="1" applyBorder="1" applyAlignment="1">
      <alignment horizontal="left" vertical="center"/>
    </xf>
    <xf numFmtId="0" fontId="6" fillId="0" borderId="114" xfId="0" applyFont="1" applyBorder="1" applyAlignment="1">
      <alignment horizontal="left" vertical="center"/>
    </xf>
    <xf numFmtId="0" fontId="2" fillId="0" borderId="0" xfId="0" applyFont="1"/>
    <xf numFmtId="0" fontId="47" fillId="33" borderId="0" xfId="0" applyFont="1" applyFill="1" applyBorder="1"/>
    <xf numFmtId="3" fontId="2" fillId="0" borderId="0" xfId="0" applyNumberFormat="1" applyFont="1" applyFill="1" applyAlignment="1">
      <alignment vertical="center"/>
    </xf>
    <xf numFmtId="164" fontId="6" fillId="0" borderId="44" xfId="0" applyNumberFormat="1" applyFont="1" applyFill="1" applyBorder="1" applyAlignment="1">
      <alignment horizontal="center" vertical="center"/>
    </xf>
    <xf numFmtId="2" fontId="3" fillId="0" borderId="0" xfId="49" applyNumberFormat="1" applyFont="1" applyBorder="1" applyAlignment="1">
      <alignment vertical="center" wrapText="1"/>
    </xf>
    <xf numFmtId="3" fontId="3" fillId="0" borderId="0" xfId="49" quotePrefix="1" applyNumberFormat="1" applyFont="1" applyBorder="1" applyAlignment="1">
      <alignment vertical="center" wrapText="1"/>
    </xf>
    <xf numFmtId="3" fontId="3" fillId="0" borderId="0" xfId="49" applyNumberFormat="1" applyFont="1" applyBorder="1" applyAlignment="1">
      <alignment vertical="center" wrapText="1"/>
    </xf>
    <xf numFmtId="168" fontId="3" fillId="0" borderId="0" xfId="49" applyNumberFormat="1" applyFont="1" applyBorder="1" applyAlignment="1">
      <alignment vertical="center" wrapText="1"/>
    </xf>
    <xf numFmtId="2" fontId="3" fillId="0" borderId="0" xfId="49" applyNumberFormat="1" applyFont="1" applyBorder="1" applyAlignment="1">
      <alignment vertical="center"/>
    </xf>
    <xf numFmtId="0" fontId="40" fillId="0" borderId="0" xfId="49" applyFont="1"/>
    <xf numFmtId="0" fontId="2" fillId="0" borderId="0" xfId="52"/>
    <xf numFmtId="2" fontId="2" fillId="0" borderId="0" xfId="0" applyNumberFormat="1" applyFont="1" applyAlignment="1">
      <alignment vertical="center"/>
    </xf>
    <xf numFmtId="1" fontId="2" fillId="0" borderId="0" xfId="53" applyNumberFormat="1" applyFont="1" applyAlignment="1">
      <alignment vertical="center"/>
    </xf>
    <xf numFmtId="1" fontId="11" fillId="0" borderId="0" xfId="53" applyNumberFormat="1" applyFont="1" applyBorder="1" applyAlignment="1">
      <alignment horizontal="center" vertical="center"/>
    </xf>
    <xf numFmtId="1" fontId="11" fillId="24" borderId="13" xfId="53" applyNumberFormat="1" applyFont="1" applyFill="1" applyBorder="1" applyAlignment="1">
      <alignment horizontal="center" vertical="center" wrapText="1"/>
    </xf>
    <xf numFmtId="1" fontId="2" fillId="0" borderId="0" xfId="53" applyNumberFormat="1" applyFont="1" applyFill="1" applyBorder="1" applyAlignment="1">
      <alignment horizontal="center" vertical="center"/>
    </xf>
    <xf numFmtId="1" fontId="3" fillId="27" borderId="15" xfId="53" applyNumberFormat="1" applyFont="1" applyFill="1" applyBorder="1" applyAlignment="1">
      <alignment horizontal="right" vertical="center"/>
    </xf>
    <xf numFmtId="1" fontId="3" fillId="29" borderId="92" xfId="53" applyNumberFormat="1" applyFont="1" applyFill="1" applyBorder="1" applyAlignment="1">
      <alignment horizontal="right" vertical="center"/>
    </xf>
    <xf numFmtId="1" fontId="3" fillId="0" borderId="0" xfId="53" applyNumberFormat="1" applyFont="1" applyFill="1" applyBorder="1" applyAlignment="1">
      <alignment horizontal="right" vertical="center"/>
    </xf>
    <xf numFmtId="1" fontId="3" fillId="29" borderId="92" xfId="51" applyNumberFormat="1" applyFont="1" applyFill="1" applyBorder="1" applyAlignment="1">
      <alignment horizontal="right" vertical="center"/>
    </xf>
    <xf numFmtId="1" fontId="3" fillId="0" borderId="10" xfId="53" applyNumberFormat="1" applyFont="1" applyFill="1" applyBorder="1" applyAlignment="1">
      <alignment horizontal="right" vertical="center"/>
    </xf>
    <xf numFmtId="1" fontId="3" fillId="0" borderId="10" xfId="51" applyNumberFormat="1" applyFont="1" applyFill="1" applyBorder="1" applyAlignment="1">
      <alignment horizontal="right" vertical="center"/>
    </xf>
    <xf numFmtId="1" fontId="2" fillId="0" borderId="0" xfId="53" applyNumberFormat="1" applyFont="1"/>
    <xf numFmtId="0" fontId="6" fillId="0" borderId="80" xfId="0" applyNumberFormat="1" applyFont="1" applyFill="1" applyBorder="1" applyAlignment="1">
      <alignment horizontal="center" vertical="center"/>
    </xf>
    <xf numFmtId="0" fontId="6" fillId="0" borderId="82" xfId="0" applyNumberFormat="1" applyFont="1" applyFill="1" applyBorder="1" applyAlignment="1">
      <alignment horizontal="center" vertical="center"/>
    </xf>
    <xf numFmtId="0" fontId="35" fillId="0" borderId="115" xfId="0" applyFont="1" applyFill="1" applyBorder="1" applyAlignment="1">
      <alignment horizontal="center" vertical="center"/>
    </xf>
    <xf numFmtId="0" fontId="35" fillId="0" borderId="116" xfId="0" applyFont="1" applyFill="1" applyBorder="1" applyAlignment="1">
      <alignment horizontal="center" vertical="center"/>
    </xf>
    <xf numFmtId="0" fontId="35" fillId="0" borderId="117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11" fillId="24" borderId="118" xfId="51" applyFont="1" applyFill="1" applyBorder="1" applyAlignment="1">
      <alignment horizontal="center" vertical="center"/>
    </xf>
    <xf numFmtId="0" fontId="11" fillId="24" borderId="119" xfId="51" applyFont="1" applyFill="1" applyBorder="1" applyAlignment="1">
      <alignment horizontal="center" vertical="center"/>
    </xf>
    <xf numFmtId="0" fontId="11" fillId="24" borderId="65" xfId="51" applyFont="1" applyFill="1" applyBorder="1" applyAlignment="1">
      <alignment horizontal="center" vertical="center"/>
    </xf>
    <xf numFmtId="0" fontId="11" fillId="24" borderId="75" xfId="0" applyFont="1" applyFill="1" applyBorder="1" applyAlignment="1">
      <alignment horizontal="center" vertical="center" wrapText="1"/>
    </xf>
    <xf numFmtId="0" fontId="11" fillId="24" borderId="44" xfId="0" applyFont="1" applyFill="1" applyBorder="1" applyAlignment="1">
      <alignment horizontal="center" vertical="center" wrapText="1"/>
    </xf>
    <xf numFmtId="0" fontId="11" fillId="24" borderId="120" xfId="0" applyFont="1" applyFill="1" applyBorder="1" applyAlignment="1">
      <alignment horizontal="center" vertical="center" wrapText="1"/>
    </xf>
    <xf numFmtId="0" fontId="11" fillId="24" borderId="52" xfId="0" applyFont="1" applyFill="1" applyBorder="1" applyAlignment="1">
      <alignment horizontal="center" vertical="center" wrapText="1"/>
    </xf>
    <xf numFmtId="0" fontId="11" fillId="24" borderId="121" xfId="0" applyFont="1" applyFill="1" applyBorder="1" applyAlignment="1">
      <alignment horizontal="center" vertical="center" wrapText="1"/>
    </xf>
    <xf numFmtId="0" fontId="11" fillId="31" borderId="120" xfId="0" applyFont="1" applyFill="1" applyBorder="1" applyAlignment="1">
      <alignment horizontal="center" vertical="center" wrapText="1"/>
    </xf>
    <xf numFmtId="0" fontId="11" fillId="31" borderId="121" xfId="0" applyFont="1" applyFill="1" applyBorder="1" applyAlignment="1">
      <alignment horizontal="center" vertical="center" wrapText="1"/>
    </xf>
    <xf numFmtId="0" fontId="11" fillId="31" borderId="122" xfId="0" applyFont="1" applyFill="1" applyBorder="1" applyAlignment="1">
      <alignment horizontal="center" vertical="center" wrapText="1"/>
    </xf>
    <xf numFmtId="0" fontId="11" fillId="31" borderId="123" xfId="0" applyFont="1" applyFill="1" applyBorder="1" applyAlignment="1">
      <alignment horizontal="center" vertical="center" wrapText="1"/>
    </xf>
    <xf numFmtId="0" fontId="11" fillId="24" borderId="11" xfId="0" applyFont="1" applyFill="1" applyBorder="1" applyAlignment="1">
      <alignment horizontal="center" vertical="center" wrapText="1"/>
    </xf>
    <xf numFmtId="0" fontId="11" fillId="24" borderId="12" xfId="0" applyFont="1" applyFill="1" applyBorder="1" applyAlignment="1">
      <alignment horizontal="center" vertical="center" wrapText="1"/>
    </xf>
    <xf numFmtId="0" fontId="11" fillId="24" borderId="0" xfId="0" applyFont="1" applyFill="1" applyBorder="1" applyAlignment="1">
      <alignment horizontal="center" vertical="center" wrapText="1"/>
    </xf>
    <xf numFmtId="0" fontId="11" fillId="24" borderId="124" xfId="0" applyFont="1" applyFill="1" applyBorder="1" applyAlignment="1">
      <alignment horizontal="center" vertical="center" wrapText="1"/>
    </xf>
    <xf numFmtId="0" fontId="11" fillId="24" borderId="125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58" xfId="0" applyFont="1" applyFill="1" applyBorder="1" applyAlignment="1">
      <alignment horizontal="center" vertical="center"/>
    </xf>
    <xf numFmtId="0" fontId="35" fillId="0" borderId="59" xfId="0" applyFont="1" applyFill="1" applyBorder="1" applyAlignment="1">
      <alignment horizontal="center" vertical="center"/>
    </xf>
    <xf numFmtId="0" fontId="6" fillId="0" borderId="87" xfId="51" applyFont="1" applyFill="1" applyBorder="1" applyAlignment="1">
      <alignment vertical="center"/>
    </xf>
    <xf numFmtId="0" fontId="6" fillId="0" borderId="19" xfId="51" applyFont="1" applyFill="1" applyBorder="1" applyAlignment="1">
      <alignment vertical="center"/>
    </xf>
    <xf numFmtId="0" fontId="6" fillId="0" borderId="47" xfId="51" applyFont="1" applyFill="1" applyBorder="1" applyAlignment="1">
      <alignment vertical="center"/>
    </xf>
    <xf numFmtId="0" fontId="6" fillId="0" borderId="20" xfId="51" applyFont="1" applyFill="1" applyBorder="1" applyAlignment="1">
      <alignment vertical="center"/>
    </xf>
    <xf numFmtId="0" fontId="34" fillId="0" borderId="85" xfId="0" applyFont="1" applyFill="1" applyBorder="1" applyAlignment="1">
      <alignment horizontal="center" vertical="center" wrapText="1"/>
    </xf>
    <xf numFmtId="0" fontId="34" fillId="0" borderId="88" xfId="0" applyFont="1" applyFill="1" applyBorder="1" applyAlignment="1">
      <alignment horizontal="center" vertical="center" wrapText="1"/>
    </xf>
    <xf numFmtId="0" fontId="32" fillId="0" borderId="85" xfId="0" applyFont="1" applyFill="1" applyBorder="1" applyAlignment="1">
      <alignment horizontal="center" vertical="center" wrapText="1"/>
    </xf>
    <xf numFmtId="0" fontId="32" fillId="0" borderId="88" xfId="0" applyFont="1" applyFill="1" applyBorder="1" applyAlignment="1">
      <alignment horizontal="center" vertical="center" wrapText="1"/>
    </xf>
    <xf numFmtId="0" fontId="6" fillId="0" borderId="21" xfId="51" applyFont="1" applyFill="1" applyBorder="1" applyAlignment="1">
      <alignment vertical="center"/>
    </xf>
    <xf numFmtId="0" fontId="11" fillId="24" borderId="16" xfId="0" applyFont="1" applyFill="1" applyBorder="1" applyAlignment="1">
      <alignment horizontal="center" vertical="center" wrapText="1"/>
    </xf>
    <xf numFmtId="0" fontId="11" fillId="24" borderId="85" xfId="0" applyFont="1" applyFill="1" applyBorder="1" applyAlignment="1">
      <alignment horizontal="center" vertical="center" wrapText="1"/>
    </xf>
    <xf numFmtId="0" fontId="11" fillId="24" borderId="17" xfId="0" applyFont="1" applyFill="1" applyBorder="1" applyAlignment="1">
      <alignment horizontal="center" vertical="center" wrapText="1"/>
    </xf>
    <xf numFmtId="0" fontId="11" fillId="24" borderId="126" xfId="0" applyFont="1" applyFill="1" applyBorder="1" applyAlignment="1">
      <alignment horizontal="center" vertical="center" wrapText="1"/>
    </xf>
    <xf numFmtId="0" fontId="11" fillId="24" borderId="127" xfId="0" applyFont="1" applyFill="1" applyBorder="1" applyAlignment="1">
      <alignment horizontal="center" vertical="center" wrapText="1"/>
    </xf>
    <xf numFmtId="0" fontId="3" fillId="27" borderId="104" xfId="0" applyFont="1" applyFill="1" applyBorder="1" applyAlignment="1">
      <alignment horizontal="center" vertical="center"/>
    </xf>
    <xf numFmtId="0" fontId="3" fillId="27" borderId="23" xfId="0" applyFont="1" applyFill="1" applyBorder="1" applyAlignment="1">
      <alignment horizontal="center" vertical="center"/>
    </xf>
    <xf numFmtId="0" fontId="12" fillId="24" borderId="122" xfId="0" applyFont="1" applyFill="1" applyBorder="1" applyAlignment="1">
      <alignment horizontal="center" vertical="center" wrapText="1"/>
    </xf>
    <xf numFmtId="0" fontId="12" fillId="24" borderId="84" xfId="0" applyFont="1" applyFill="1" applyBorder="1" applyAlignment="1">
      <alignment horizontal="center" vertical="center" wrapText="1"/>
    </xf>
    <xf numFmtId="0" fontId="12" fillId="24" borderId="123" xfId="0" applyFont="1" applyFill="1" applyBorder="1" applyAlignment="1">
      <alignment horizontal="center" vertical="center" wrapText="1"/>
    </xf>
    <xf numFmtId="0" fontId="6" fillId="0" borderId="110" xfId="51" applyFont="1" applyFill="1" applyBorder="1" applyAlignment="1">
      <alignment vertical="center"/>
    </xf>
    <xf numFmtId="0" fontId="11" fillId="24" borderId="75" xfId="53" applyFont="1" applyFill="1" applyBorder="1" applyAlignment="1">
      <alignment horizontal="center" vertical="center" wrapText="1"/>
    </xf>
    <xf numFmtId="0" fontId="11" fillId="24" borderId="44" xfId="53" applyFont="1" applyFill="1" applyBorder="1" applyAlignment="1">
      <alignment horizontal="center" vertical="center" wrapText="1"/>
    </xf>
    <xf numFmtId="0" fontId="34" fillId="0" borderId="104" xfId="0" applyNumberFormat="1" applyFont="1" applyBorder="1" applyAlignment="1">
      <alignment horizontal="center" vertical="center"/>
    </xf>
    <xf numFmtId="0" fontId="34" fillId="0" borderId="15" xfId="0" applyNumberFormat="1" applyFont="1" applyBorder="1" applyAlignment="1">
      <alignment horizontal="center" vertical="center"/>
    </xf>
    <xf numFmtId="0" fontId="34" fillId="0" borderId="105" xfId="0" applyNumberFormat="1" applyFont="1" applyBorder="1" applyAlignment="1">
      <alignment horizontal="center" vertical="center"/>
    </xf>
    <xf numFmtId="1" fontId="11" fillId="24" borderId="75" xfId="53" applyNumberFormat="1" applyFont="1" applyFill="1" applyBorder="1" applyAlignment="1">
      <alignment horizontal="center" vertical="center" wrapText="1"/>
    </xf>
    <xf numFmtId="1" fontId="11" fillId="24" borderId="44" xfId="53" applyNumberFormat="1" applyFont="1" applyFill="1" applyBorder="1" applyAlignment="1">
      <alignment horizontal="center" vertical="center" wrapText="1"/>
    </xf>
    <xf numFmtId="0" fontId="11" fillId="24" borderId="76" xfId="53" applyFont="1" applyFill="1" applyBorder="1" applyAlignment="1">
      <alignment vertical="center"/>
    </xf>
    <xf numFmtId="0" fontId="11" fillId="24" borderId="83" xfId="53" applyFont="1" applyFill="1" applyBorder="1" applyAlignment="1">
      <alignment vertical="center"/>
    </xf>
    <xf numFmtId="0" fontId="12" fillId="0" borderId="128" xfId="53" applyFont="1" applyBorder="1" applyAlignment="1">
      <alignment vertical="center"/>
    </xf>
    <xf numFmtId="0" fontId="5" fillId="0" borderId="115" xfId="53" applyFont="1" applyFill="1" applyBorder="1" applyAlignment="1">
      <alignment horizontal="center" vertical="center"/>
    </xf>
    <xf numFmtId="0" fontId="5" fillId="0" borderId="116" xfId="53" applyFont="1" applyFill="1" applyBorder="1" applyAlignment="1">
      <alignment horizontal="center" vertical="center"/>
    </xf>
    <xf numFmtId="0" fontId="5" fillId="0" borderId="117" xfId="53" applyFont="1" applyFill="1" applyBorder="1" applyAlignment="1">
      <alignment horizontal="center" vertical="center"/>
    </xf>
    <xf numFmtId="0" fontId="5" fillId="0" borderId="22" xfId="53" applyFont="1" applyFill="1" applyBorder="1" applyAlignment="1">
      <alignment horizontal="center" vertical="center"/>
    </xf>
    <xf numFmtId="0" fontId="5" fillId="0" borderId="15" xfId="53" applyFont="1" applyFill="1" applyBorder="1" applyAlignment="1">
      <alignment horizontal="center" vertical="center"/>
    </xf>
    <xf numFmtId="0" fontId="5" fillId="0" borderId="23" xfId="53" applyFont="1" applyFill="1" applyBorder="1" applyAlignment="1">
      <alignment horizontal="center" vertical="center"/>
    </xf>
    <xf numFmtId="0" fontId="5" fillId="0" borderId="22" xfId="53" quotePrefix="1" applyFont="1" applyFill="1" applyBorder="1" applyAlignment="1">
      <alignment horizontal="center" vertical="center"/>
    </xf>
    <xf numFmtId="0" fontId="5" fillId="0" borderId="15" xfId="53" quotePrefix="1" applyFont="1" applyFill="1" applyBorder="1" applyAlignment="1">
      <alignment horizontal="center" vertical="center"/>
    </xf>
    <xf numFmtId="0" fontId="5" fillId="0" borderId="23" xfId="53" quotePrefix="1" applyFont="1" applyFill="1" applyBorder="1" applyAlignment="1">
      <alignment horizontal="center" vertical="center"/>
    </xf>
    <xf numFmtId="0" fontId="5" fillId="0" borderId="129" xfId="53" quotePrefix="1" applyFont="1" applyFill="1" applyBorder="1" applyAlignment="1">
      <alignment horizontal="center" vertical="center"/>
    </xf>
    <xf numFmtId="0" fontId="5" fillId="0" borderId="130" xfId="53" quotePrefix="1" applyFont="1" applyFill="1" applyBorder="1" applyAlignment="1">
      <alignment horizontal="center" vertical="center"/>
    </xf>
    <xf numFmtId="0" fontId="5" fillId="0" borderId="131" xfId="53" quotePrefix="1" applyFont="1" applyFill="1" applyBorder="1" applyAlignment="1">
      <alignment horizontal="center" vertical="center"/>
    </xf>
    <xf numFmtId="0" fontId="11" fillId="24" borderId="74" xfId="53" applyFont="1" applyFill="1" applyBorder="1" applyAlignment="1">
      <alignment horizontal="center" vertical="center" wrapText="1"/>
    </xf>
    <xf numFmtId="0" fontId="11" fillId="24" borderId="89" xfId="53" applyFont="1" applyFill="1" applyBorder="1" applyAlignment="1">
      <alignment horizontal="center" vertical="center" wrapText="1"/>
    </xf>
    <xf numFmtId="0" fontId="12" fillId="0" borderId="132" xfId="53" applyFont="1" applyBorder="1" applyAlignment="1">
      <alignment horizontal="center" vertical="center"/>
    </xf>
    <xf numFmtId="0" fontId="11" fillId="24" borderId="120" xfId="53" applyFont="1" applyFill="1" applyBorder="1" applyAlignment="1">
      <alignment horizontal="center" vertical="center" wrapText="1"/>
    </xf>
    <xf numFmtId="0" fontId="11" fillId="24" borderId="85" xfId="53" applyFont="1" applyFill="1" applyBorder="1" applyAlignment="1">
      <alignment horizontal="center" vertical="center" wrapText="1"/>
    </xf>
    <xf numFmtId="0" fontId="11" fillId="0" borderId="126" xfId="53" applyFont="1" applyBorder="1" applyAlignment="1">
      <alignment horizontal="center" vertical="center"/>
    </xf>
    <xf numFmtId="0" fontId="11" fillId="24" borderId="76" xfId="53" applyFont="1" applyFill="1" applyBorder="1" applyAlignment="1">
      <alignment horizontal="center" vertical="center"/>
    </xf>
    <xf numFmtId="0" fontId="11" fillId="24" borderId="83" xfId="53" applyFont="1" applyFill="1" applyBorder="1" applyAlignment="1">
      <alignment horizontal="center" vertical="center"/>
    </xf>
    <xf numFmtId="0" fontId="12" fillId="0" borderId="128" xfId="53" applyFont="1" applyBorder="1" applyAlignment="1">
      <alignment horizontal="center" vertical="center"/>
    </xf>
    <xf numFmtId="0" fontId="5" fillId="0" borderId="133" xfId="49" applyFont="1" applyBorder="1" applyAlignment="1">
      <alignment horizontal="center" vertical="center"/>
    </xf>
    <xf numFmtId="0" fontId="43" fillId="0" borderId="74" xfId="49" quotePrefix="1" applyFont="1" applyBorder="1" applyAlignment="1">
      <alignment horizontal="center" vertical="center" wrapText="1"/>
    </xf>
    <xf numFmtId="0" fontId="43" fillId="0" borderId="89" xfId="49" quotePrefix="1" applyFont="1" applyBorder="1" applyAlignment="1">
      <alignment horizontal="center" vertical="center" wrapText="1"/>
    </xf>
    <xf numFmtId="0" fontId="43" fillId="0" borderId="134" xfId="49" quotePrefix="1" applyFont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</cellXfs>
  <cellStyles count="62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planatory Text" xfId="40" builtinId="53" customBuiltin="1"/>
    <cellStyle name="Good" xfId="41" builtinId="26" customBuiltin="1"/>
    <cellStyle name="Heading 1" xfId="42" builtinId="16" customBuiltin="1"/>
    <cellStyle name="Heading 2" xfId="43" builtinId="17" customBuiltin="1"/>
    <cellStyle name="Heading 3" xfId="44" builtinId="18" customBuiltin="1"/>
    <cellStyle name="Heading 4" xfId="45" builtinId="19" customBuiltin="1"/>
    <cellStyle name="Input" xfId="46" builtinId="20" customBuiltin="1"/>
    <cellStyle name="Linked Cell" xfId="47" builtinId="24" customBuiltin="1"/>
    <cellStyle name="Neutral" xfId="48" builtinId="28" customBuiltin="1"/>
    <cellStyle name="Normal" xfId="0" builtinId="0"/>
    <cellStyle name="Normal 2" xfId="49"/>
    <cellStyle name="Normal 2 2" xfId="50"/>
    <cellStyle name="Normal 3" xfId="51"/>
    <cellStyle name="Normal 3 2" xfId="52"/>
    <cellStyle name="Normal 3_11-014_LF_Modu_6_02_WP" xfId="53"/>
    <cellStyle name="Normal 4" xfId="54"/>
    <cellStyle name="Note" xfId="55" builtinId="10" customBuiltin="1"/>
    <cellStyle name="Note 2" xfId="56"/>
    <cellStyle name="Output" xfId="57" builtinId="21" customBuiltin="1"/>
    <cellStyle name="Title" xfId="58" builtinId="15" customBuiltin="1"/>
    <cellStyle name="Total" xfId="59" builtinId="25" customBuiltin="1"/>
    <cellStyle name="Warning Text" xfId="60" builtinId="11" customBuiltin="1"/>
    <cellStyle name="x" xfId="61"/>
  </cellStyles>
  <dxfs count="57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b val="0"/>
        <i/>
        <condense val="0"/>
        <extend val="0"/>
      </font>
    </dxf>
    <dxf>
      <font>
        <condense val="0"/>
        <extend val="0"/>
        <color indexed="55"/>
      </font>
    </dxf>
    <dxf>
      <font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19050</xdr:rowOff>
    </xdr:from>
    <xdr:to>
      <xdr:col>2</xdr:col>
      <xdr:colOff>1543050</xdr:colOff>
      <xdr:row>3</xdr:row>
      <xdr:rowOff>180975</xdr:rowOff>
    </xdr:to>
    <xdr:pic>
      <xdr:nvPicPr>
        <xdr:cNvPr id="2049" name="Picture 26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447675"/>
          <a:ext cx="2305050" cy="390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238125</xdr:colOff>
      <xdr:row>1</xdr:row>
      <xdr:rowOff>152400</xdr:rowOff>
    </xdr:from>
    <xdr:to>
      <xdr:col>19</xdr:col>
      <xdr:colOff>647700</xdr:colOff>
      <xdr:row>4</xdr:row>
      <xdr:rowOff>38100</xdr:rowOff>
    </xdr:to>
    <xdr:pic>
      <xdr:nvPicPr>
        <xdr:cNvPr id="2050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48800" y="352425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1126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11266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3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3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1433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14338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3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3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1740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17410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307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3074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409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4098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3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3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3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512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5122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3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0</xdr:rowOff>
    </xdr:from>
    <xdr:to>
      <xdr:col>2</xdr:col>
      <xdr:colOff>2028825</xdr:colOff>
      <xdr:row>3</xdr:row>
      <xdr:rowOff>200025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457200"/>
          <a:ext cx="2571750" cy="42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152400</xdr:colOff>
      <xdr:row>1</xdr:row>
      <xdr:rowOff>152400</xdr:rowOff>
    </xdr:from>
    <xdr:to>
      <xdr:col>12</xdr:col>
      <xdr:colOff>2257425</xdr:colOff>
      <xdr:row>4</xdr:row>
      <xdr:rowOff>38100</xdr:rowOff>
    </xdr:to>
    <xdr:pic>
      <xdr:nvPicPr>
        <xdr:cNvPr id="3" name="Picture 2" descr="GE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58550" y="381000"/>
          <a:ext cx="21050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-014-NR-80-001%20Rev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Hist"/>
      <sheetName val="KPlan"/>
      <sheetName val="Sum-location"/>
      <sheetName val="Sum-category"/>
      <sheetName val="AP"/>
      <sheetName val="PP"/>
      <sheetName val="SP"/>
      <sheetName val="FN"/>
      <sheetName val="PN"/>
      <sheetName val="SN"/>
      <sheetName val="FC"/>
      <sheetName val="PC"/>
      <sheetName val="SC"/>
      <sheetName val="AD"/>
      <sheetName val="FD"/>
      <sheetName val="JL"/>
      <sheetName val="DES_SB"/>
      <sheetName val="DES_SDF"/>
      <sheetName val="DES_MPH"/>
      <sheetName val="DES_PR"/>
      <sheetName val="DES_D"/>
      <sheetName val="DES_MIS"/>
    </sheetNames>
    <sheetDataSet>
      <sheetData sheetId="0"/>
      <sheetData sheetId="1"/>
      <sheetData sheetId="2"/>
      <sheetData sheetId="3"/>
      <sheetData sheetId="4">
        <row r="7">
          <cell r="J7">
            <v>1</v>
          </cell>
        </row>
        <row r="155">
          <cell r="N155">
            <v>17976.673947346244</v>
          </cell>
          <cell r="O155">
            <v>-1.4305559007118287</v>
          </cell>
          <cell r="P155">
            <v>0.15463820336507936</v>
          </cell>
          <cell r="Q155">
            <v>23.862467975237067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E124"/>
  <sheetViews>
    <sheetView tabSelected="1" topLeftCell="B1" zoomScale="85" zoomScaleNormal="85" zoomScaleSheetLayoutView="85" workbookViewId="0">
      <pane ySplit="9" topLeftCell="A94" activePane="bottomLeft" state="frozen"/>
      <selection pane="bottomLeft" activeCell="K9" sqref="K9"/>
    </sheetView>
  </sheetViews>
  <sheetFormatPr defaultRowHeight="15.95" customHeight="1" x14ac:dyDescent="0.2"/>
  <cols>
    <col min="1" max="1" width="3.7109375" style="292" customWidth="1"/>
    <col min="2" max="2" width="12.7109375" style="298" customWidth="1"/>
    <col min="3" max="3" width="24.7109375" style="298" customWidth="1"/>
    <col min="4" max="12" width="3.7109375" style="298" customWidth="1"/>
    <col min="13" max="20" width="12.7109375" style="298" customWidth="1"/>
    <col min="21" max="21" width="3.7109375" style="28" customWidth="1"/>
    <col min="22" max="22" width="9.140625" style="304"/>
    <col min="23" max="23" width="9.140625" style="305"/>
    <col min="24" max="16384" width="9.140625" style="28"/>
  </cols>
  <sheetData>
    <row r="1" spans="1:239" s="287" customFormat="1" ht="15.95" customHeight="1" thickBot="1" x14ac:dyDescent="0.25">
      <c r="A1" s="284"/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"/>
      <c r="V1" s="304"/>
      <c r="W1" s="305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</row>
    <row r="2" spans="1:239" s="287" customFormat="1" ht="18" customHeight="1" x14ac:dyDescent="0.2">
      <c r="A2" s="284"/>
      <c r="B2" s="1"/>
      <c r="C2" s="528"/>
      <c r="D2" s="561" t="s">
        <v>510</v>
      </c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42"/>
      <c r="P2" s="44" t="s">
        <v>13</v>
      </c>
      <c r="Q2" s="45" t="s">
        <v>20</v>
      </c>
      <c r="R2" s="288"/>
      <c r="S2" s="74"/>
      <c r="T2" s="6"/>
      <c r="U2" s="28"/>
      <c r="V2" s="304"/>
      <c r="W2" s="305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s="287" customFormat="1" ht="18" customHeight="1" x14ac:dyDescent="0.2">
      <c r="A3" s="284"/>
      <c r="B3" s="2"/>
      <c r="C3" s="68"/>
      <c r="D3" s="564"/>
      <c r="E3" s="565"/>
      <c r="F3" s="565"/>
      <c r="G3" s="565"/>
      <c r="H3" s="565"/>
      <c r="I3" s="565"/>
      <c r="J3" s="565"/>
      <c r="K3" s="565"/>
      <c r="L3" s="565"/>
      <c r="M3" s="565"/>
      <c r="N3" s="566"/>
      <c r="O3" s="43"/>
      <c r="P3" s="46" t="s">
        <v>14</v>
      </c>
      <c r="Q3" s="47">
        <v>40697</v>
      </c>
      <c r="R3" s="289"/>
      <c r="S3" s="57"/>
      <c r="T3" s="7"/>
      <c r="U3" s="28"/>
      <c r="V3" s="304"/>
      <c r="W3" s="305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</row>
    <row r="4" spans="1:239" s="287" customFormat="1" ht="18" customHeight="1" x14ac:dyDescent="0.2">
      <c r="A4" s="284"/>
      <c r="B4" s="2"/>
      <c r="C4" s="68"/>
      <c r="D4" s="584" t="s">
        <v>567</v>
      </c>
      <c r="E4" s="585"/>
      <c r="F4" s="585"/>
      <c r="G4" s="585"/>
      <c r="H4" s="585"/>
      <c r="I4" s="585"/>
      <c r="J4" s="585"/>
      <c r="K4" s="585"/>
      <c r="L4" s="585"/>
      <c r="M4" s="585"/>
      <c r="N4" s="586"/>
      <c r="O4" s="290"/>
      <c r="P4" s="48" t="s">
        <v>23</v>
      </c>
      <c r="Q4" s="47" t="s">
        <v>256</v>
      </c>
      <c r="R4" s="289"/>
      <c r="S4" s="57"/>
      <c r="T4" s="7"/>
      <c r="U4" s="28"/>
      <c r="V4" s="304"/>
      <c r="W4" s="305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</row>
    <row r="5" spans="1:239" s="287" customFormat="1" ht="18" customHeight="1" thickBot="1" x14ac:dyDescent="0.25">
      <c r="A5" s="284"/>
      <c r="B5" s="8"/>
      <c r="C5" s="529"/>
      <c r="D5" s="587"/>
      <c r="E5" s="588"/>
      <c r="F5" s="588"/>
      <c r="G5" s="588"/>
      <c r="H5" s="588"/>
      <c r="I5" s="588"/>
      <c r="J5" s="588"/>
      <c r="K5" s="588"/>
      <c r="L5" s="588"/>
      <c r="M5" s="588"/>
      <c r="N5" s="589"/>
      <c r="O5" s="49"/>
      <c r="P5" s="50" t="s">
        <v>15</v>
      </c>
      <c r="Q5" s="51" t="s">
        <v>16</v>
      </c>
      <c r="R5" s="291"/>
      <c r="S5" s="86"/>
      <c r="T5" s="87"/>
      <c r="U5" s="28"/>
      <c r="V5" s="304"/>
      <c r="W5" s="305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</row>
    <row r="6" spans="1:239" ht="15.95" customHeight="1" thickBot="1" x14ac:dyDescent="0.25">
      <c r="B6" s="519"/>
      <c r="C6" s="519"/>
      <c r="D6" s="520"/>
      <c r="E6" s="520"/>
      <c r="F6" s="520"/>
      <c r="G6" s="521"/>
      <c r="H6" s="521"/>
      <c r="I6" s="521"/>
      <c r="J6" s="521"/>
      <c r="K6" s="521"/>
      <c r="L6" s="521"/>
      <c r="M6" s="520"/>
      <c r="N6" s="520"/>
      <c r="O6" s="522"/>
      <c r="P6" s="523"/>
      <c r="Q6" s="523"/>
      <c r="R6" s="523"/>
      <c r="S6" s="523"/>
      <c r="T6" s="523"/>
    </row>
    <row r="7" spans="1:239" s="294" customFormat="1" ht="15.95" customHeight="1" x14ac:dyDescent="0.2">
      <c r="A7" s="293"/>
      <c r="B7" s="579" t="s">
        <v>7</v>
      </c>
      <c r="C7" s="573"/>
      <c r="D7" s="572" t="s">
        <v>21</v>
      </c>
      <c r="E7" s="573"/>
      <c r="F7" s="573"/>
      <c r="G7" s="573"/>
      <c r="H7" s="573"/>
      <c r="I7" s="573"/>
      <c r="J7" s="574"/>
      <c r="K7" s="575">
        <v>3</v>
      </c>
      <c r="L7" s="576"/>
      <c r="M7" s="570" t="s">
        <v>8</v>
      </c>
      <c r="N7" s="570" t="s">
        <v>0</v>
      </c>
      <c r="O7" s="570" t="s">
        <v>3</v>
      </c>
      <c r="P7" s="570" t="s">
        <v>4</v>
      </c>
      <c r="Q7" s="570" t="s">
        <v>34</v>
      </c>
      <c r="R7" s="570" t="s">
        <v>35</v>
      </c>
      <c r="S7" s="572" t="s">
        <v>9</v>
      </c>
      <c r="T7" s="599"/>
      <c r="U7" s="28"/>
      <c r="V7" s="594" t="s">
        <v>420</v>
      </c>
      <c r="W7" s="595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</row>
    <row r="8" spans="1:239" s="294" customFormat="1" ht="15.95" customHeight="1" x14ac:dyDescent="0.2">
      <c r="A8" s="293"/>
      <c r="B8" s="580"/>
      <c r="C8" s="581"/>
      <c r="D8" s="606" t="s">
        <v>22</v>
      </c>
      <c r="E8" s="607"/>
      <c r="F8" s="607"/>
      <c r="G8" s="607"/>
      <c r="H8" s="607"/>
      <c r="I8" s="607"/>
      <c r="J8" s="608"/>
      <c r="K8" s="577"/>
      <c r="L8" s="578"/>
      <c r="M8" s="571"/>
      <c r="N8" s="571"/>
      <c r="O8" s="571"/>
      <c r="P8" s="571"/>
      <c r="Q8" s="571"/>
      <c r="R8" s="571"/>
      <c r="S8" s="600"/>
      <c r="T8" s="601"/>
      <c r="U8" s="28"/>
      <c r="V8" s="596" t="s">
        <v>17</v>
      </c>
      <c r="W8" s="597" t="s">
        <v>414</v>
      </c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</row>
    <row r="9" spans="1:239" ht="15.95" customHeight="1" thickBot="1" x14ac:dyDescent="0.25">
      <c r="B9" s="582"/>
      <c r="C9" s="583"/>
      <c r="D9" s="14">
        <v>1</v>
      </c>
      <c r="E9" s="14">
        <v>2</v>
      </c>
      <c r="F9" s="14">
        <v>3</v>
      </c>
      <c r="G9" s="14">
        <v>4</v>
      </c>
      <c r="H9" s="14">
        <v>5</v>
      </c>
      <c r="I9" s="14">
        <v>6</v>
      </c>
      <c r="J9" s="14">
        <v>7</v>
      </c>
      <c r="K9" s="14">
        <v>8</v>
      </c>
      <c r="L9" s="14">
        <v>9</v>
      </c>
      <c r="M9" s="3" t="s">
        <v>19</v>
      </c>
      <c r="N9" s="3" t="s">
        <v>6</v>
      </c>
      <c r="O9" s="3" t="s">
        <v>6</v>
      </c>
      <c r="P9" s="3" t="s">
        <v>6</v>
      </c>
      <c r="Q9" s="3" t="s">
        <v>19</v>
      </c>
      <c r="R9" s="3" t="s">
        <v>19</v>
      </c>
      <c r="S9" s="602"/>
      <c r="T9" s="603"/>
      <c r="V9" s="596"/>
      <c r="W9" s="597"/>
    </row>
    <row r="10" spans="1:239" ht="15.95" customHeight="1" thickTop="1" x14ac:dyDescent="0.2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10"/>
      <c r="N10" s="11"/>
      <c r="O10" s="11"/>
      <c r="P10" s="11"/>
      <c r="Q10" s="329"/>
      <c r="R10" s="329"/>
      <c r="S10" s="75"/>
      <c r="T10" s="13"/>
    </row>
    <row r="11" spans="1:239" ht="15.95" customHeight="1" x14ac:dyDescent="0.2">
      <c r="B11" s="19"/>
      <c r="C11" s="20"/>
      <c r="D11" s="527" t="s">
        <v>564</v>
      </c>
      <c r="E11" s="524"/>
      <c r="F11" s="524"/>
      <c r="G11" s="524"/>
      <c r="H11" s="524"/>
      <c r="I11" s="524"/>
      <c r="J11" s="524"/>
      <c r="K11" s="524"/>
      <c r="L11" s="524"/>
      <c r="M11" s="10"/>
      <c r="N11" s="11"/>
      <c r="O11" s="11"/>
      <c r="P11" s="11"/>
      <c r="Q11" s="329"/>
      <c r="R11" s="329"/>
      <c r="S11" s="75"/>
      <c r="T11" s="13"/>
    </row>
    <row r="12" spans="1:239" ht="15.95" customHeight="1" x14ac:dyDescent="0.2">
      <c r="B12" s="19"/>
      <c r="C12" s="20"/>
      <c r="D12" s="526">
        <v>1</v>
      </c>
      <c r="E12" s="525" t="s">
        <v>568</v>
      </c>
      <c r="F12" s="525"/>
      <c r="G12" s="525"/>
      <c r="H12" s="525"/>
      <c r="I12" s="525"/>
      <c r="J12" s="525"/>
      <c r="K12" s="525"/>
      <c r="L12" s="525"/>
      <c r="M12" s="10"/>
      <c r="N12" s="11"/>
      <c r="O12" s="11"/>
      <c r="P12" s="11"/>
      <c r="Q12" s="329"/>
      <c r="R12" s="329"/>
      <c r="S12" s="75"/>
      <c r="T12" s="13"/>
    </row>
    <row r="13" spans="1:239" ht="15.95" customHeight="1" x14ac:dyDescent="0.2">
      <c r="B13" s="19"/>
      <c r="C13" s="20"/>
      <c r="D13" s="526">
        <v>2</v>
      </c>
      <c r="E13" s="525" t="s">
        <v>570</v>
      </c>
      <c r="F13" s="525"/>
      <c r="G13" s="525"/>
      <c r="H13" s="525"/>
      <c r="I13" s="525"/>
      <c r="J13" s="525"/>
      <c r="K13" s="525"/>
      <c r="L13" s="525"/>
      <c r="M13" s="10"/>
      <c r="N13" s="11"/>
      <c r="O13" s="11"/>
      <c r="P13" s="11"/>
      <c r="Q13" s="329"/>
      <c r="R13" s="329"/>
      <c r="S13" s="75"/>
      <c r="T13" s="13"/>
    </row>
    <row r="14" spans="1:239" ht="15.95" customHeight="1" x14ac:dyDescent="0.2">
      <c r="B14" s="19"/>
      <c r="C14" s="20"/>
      <c r="D14" s="526">
        <v>3</v>
      </c>
      <c r="E14" s="525" t="s">
        <v>569</v>
      </c>
      <c r="F14" s="525"/>
      <c r="G14" s="525"/>
      <c r="H14" s="525"/>
      <c r="I14" s="525"/>
      <c r="J14" s="525"/>
      <c r="K14" s="525"/>
      <c r="L14" s="525"/>
      <c r="M14" s="10"/>
      <c r="N14" s="11"/>
      <c r="O14" s="11"/>
      <c r="P14" s="11"/>
      <c r="Q14" s="329"/>
      <c r="R14" s="329"/>
      <c r="S14" s="75"/>
      <c r="T14" s="13"/>
    </row>
    <row r="15" spans="1:239" ht="15.95" customHeight="1" x14ac:dyDescent="0.2">
      <c r="B15" s="19"/>
      <c r="C15" s="20"/>
      <c r="D15" s="526">
        <v>4</v>
      </c>
      <c r="E15" s="525" t="s">
        <v>565</v>
      </c>
      <c r="F15" s="525"/>
      <c r="G15" s="525"/>
      <c r="H15" s="525"/>
      <c r="I15" s="525"/>
      <c r="J15" s="525"/>
      <c r="K15" s="525"/>
      <c r="L15" s="525"/>
      <c r="M15" s="10"/>
      <c r="N15" s="11"/>
      <c r="O15" s="11"/>
      <c r="P15" s="11"/>
      <c r="Q15" s="329"/>
      <c r="R15" s="329"/>
      <c r="S15" s="75"/>
      <c r="T15" s="13"/>
    </row>
    <row r="16" spans="1:239" ht="15.95" customHeight="1" x14ac:dyDescent="0.2">
      <c r="B16" s="19"/>
      <c r="C16" s="20"/>
      <c r="D16" s="526">
        <v>5</v>
      </c>
      <c r="E16" s="525" t="s">
        <v>566</v>
      </c>
      <c r="F16" s="525"/>
      <c r="G16" s="525"/>
      <c r="H16" s="525"/>
      <c r="I16" s="525"/>
      <c r="J16" s="525"/>
      <c r="K16" s="525"/>
      <c r="L16" s="525"/>
      <c r="M16" s="10"/>
      <c r="N16" s="11"/>
      <c r="O16" s="11"/>
      <c r="P16" s="11"/>
      <c r="Q16" s="329"/>
      <c r="R16" s="329"/>
      <c r="S16" s="75"/>
      <c r="T16" s="13"/>
    </row>
    <row r="17" spans="2:23" ht="15.95" customHeight="1" x14ac:dyDescent="0.2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0"/>
      <c r="N17" s="11"/>
      <c r="O17" s="11"/>
      <c r="P17" s="11"/>
      <c r="Q17" s="329"/>
      <c r="R17" s="329"/>
      <c r="S17" s="75"/>
      <c r="T17" s="13"/>
    </row>
    <row r="18" spans="2:23" ht="15.95" customHeight="1" x14ac:dyDescent="0.2">
      <c r="B18" s="374" t="s">
        <v>516</v>
      </c>
      <c r="C18" s="375"/>
      <c r="D18" s="375"/>
      <c r="E18" s="375"/>
      <c r="F18" s="375"/>
      <c r="G18" s="375"/>
      <c r="H18" s="375"/>
      <c r="I18" s="375"/>
      <c r="J18" s="375"/>
      <c r="K18" s="375"/>
      <c r="L18" s="375"/>
      <c r="M18" s="375"/>
      <c r="N18" s="376"/>
      <c r="O18" s="376"/>
      <c r="P18" s="376"/>
      <c r="Q18" s="376"/>
      <c r="R18" s="376"/>
      <c r="S18" s="378"/>
      <c r="T18" s="377"/>
    </row>
    <row r="19" spans="2:23" ht="15.95" customHeight="1" x14ac:dyDescent="0.2">
      <c r="B19" s="325"/>
      <c r="C19" s="326"/>
      <c r="D19" s="327"/>
      <c r="E19" s="328"/>
      <c r="F19" s="328"/>
      <c r="G19" s="328"/>
      <c r="H19" s="20"/>
      <c r="I19" s="20"/>
      <c r="J19" s="20"/>
      <c r="K19" s="20"/>
      <c r="L19" s="329"/>
      <c r="M19" s="10"/>
      <c r="N19" s="11"/>
      <c r="O19" s="11"/>
      <c r="P19" s="11"/>
      <c r="Q19" s="10"/>
      <c r="R19" s="10"/>
      <c r="S19" s="75"/>
      <c r="T19" s="330"/>
      <c r="V19" s="308"/>
    </row>
    <row r="20" spans="2:23" ht="15.95" customHeight="1" x14ac:dyDescent="0.2">
      <c r="B20" s="17" t="s">
        <v>487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21"/>
      <c r="O20" s="21"/>
      <c r="P20" s="21"/>
      <c r="Q20" s="21"/>
      <c r="R20" s="21"/>
      <c r="S20" s="5"/>
      <c r="T20" s="18"/>
    </row>
    <row r="21" spans="2:23" ht="15.95" customHeight="1" x14ac:dyDescent="0.2">
      <c r="B21" s="22" t="s">
        <v>557</v>
      </c>
      <c r="C21" s="72"/>
      <c r="D21" s="53" t="s">
        <v>1</v>
      </c>
      <c r="E21" s="53"/>
      <c r="F21" s="53"/>
      <c r="G21" s="53"/>
      <c r="H21" s="53"/>
      <c r="I21" s="53"/>
      <c r="J21" s="53"/>
      <c r="K21" s="53"/>
      <c r="L21" s="53"/>
      <c r="M21" s="336">
        <f ca="1">IF(INDEX($D21:$L21,1,$K$7)="",0,VLOOKUP($W21,INDIRECT($V21&amp;"!O:U"),2,0))</f>
        <v>0</v>
      </c>
      <c r="N21" s="65">
        <f ca="1">VLOOKUP($W21,INDIRECT($V21&amp;"!O:U"),3,0)</f>
        <v>0</v>
      </c>
      <c r="O21" s="65">
        <f ca="1">VLOOKUP($W21,INDIRECT($V21&amp;"!O:U"),4,0)</f>
        <v>0</v>
      </c>
      <c r="P21" s="65">
        <f ca="1">VLOOKUP($W21,INDIRECT($V21&amp;"!O:U"),5,0)</f>
        <v>0</v>
      </c>
      <c r="Q21" s="337">
        <f ca="1">IF(INDEX($D21:$L21,1,$K$7)="",0,VLOOKUP($W21,INDIRECT($V21&amp;"!O:U"),6,0))</f>
        <v>0</v>
      </c>
      <c r="R21" s="337">
        <f ca="1">IF(INDEX($D21:$L21,1,$K$7)="",0,VLOOKUP($W21,INDIRECT($V21&amp;"!O:U"),7,0))</f>
        <v>0</v>
      </c>
      <c r="S21" s="91"/>
      <c r="T21" s="92"/>
      <c r="V21" s="530" t="s">
        <v>516</v>
      </c>
      <c r="W21" s="365" t="s">
        <v>551</v>
      </c>
    </row>
    <row r="22" spans="2:23" ht="15.95" customHeight="1" x14ac:dyDescent="0.2">
      <c r="B22" s="22" t="s">
        <v>558</v>
      </c>
      <c r="C22" s="72"/>
      <c r="D22" s="53" t="s">
        <v>1</v>
      </c>
      <c r="E22" s="53"/>
      <c r="F22" s="53"/>
      <c r="G22" s="53"/>
      <c r="H22" s="53"/>
      <c r="I22" s="53"/>
      <c r="J22" s="53"/>
      <c r="K22" s="53"/>
      <c r="L22" s="53"/>
      <c r="M22" s="336">
        <f ca="1">IF(INDEX($D22:$L22,1,$K$7)="",0,VLOOKUP($W22,INDIRECT($V22&amp;"!O:U"),2,0))</f>
        <v>0</v>
      </c>
      <c r="N22" s="65">
        <f ca="1">VLOOKUP($W22,INDIRECT($V22&amp;"!O:U"),3,0)</f>
        <v>-26.55</v>
      </c>
      <c r="O22" s="65">
        <f ca="1">VLOOKUP($W22,INDIRECT($V22&amp;"!O:U"),4,0)</f>
        <v>-33</v>
      </c>
      <c r="P22" s="65">
        <f ca="1">VLOOKUP($W22,INDIRECT($V22&amp;"!O:U"),5,0)</f>
        <v>3.3</v>
      </c>
      <c r="Q22" s="337">
        <f ca="1">IF(INDEX($D22:$L22,1,$K$7)="",0,VLOOKUP($W22,INDIRECT($V22&amp;"!O:U"),6,0))</f>
        <v>0</v>
      </c>
      <c r="R22" s="337">
        <f ca="1">IF(INDEX($D22:$L22,1,$K$7)="",0,VLOOKUP($W22,INDIRECT($V22&amp;"!O:U"),7,0))</f>
        <v>0</v>
      </c>
      <c r="S22" s="91"/>
      <c r="T22" s="92"/>
      <c r="V22" s="530" t="s">
        <v>516</v>
      </c>
      <c r="W22" s="365" t="s">
        <v>553</v>
      </c>
    </row>
    <row r="23" spans="2:23" ht="15.95" customHeight="1" x14ac:dyDescent="0.2">
      <c r="B23" s="22" t="s">
        <v>318</v>
      </c>
      <c r="C23" s="72"/>
      <c r="D23" s="53" t="s">
        <v>1</v>
      </c>
      <c r="E23" s="53"/>
      <c r="F23" s="53"/>
      <c r="G23" s="53"/>
      <c r="H23" s="53"/>
      <c r="I23" s="53"/>
      <c r="J23" s="53"/>
      <c r="K23" s="53"/>
      <c r="L23" s="53"/>
      <c r="M23" s="336">
        <f ca="1">IF(INDEX($D23:$L23,1,$K$7)="",0,VLOOKUP($W23,INDIRECT($V23&amp;"!O:U"),2,0))</f>
        <v>0</v>
      </c>
      <c r="N23" s="65">
        <f ca="1">VLOOKUP($W23,INDIRECT($V23&amp;"!O:U"),3,0)</f>
        <v>43.349999999999994</v>
      </c>
      <c r="O23" s="65">
        <f ca="1">VLOOKUP($W23,INDIRECT($V23&amp;"!O:U"),4,0)</f>
        <v>0</v>
      </c>
      <c r="P23" s="65">
        <f ca="1">VLOOKUP($W23,INDIRECT($V23&amp;"!O:U"),5,0)</f>
        <v>3.5</v>
      </c>
      <c r="Q23" s="337">
        <f ca="1">IF(INDEX($D23:$L23,1,$K$7)="",0,VLOOKUP($W23,INDIRECT($V23&amp;"!O:U"),6,0))</f>
        <v>0</v>
      </c>
      <c r="R23" s="337">
        <f ca="1">IF(INDEX($D23:$L23,1,$K$7)="",0,VLOOKUP($W23,INDIRECT($V23&amp;"!O:U"),7,0))</f>
        <v>0</v>
      </c>
      <c r="S23" s="91"/>
      <c r="T23" s="92"/>
      <c r="V23" s="530" t="s">
        <v>516</v>
      </c>
      <c r="W23" s="365" t="s">
        <v>555</v>
      </c>
    </row>
    <row r="24" spans="2:23" ht="15.95" customHeight="1" x14ac:dyDescent="0.2">
      <c r="B24" s="338"/>
      <c r="C24" s="339"/>
      <c r="D24" s="340"/>
      <c r="E24" s="340"/>
      <c r="F24" s="340"/>
      <c r="G24" s="340"/>
      <c r="H24" s="340"/>
      <c r="I24" s="340"/>
      <c r="J24" s="340"/>
      <c r="K24" s="340"/>
      <c r="L24" s="340"/>
      <c r="M24" s="341"/>
      <c r="N24" s="66"/>
      <c r="O24" s="66"/>
      <c r="P24" s="66"/>
      <c r="Q24" s="66"/>
      <c r="R24" s="66"/>
      <c r="S24" s="78"/>
      <c r="T24" s="67"/>
      <c r="V24" s="531"/>
    </row>
    <row r="25" spans="2:23" ht="15.95" customHeight="1" x14ac:dyDescent="0.2">
      <c r="B25" s="62"/>
      <c r="C25" s="71"/>
      <c r="D25" s="63"/>
      <c r="E25" s="32"/>
      <c r="F25" s="32"/>
      <c r="G25" s="32"/>
      <c r="H25" s="32"/>
      <c r="I25" s="32"/>
      <c r="J25" s="32"/>
      <c r="K25" s="32"/>
      <c r="L25" s="33" t="s">
        <v>5</v>
      </c>
      <c r="M25" s="4">
        <f ca="1">SUBTOTAL(9,$M21:$M24)</f>
        <v>0</v>
      </c>
      <c r="N25" s="354">
        <f ca="1">SUMPRODUCT(SUBTOTAL(9,OFFSET($M21:$M24,ROW($M21:$M24)-MIN(ROW($M21:$M24)),,1)),N21:N24)/MAX($M25,10^-10)</f>
        <v>0</v>
      </c>
      <c r="O25" s="354">
        <f ca="1">SUMPRODUCT(SUBTOTAL(9,OFFSET($M21:$M24,ROW($M21:$M24)-MIN(ROW($M21:$M24)),,1)),O21:O24)/MAX($M25,10^-10)</f>
        <v>0</v>
      </c>
      <c r="P25" s="354">
        <f ca="1">SUMPRODUCT(SUBTOTAL(9,OFFSET($M21:$M24,ROW($M21:$M24)-MIN(ROW($M21:$M24)),,1)),P21:P24)/MAX($M25,10^-10)</f>
        <v>0</v>
      </c>
      <c r="Q25" s="355">
        <f ca="1">SUBTOTAL(9,$Q21:$Q24)</f>
        <v>0</v>
      </c>
      <c r="R25" s="355">
        <f ca="1">SUBTOTAL(9,$R21:$R24)</f>
        <v>0</v>
      </c>
      <c r="S25" s="76"/>
      <c r="T25" s="34"/>
      <c r="V25" s="531"/>
    </row>
    <row r="26" spans="2:23" ht="15.95" customHeight="1" x14ac:dyDescent="0.2">
      <c r="B26" s="325"/>
      <c r="C26" s="326"/>
      <c r="D26" s="327"/>
      <c r="E26" s="328"/>
      <c r="F26" s="328"/>
      <c r="G26" s="328"/>
      <c r="H26" s="20"/>
      <c r="I26" s="20"/>
      <c r="J26" s="20"/>
      <c r="K26" s="20"/>
      <c r="L26" s="329"/>
      <c r="M26" s="10"/>
      <c r="N26" s="11"/>
      <c r="O26" s="11"/>
      <c r="P26" s="11"/>
      <c r="Q26" s="10"/>
      <c r="R26" s="10"/>
      <c r="S26" s="75"/>
      <c r="T26" s="330"/>
      <c r="V26" s="531"/>
    </row>
    <row r="27" spans="2:23" ht="15.95" customHeight="1" x14ac:dyDescent="0.2">
      <c r="B27" s="17" t="s">
        <v>494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21"/>
      <c r="O27" s="21"/>
      <c r="P27" s="21"/>
      <c r="Q27" s="21"/>
      <c r="R27" s="21"/>
      <c r="S27" s="5"/>
      <c r="T27" s="18"/>
      <c r="V27" s="531"/>
    </row>
    <row r="28" spans="2:23" ht="15.95" customHeight="1" x14ac:dyDescent="0.2">
      <c r="B28" s="22" t="s">
        <v>318</v>
      </c>
      <c r="C28" s="72"/>
      <c r="D28" s="53" t="s">
        <v>1</v>
      </c>
      <c r="E28" s="53" t="s">
        <v>1</v>
      </c>
      <c r="F28" s="53" t="s">
        <v>1</v>
      </c>
      <c r="G28" s="53" t="s">
        <v>1</v>
      </c>
      <c r="H28" s="53"/>
      <c r="I28" s="53"/>
      <c r="J28" s="53"/>
      <c r="K28" s="53"/>
      <c r="L28" s="53"/>
      <c r="M28" s="336">
        <f ca="1">IF(INDEX($D28:$L28,1,$K$7)="",0,VLOOKUP($W28,INDIRECT($V28&amp;"!O:U"),2,0))</f>
        <v>230.4</v>
      </c>
      <c r="N28" s="65">
        <f ca="1">VLOOKUP($W28,INDIRECT($V28&amp;"!O:U"),3,0)</f>
        <v>43.35</v>
      </c>
      <c r="O28" s="65">
        <f ca="1">VLOOKUP($W28,INDIRECT($V28&amp;"!O:U"),4,0)</f>
        <v>0</v>
      </c>
      <c r="P28" s="65">
        <f ca="1">VLOOKUP($W28,INDIRECT($V28&amp;"!O:U"),5,0)</f>
        <v>10.500000000000002</v>
      </c>
      <c r="Q28" s="337">
        <f ca="1">IF(INDEX($D84:$L84,1,$K$7)="",0,VLOOKUP($W28,INDIRECT($V28&amp;"!O:U"),6,0))</f>
        <v>0</v>
      </c>
      <c r="R28" s="337">
        <f ca="1">IF(INDEX($D84:$L84,1,$K$7)="",0,VLOOKUP($W28,INDIRECT($V28&amp;"!O:U"),7,0))</f>
        <v>0</v>
      </c>
      <c r="S28" s="91"/>
      <c r="T28" s="92"/>
      <c r="V28" s="530" t="s">
        <v>516</v>
      </c>
      <c r="W28" s="365" t="s">
        <v>556</v>
      </c>
    </row>
    <row r="29" spans="2:23" ht="15.95" customHeight="1" x14ac:dyDescent="0.2">
      <c r="B29" s="338"/>
      <c r="C29" s="339"/>
      <c r="D29" s="340"/>
      <c r="E29" s="340"/>
      <c r="F29" s="340"/>
      <c r="G29" s="340"/>
      <c r="H29" s="340"/>
      <c r="I29" s="340"/>
      <c r="J29" s="340"/>
      <c r="K29" s="340"/>
      <c r="L29" s="340"/>
      <c r="M29" s="341"/>
      <c r="N29" s="66"/>
      <c r="O29" s="66"/>
      <c r="P29" s="66"/>
      <c r="Q29" s="66"/>
      <c r="R29" s="66"/>
      <c r="S29" s="78"/>
      <c r="T29" s="67"/>
      <c r="V29" s="531"/>
    </row>
    <row r="30" spans="2:23" ht="15.95" customHeight="1" x14ac:dyDescent="0.2">
      <c r="B30" s="62"/>
      <c r="C30" s="71"/>
      <c r="D30" s="63"/>
      <c r="E30" s="32"/>
      <c r="F30" s="32"/>
      <c r="G30" s="32"/>
      <c r="H30" s="32"/>
      <c r="I30" s="32"/>
      <c r="J30" s="32"/>
      <c r="K30" s="32"/>
      <c r="L30" s="33" t="s">
        <v>5</v>
      </c>
      <c r="M30" s="4">
        <f ca="1">SUBTOTAL(9,$M28:$M29)</f>
        <v>230.4</v>
      </c>
      <c r="N30" s="354">
        <f ca="1">SUMPRODUCT(SUBTOTAL(9,OFFSET($M28:$M29,ROW($M28:$M29)-MIN(ROW($M28:$M29)),,1)),N28:N29)/MAX($M30,10^-10)</f>
        <v>43.35</v>
      </c>
      <c r="O30" s="354">
        <f ca="1">SUMPRODUCT(SUBTOTAL(9,OFFSET($M28:$M29,ROW($M28:$M29)-MIN(ROW($M28:$M29)),,1)),O28:O29)/MAX($M30,10^-10)</f>
        <v>0</v>
      </c>
      <c r="P30" s="354">
        <f ca="1">SUMPRODUCT(SUBTOTAL(9,OFFSET($M28:$M29,ROW($M28:$M29)-MIN(ROW($M28:$M29)),,1)),P28:P29)/MAX($M30,10^-10)</f>
        <v>10.500000000000002</v>
      </c>
      <c r="Q30" s="355">
        <f ca="1">SUBTOTAL(9,$Q28:$Q29)</f>
        <v>0</v>
      </c>
      <c r="R30" s="355">
        <f ca="1">SUBTOTAL(9,$R28:$R29)</f>
        <v>0</v>
      </c>
      <c r="S30" s="76"/>
      <c r="T30" s="34"/>
      <c r="V30" s="531"/>
    </row>
    <row r="31" spans="2:23" ht="15.95" customHeight="1" x14ac:dyDescent="0.2">
      <c r="B31" s="325"/>
      <c r="C31" s="326"/>
      <c r="D31" s="327"/>
      <c r="E31" s="328"/>
      <c r="F31" s="328"/>
      <c r="G31" s="328"/>
      <c r="H31" s="20"/>
      <c r="I31" s="20"/>
      <c r="J31" s="20"/>
      <c r="K31" s="20"/>
      <c r="L31" s="329"/>
      <c r="M31" s="10"/>
      <c r="N31" s="11"/>
      <c r="O31" s="11"/>
      <c r="P31" s="11"/>
      <c r="Q31" s="10"/>
      <c r="R31" s="10"/>
      <c r="S31" s="75"/>
      <c r="T31" s="330"/>
      <c r="V31" s="531"/>
    </row>
    <row r="32" spans="2:23" ht="15.95" customHeight="1" x14ac:dyDescent="0.2">
      <c r="B32" s="17" t="s">
        <v>495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21"/>
      <c r="O32" s="21"/>
      <c r="P32" s="21"/>
      <c r="Q32" s="21"/>
      <c r="R32" s="21"/>
      <c r="S32" s="5"/>
      <c r="T32" s="18"/>
      <c r="V32" s="531"/>
    </row>
    <row r="33" spans="2:23" ht="15.95" customHeight="1" x14ac:dyDescent="0.2">
      <c r="B33" s="22" t="s">
        <v>557</v>
      </c>
      <c r="C33" s="72"/>
      <c r="D33" s="53" t="s">
        <v>1</v>
      </c>
      <c r="E33" s="53" t="s">
        <v>1</v>
      </c>
      <c r="F33" s="53" t="s">
        <v>1</v>
      </c>
      <c r="G33" s="53" t="s">
        <v>1</v>
      </c>
      <c r="H33" s="53"/>
      <c r="I33" s="53"/>
      <c r="J33" s="53"/>
      <c r="K33" s="53"/>
      <c r="L33" s="53"/>
      <c r="M33" s="336">
        <f ca="1">IF(INDEX($D33:$L33,1,$K$7)="",0,VLOOKUP($W33,INDIRECT($V33&amp;"!O:U"),2,0))</f>
        <v>253.27200000000002</v>
      </c>
      <c r="N33" s="65">
        <f ca="1">VLOOKUP($W33,INDIRECT($V33&amp;"!O:U"),3,0)</f>
        <v>-26.5</v>
      </c>
      <c r="O33" s="65">
        <f ca="1">VLOOKUP($W33,INDIRECT($V33&amp;"!O:U"),4,0)</f>
        <v>33.116666666666667</v>
      </c>
      <c r="P33" s="65">
        <f ca="1">VLOOKUP($W33,INDIRECT($V33&amp;"!O:U"),5,0)</f>
        <v>10.5</v>
      </c>
      <c r="Q33" s="337">
        <f ca="1">IF(INDEX($D33:$L33,1,$K$7)="",0,VLOOKUP($W33,INDIRECT($V33&amp;"!O:U"),6,0))</f>
        <v>3000</v>
      </c>
      <c r="R33" s="337">
        <f ca="1">IF(INDEX($D33:$L33,1,$K$7)="",0,VLOOKUP($W33,INDIRECT($V33&amp;"!O:U"),7,0))</f>
        <v>3000</v>
      </c>
      <c r="S33" s="91"/>
      <c r="T33" s="92"/>
      <c r="V33" s="530" t="s">
        <v>516</v>
      </c>
      <c r="W33" s="365" t="s">
        <v>552</v>
      </c>
    </row>
    <row r="34" spans="2:23" ht="15.95" customHeight="1" x14ac:dyDescent="0.2">
      <c r="B34" s="22" t="s">
        <v>558</v>
      </c>
      <c r="C34" s="72"/>
      <c r="D34" s="53" t="s">
        <v>1</v>
      </c>
      <c r="E34" s="53" t="s">
        <v>1</v>
      </c>
      <c r="F34" s="53" t="s">
        <v>1</v>
      </c>
      <c r="G34" s="53" t="s">
        <v>1</v>
      </c>
      <c r="H34" s="53"/>
      <c r="I34" s="53"/>
      <c r="J34" s="53"/>
      <c r="K34" s="53"/>
      <c r="L34" s="53"/>
      <c r="M34" s="336">
        <f ca="1">IF(INDEX($D34:$L34,1,$K$7)="",0,VLOOKUP($W34,INDIRECT($V34&amp;"!O:U"),2,0))</f>
        <v>248.47739999999999</v>
      </c>
      <c r="N34" s="65">
        <f ca="1">VLOOKUP($W34,INDIRECT($V34&amp;"!O:U"),3,0)</f>
        <v>-26.500000000000004</v>
      </c>
      <c r="O34" s="65">
        <f ca="1">VLOOKUP($W34,INDIRECT($V34&amp;"!O:U"),4,0)</f>
        <v>-33.113102076889085</v>
      </c>
      <c r="P34" s="65">
        <f ca="1">VLOOKUP($W34,INDIRECT($V34&amp;"!O:U"),5,0)</f>
        <v>10.5</v>
      </c>
      <c r="Q34" s="337">
        <f ca="1">IF(INDEX($D34:$L34,1,$K$7)="",0,VLOOKUP($W34,INDIRECT($V34&amp;"!O:U"),6,0))</f>
        <v>12</v>
      </c>
      <c r="R34" s="337">
        <f ca="1">IF(INDEX($D34:$L34,1,$K$7)="",0,VLOOKUP($W34,INDIRECT($V34&amp;"!O:U"),7,0))</f>
        <v>15</v>
      </c>
      <c r="S34" s="91"/>
      <c r="T34" s="92"/>
      <c r="V34" s="530" t="s">
        <v>516</v>
      </c>
      <c r="W34" s="365" t="s">
        <v>554</v>
      </c>
    </row>
    <row r="35" spans="2:23" ht="15.95" customHeight="1" x14ac:dyDescent="0.2">
      <c r="B35" s="338"/>
      <c r="C35" s="339"/>
      <c r="D35" s="340"/>
      <c r="E35" s="340"/>
      <c r="F35" s="340"/>
      <c r="G35" s="340"/>
      <c r="H35" s="340"/>
      <c r="I35" s="340"/>
      <c r="J35" s="340"/>
      <c r="K35" s="340"/>
      <c r="L35" s="340"/>
      <c r="M35" s="341"/>
      <c r="N35" s="66"/>
      <c r="O35" s="66"/>
      <c r="P35" s="66"/>
      <c r="Q35" s="66"/>
      <c r="R35" s="66"/>
      <c r="S35" s="78"/>
      <c r="T35" s="67"/>
      <c r="V35" s="531"/>
    </row>
    <row r="36" spans="2:23" ht="15.95" customHeight="1" x14ac:dyDescent="0.2">
      <c r="B36" s="62"/>
      <c r="C36" s="71"/>
      <c r="D36" s="63"/>
      <c r="E36" s="32"/>
      <c r="F36" s="32"/>
      <c r="G36" s="32"/>
      <c r="H36" s="32"/>
      <c r="I36" s="32"/>
      <c r="J36" s="32"/>
      <c r="K36" s="32"/>
      <c r="L36" s="33" t="s">
        <v>5</v>
      </c>
      <c r="M36" s="4">
        <f ca="1">SUBTOTAL(9,$M29:$M35)</f>
        <v>501.74940000000004</v>
      </c>
      <c r="N36" s="354">
        <f ca="1">SUMPRODUCT(SUBTOTAL(9,OFFSET($M33:$M35,ROW($M33:$M35)-MIN(ROW($M33:$M35)),,1)),N33:N35)/MAX($M36,10^-10)</f>
        <v>-26.5</v>
      </c>
      <c r="O36" s="354">
        <f ca="1">SUMPRODUCT(SUBTOTAL(9,OFFSET($M33:$M35,ROW($M33:$M35)-MIN(ROW($M33:$M35)),,1)),O33:O35)/MAX($M36,10^-10)</f>
        <v>0.31822039049772738</v>
      </c>
      <c r="P36" s="354">
        <f ca="1">SUMPRODUCT(SUBTOTAL(9,OFFSET($M33:$M35,ROW($M33:$M35)-MIN(ROW($M33:$M35)),,1)),P33:P35)/MAX($M36,10^-10)</f>
        <v>10.5</v>
      </c>
      <c r="Q36" s="355">
        <f ca="1">SUBTOTAL(9,$Q33:$Q35)</f>
        <v>3012</v>
      </c>
      <c r="R36" s="355">
        <f ca="1">SUBTOTAL(9,$R33:$R35)</f>
        <v>3015</v>
      </c>
      <c r="S36" s="76"/>
      <c r="T36" s="34"/>
      <c r="V36" s="531"/>
    </row>
    <row r="37" spans="2:23" ht="15.95" customHeight="1" x14ac:dyDescent="0.2">
      <c r="B37" s="325"/>
      <c r="C37" s="326"/>
      <c r="D37" s="327"/>
      <c r="E37" s="328"/>
      <c r="F37" s="328"/>
      <c r="G37" s="328"/>
      <c r="H37" s="20"/>
      <c r="I37" s="20"/>
      <c r="J37" s="20"/>
      <c r="K37" s="20"/>
      <c r="L37" s="329"/>
      <c r="M37" s="10"/>
      <c r="N37" s="11"/>
      <c r="O37" s="11"/>
      <c r="P37" s="11"/>
      <c r="Q37" s="10"/>
      <c r="R37" s="10"/>
      <c r="S37" s="75"/>
      <c r="T37" s="330"/>
      <c r="V37" s="531"/>
    </row>
    <row r="38" spans="2:23" ht="15.95" customHeight="1" x14ac:dyDescent="0.2">
      <c r="B38" s="17" t="s">
        <v>496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21"/>
      <c r="O38" s="21"/>
      <c r="P38" s="21"/>
      <c r="Q38" s="21"/>
      <c r="R38" s="21"/>
      <c r="S38" s="5"/>
      <c r="T38" s="18"/>
      <c r="V38" s="531"/>
    </row>
    <row r="39" spans="2:23" ht="15.95" customHeight="1" x14ac:dyDescent="0.2">
      <c r="B39" s="331" t="s">
        <v>487</v>
      </c>
      <c r="C39" s="332"/>
      <c r="D39" s="333" t="s">
        <v>1</v>
      </c>
      <c r="E39" s="333"/>
      <c r="F39" s="333"/>
      <c r="G39" s="333"/>
      <c r="H39" s="333"/>
      <c r="I39" s="333"/>
      <c r="J39" s="333"/>
      <c r="K39" s="333"/>
      <c r="L39" s="333"/>
      <c r="M39" s="334">
        <f ca="1">IF(INDEX($D39:$L39,1,$K$7)="",0,VLOOKUP($W39,INDIRECT($V39&amp;"!O:U"),2,0))</f>
        <v>0</v>
      </c>
      <c r="N39" s="64">
        <f ca="1">VLOOKUP($W39,INDIRECT($V39&amp;"!O:U"),3,0)</f>
        <v>-22.724999999999998</v>
      </c>
      <c r="O39" s="64">
        <f ca="1">VLOOKUP($W39,INDIRECT($V39&amp;"!O:U"),4,0)</f>
        <v>20.418749999999999</v>
      </c>
      <c r="P39" s="64">
        <f ca="1">VLOOKUP($W39,INDIRECT($V39&amp;"!O:U"),5,0)</f>
        <v>32.20000000000001</v>
      </c>
      <c r="Q39" s="335">
        <f ca="1">IF(INDEX($D39:$L39,1,$K$7)="",0,VLOOKUP($W39,INDIRECT($V39&amp;"!O:U"),6,0))</f>
        <v>0</v>
      </c>
      <c r="R39" s="335">
        <f ca="1">IF(INDEX($D39:$L39,1,$K$7)="",0,VLOOKUP($W39,INDIRECT($V39&amp;"!O:U"),7,0))</f>
        <v>0</v>
      </c>
      <c r="S39" s="89"/>
      <c r="T39" s="90"/>
      <c r="V39" s="530" t="s">
        <v>516</v>
      </c>
      <c r="W39" s="365" t="s">
        <v>534</v>
      </c>
    </row>
    <row r="40" spans="2:23" ht="15.95" customHeight="1" x14ac:dyDescent="0.2">
      <c r="B40" s="22" t="s">
        <v>489</v>
      </c>
      <c r="C40" s="72"/>
      <c r="D40" s="53" t="s">
        <v>1</v>
      </c>
      <c r="E40" s="53" t="s">
        <v>1</v>
      </c>
      <c r="F40" s="53" t="s">
        <v>1</v>
      </c>
      <c r="G40" s="53" t="s">
        <v>1</v>
      </c>
      <c r="H40" s="53"/>
      <c r="I40" s="53"/>
      <c r="J40" s="53"/>
      <c r="K40" s="53"/>
      <c r="L40" s="53"/>
      <c r="M40" s="336">
        <f ca="1">IF(INDEX($D40:$L40,1,$K$7)="",0,VLOOKUP($W40,INDIRECT($V40&amp;"!O:U"),2,0))</f>
        <v>75</v>
      </c>
      <c r="N40" s="65">
        <f ca="1">VLOOKUP($W40,INDIRECT($V40&amp;"!O:U"),3,0)</f>
        <v>-24.712</v>
      </c>
      <c r="O40" s="65">
        <f ca="1">VLOOKUP($W40,INDIRECT($V40&amp;"!O:U"),4,0)</f>
        <v>18.184000000000001</v>
      </c>
      <c r="P40" s="65">
        <f ca="1">VLOOKUP($W40,INDIRECT($V40&amp;"!O:U"),5,0)</f>
        <v>31.666666666666668</v>
      </c>
      <c r="Q40" s="337">
        <f ca="1">IF(INDEX($D40:$L40,1,$K$7)="",0,VLOOKUP($W40,INDIRECT($V40&amp;"!O:U"),6,0))</f>
        <v>16</v>
      </c>
      <c r="R40" s="337">
        <f ca="1">IF(INDEX($D40:$L40,1,$K$7)="",0,VLOOKUP($W40,INDIRECT($V40&amp;"!O:U"),7,0))</f>
        <v>20</v>
      </c>
      <c r="S40" s="91"/>
      <c r="T40" s="92"/>
      <c r="V40" s="530" t="s">
        <v>516</v>
      </c>
      <c r="W40" s="365" t="s">
        <v>535</v>
      </c>
    </row>
    <row r="41" spans="2:23" ht="15.95" customHeight="1" x14ac:dyDescent="0.2">
      <c r="B41" s="22" t="s">
        <v>488</v>
      </c>
      <c r="C41" s="72"/>
      <c r="D41" s="53" t="s">
        <v>1</v>
      </c>
      <c r="E41" s="53" t="s">
        <v>1</v>
      </c>
      <c r="F41" s="53" t="s">
        <v>1</v>
      </c>
      <c r="G41" s="53" t="s">
        <v>1</v>
      </c>
      <c r="H41" s="53"/>
      <c r="I41" s="53"/>
      <c r="J41" s="53"/>
      <c r="K41" s="53"/>
      <c r="L41" s="53"/>
      <c r="M41" s="336">
        <f ca="1">IF(INDEX($D41:$L41,1,$K$7)="",0,VLOOKUP($W41,INDIRECT($V41&amp;"!O:U"),2,0))</f>
        <v>254</v>
      </c>
      <c r="N41" s="65">
        <f ca="1">VLOOKUP($W41,INDIRECT($V41&amp;"!O:U"),3,0)</f>
        <v>0.38188976377952755</v>
      </c>
      <c r="O41" s="65">
        <f ca="1">VLOOKUP($W41,INDIRECT($V41&amp;"!O:U"),4,0)</f>
        <v>-4.4980314960629917</v>
      </c>
      <c r="P41" s="65">
        <f ca="1">VLOOKUP($W41,INDIRECT($V41&amp;"!O:U"),5,0)</f>
        <v>33.399999999999991</v>
      </c>
      <c r="Q41" s="337">
        <f ca="1">IF(INDEX($D41:$L41,1,$K$7)="",0,VLOOKUP($W41,INDIRECT($V41&amp;"!O:U"),6,0))</f>
        <v>4</v>
      </c>
      <c r="R41" s="337">
        <f ca="1">IF(INDEX($D41:$L41,1,$K$7)="",0,VLOOKUP($W41,INDIRECT($V41&amp;"!O:U"),7,0))</f>
        <v>5</v>
      </c>
      <c r="S41" s="91"/>
      <c r="T41" s="92"/>
      <c r="V41" s="530" t="s">
        <v>516</v>
      </c>
      <c r="W41" s="365" t="s">
        <v>536</v>
      </c>
    </row>
    <row r="42" spans="2:23" ht="15.95" customHeight="1" x14ac:dyDescent="0.2">
      <c r="B42" s="22" t="s">
        <v>490</v>
      </c>
      <c r="C42" s="72"/>
      <c r="D42" s="53" t="s">
        <v>1</v>
      </c>
      <c r="E42" s="53" t="s">
        <v>1</v>
      </c>
      <c r="F42" s="53" t="s">
        <v>1</v>
      </c>
      <c r="G42" s="53" t="s">
        <v>1</v>
      </c>
      <c r="H42" s="53"/>
      <c r="I42" s="53"/>
      <c r="J42" s="53"/>
      <c r="K42" s="53"/>
      <c r="L42" s="53"/>
      <c r="M42" s="336">
        <f ca="1">IF(INDEX($D42:$L42,1,$K$7)="",0,VLOOKUP($W42,INDIRECT($V42&amp;"!O:U"),2,0))</f>
        <v>245</v>
      </c>
      <c r="N42" s="65">
        <f ca="1">VLOOKUP($W42,INDIRECT($V42&amp;"!O:U"),3,0)</f>
        <v>13.738775510204082</v>
      </c>
      <c r="O42" s="65">
        <f ca="1">VLOOKUP($W42,INDIRECT($V42&amp;"!O:U"),4,0)</f>
        <v>1.4285714285714286</v>
      </c>
      <c r="P42" s="65">
        <f ca="1">VLOOKUP($W42,INDIRECT($V42&amp;"!O:U"),5,0)</f>
        <v>33.4</v>
      </c>
      <c r="Q42" s="337">
        <f ca="1">IF(INDEX($D42:$L42,1,$K$7)="",0,VLOOKUP($W42,INDIRECT($V42&amp;"!O:U"),6,0))</f>
        <v>0</v>
      </c>
      <c r="R42" s="337">
        <f ca="1">IF(INDEX($D42:$L42,1,$K$7)="",0,VLOOKUP($W42,INDIRECT($V42&amp;"!O:U"),7,0))</f>
        <v>0</v>
      </c>
      <c r="S42" s="91"/>
      <c r="T42" s="92"/>
      <c r="V42" s="530" t="s">
        <v>516</v>
      </c>
      <c r="W42" s="365" t="s">
        <v>537</v>
      </c>
    </row>
    <row r="43" spans="2:23" ht="15.95" customHeight="1" x14ac:dyDescent="0.2">
      <c r="B43" s="25" t="s">
        <v>40</v>
      </c>
      <c r="C43" s="70"/>
      <c r="D43" s="54" t="s">
        <v>1</v>
      </c>
      <c r="E43" s="54" t="s">
        <v>1</v>
      </c>
      <c r="F43" s="54" t="s">
        <v>1</v>
      </c>
      <c r="G43" s="54" t="s">
        <v>1</v>
      </c>
      <c r="H43" s="54"/>
      <c r="I43" s="54"/>
      <c r="J43" s="54"/>
      <c r="K43" s="54"/>
      <c r="L43" s="54"/>
      <c r="M43" s="336">
        <f ca="1">IF(INDEX($D43:$L43,1,$K$7)="",0,VLOOKUP($W43,INDIRECT($V43&amp;"!O:U"),2,0))</f>
        <v>50</v>
      </c>
      <c r="N43" s="65">
        <f ca="1">VLOOKUP($W43,INDIRECT($V43&amp;"!O:U"),3,0)</f>
        <v>22</v>
      </c>
      <c r="O43" s="65">
        <f ca="1">VLOOKUP($W43,INDIRECT($V43&amp;"!O:U"),4,0)</f>
        <v>0</v>
      </c>
      <c r="P43" s="65">
        <f ca="1">VLOOKUP($W43,INDIRECT($V43&amp;"!O:U"),5,0)</f>
        <v>34</v>
      </c>
      <c r="Q43" s="337" t="str">
        <f ca="1">IF(INDEX($D43:$L43,1,$K$7)="",0,VLOOKUP($W43,INDIRECT($V43&amp;"!O:U"),6,0))</f>
        <v>n/a</v>
      </c>
      <c r="R43" s="337" t="str">
        <f ca="1">IF(INDEX($D43:$L43,1,$K$7)="",0,VLOOKUP($W43,INDIRECT($V43&amp;"!O:U"),7,0))</f>
        <v>n/a</v>
      </c>
      <c r="S43" s="91"/>
      <c r="T43" s="92"/>
      <c r="V43" s="530" t="s">
        <v>516</v>
      </c>
      <c r="W43" s="365" t="s">
        <v>538</v>
      </c>
    </row>
    <row r="44" spans="2:23" ht="15.95" customHeight="1" x14ac:dyDescent="0.2">
      <c r="B44" s="338"/>
      <c r="C44" s="339"/>
      <c r="D44" s="340"/>
      <c r="E44" s="340"/>
      <c r="F44" s="340"/>
      <c r="G44" s="340"/>
      <c r="H44" s="340"/>
      <c r="I44" s="340"/>
      <c r="J44" s="340"/>
      <c r="K44" s="340"/>
      <c r="L44" s="340"/>
      <c r="M44" s="341"/>
      <c r="N44" s="66"/>
      <c r="O44" s="66"/>
      <c r="P44" s="66"/>
      <c r="Q44" s="66"/>
      <c r="R44" s="66"/>
      <c r="S44" s="78"/>
      <c r="T44" s="67"/>
      <c r="V44" s="308"/>
    </row>
    <row r="45" spans="2:23" ht="15.95" customHeight="1" x14ac:dyDescent="0.2">
      <c r="B45" s="62"/>
      <c r="C45" s="71"/>
      <c r="D45" s="63"/>
      <c r="E45" s="32"/>
      <c r="F45" s="32"/>
      <c r="G45" s="32"/>
      <c r="H45" s="32"/>
      <c r="I45" s="32"/>
      <c r="J45" s="32"/>
      <c r="K45" s="32"/>
      <c r="L45" s="33" t="s">
        <v>5</v>
      </c>
      <c r="M45" s="4">
        <f ca="1">SUBTOTAL(9,$M39:$M44)</f>
        <v>624</v>
      </c>
      <c r="N45" s="354">
        <f ca="1">SUMPRODUCT(SUBTOTAL(9,OFFSET($M39:$M44,ROW($M39:$M44)-MIN(ROW($M39:$M44)),,1)),N39:N44)/MAX($M45,10^-10)</f>
        <v>4.342307692307692</v>
      </c>
      <c r="O45" s="354">
        <f ca="1">SUMPRODUCT(SUBTOTAL(9,OFFSET($M39:$M44,ROW($M39:$M44)-MIN(ROW($M39:$M44)),,1)),O39:O44)/MAX($M45,10^-10)</f>
        <v>0.91554487179487209</v>
      </c>
      <c r="P45" s="354">
        <f ca="1">SUMPRODUCT(SUBTOTAL(9,OFFSET($M39:$M44,ROW($M39:$M44)-MIN(ROW($M39:$M44)),,1)),P39:P44)/MAX($M45,10^-10)</f>
        <v>33.23974358974359</v>
      </c>
      <c r="Q45" s="355">
        <f ca="1">SUBTOTAL(9,$Q39:$Q44)</f>
        <v>20</v>
      </c>
      <c r="R45" s="355">
        <f ca="1">SUBTOTAL(9,$R39:$R44)</f>
        <v>25</v>
      </c>
      <c r="S45" s="76"/>
      <c r="T45" s="34"/>
      <c r="V45" s="308"/>
    </row>
    <row r="46" spans="2:23" ht="15.95" customHeight="1" x14ac:dyDescent="0.2">
      <c r="B46" s="325"/>
      <c r="C46" s="326"/>
      <c r="D46" s="327"/>
      <c r="E46" s="328"/>
      <c r="F46" s="328"/>
      <c r="G46" s="328"/>
      <c r="H46" s="20"/>
      <c r="I46" s="20"/>
      <c r="J46" s="20"/>
      <c r="K46" s="20"/>
      <c r="L46" s="329"/>
      <c r="M46" s="10"/>
      <c r="N46" s="11"/>
      <c r="O46" s="11"/>
      <c r="P46" s="11"/>
      <c r="Q46" s="10"/>
      <c r="R46" s="10"/>
      <c r="S46" s="75"/>
      <c r="T46" s="330"/>
      <c r="V46" s="308"/>
    </row>
    <row r="47" spans="2:23" ht="15.95" customHeight="1" x14ac:dyDescent="0.2">
      <c r="B47" s="17" t="s">
        <v>497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21"/>
      <c r="O47" s="21"/>
      <c r="P47" s="21"/>
      <c r="Q47" s="21"/>
      <c r="R47" s="21"/>
      <c r="S47" s="5"/>
      <c r="T47" s="18"/>
    </row>
    <row r="48" spans="2:23" ht="15.95" customHeight="1" x14ac:dyDescent="0.2">
      <c r="B48" s="331" t="s">
        <v>376</v>
      </c>
      <c r="C48" s="332"/>
      <c r="D48" s="333" t="s">
        <v>1</v>
      </c>
      <c r="E48" s="333" t="s">
        <v>1</v>
      </c>
      <c r="F48" s="333" t="s">
        <v>1</v>
      </c>
      <c r="G48" s="333" t="s">
        <v>1</v>
      </c>
      <c r="H48" s="333"/>
      <c r="I48" s="333"/>
      <c r="J48" s="333"/>
      <c r="K48" s="333"/>
      <c r="L48" s="333"/>
      <c r="M48" s="334">
        <f ca="1">IF(INDEX($D48:$L48,1,$K$7)="",0,VLOOKUP($W48,INDIRECT($V48&amp;"!O:U"),2,0))</f>
        <v>741.8784580498866</v>
      </c>
      <c r="N48" s="64">
        <f ca="1">VLOOKUP($W48,INDIRECT($V48&amp;"!O:U"),3,0)</f>
        <v>-5.2350312560748531</v>
      </c>
      <c r="O48" s="64">
        <f ca="1">VLOOKUP($W48,INDIRECT($V48&amp;"!O:U"),4,0)</f>
        <v>0</v>
      </c>
      <c r="P48" s="64">
        <f ca="1">VLOOKUP($W48,INDIRECT($V48&amp;"!O:U"),5,0)</f>
        <v>37.6</v>
      </c>
      <c r="Q48" s="335">
        <f ca="1">IF(INDEX($D48:$L48,1,$K$7)="",0,VLOOKUP($W48,INDIRECT($V48&amp;"!O:U"),6,0))</f>
        <v>0</v>
      </c>
      <c r="R48" s="335">
        <f ca="1">IF(INDEX($D48:$L48,1,$K$7)="",0,VLOOKUP($W48,INDIRECT($V48&amp;"!O:U"),7,0))</f>
        <v>0</v>
      </c>
      <c r="S48" s="89"/>
      <c r="T48" s="90"/>
      <c r="V48" s="530" t="s">
        <v>516</v>
      </c>
      <c r="W48" s="365" t="s">
        <v>542</v>
      </c>
    </row>
    <row r="49" spans="2:23" ht="15.95" customHeight="1" x14ac:dyDescent="0.2">
      <c r="B49" s="22" t="s">
        <v>41</v>
      </c>
      <c r="C49" s="72"/>
      <c r="D49" s="53" t="s">
        <v>1</v>
      </c>
      <c r="E49" s="53"/>
      <c r="F49" s="53"/>
      <c r="G49" s="53"/>
      <c r="H49" s="53"/>
      <c r="I49" s="53"/>
      <c r="J49" s="53"/>
      <c r="K49" s="53"/>
      <c r="L49" s="53"/>
      <c r="M49" s="336">
        <f ca="1">IF(INDEX($D49:$L49,1,$K$7)="",0,VLOOKUP($W49,INDIRECT($V49&amp;"!O:U"),2,0))</f>
        <v>0</v>
      </c>
      <c r="N49" s="65">
        <f ca="1">VLOOKUP($W49,INDIRECT($V49&amp;"!O:U"),3,0)</f>
        <v>4</v>
      </c>
      <c r="O49" s="65">
        <f ca="1">VLOOKUP($W49,INDIRECT($V49&amp;"!O:U"),4,0)</f>
        <v>0</v>
      </c>
      <c r="P49" s="65">
        <f ca="1">VLOOKUP($W49,INDIRECT($V49&amp;"!O:U"),5,0)</f>
        <v>68.8</v>
      </c>
      <c r="Q49" s="337">
        <f ca="1">IF(INDEX($D49:$L49,1,$K$7)="",0,VLOOKUP($W49,INDIRECT($V49&amp;"!O:U"),6,0))</f>
        <v>0</v>
      </c>
      <c r="R49" s="337">
        <f ca="1">IF(INDEX($D49:$L49,1,$K$7)="",0,VLOOKUP($W49,INDIRECT($V49&amp;"!O:U"),7,0))</f>
        <v>0</v>
      </c>
      <c r="S49" s="91"/>
      <c r="T49" s="92"/>
      <c r="V49" s="530" t="s">
        <v>516</v>
      </c>
      <c r="W49" s="365" t="s">
        <v>539</v>
      </c>
    </row>
    <row r="50" spans="2:23" ht="15.95" customHeight="1" x14ac:dyDescent="0.2">
      <c r="B50" s="22" t="s">
        <v>491</v>
      </c>
      <c r="C50" s="72"/>
      <c r="D50" s="53" t="s">
        <v>1</v>
      </c>
      <c r="E50" s="53"/>
      <c r="F50" s="53"/>
      <c r="G50" s="53"/>
      <c r="H50" s="53"/>
      <c r="I50" s="53"/>
      <c r="J50" s="53"/>
      <c r="K50" s="53"/>
      <c r="L50" s="53"/>
      <c r="M50" s="336">
        <f ca="1">IF(INDEX($D50:$L50,1,$K$7)="",0,VLOOKUP($W50,INDIRECT($V50&amp;"!O:U"),2,0))</f>
        <v>0</v>
      </c>
      <c r="N50" s="65">
        <f ca="1">VLOOKUP($W50,INDIRECT($V50&amp;"!O:U"),3,0)</f>
        <v>-6.31</v>
      </c>
      <c r="O50" s="65">
        <f ca="1">VLOOKUP($W50,INDIRECT($V50&amp;"!O:U"),4,0)</f>
        <v>0</v>
      </c>
      <c r="P50" s="65">
        <f ca="1">VLOOKUP($W50,INDIRECT($V50&amp;"!O:U"),5,0)</f>
        <v>36.6</v>
      </c>
      <c r="Q50" s="337">
        <f ca="1">IF(INDEX($D50:$L50,1,$K$7)="",0,VLOOKUP($W50,INDIRECT($V50&amp;"!O:U"),6,0))</f>
        <v>0</v>
      </c>
      <c r="R50" s="337">
        <f ca="1">IF(INDEX($D50:$L50,1,$K$7)="",0,VLOOKUP($W50,INDIRECT($V50&amp;"!O:U"),7,0))</f>
        <v>0</v>
      </c>
      <c r="S50" s="91"/>
      <c r="T50" s="92"/>
      <c r="V50" s="530" t="s">
        <v>516</v>
      </c>
      <c r="W50" s="365" t="s">
        <v>540</v>
      </c>
    </row>
    <row r="51" spans="2:23" ht="15.95" customHeight="1" x14ac:dyDescent="0.2">
      <c r="B51" s="25" t="s">
        <v>493</v>
      </c>
      <c r="C51" s="70"/>
      <c r="D51" s="53" t="s">
        <v>1</v>
      </c>
      <c r="E51" s="53"/>
      <c r="F51" s="53"/>
      <c r="G51" s="53"/>
      <c r="H51" s="54"/>
      <c r="I51" s="54"/>
      <c r="J51" s="54"/>
      <c r="K51" s="54"/>
      <c r="L51" s="54"/>
      <c r="M51" s="336">
        <f ca="1">IF(INDEX($D51:$L51,1,$K$7)="",0,VLOOKUP($W51,INDIRECT($V51&amp;"!O:U"),2,0))</f>
        <v>0</v>
      </c>
      <c r="N51" s="65">
        <f ca="1">VLOOKUP($W51,INDIRECT($V51&amp;"!O:U"),3,0)</f>
        <v>0</v>
      </c>
      <c r="O51" s="65">
        <f ca="1">VLOOKUP($W51,INDIRECT($V51&amp;"!O:U"),4,0)</f>
        <v>0</v>
      </c>
      <c r="P51" s="65">
        <f ca="1">VLOOKUP($W51,INDIRECT($V51&amp;"!O:U"),5,0)</f>
        <v>36.999999999999993</v>
      </c>
      <c r="Q51" s="337">
        <f ca="1">IF(INDEX($D51:$L51,1,$K$7)="",0,VLOOKUP($W51,INDIRECT($V51&amp;"!O:U"),6,0))</f>
        <v>0</v>
      </c>
      <c r="R51" s="337">
        <f ca="1">IF(INDEX($D51:$L51,1,$K$7)="",0,VLOOKUP($W51,INDIRECT($V51&amp;"!O:U"),7,0))</f>
        <v>0</v>
      </c>
      <c r="S51" s="91"/>
      <c r="T51" s="92"/>
      <c r="V51" s="530" t="s">
        <v>516</v>
      </c>
      <c r="W51" s="365" t="s">
        <v>541</v>
      </c>
    </row>
    <row r="52" spans="2:23" ht="15.95" customHeight="1" x14ac:dyDescent="0.2">
      <c r="B52" s="338"/>
      <c r="C52" s="339"/>
      <c r="D52" s="340"/>
      <c r="E52" s="340"/>
      <c r="F52" s="340"/>
      <c r="G52" s="340"/>
      <c r="H52" s="340"/>
      <c r="I52" s="340"/>
      <c r="J52" s="340"/>
      <c r="K52" s="340"/>
      <c r="L52" s="340"/>
      <c r="M52" s="341"/>
      <c r="N52" s="66"/>
      <c r="O52" s="66"/>
      <c r="P52" s="66"/>
      <c r="Q52" s="66"/>
      <c r="R52" s="66"/>
      <c r="S52" s="78"/>
      <c r="T52" s="67"/>
      <c r="V52" s="308"/>
    </row>
    <row r="53" spans="2:23" ht="15.95" customHeight="1" x14ac:dyDescent="0.2">
      <c r="B53" s="62"/>
      <c r="C53" s="71"/>
      <c r="D53" s="63"/>
      <c r="E53" s="32"/>
      <c r="F53" s="32"/>
      <c r="G53" s="32"/>
      <c r="H53" s="32"/>
      <c r="I53" s="32"/>
      <c r="J53" s="32"/>
      <c r="K53" s="32"/>
      <c r="L53" s="33" t="s">
        <v>5</v>
      </c>
      <c r="M53" s="4">
        <f ca="1">SUBTOTAL(9,$M48:$M52)</f>
        <v>741.8784580498866</v>
      </c>
      <c r="N53" s="354">
        <f ca="1">SUMPRODUCT(SUBTOTAL(9,OFFSET($M48:$M52,ROW($M48:$M52)-MIN(ROW($M48:$M52)),,1)),N48:N52)/MAX($M53,10^-10)</f>
        <v>-5.2350312560748531</v>
      </c>
      <c r="O53" s="354">
        <f ca="1">SUMPRODUCT(SUBTOTAL(9,OFFSET($M48:$M52,ROW($M48:$M52)-MIN(ROW($M48:$M52)),,1)),O48:O52)/MAX($M53,10^-10)</f>
        <v>0</v>
      </c>
      <c r="P53" s="354">
        <f ca="1">SUMPRODUCT(SUBTOTAL(9,OFFSET($M48:$M52,ROW($M48:$M52)-MIN(ROW($M48:$M52)),,1)),P48:P52)/MAX($M53,10^-10)</f>
        <v>37.6</v>
      </c>
      <c r="Q53" s="355">
        <f ca="1">SUBTOTAL(9,$Q48:$Q52)</f>
        <v>0</v>
      </c>
      <c r="R53" s="355">
        <f ca="1">SUBTOTAL(9,$R48:$R52)</f>
        <v>0</v>
      </c>
      <c r="S53" s="76"/>
      <c r="T53" s="34"/>
      <c r="V53" s="308"/>
    </row>
    <row r="54" spans="2:23" ht="15.95" customHeight="1" thickBot="1" x14ac:dyDescent="0.25">
      <c r="B54" s="325"/>
      <c r="C54" s="326"/>
      <c r="D54" s="327"/>
      <c r="E54" s="328"/>
      <c r="F54" s="328"/>
      <c r="G54" s="328"/>
      <c r="H54" s="20"/>
      <c r="I54" s="20"/>
      <c r="J54" s="20"/>
      <c r="K54" s="20"/>
      <c r="L54" s="329"/>
      <c r="M54" s="10"/>
      <c r="N54" s="11"/>
      <c r="O54" s="11"/>
      <c r="P54" s="11"/>
      <c r="Q54" s="10"/>
      <c r="R54" s="10"/>
      <c r="S54" s="75"/>
      <c r="T54" s="330"/>
      <c r="V54" s="308"/>
    </row>
    <row r="55" spans="2:23" ht="15.95" customHeight="1" thickTop="1" x14ac:dyDescent="0.2">
      <c r="B55" s="356"/>
      <c r="C55" s="357"/>
      <c r="D55" s="370"/>
      <c r="E55" s="371"/>
      <c r="F55" s="371"/>
      <c r="G55" s="371"/>
      <c r="H55" s="371"/>
      <c r="I55" s="371"/>
      <c r="J55" s="371"/>
      <c r="K55" s="371"/>
      <c r="L55" s="487" t="s">
        <v>517</v>
      </c>
      <c r="M55" s="372">
        <f ca="1">SUBTOTAL(9,$M19:$M54)</f>
        <v>2098.0278580498866</v>
      </c>
      <c r="N55" s="373">
        <f ca="1">SUMPRODUCT(SUBTOTAL(9,OFFSET($M19:$M54,ROW($M19:$M54)-MIN(ROW($M19:$M54)),,1)),N19:N54)/MAX($M55,10^-10)</f>
        <v>-2.1366141535729724</v>
      </c>
      <c r="O55" s="373">
        <f ca="1">SUMPRODUCT(SUBTOTAL(9,OFFSET($M19:$M54,ROW($M19:$M54)-MIN(ROW($M19:$M54)),,1)),O19:O54)/MAX($M55,10^-10)</f>
        <v>0.34840666542885329</v>
      </c>
      <c r="P55" s="373">
        <f ca="1">SUMPRODUCT(SUBTOTAL(9,OFFSET($M19:$M54,ROW($M19:$M54)-MIN(ROW($M19:$M54)),,1)),P19:P54)/MAX($M55,10^-10)</f>
        <v>26.846068085591874</v>
      </c>
      <c r="Q55" s="372">
        <f ca="1">SUBTOTAL(9,$Q19:$Q54)</f>
        <v>3032</v>
      </c>
      <c r="R55" s="372">
        <f ca="1">SUBTOTAL(9,$R19:$R54)</f>
        <v>3040</v>
      </c>
      <c r="S55" s="358"/>
      <c r="T55" s="359"/>
      <c r="V55" s="308"/>
    </row>
    <row r="56" spans="2:23" ht="15.95" customHeight="1" x14ac:dyDescent="0.2">
      <c r="B56" s="325"/>
      <c r="C56" s="326"/>
      <c r="D56" s="327"/>
      <c r="E56" s="328"/>
      <c r="F56" s="328"/>
      <c r="G56" s="328"/>
      <c r="H56" s="20"/>
      <c r="I56" s="20"/>
      <c r="J56" s="20"/>
      <c r="K56" s="20"/>
      <c r="L56" s="329"/>
      <c r="M56" s="10"/>
      <c r="N56" s="11"/>
      <c r="O56" s="11"/>
      <c r="P56" s="11"/>
      <c r="Q56" s="10"/>
      <c r="R56" s="10"/>
      <c r="S56" s="75"/>
      <c r="T56" s="330"/>
      <c r="V56" s="308"/>
    </row>
    <row r="57" spans="2:23" ht="15.95" customHeight="1" x14ac:dyDescent="0.2">
      <c r="B57" s="374" t="s">
        <v>519</v>
      </c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6"/>
      <c r="O57" s="376"/>
      <c r="P57" s="376"/>
      <c r="Q57" s="376"/>
      <c r="R57" s="376"/>
      <c r="S57" s="378"/>
      <c r="T57" s="377"/>
    </row>
    <row r="58" spans="2:23" ht="15.95" customHeight="1" x14ac:dyDescent="0.2">
      <c r="B58" s="331" t="s">
        <v>512</v>
      </c>
      <c r="C58" s="332"/>
      <c r="D58" s="333" t="s">
        <v>1</v>
      </c>
      <c r="E58" s="333" t="s">
        <v>1</v>
      </c>
      <c r="F58" s="333" t="s">
        <v>1</v>
      </c>
      <c r="G58" s="333" t="s">
        <v>1</v>
      </c>
      <c r="H58" s="333"/>
      <c r="I58" s="333"/>
      <c r="J58" s="333"/>
      <c r="K58" s="333"/>
      <c r="L58" s="333"/>
      <c r="M58" s="334">
        <f ca="1">IF(INDEX($D58:$L58,1,$K$7)="",0,VLOOKUP($W58,INDIRECT($V58&amp;"!O:U"),2,0))</f>
        <v>254.87882423588377</v>
      </c>
      <c r="N58" s="64">
        <f ca="1">VLOOKUP($W58,INDIRECT($V58&amp;"!O:U"),3,0)</f>
        <v>12.78</v>
      </c>
      <c r="O58" s="64">
        <f ca="1">VLOOKUP($W58,INDIRECT($V58&amp;"!O:U"),4,0)</f>
        <v>23</v>
      </c>
      <c r="P58" s="64">
        <f ca="1">VLOOKUP($W58,INDIRECT($V58&amp;"!O:U"),5,0)</f>
        <v>3.3</v>
      </c>
      <c r="Q58" s="335">
        <f ca="1">IF(INDEX($D58:$L58,1,$K$7)="",0,VLOOKUP($W58,INDIRECT($V58&amp;"!O:U"),6,0))</f>
        <v>1000</v>
      </c>
      <c r="R58" s="335">
        <f ca="1">IF(INDEX($D58:$L58,1,$K$7)="",0,VLOOKUP($W58,INDIRECT($V58&amp;"!O:U"),7,0))</f>
        <v>1000</v>
      </c>
      <c r="S58" s="89"/>
      <c r="T58" s="90"/>
      <c r="V58" s="307" t="str">
        <f>"CONS"&amp;$K$7</f>
        <v>CONS3</v>
      </c>
      <c r="W58" s="365" t="s">
        <v>533</v>
      </c>
    </row>
    <row r="59" spans="2:23" ht="15.95" customHeight="1" x14ac:dyDescent="0.2">
      <c r="B59" s="22" t="s">
        <v>513</v>
      </c>
      <c r="C59" s="72"/>
      <c r="D59" s="53" t="s">
        <v>1</v>
      </c>
      <c r="E59" s="53" t="s">
        <v>1</v>
      </c>
      <c r="F59" s="53" t="s">
        <v>1</v>
      </c>
      <c r="G59" s="53" t="s">
        <v>1</v>
      </c>
      <c r="H59" s="53"/>
      <c r="I59" s="53"/>
      <c r="J59" s="53"/>
      <c r="K59" s="53"/>
      <c r="L59" s="53"/>
      <c r="M59" s="336">
        <f ca="1">IF(INDEX($D59:$L59,1,$K$7)="",0,VLOOKUP($W59,INDIRECT($V59&amp;"!O:U"),2,0))</f>
        <v>254.87882423588377</v>
      </c>
      <c r="N59" s="65">
        <f ca="1">VLOOKUP($W59,INDIRECT($V59&amp;"!O:U"),3,0)</f>
        <v>12.78</v>
      </c>
      <c r="O59" s="65">
        <f ca="1">VLOOKUP($W59,INDIRECT($V59&amp;"!O:U"),4,0)</f>
        <v>-23</v>
      </c>
      <c r="P59" s="65">
        <f ca="1">VLOOKUP($W59,INDIRECT($V59&amp;"!O:U"),5,0)</f>
        <v>3.3</v>
      </c>
      <c r="Q59" s="337">
        <f ca="1">IF(INDEX($D59:$L59,1,$K$7)="",0,VLOOKUP($W59,INDIRECT($V59&amp;"!O:U"),6,0))</f>
        <v>1000</v>
      </c>
      <c r="R59" s="337">
        <f ca="1">IF(INDEX($D59:$L59,1,$K$7)="",0,VLOOKUP($W59,INDIRECT($V59&amp;"!O:U"),7,0))</f>
        <v>1000</v>
      </c>
      <c r="S59" s="91"/>
      <c r="T59" s="92"/>
      <c r="V59" s="307" t="str">
        <f>"CONS"&amp;$K$7</f>
        <v>CONS3</v>
      </c>
      <c r="W59" s="365" t="s">
        <v>547</v>
      </c>
    </row>
    <row r="60" spans="2:23" ht="15.95" customHeight="1" x14ac:dyDescent="0.2">
      <c r="B60" s="22" t="s">
        <v>514</v>
      </c>
      <c r="C60" s="72"/>
      <c r="D60" s="53" t="s">
        <v>1</v>
      </c>
      <c r="E60" s="53" t="s">
        <v>1</v>
      </c>
      <c r="F60" s="53" t="s">
        <v>1</v>
      </c>
      <c r="G60" s="53" t="s">
        <v>1</v>
      </c>
      <c r="H60" s="53"/>
      <c r="I60" s="53"/>
      <c r="J60" s="53"/>
      <c r="K60" s="53"/>
      <c r="L60" s="53"/>
      <c r="M60" s="336">
        <f ca="1">IF(INDEX($D60:$L60,1,$K$7)="",0,VLOOKUP($W60,INDIRECT($V60&amp;"!O:U"),2,0))</f>
        <v>748.62358057891743</v>
      </c>
      <c r="N60" s="65">
        <f ca="1">VLOOKUP($W60,INDIRECT($V60&amp;"!O:U"),3,0)</f>
        <v>-16.8</v>
      </c>
      <c r="O60" s="65">
        <f ca="1">VLOOKUP($W60,INDIRECT($V60&amp;"!O:U"),4,0)</f>
        <v>0</v>
      </c>
      <c r="P60" s="65">
        <f ca="1">VLOOKUP($W60,INDIRECT($V60&amp;"!O:U"),5,0)</f>
        <v>3.3000000000000003</v>
      </c>
      <c r="Q60" s="337">
        <f ca="1">IF(INDEX($D60:$L60,1,$K$7)="",0,VLOOKUP($W60,INDIRECT($V60&amp;"!O:U"),6,0))</f>
        <v>4000</v>
      </c>
      <c r="R60" s="337">
        <f ca="1">IF(INDEX($D60:$L60,1,$K$7)="",0,VLOOKUP($W60,INDIRECT($V60&amp;"!O:U"),7,0))</f>
        <v>4000</v>
      </c>
      <c r="S60" s="91"/>
      <c r="T60" s="92"/>
      <c r="V60" s="307" t="str">
        <f>"CONS"&amp;$K$7</f>
        <v>CONS3</v>
      </c>
      <c r="W60" s="365" t="s">
        <v>546</v>
      </c>
    </row>
    <row r="61" spans="2:23" ht="15.95" customHeight="1" x14ac:dyDescent="0.2">
      <c r="B61" s="22" t="s">
        <v>515</v>
      </c>
      <c r="C61" s="72"/>
      <c r="D61" s="53" t="s">
        <v>1</v>
      </c>
      <c r="E61" s="53" t="s">
        <v>1</v>
      </c>
      <c r="F61" s="53" t="s">
        <v>1</v>
      </c>
      <c r="G61" s="53"/>
      <c r="H61" s="53"/>
      <c r="I61" s="53"/>
      <c r="J61" s="53"/>
      <c r="K61" s="53"/>
      <c r="L61" s="53"/>
      <c r="M61" s="336">
        <f ca="1">IF(INDEX($D61:$L61,1,$K$7)="",0,VLOOKUP($W61,INDIRECT($V61&amp;"!O:U"),2,0))</f>
        <v>203.90305938870702</v>
      </c>
      <c r="N61" s="65">
        <f ca="1">VLOOKUP($W61,INDIRECT($V61&amp;"!O:U"),3,0)</f>
        <v>29.32</v>
      </c>
      <c r="O61" s="65">
        <f ca="1">VLOOKUP($W61,INDIRECT($V61&amp;"!O:U"),4,0)</f>
        <v>15.899999999999999</v>
      </c>
      <c r="P61" s="65">
        <f ca="1">VLOOKUP($W61,INDIRECT($V61&amp;"!O:U"),5,0)</f>
        <v>3.3</v>
      </c>
      <c r="Q61" s="337">
        <f ca="1">IF(INDEX($D61:$L61,1,$K$7)="",0,VLOOKUP($W61,INDIRECT($V61&amp;"!O:U"),6,0))</f>
        <v>1000</v>
      </c>
      <c r="R61" s="337">
        <f ca="1">IF(INDEX($D61:$L61,1,$K$7)="",0,VLOOKUP($W61,INDIRECT($V61&amp;"!O:U"),7,0))</f>
        <v>1000</v>
      </c>
      <c r="S61" s="91"/>
      <c r="T61" s="92"/>
      <c r="V61" s="307" t="str">
        <f>"CONS"&amp;$K$7</f>
        <v>CONS3</v>
      </c>
      <c r="W61" s="365" t="s">
        <v>543</v>
      </c>
    </row>
    <row r="62" spans="2:23" ht="15.95" customHeight="1" thickBot="1" x14ac:dyDescent="0.25">
      <c r="B62" s="25"/>
      <c r="C62" s="70"/>
      <c r="D62" s="54"/>
      <c r="E62" s="54"/>
      <c r="F62" s="54"/>
      <c r="G62" s="54"/>
      <c r="H62" s="54"/>
      <c r="I62" s="54"/>
      <c r="J62" s="54"/>
      <c r="K62" s="54"/>
      <c r="L62" s="54"/>
      <c r="M62" s="26"/>
      <c r="N62" s="15"/>
      <c r="O62" s="15"/>
      <c r="P62" s="15"/>
      <c r="Q62" s="15"/>
      <c r="R62" s="15"/>
      <c r="S62" s="352"/>
      <c r="T62" s="353"/>
      <c r="V62" s="308"/>
    </row>
    <row r="63" spans="2:23" ht="15.95" customHeight="1" thickTop="1" x14ac:dyDescent="0.2">
      <c r="B63" s="356"/>
      <c r="C63" s="357"/>
      <c r="D63" s="370"/>
      <c r="E63" s="371"/>
      <c r="F63" s="371"/>
      <c r="G63" s="371"/>
      <c r="H63" s="371"/>
      <c r="I63" s="371"/>
      <c r="J63" s="371"/>
      <c r="K63" s="371"/>
      <c r="L63" s="487" t="s">
        <v>518</v>
      </c>
      <c r="M63" s="372">
        <f ca="1">SUBTOTAL(9,$M58:$M62)</f>
        <v>1462.284288439392</v>
      </c>
      <c r="N63" s="373">
        <f ca="1">SUMPRODUCT(SUBTOTAL(9,OFFSET($M58:$M62,ROW($M58:$M62)-MIN(ROW($M58:$M62)),,1)),N58:N62)/MAX($M63,10^-10)</f>
        <v>-5.7263628995904661E-2</v>
      </c>
      <c r="O63" s="373">
        <f ca="1">SUMPRODUCT(SUBTOTAL(9,OFFSET($M58:$M62,ROW($M58:$M62)-MIN(ROW($M58:$M62)),,1)),O58:O62)/MAX($M63,10^-10)</f>
        <v>2.2171192495957786</v>
      </c>
      <c r="P63" s="373">
        <f ca="1">SUMPRODUCT(SUBTOTAL(9,OFFSET($M58:$M62,ROW($M58:$M62)-MIN(ROW($M58:$M62)),,1)),P58:P62)/MAX($M63,10^-10)</f>
        <v>3.3</v>
      </c>
      <c r="Q63" s="372">
        <f ca="1">SUBTOTAL(9,$Q58:$Q62)</f>
        <v>7000</v>
      </c>
      <c r="R63" s="372">
        <f ca="1">SUBTOTAL(9,$R58:$R62)</f>
        <v>7000</v>
      </c>
      <c r="S63" s="358"/>
      <c r="T63" s="359"/>
      <c r="V63" s="308"/>
    </row>
    <row r="64" spans="2:23" ht="15.95" customHeight="1" thickBot="1" x14ac:dyDescent="0.25">
      <c r="B64" s="325"/>
      <c r="C64" s="326"/>
      <c r="D64" s="327"/>
      <c r="E64" s="328"/>
      <c r="F64" s="328"/>
      <c r="G64" s="328"/>
      <c r="H64" s="20"/>
      <c r="I64" s="20"/>
      <c r="J64" s="20"/>
      <c r="K64" s="20"/>
      <c r="L64" s="329"/>
      <c r="M64" s="10"/>
      <c r="N64" s="11"/>
      <c r="O64" s="11"/>
      <c r="P64" s="11"/>
      <c r="Q64" s="10"/>
      <c r="R64" s="10"/>
      <c r="S64" s="75"/>
      <c r="T64" s="330"/>
      <c r="V64" s="308"/>
    </row>
    <row r="65" spans="2:32" ht="15.95" customHeight="1" thickTop="1" x14ac:dyDescent="0.2">
      <c r="B65" s="356"/>
      <c r="C65" s="357"/>
      <c r="D65" s="360"/>
      <c r="E65" s="361"/>
      <c r="F65" s="361"/>
      <c r="G65" s="361"/>
      <c r="H65" s="361"/>
      <c r="I65" s="361"/>
      <c r="J65" s="361"/>
      <c r="K65" s="361"/>
      <c r="L65" s="362" t="s">
        <v>526</v>
      </c>
      <c r="M65" s="363">
        <f ca="1">SUBTOTAL(9,$M21:$M64)</f>
        <v>3560.3121464892783</v>
      </c>
      <c r="N65" s="364">
        <f ca="1">SUMPRODUCT(SUBTOTAL(9,OFFSET($M21:$M64,ROW($M21:$M64)-MIN(ROW($M21:$M64)),,1)),N21:N64)/MAX($M65,10^-10)</f>
        <v>-1.2825874623331315</v>
      </c>
      <c r="O65" s="364">
        <f ca="1">SUMPRODUCT(SUBTOTAL(9,OFFSET($M21:$M64,ROW($M21:$M64)-MIN(ROW($M21:$M64)),,1)),O21:O64)/MAX($M65,10^-10)</f>
        <v>1.1159205628074294</v>
      </c>
      <c r="P65" s="364">
        <f ca="1">SUMPRODUCT(SUBTOTAL(9,OFFSET($M21:$M64,ROW($M21:$M64)-MIN(ROW($M21:$M64)),,1)),P21:P64)/MAX($M65,10^-10)</f>
        <v>17.175274065456126</v>
      </c>
      <c r="Q65" s="363">
        <f ca="1">SUBTOTAL(9,$Q21:$Q64)</f>
        <v>10032</v>
      </c>
      <c r="R65" s="363">
        <f ca="1">SUBTOTAL(9,$R21:$R64)</f>
        <v>10040</v>
      </c>
      <c r="S65" s="358"/>
      <c r="T65" s="359"/>
      <c r="V65" s="308"/>
    </row>
    <row r="66" spans="2:32" ht="15.95" customHeight="1" x14ac:dyDescent="0.2">
      <c r="B66" s="325"/>
      <c r="C66" s="326"/>
      <c r="D66" s="327"/>
      <c r="E66" s="328"/>
      <c r="F66" s="328"/>
      <c r="G66" s="328"/>
      <c r="H66" s="20"/>
      <c r="I66" s="20"/>
      <c r="J66" s="20"/>
      <c r="K66" s="20"/>
      <c r="L66" s="329"/>
      <c r="M66" s="10"/>
      <c r="N66" s="11"/>
      <c r="O66" s="11"/>
      <c r="P66" s="11"/>
      <c r="Q66" s="10"/>
      <c r="R66" s="10"/>
      <c r="S66" s="75"/>
      <c r="T66" s="330"/>
      <c r="V66" s="308"/>
    </row>
    <row r="67" spans="2:32" ht="15.95" customHeight="1" x14ac:dyDescent="0.2">
      <c r="B67" s="374" t="s">
        <v>455</v>
      </c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6"/>
      <c r="O67" s="376"/>
      <c r="P67" s="376"/>
      <c r="Q67" s="376"/>
      <c r="R67" s="376"/>
      <c r="S67" s="378"/>
      <c r="T67" s="377"/>
    </row>
    <row r="68" spans="2:32" ht="15.95" customHeight="1" x14ac:dyDescent="0.2">
      <c r="B68" s="331" t="s">
        <v>463</v>
      </c>
      <c r="C68" s="332"/>
      <c r="D68" s="333" t="s">
        <v>1</v>
      </c>
      <c r="E68" s="333" t="s">
        <v>1</v>
      </c>
      <c r="F68" s="333" t="s">
        <v>1</v>
      </c>
      <c r="G68" s="333" t="s">
        <v>1</v>
      </c>
      <c r="H68" s="333"/>
      <c r="I68" s="333"/>
      <c r="J68" s="333"/>
      <c r="K68" s="333"/>
      <c r="L68" s="333"/>
      <c r="M68" s="334">
        <f t="shared" ref="M68:M73" ca="1" si="0">IF(INDEX($D68:$L68,1,$K$7)="",0,VLOOKUP($W68,INDIRECT($V68&amp;"!O:U"),2,0))</f>
        <v>4155.8840828535394</v>
      </c>
      <c r="N68" s="64">
        <f t="shared" ref="N68:N73" ca="1" si="1">VLOOKUP($W68,INDIRECT($V68&amp;"!O:U"),3,0)</f>
        <v>-26.21303043706688</v>
      </c>
      <c r="O68" s="64">
        <f t="shared" ref="O68:O73" ca="1" si="2">VLOOKUP($W68,INDIRECT($V68&amp;"!O:U"),4,0)</f>
        <v>-4.3769012014812752E-16</v>
      </c>
      <c r="P68" s="64">
        <f t="shared" ref="P68:P73" ca="1" si="3">VLOOKUP($W68,INDIRECT($V68&amp;"!O:U"),5,0)</f>
        <v>3.1289208340195667</v>
      </c>
      <c r="Q68" s="335">
        <f t="shared" ref="Q68:Q73" ca="1" si="4">IF(INDEX($D68:$L68,1,$K$7)="",0,VLOOKUP($W68,INDIRECT($V68&amp;"!O:U"),6,0))</f>
        <v>0</v>
      </c>
      <c r="R68" s="335">
        <f t="shared" ref="R68:R73" ca="1" si="5">IF(INDEX($D68:$L68,1,$K$7)="",0,VLOOKUP($W68,INDIRECT($V68&amp;"!O:U"),7,0))</f>
        <v>0</v>
      </c>
      <c r="S68" s="89"/>
      <c r="T68" s="90"/>
      <c r="V68" s="306" t="str">
        <f t="shared" ref="V68:V73" si="6">"BLST"&amp;$K$7</f>
        <v>BLST3</v>
      </c>
      <c r="W68" s="365" t="s">
        <v>563</v>
      </c>
    </row>
    <row r="69" spans="2:32" ht="15.95" customHeight="1" x14ac:dyDescent="0.2">
      <c r="B69" s="22" t="s">
        <v>464</v>
      </c>
      <c r="C69" s="72"/>
      <c r="D69" s="53" t="s">
        <v>1</v>
      </c>
      <c r="E69" s="53" t="s">
        <v>1</v>
      </c>
      <c r="F69" s="53" t="s">
        <v>1</v>
      </c>
      <c r="G69" s="53" t="s">
        <v>1</v>
      </c>
      <c r="H69" s="53"/>
      <c r="I69" s="53"/>
      <c r="J69" s="53"/>
      <c r="K69" s="53"/>
      <c r="L69" s="53"/>
      <c r="M69" s="336">
        <f t="shared" ca="1" si="0"/>
        <v>2612.5079484178082</v>
      </c>
      <c r="N69" s="65">
        <f t="shared" ca="1" si="1"/>
        <v>16.305</v>
      </c>
      <c r="O69" s="65">
        <f t="shared" ca="1" si="2"/>
        <v>21.200499999999998</v>
      </c>
      <c r="P69" s="65">
        <f t="shared" ca="1" si="3"/>
        <v>3.3</v>
      </c>
      <c r="Q69" s="337">
        <f t="shared" ca="1" si="4"/>
        <v>0</v>
      </c>
      <c r="R69" s="337">
        <f t="shared" ca="1" si="5"/>
        <v>0</v>
      </c>
      <c r="S69" s="91"/>
      <c r="T69" s="92"/>
      <c r="V69" s="306" t="str">
        <f t="shared" si="6"/>
        <v>BLST3</v>
      </c>
      <c r="W69" s="365" t="s">
        <v>532</v>
      </c>
    </row>
    <row r="70" spans="2:32" ht="15.95" customHeight="1" x14ac:dyDescent="0.2">
      <c r="B70" s="22" t="s">
        <v>465</v>
      </c>
      <c r="C70" s="72"/>
      <c r="D70" s="53" t="s">
        <v>1</v>
      </c>
      <c r="E70" s="53" t="s">
        <v>1</v>
      </c>
      <c r="F70" s="53" t="s">
        <v>1</v>
      </c>
      <c r="G70" s="53" t="s">
        <v>1</v>
      </c>
      <c r="H70" s="53"/>
      <c r="I70" s="53"/>
      <c r="J70" s="53"/>
      <c r="K70" s="53"/>
      <c r="L70" s="53"/>
      <c r="M70" s="336">
        <f t="shared" ca="1" si="0"/>
        <v>3138.2277834178076</v>
      </c>
      <c r="N70" s="65">
        <f t="shared" ca="1" si="1"/>
        <v>18.503419842617628</v>
      </c>
      <c r="O70" s="65">
        <f t="shared" ca="1" si="2"/>
        <v>-15.008861832961273</v>
      </c>
      <c r="P70" s="65">
        <f t="shared" ca="1" si="3"/>
        <v>3.3000000000000003</v>
      </c>
      <c r="Q70" s="337">
        <f t="shared" ca="1" si="4"/>
        <v>0</v>
      </c>
      <c r="R70" s="337">
        <f t="shared" ca="1" si="5"/>
        <v>0</v>
      </c>
      <c r="S70" s="91"/>
      <c r="T70" s="92"/>
      <c r="V70" s="306" t="str">
        <f t="shared" si="6"/>
        <v>BLST3</v>
      </c>
      <c r="W70" s="365" t="s">
        <v>559</v>
      </c>
    </row>
    <row r="71" spans="2:32" ht="15.95" customHeight="1" x14ac:dyDescent="0.2">
      <c r="B71" s="22" t="s">
        <v>320</v>
      </c>
      <c r="C71" s="72"/>
      <c r="D71" s="53" t="s">
        <v>1</v>
      </c>
      <c r="E71" s="53" t="s">
        <v>1</v>
      </c>
      <c r="F71" s="53" t="s">
        <v>1</v>
      </c>
      <c r="G71" s="53" t="s">
        <v>1</v>
      </c>
      <c r="H71" s="53"/>
      <c r="I71" s="53"/>
      <c r="J71" s="53"/>
      <c r="K71" s="53"/>
      <c r="L71" s="53"/>
      <c r="M71" s="336">
        <f t="shared" ca="1" si="0"/>
        <v>516.65461199999993</v>
      </c>
      <c r="N71" s="65">
        <f t="shared" ca="1" si="1"/>
        <v>-15.099999999999998</v>
      </c>
      <c r="O71" s="65">
        <f t="shared" ca="1" si="2"/>
        <v>25.639999999999997</v>
      </c>
      <c r="P71" s="65">
        <f t="shared" ca="1" si="3"/>
        <v>14.485393258426967</v>
      </c>
      <c r="Q71" s="337">
        <f t="shared" ca="1" si="4"/>
        <v>12</v>
      </c>
      <c r="R71" s="337">
        <f t="shared" ca="1" si="5"/>
        <v>15</v>
      </c>
      <c r="S71" s="91"/>
      <c r="T71" s="92"/>
      <c r="V71" s="306" t="str">
        <f t="shared" si="6"/>
        <v>BLST3</v>
      </c>
      <c r="W71" s="365" t="s">
        <v>560</v>
      </c>
    </row>
    <row r="72" spans="2:32" ht="15.95" customHeight="1" x14ac:dyDescent="0.2">
      <c r="B72" s="22" t="s">
        <v>323</v>
      </c>
      <c r="C72" s="72"/>
      <c r="D72" s="53" t="s">
        <v>1</v>
      </c>
      <c r="E72" s="53" t="s">
        <v>1</v>
      </c>
      <c r="F72" s="53" t="s">
        <v>1</v>
      </c>
      <c r="G72" s="53" t="s">
        <v>1</v>
      </c>
      <c r="H72" s="53"/>
      <c r="I72" s="53"/>
      <c r="J72" s="53"/>
      <c r="K72" s="53"/>
      <c r="L72" s="53"/>
      <c r="M72" s="336">
        <f t="shared" ca="1" si="0"/>
        <v>516.65461199999993</v>
      </c>
      <c r="N72" s="65">
        <f t="shared" ca="1" si="1"/>
        <v>-15.099999999999998</v>
      </c>
      <c r="O72" s="65">
        <f t="shared" ca="1" si="2"/>
        <v>-25.639999999999997</v>
      </c>
      <c r="P72" s="65">
        <f t="shared" ca="1" si="3"/>
        <v>14.485393258426967</v>
      </c>
      <c r="Q72" s="337">
        <f t="shared" ca="1" si="4"/>
        <v>12</v>
      </c>
      <c r="R72" s="337">
        <f t="shared" ca="1" si="5"/>
        <v>15</v>
      </c>
      <c r="S72" s="91"/>
      <c r="T72" s="92"/>
      <c r="V72" s="306" t="str">
        <f t="shared" si="6"/>
        <v>BLST3</v>
      </c>
      <c r="W72" s="365" t="s">
        <v>561</v>
      </c>
    </row>
    <row r="73" spans="2:32" ht="15.95" customHeight="1" x14ac:dyDescent="0.2">
      <c r="B73" s="22" t="s">
        <v>318</v>
      </c>
      <c r="C73" s="72"/>
      <c r="D73" s="53" t="s">
        <v>1</v>
      </c>
      <c r="E73" s="53" t="s">
        <v>1</v>
      </c>
      <c r="F73" s="53" t="s">
        <v>1</v>
      </c>
      <c r="G73" s="53" t="s">
        <v>1</v>
      </c>
      <c r="H73" s="53"/>
      <c r="I73" s="53"/>
      <c r="J73" s="53"/>
      <c r="K73" s="53"/>
      <c r="L73" s="53"/>
      <c r="M73" s="336">
        <f t="shared" ca="1" si="0"/>
        <v>496.71532799999994</v>
      </c>
      <c r="N73" s="65">
        <f t="shared" ca="1" si="1"/>
        <v>40.9</v>
      </c>
      <c r="O73" s="65">
        <f t="shared" ca="1" si="2"/>
        <v>0</v>
      </c>
      <c r="P73" s="65">
        <f t="shared" ca="1" si="3"/>
        <v>3.5</v>
      </c>
      <c r="Q73" s="337">
        <f t="shared" ca="1" si="4"/>
        <v>8</v>
      </c>
      <c r="R73" s="337">
        <f t="shared" ca="1" si="5"/>
        <v>10</v>
      </c>
      <c r="S73" s="91"/>
      <c r="T73" s="92"/>
      <c r="V73" s="306" t="str">
        <f t="shared" si="6"/>
        <v>BLST3</v>
      </c>
      <c r="W73" s="365" t="s">
        <v>562</v>
      </c>
    </row>
    <row r="74" spans="2:32" ht="15.95" customHeight="1" thickBot="1" x14ac:dyDescent="0.25">
      <c r="B74" s="25"/>
      <c r="C74" s="70"/>
      <c r="D74" s="54"/>
      <c r="E74" s="54"/>
      <c r="F74" s="54"/>
      <c r="G74" s="54"/>
      <c r="H74" s="54"/>
      <c r="I74" s="54"/>
      <c r="J74" s="54"/>
      <c r="K74" s="54"/>
      <c r="L74" s="54"/>
      <c r="M74" s="26"/>
      <c r="N74" s="15"/>
      <c r="O74" s="15"/>
      <c r="P74" s="15"/>
      <c r="Q74" s="15"/>
      <c r="R74" s="15"/>
      <c r="S74" s="352"/>
      <c r="T74" s="353"/>
      <c r="V74" s="308"/>
    </row>
    <row r="75" spans="2:32" ht="15.95" customHeight="1" thickTop="1" x14ac:dyDescent="0.2">
      <c r="B75" s="356"/>
      <c r="C75" s="357"/>
      <c r="D75" s="360"/>
      <c r="E75" s="361"/>
      <c r="F75" s="361"/>
      <c r="G75" s="361"/>
      <c r="H75" s="361"/>
      <c r="I75" s="361"/>
      <c r="J75" s="361"/>
      <c r="K75" s="361"/>
      <c r="L75" s="362" t="s">
        <v>498</v>
      </c>
      <c r="M75" s="363">
        <f ca="1">SUBTOTAL(9,$M68:$M74)</f>
        <v>11436.644366689156</v>
      </c>
      <c r="N75" s="364">
        <f ca="1">SUMPRODUCT(SUBTOTAL(9,OFFSET($M68:$M74,ROW($M68:$M74)-MIN(ROW($M68:$M74)),,1)),N68:N74)/MAX($M75,10^-10)</f>
        <v>-0.311344820429444</v>
      </c>
      <c r="O75" s="364">
        <f ca="1">SUMPRODUCT(SUBTOTAL(9,OFFSET($M68:$M74,ROW($M68:$M74)-MIN(ROW($M68:$M74)),,1)),O68:O74)/MAX($M75,10^-10)</f>
        <v>0.72444742470837942</v>
      </c>
      <c r="P75" s="364">
        <f ca="1">SUMPRODUCT(SUBTOTAL(9,OFFSET($M68:$M74,ROW($M68:$M74)-MIN(ROW($M68:$M74)),,1)),P68:P74)/MAX($M75,10^-10)</f>
        <v>4.2571275944084421</v>
      </c>
      <c r="Q75" s="363">
        <f ca="1">SUBTOTAL(9,$Q68:$Q74)</f>
        <v>32</v>
      </c>
      <c r="R75" s="363">
        <f ca="1">SUBTOTAL(9,$R68:$R74)</f>
        <v>40</v>
      </c>
      <c r="S75" s="358"/>
      <c r="T75" s="359"/>
      <c r="V75" s="308"/>
    </row>
    <row r="76" spans="2:32" ht="15.95" customHeight="1" x14ac:dyDescent="0.2">
      <c r="B76" s="325"/>
      <c r="C76" s="326"/>
      <c r="D76" s="327"/>
      <c r="E76" s="328"/>
      <c r="F76" s="328"/>
      <c r="G76" s="328"/>
      <c r="H76" s="20"/>
      <c r="I76" s="20"/>
      <c r="J76" s="20"/>
      <c r="K76" s="20"/>
      <c r="L76" s="329"/>
      <c r="M76" s="10"/>
      <c r="N76" s="11"/>
      <c r="O76" s="11"/>
      <c r="P76" s="11"/>
      <c r="Q76" s="10"/>
      <c r="R76" s="10"/>
      <c r="S76" s="75"/>
      <c r="T76" s="330"/>
      <c r="V76" s="308"/>
    </row>
    <row r="77" spans="2:32" ht="15.95" customHeight="1" x14ac:dyDescent="0.2">
      <c r="B77" s="374" t="s">
        <v>37</v>
      </c>
      <c r="C77" s="375"/>
      <c r="D77" s="375"/>
      <c r="E77" s="375"/>
      <c r="F77" s="375"/>
      <c r="G77" s="375"/>
      <c r="H77" s="375"/>
      <c r="I77" s="375"/>
      <c r="J77" s="375"/>
      <c r="K77" s="375"/>
      <c r="L77" s="375"/>
      <c r="M77" s="375"/>
      <c r="N77" s="376"/>
      <c r="O77" s="376"/>
      <c r="P77" s="376"/>
      <c r="Q77" s="376"/>
      <c r="R77" s="376"/>
      <c r="S77" s="604" t="s">
        <v>190</v>
      </c>
      <c r="T77" s="605"/>
      <c r="V77" s="308"/>
    </row>
    <row r="78" spans="2:32" ht="15.95" customHeight="1" x14ac:dyDescent="0.2">
      <c r="B78" s="23" t="s">
        <v>520</v>
      </c>
      <c r="C78" s="69"/>
      <c r="D78" s="52" t="s">
        <v>1</v>
      </c>
      <c r="E78" s="52"/>
      <c r="F78" s="52"/>
      <c r="G78" s="52"/>
      <c r="H78" s="52"/>
      <c r="I78" s="52"/>
      <c r="J78" s="52"/>
      <c r="K78" s="52"/>
      <c r="L78" s="52"/>
      <c r="M78" s="24">
        <f>IF(INDEX($D78:$L78,1,$K$7)="",0,S78)</f>
        <v>0</v>
      </c>
      <c r="N78" s="539">
        <f>$Y78</f>
        <v>-1.4355448618084354</v>
      </c>
      <c r="O78" s="539">
        <f>$Z78</f>
        <v>0.15393862069516234</v>
      </c>
      <c r="P78" s="539">
        <f>$AA78</f>
        <v>23.867614165982186</v>
      </c>
      <c r="Q78" s="27" t="s">
        <v>38</v>
      </c>
      <c r="R78" s="64" t="s">
        <v>38</v>
      </c>
      <c r="S78" s="538">
        <f>X78</f>
        <v>18058.369947346244</v>
      </c>
      <c r="T78" s="532" t="s">
        <v>131</v>
      </c>
      <c r="V78" s="308"/>
      <c r="X78" s="28">
        <v>18058.369947346244</v>
      </c>
      <c r="Y78" s="28">
        <v>-1.4355448618084354</v>
      </c>
      <c r="Z78" s="28">
        <v>0.15393862069516234</v>
      </c>
      <c r="AA78" s="28">
        <v>23.867614165982186</v>
      </c>
      <c r="AB78" s="28">
        <f>'[1]Sum-category'!$J$7</f>
        <v>1</v>
      </c>
      <c r="AC78" s="538">
        <f>'[1]Sum-category'!$N$155</f>
        <v>17976.673947346244</v>
      </c>
      <c r="AD78" s="538">
        <f>'[1]Sum-category'!$O$155</f>
        <v>-1.4305559007118287</v>
      </c>
      <c r="AE78" s="538">
        <f>'[1]Sum-category'!$P$155</f>
        <v>0.15463820336507936</v>
      </c>
      <c r="AF78" s="538">
        <f>'[1]Sum-category'!$Q$155</f>
        <v>23.862467975237067</v>
      </c>
    </row>
    <row r="79" spans="2:32" ht="15.95" customHeight="1" x14ac:dyDescent="0.2">
      <c r="B79" s="22" t="s">
        <v>521</v>
      </c>
      <c r="C79" s="72"/>
      <c r="D79" s="53"/>
      <c r="E79" s="53" t="s">
        <v>1</v>
      </c>
      <c r="F79" s="53"/>
      <c r="G79" s="53"/>
      <c r="H79" s="53"/>
      <c r="I79" s="53"/>
      <c r="J79" s="53"/>
      <c r="K79" s="53"/>
      <c r="L79" s="53"/>
      <c r="M79" s="24">
        <f>IF(INDEX($D79:$L79,1,$K$7)="",0,S79)</f>
        <v>0</v>
      </c>
      <c r="N79" s="539">
        <f>$Y$78</f>
        <v>-1.4355448618084354</v>
      </c>
      <c r="O79" s="539">
        <f>$Z$78</f>
        <v>0.15393862069516234</v>
      </c>
      <c r="P79" s="539">
        <f>$AA$78</f>
        <v>23.867614165982186</v>
      </c>
      <c r="Q79" s="27" t="s">
        <v>38</v>
      </c>
      <c r="R79" s="65" t="s">
        <v>38</v>
      </c>
      <c r="S79" s="538">
        <f>S78</f>
        <v>18058.369947346244</v>
      </c>
      <c r="T79" s="533" t="s">
        <v>131</v>
      </c>
      <c r="V79" s="308"/>
    </row>
    <row r="80" spans="2:32" ht="15.95" customHeight="1" x14ac:dyDescent="0.2">
      <c r="B80" s="25" t="s">
        <v>522</v>
      </c>
      <c r="C80" s="70"/>
      <c r="D80" s="54"/>
      <c r="E80" s="54"/>
      <c r="F80" s="54" t="s">
        <v>1</v>
      </c>
      <c r="G80" s="54"/>
      <c r="H80" s="54"/>
      <c r="I80" s="54"/>
      <c r="J80" s="54"/>
      <c r="K80" s="54"/>
      <c r="L80" s="54"/>
      <c r="M80" s="24">
        <f>IF(INDEX($D80:$L80,1,$K$7)="",0,S80)</f>
        <v>18058.369947346244</v>
      </c>
      <c r="N80" s="539">
        <f>$Y$78</f>
        <v>-1.4355448618084354</v>
      </c>
      <c r="O80" s="539">
        <f>$Z$78</f>
        <v>0.15393862069516234</v>
      </c>
      <c r="P80" s="539">
        <f>$AA$78</f>
        <v>23.867614165982186</v>
      </c>
      <c r="Q80" s="61" t="s">
        <v>38</v>
      </c>
      <c r="R80" s="65" t="s">
        <v>38</v>
      </c>
      <c r="S80" s="538">
        <f>S79</f>
        <v>18058.369947346244</v>
      </c>
      <c r="T80" s="533" t="s">
        <v>131</v>
      </c>
      <c r="V80" s="308"/>
    </row>
    <row r="81" spans="1:32" ht="15.95" customHeight="1" x14ac:dyDescent="0.2">
      <c r="B81" s="25" t="s">
        <v>523</v>
      </c>
      <c r="C81" s="70"/>
      <c r="D81" s="54"/>
      <c r="E81" s="54"/>
      <c r="F81" s="54"/>
      <c r="G81" s="54" t="s">
        <v>1</v>
      </c>
      <c r="H81" s="54"/>
      <c r="I81" s="54"/>
      <c r="J81" s="54"/>
      <c r="K81" s="54"/>
      <c r="L81" s="54"/>
      <c r="M81" s="24">
        <f>IF(INDEX($D81:$L81,1,$K$7)="",0,S81)</f>
        <v>0</v>
      </c>
      <c r="N81" s="539">
        <f>$Y81</f>
        <v>-1.705562034688237</v>
      </c>
      <c r="O81" s="539">
        <f>$Z81</f>
        <v>0.33927373176878578</v>
      </c>
      <c r="P81" s="539">
        <f>$AA81</f>
        <v>23.190476637198923</v>
      </c>
      <c r="Q81" s="61" t="s">
        <v>38</v>
      </c>
      <c r="R81" s="65" t="s">
        <v>38</v>
      </c>
      <c r="S81" s="538">
        <f>S80</f>
        <v>18058.369947346244</v>
      </c>
      <c r="T81" s="533" t="s">
        <v>131</v>
      </c>
      <c r="V81" s="308"/>
      <c r="Y81" s="28">
        <v>-1.705562034688237</v>
      </c>
      <c r="Z81" s="28">
        <v>0.33927373176878578</v>
      </c>
      <c r="AA81" s="28">
        <v>23.190476637198923</v>
      </c>
      <c r="AB81" s="28">
        <f>'[1]Sum-category'!$J$7</f>
        <v>1</v>
      </c>
      <c r="AC81" s="538">
        <f>'[1]Sum-category'!$N$155</f>
        <v>17976.673947346244</v>
      </c>
      <c r="AD81" s="538">
        <f>'[1]Sum-category'!$O$155</f>
        <v>-1.4305559007118287</v>
      </c>
      <c r="AE81" s="538">
        <f>'[1]Sum-category'!$P$155</f>
        <v>0.15463820336507936</v>
      </c>
      <c r="AF81" s="538">
        <f>'[1]Sum-category'!$Q$155</f>
        <v>23.862467975237067</v>
      </c>
    </row>
    <row r="82" spans="1:32" ht="15.95" customHeight="1" x14ac:dyDescent="0.2">
      <c r="B82" s="25" t="s">
        <v>524</v>
      </c>
      <c r="C82" s="70"/>
      <c r="D82" s="54"/>
      <c r="E82" s="54"/>
      <c r="F82" s="54"/>
      <c r="G82" s="54"/>
      <c r="H82" s="54" t="s">
        <v>1</v>
      </c>
      <c r="I82" s="54"/>
      <c r="J82" s="54"/>
      <c r="K82" s="54"/>
      <c r="L82" s="54"/>
      <c r="M82" s="24">
        <f>IF(INDEX($D82:$L82,1,$K$7)="",0,S82)</f>
        <v>0</v>
      </c>
      <c r="N82" s="539">
        <f>$Y82</f>
        <v>-1.8819927538041827</v>
      </c>
      <c r="O82" s="539">
        <f>$Z82</f>
        <v>0.25414335581769293</v>
      </c>
      <c r="P82" s="539">
        <f>$AA82</f>
        <v>21.816427325324153</v>
      </c>
      <c r="Q82" s="61" t="s">
        <v>38</v>
      </c>
      <c r="R82" s="65" t="s">
        <v>38</v>
      </c>
      <c r="S82" s="538">
        <f>X82</f>
        <v>16843.369947346244</v>
      </c>
      <c r="T82" s="533" t="s">
        <v>131</v>
      </c>
      <c r="V82" s="308"/>
      <c r="X82" s="28">
        <v>16843.369947346244</v>
      </c>
      <c r="Y82" s="28">
        <v>-1.8819927538041827</v>
      </c>
      <c r="Z82" s="28">
        <v>0.25414335581769293</v>
      </c>
      <c r="AA82" s="28">
        <v>21.816427325324153</v>
      </c>
      <c r="AB82" s="28">
        <f>'[1]Sum-category'!$J$7</f>
        <v>1</v>
      </c>
      <c r="AC82" s="538">
        <f>'[1]Sum-category'!$N$155</f>
        <v>17976.673947346244</v>
      </c>
      <c r="AD82" s="538">
        <f>'[1]Sum-category'!$O$155</f>
        <v>-1.4305559007118287</v>
      </c>
      <c r="AE82" s="538">
        <f>'[1]Sum-category'!$P$155</f>
        <v>0.15463820336507936</v>
      </c>
      <c r="AF82" s="538">
        <f>'[1]Sum-category'!$Q$155</f>
        <v>23.862467975237067</v>
      </c>
    </row>
    <row r="83" spans="1:32" ht="15.95" customHeight="1" thickBot="1" x14ac:dyDescent="0.25">
      <c r="B83" s="25"/>
      <c r="C83" s="70"/>
      <c r="D83" s="54"/>
      <c r="E83" s="54"/>
      <c r="F83" s="54"/>
      <c r="G83" s="54"/>
      <c r="H83" s="54"/>
      <c r="I83" s="54"/>
      <c r="J83" s="54"/>
      <c r="K83" s="54"/>
      <c r="L83" s="54"/>
      <c r="M83" s="26"/>
      <c r="N83" s="15"/>
      <c r="O83" s="15"/>
      <c r="P83" s="15"/>
      <c r="Q83" s="15"/>
      <c r="R83" s="15"/>
      <c r="S83" s="534"/>
      <c r="T83" s="535"/>
      <c r="V83" s="308"/>
    </row>
    <row r="84" spans="1:32" ht="15.95" customHeight="1" thickTop="1" x14ac:dyDescent="0.2">
      <c r="B84" s="488"/>
      <c r="C84" s="489"/>
      <c r="D84" s="360"/>
      <c r="E84" s="361"/>
      <c r="F84" s="361"/>
      <c r="G84" s="361"/>
      <c r="H84" s="361"/>
      <c r="I84" s="361"/>
      <c r="J84" s="361"/>
      <c r="K84" s="361"/>
      <c r="L84" s="362" t="s">
        <v>499</v>
      </c>
      <c r="M84" s="363">
        <f>SUBTOTAL(9,$M78:$M83)</f>
        <v>18058.369947346244</v>
      </c>
      <c r="N84" s="364">
        <f ca="1">SUMPRODUCT(SUBTOTAL(9,OFFSET($M78:$M83,ROW($M78:$M83)-MIN(ROW($M78:$M83)),,1)),N78:N83)/MAX($M84,10^-10)</f>
        <v>-1.4355448618084354</v>
      </c>
      <c r="O84" s="364">
        <f ca="1">SUMPRODUCT(SUBTOTAL(9,OFFSET($M78:$M83,ROW($M78:$M83)-MIN(ROW($M78:$M83)),,1)),O78:O83)/MAX($M84,10^-10)</f>
        <v>0.15393862069516234</v>
      </c>
      <c r="P84" s="364">
        <f ca="1">SUMPRODUCT(SUBTOTAL(9,OFFSET($M78:$M83,ROW($M78:$M83)-MIN(ROW($M78:$M83)),,1)),P78:P83)/MAX($M84,10^-10)</f>
        <v>23.867614165982186</v>
      </c>
      <c r="Q84" s="363">
        <f>SUBTOTAL(9,$Q78:$Q83)</f>
        <v>0</v>
      </c>
      <c r="R84" s="363">
        <f>SUBTOTAL(9,$R78:$R83)</f>
        <v>0</v>
      </c>
      <c r="S84" s="490"/>
      <c r="T84" s="491"/>
      <c r="V84" s="308"/>
    </row>
    <row r="85" spans="1:32" ht="15.95" customHeight="1" thickBot="1" x14ac:dyDescent="0.25"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10"/>
      <c r="N85" s="11"/>
      <c r="O85" s="11"/>
      <c r="P85" s="11"/>
      <c r="Q85" s="11"/>
      <c r="R85" s="11"/>
      <c r="S85" s="75"/>
      <c r="T85" s="13"/>
      <c r="V85" s="308"/>
    </row>
    <row r="86" spans="1:32" ht="30" customHeight="1" thickTop="1" thickBot="1" x14ac:dyDescent="0.25">
      <c r="A86" s="286"/>
      <c r="B86" s="35"/>
      <c r="C86" s="36"/>
      <c r="D86" s="36"/>
      <c r="E86" s="36"/>
      <c r="F86" s="36"/>
      <c r="G86" s="36"/>
      <c r="H86" s="36"/>
      <c r="I86" s="36"/>
      <c r="J86" s="36"/>
      <c r="K86" s="36"/>
      <c r="L86" s="37" t="s">
        <v>525</v>
      </c>
      <c r="M86" s="38">
        <f ca="1">SUBTOTAL(9,$M$10:$M85)</f>
        <v>33055.32646052468</v>
      </c>
      <c r="N86" s="39">
        <f ca="1">SUMPRODUCT(SUBTOTAL(9,OFFSET($M$10:$M85,ROW($M$10:$M85)-MIN(ROW($M$10:$M85)),,1)),N$10:N85)/MAX($M86,10^-10)</f>
        <v>-1.0301139194300379</v>
      </c>
      <c r="O86" s="39">
        <f ca="1">SUMPRODUCT(SUBTOTAL(9,OFFSET($M$10:$M85,ROW($M$10:$M85)-MIN(ROW($M$10:$M85)),,1)),O$10:O85)/MAX($M86,10^-10)</f>
        <v>0.4549388938176212</v>
      </c>
      <c r="P86" s="39">
        <f ca="1">SUMPRODUCT(SUBTOTAL(9,OFFSET($M$10:$M85,ROW($M$10:$M85)-MIN(ROW($M$10:$M85)),,1)),P$10:P85)/MAX($M86,10^-10)</f>
        <v>16.361865256757095</v>
      </c>
      <c r="Q86" s="60">
        <f ca="1">SUBTOTAL(9,$Q$10:$Q85)</f>
        <v>10064</v>
      </c>
      <c r="R86" s="60">
        <f ca="1">SUBTOTAL(9,$R$10:$R85)</f>
        <v>10080</v>
      </c>
      <c r="S86" s="77"/>
      <c r="T86" s="40"/>
    </row>
    <row r="87" spans="1:32" ht="15.95" customHeight="1" x14ac:dyDescent="0.2">
      <c r="A87" s="293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31"/>
      <c r="N87" s="31"/>
      <c r="O87" s="31"/>
      <c r="P87" s="31"/>
      <c r="Q87" s="31"/>
      <c r="R87" s="31"/>
      <c r="S87" s="31"/>
      <c r="T87" s="31"/>
    </row>
    <row r="88" spans="1:32" ht="15.95" customHeight="1" thickBot="1" x14ac:dyDescent="0.25">
      <c r="A88" s="293"/>
      <c r="B88" s="294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8"/>
      <c r="N88" s="28"/>
      <c r="O88" s="28"/>
      <c r="P88" s="28"/>
      <c r="Q88" s="28"/>
      <c r="R88" s="28"/>
      <c r="S88" s="28"/>
      <c r="T88" s="73"/>
    </row>
    <row r="89" spans="1:32" ht="15.95" customHeight="1" thickBot="1" x14ac:dyDescent="0.25">
      <c r="A89" s="286"/>
      <c r="B89" s="83" t="s">
        <v>191</v>
      </c>
      <c r="C89" s="567" t="s">
        <v>7</v>
      </c>
      <c r="D89" s="568"/>
      <c r="E89" s="568"/>
      <c r="F89" s="569"/>
      <c r="G89" s="567" t="s">
        <v>192</v>
      </c>
      <c r="H89" s="568"/>
      <c r="I89" s="568"/>
      <c r="J89" s="568"/>
      <c r="K89" s="568"/>
      <c r="L89" s="568"/>
      <c r="M89" s="569"/>
      <c r="N89" s="84" t="s">
        <v>193</v>
      </c>
      <c r="O89" s="85" t="s">
        <v>194</v>
      </c>
      <c r="Q89" s="28"/>
      <c r="R89" s="28"/>
      <c r="S89" s="28"/>
      <c r="T89" s="73"/>
    </row>
    <row r="90" spans="1:32" ht="15.95" customHeight="1" x14ac:dyDescent="0.2">
      <c r="A90" s="293"/>
      <c r="B90" s="515" t="s">
        <v>132</v>
      </c>
      <c r="C90" s="609" t="s">
        <v>133</v>
      </c>
      <c r="D90" s="609"/>
      <c r="E90" s="609"/>
      <c r="F90" s="609"/>
      <c r="G90" s="609" t="s">
        <v>134</v>
      </c>
      <c r="H90" s="609"/>
      <c r="I90" s="609"/>
      <c r="J90" s="609"/>
      <c r="K90" s="609"/>
      <c r="L90" s="609"/>
      <c r="M90" s="609"/>
      <c r="N90" s="516">
        <v>18</v>
      </c>
      <c r="O90" s="517" t="s">
        <v>135</v>
      </c>
      <c r="Q90" s="28"/>
      <c r="R90" s="28"/>
      <c r="S90" s="28"/>
      <c r="T90" s="31"/>
    </row>
    <row r="91" spans="1:32" ht="15.95" customHeight="1" x14ac:dyDescent="0.2">
      <c r="A91" s="293"/>
      <c r="B91" s="494" t="s">
        <v>182</v>
      </c>
      <c r="C91" s="593" t="s">
        <v>181</v>
      </c>
      <c r="D91" s="593"/>
      <c r="E91" s="593"/>
      <c r="F91" s="593"/>
      <c r="G91" s="593" t="s">
        <v>134</v>
      </c>
      <c r="H91" s="593"/>
      <c r="I91" s="593"/>
      <c r="J91" s="593"/>
      <c r="K91" s="593"/>
      <c r="L91" s="593"/>
      <c r="M91" s="593"/>
      <c r="N91" s="495">
        <v>70</v>
      </c>
      <c r="O91" s="496" t="s">
        <v>183</v>
      </c>
      <c r="Q91" s="28"/>
      <c r="R91" s="28"/>
      <c r="S91" s="28"/>
      <c r="T91" s="31"/>
    </row>
    <row r="92" spans="1:32" ht="15.95" customHeight="1" x14ac:dyDescent="0.2">
      <c r="A92" s="293"/>
      <c r="B92" s="506"/>
      <c r="C92" s="507"/>
      <c r="D92" s="507"/>
      <c r="E92" s="507"/>
      <c r="F92" s="507"/>
      <c r="G92" s="507"/>
      <c r="H92" s="507"/>
      <c r="I92" s="507"/>
      <c r="J92" s="507"/>
      <c r="K92" s="507"/>
      <c r="L92" s="513"/>
      <c r="M92" s="513"/>
      <c r="N92" s="508"/>
      <c r="O92" s="509"/>
      <c r="Q92" s="28"/>
      <c r="R92" s="28"/>
      <c r="S92" s="28"/>
      <c r="T92" s="31"/>
    </row>
    <row r="93" spans="1:32" ht="15.95" customHeight="1" x14ac:dyDescent="0.2">
      <c r="A93" s="293"/>
      <c r="B93" s="82" t="s">
        <v>127</v>
      </c>
      <c r="C93" s="510"/>
      <c r="D93" s="510"/>
      <c r="E93" s="510"/>
      <c r="F93" s="510"/>
      <c r="G93" s="510"/>
      <c r="H93" s="510"/>
      <c r="I93" s="510"/>
      <c r="J93" s="510"/>
      <c r="K93" s="510"/>
      <c r="L93" s="514"/>
      <c r="M93" s="514"/>
      <c r="N93" s="511"/>
      <c r="O93" s="512"/>
      <c r="Q93" s="28"/>
      <c r="R93" s="31"/>
      <c r="S93" s="31"/>
      <c r="T93" s="31"/>
    </row>
    <row r="94" spans="1:32" ht="15.95" customHeight="1" x14ac:dyDescent="0.2">
      <c r="A94" s="293"/>
      <c r="B94" s="502" t="s">
        <v>128</v>
      </c>
      <c r="C94" s="598" t="s">
        <v>129</v>
      </c>
      <c r="D94" s="598"/>
      <c r="E94" s="598"/>
      <c r="F94" s="598"/>
      <c r="G94" s="598" t="s">
        <v>185</v>
      </c>
      <c r="H94" s="598"/>
      <c r="I94" s="598"/>
      <c r="J94" s="598"/>
      <c r="K94" s="598"/>
      <c r="L94" s="598"/>
      <c r="M94" s="598"/>
      <c r="N94" s="503">
        <f>VLOOKUP($N$90,Hydrostatic!$A$3:$J$252,2,0)</f>
        <v>33034.93</v>
      </c>
      <c r="O94" s="504" t="s">
        <v>131</v>
      </c>
      <c r="Q94" s="28"/>
      <c r="R94" s="31"/>
      <c r="S94" s="31"/>
      <c r="T94" s="31"/>
    </row>
    <row r="95" spans="1:32" ht="15.95" customHeight="1" x14ac:dyDescent="0.2">
      <c r="A95" s="293"/>
      <c r="B95" s="80" t="s">
        <v>136</v>
      </c>
      <c r="C95" s="591" t="s">
        <v>186</v>
      </c>
      <c r="D95" s="591"/>
      <c r="E95" s="591"/>
      <c r="F95" s="591"/>
      <c r="G95" s="591" t="s">
        <v>411</v>
      </c>
      <c r="H95" s="591"/>
      <c r="I95" s="591"/>
      <c r="J95" s="591"/>
      <c r="K95" s="591"/>
      <c r="L95" s="591"/>
      <c r="M95" s="591"/>
      <c r="N95" s="295">
        <f ca="1">P86</f>
        <v>16.361865256757095</v>
      </c>
      <c r="O95" s="296" t="s">
        <v>135</v>
      </c>
      <c r="Q95" s="28"/>
      <c r="R95" s="31"/>
      <c r="S95" s="31"/>
      <c r="T95" s="31"/>
    </row>
    <row r="96" spans="1:32" ht="15.95" customHeight="1" x14ac:dyDescent="0.2">
      <c r="A96" s="293"/>
      <c r="B96" s="80" t="s">
        <v>26</v>
      </c>
      <c r="C96" s="591" t="s">
        <v>137</v>
      </c>
      <c r="D96" s="591"/>
      <c r="E96" s="591"/>
      <c r="F96" s="591"/>
      <c r="G96" s="591" t="s">
        <v>411</v>
      </c>
      <c r="H96" s="591"/>
      <c r="I96" s="591"/>
      <c r="J96" s="591"/>
      <c r="K96" s="591"/>
      <c r="L96" s="591"/>
      <c r="M96" s="591"/>
      <c r="N96" s="295">
        <f ca="1">Q86/N94</f>
        <v>0.3046472324899735</v>
      </c>
      <c r="O96" s="296" t="s">
        <v>135</v>
      </c>
      <c r="Q96" s="28"/>
      <c r="R96" s="31"/>
      <c r="S96" s="31"/>
      <c r="T96" s="31"/>
    </row>
    <row r="97" spans="1:20" ht="15.95" customHeight="1" x14ac:dyDescent="0.2">
      <c r="A97" s="297"/>
      <c r="B97" s="80" t="s">
        <v>27</v>
      </c>
      <c r="C97" s="591" t="s">
        <v>138</v>
      </c>
      <c r="D97" s="591"/>
      <c r="E97" s="591"/>
      <c r="F97" s="591"/>
      <c r="G97" s="591" t="s">
        <v>411</v>
      </c>
      <c r="H97" s="591"/>
      <c r="I97" s="591"/>
      <c r="J97" s="591"/>
      <c r="K97" s="591"/>
      <c r="L97" s="591"/>
      <c r="M97" s="591"/>
      <c r="N97" s="295">
        <f ca="1">R86/N94</f>
        <v>0.30513156831269206</v>
      </c>
      <c r="O97" s="296" t="s">
        <v>135</v>
      </c>
      <c r="Q97" s="28"/>
      <c r="R97" s="31"/>
      <c r="S97" s="31"/>
      <c r="T97" s="31"/>
    </row>
    <row r="98" spans="1:20" ht="15.95" customHeight="1" x14ac:dyDescent="0.2">
      <c r="A98" s="297"/>
      <c r="B98" s="80" t="s">
        <v>139</v>
      </c>
      <c r="C98" s="591" t="s">
        <v>140</v>
      </c>
      <c r="D98" s="591"/>
      <c r="E98" s="591"/>
      <c r="F98" s="591"/>
      <c r="G98" s="591" t="s">
        <v>141</v>
      </c>
      <c r="H98" s="591"/>
      <c r="I98" s="591"/>
      <c r="J98" s="591"/>
      <c r="K98" s="591"/>
      <c r="L98" s="591"/>
      <c r="M98" s="591"/>
      <c r="N98" s="295">
        <f ca="1">MAX(N96,N97)</f>
        <v>0.30513156831269206</v>
      </c>
      <c r="O98" s="296" t="s">
        <v>135</v>
      </c>
      <c r="Q98" s="28"/>
      <c r="R98" s="41"/>
      <c r="S98" s="41"/>
      <c r="T98" s="41"/>
    </row>
    <row r="99" spans="1:20" ht="15.95" customHeight="1" x14ac:dyDescent="0.2">
      <c r="A99" s="297"/>
      <c r="B99" s="80" t="s">
        <v>142</v>
      </c>
      <c r="C99" s="591" t="s">
        <v>143</v>
      </c>
      <c r="D99" s="591"/>
      <c r="E99" s="591"/>
      <c r="F99" s="591"/>
      <c r="G99" s="591" t="s">
        <v>144</v>
      </c>
      <c r="H99" s="591"/>
      <c r="I99" s="591"/>
      <c r="J99" s="591"/>
      <c r="K99" s="591"/>
      <c r="L99" s="591"/>
      <c r="M99" s="591"/>
      <c r="N99" s="295">
        <f ca="1">N95+N98</f>
        <v>16.666996825069788</v>
      </c>
      <c r="O99" s="296" t="s">
        <v>135</v>
      </c>
      <c r="Q99" s="28"/>
    </row>
    <row r="100" spans="1:20" ht="15.95" customHeight="1" x14ac:dyDescent="0.2">
      <c r="A100" s="293"/>
      <c r="B100" s="80" t="s">
        <v>145</v>
      </c>
      <c r="C100" s="591" t="s">
        <v>146</v>
      </c>
      <c r="D100" s="591"/>
      <c r="E100" s="591"/>
      <c r="F100" s="591"/>
      <c r="G100" s="591" t="s">
        <v>207</v>
      </c>
      <c r="H100" s="591"/>
      <c r="I100" s="591"/>
      <c r="J100" s="591"/>
      <c r="K100" s="591"/>
      <c r="L100" s="591"/>
      <c r="M100" s="591"/>
      <c r="N100" s="492">
        <f>IF($N$90&lt;AKG!B4,FORECAST($N$90,AKG!E3:E4,AKG!B3:B4),FORECAST($N$90,AKG!E4:E5,AKG!B4:B5))</f>
        <v>22.17</v>
      </c>
      <c r="O100" s="296" t="s">
        <v>135</v>
      </c>
      <c r="Q100" s="28"/>
    </row>
    <row r="101" spans="1:20" ht="15.95" customHeight="1" x14ac:dyDescent="0.2">
      <c r="A101" s="293"/>
      <c r="B101" s="88" t="s">
        <v>147</v>
      </c>
      <c r="C101" s="592" t="s">
        <v>148</v>
      </c>
      <c r="D101" s="592"/>
      <c r="E101" s="592"/>
      <c r="F101" s="592"/>
      <c r="G101" s="592" t="s">
        <v>149</v>
      </c>
      <c r="H101" s="592"/>
      <c r="I101" s="592"/>
      <c r="J101" s="592"/>
      <c r="K101" s="592"/>
      <c r="L101" s="592"/>
      <c r="M101" s="592"/>
      <c r="N101" s="493">
        <f ca="1">N100-N99</f>
        <v>5.503003174930214</v>
      </c>
      <c r="O101" s="300" t="s">
        <v>135</v>
      </c>
      <c r="Q101" s="28"/>
    </row>
    <row r="102" spans="1:20" ht="15.95" customHeight="1" x14ac:dyDescent="0.2">
      <c r="A102" s="293"/>
      <c r="B102" s="497"/>
      <c r="C102" s="498"/>
      <c r="D102" s="498"/>
      <c r="E102" s="498"/>
      <c r="F102" s="498"/>
      <c r="G102" s="498"/>
      <c r="H102" s="498"/>
      <c r="I102" s="498"/>
      <c r="J102" s="498"/>
      <c r="K102" s="498"/>
      <c r="L102" s="518"/>
      <c r="M102" s="518"/>
      <c r="N102" s="499"/>
      <c r="O102" s="500"/>
      <c r="Q102" s="28"/>
    </row>
    <row r="103" spans="1:20" ht="15.95" customHeight="1" x14ac:dyDescent="0.2">
      <c r="A103" s="293"/>
      <c r="B103" s="82" t="s">
        <v>150</v>
      </c>
      <c r="C103" s="510"/>
      <c r="D103" s="510"/>
      <c r="E103" s="510"/>
      <c r="F103" s="510"/>
      <c r="G103" s="510"/>
      <c r="H103" s="510"/>
      <c r="I103" s="510"/>
      <c r="J103" s="510"/>
      <c r="K103" s="510"/>
      <c r="L103" s="514"/>
      <c r="M103" s="514"/>
      <c r="N103" s="511"/>
      <c r="O103" s="512"/>
      <c r="Q103" s="28"/>
    </row>
    <row r="104" spans="1:20" ht="15.95" customHeight="1" x14ac:dyDescent="0.2">
      <c r="A104" s="297"/>
      <c r="B104" s="502" t="s">
        <v>151</v>
      </c>
      <c r="C104" s="598" t="s">
        <v>152</v>
      </c>
      <c r="D104" s="598"/>
      <c r="E104" s="598"/>
      <c r="F104" s="598"/>
      <c r="G104" s="598" t="s">
        <v>153</v>
      </c>
      <c r="H104" s="598"/>
      <c r="I104" s="598"/>
      <c r="J104" s="598"/>
      <c r="K104" s="598"/>
      <c r="L104" s="598"/>
      <c r="M104" s="598"/>
      <c r="N104" s="505">
        <v>80.099999999999994</v>
      </c>
      <c r="O104" s="504" t="s">
        <v>135</v>
      </c>
      <c r="Q104" s="28"/>
      <c r="R104" s="547"/>
    </row>
    <row r="105" spans="1:20" ht="15.95" customHeight="1" x14ac:dyDescent="0.2">
      <c r="A105" s="297"/>
      <c r="B105" s="80" t="s">
        <v>154</v>
      </c>
      <c r="C105" s="591" t="s">
        <v>154</v>
      </c>
      <c r="D105" s="591"/>
      <c r="E105" s="591"/>
      <c r="F105" s="591"/>
      <c r="G105" s="591" t="s">
        <v>130</v>
      </c>
      <c r="H105" s="591"/>
      <c r="I105" s="591"/>
      <c r="J105" s="591"/>
      <c r="K105" s="591"/>
      <c r="L105" s="591"/>
      <c r="M105" s="591"/>
      <c r="N105" s="295">
        <f>VLOOKUP($N$90,Hydrostatic!$A$3:$J$252,8,0)</f>
        <v>27.83</v>
      </c>
      <c r="O105" s="296" t="s">
        <v>135</v>
      </c>
    </row>
    <row r="106" spans="1:20" ht="15.95" customHeight="1" x14ac:dyDescent="0.2">
      <c r="A106" s="297"/>
      <c r="B106" s="80" t="s">
        <v>155</v>
      </c>
      <c r="C106" s="591" t="s">
        <v>156</v>
      </c>
      <c r="D106" s="591"/>
      <c r="E106" s="591"/>
      <c r="F106" s="591"/>
      <c r="G106" s="591" t="s">
        <v>157</v>
      </c>
      <c r="H106" s="591"/>
      <c r="I106" s="591"/>
      <c r="J106" s="591"/>
      <c r="K106" s="591"/>
      <c r="L106" s="591"/>
      <c r="M106" s="591"/>
      <c r="N106" s="295">
        <f ca="1">N95+N96</f>
        <v>16.666512489247069</v>
      </c>
      <c r="O106" s="296" t="s">
        <v>135</v>
      </c>
    </row>
    <row r="107" spans="1:20" ht="15.95" customHeight="1" x14ac:dyDescent="0.2">
      <c r="A107" s="297"/>
      <c r="B107" s="80" t="s">
        <v>158</v>
      </c>
      <c r="C107" s="591" t="s">
        <v>158</v>
      </c>
      <c r="D107" s="591"/>
      <c r="E107" s="591"/>
      <c r="F107" s="591"/>
      <c r="G107" s="591" t="s">
        <v>409</v>
      </c>
      <c r="H107" s="591"/>
      <c r="I107" s="591"/>
      <c r="J107" s="591"/>
      <c r="K107" s="591"/>
      <c r="L107" s="591"/>
      <c r="M107" s="591"/>
      <c r="N107" s="295">
        <f ca="1">N105-N106</f>
        <v>11.16348751075293</v>
      </c>
      <c r="O107" s="296" t="s">
        <v>135</v>
      </c>
    </row>
    <row r="108" spans="1:20" ht="15.95" customHeight="1" x14ac:dyDescent="0.2">
      <c r="A108" s="297"/>
      <c r="B108" s="80" t="s">
        <v>159</v>
      </c>
      <c r="C108" s="591" t="s">
        <v>159</v>
      </c>
      <c r="D108" s="591"/>
      <c r="E108" s="591"/>
      <c r="F108" s="591"/>
      <c r="G108" s="591" t="s">
        <v>185</v>
      </c>
      <c r="H108" s="591"/>
      <c r="I108" s="591"/>
      <c r="J108" s="591"/>
      <c r="K108" s="591"/>
      <c r="L108" s="591"/>
      <c r="M108" s="591"/>
      <c r="N108" s="299">
        <f>VLOOKUP($N$90,Hydrostatic!$A$3:$J$252,3,0)</f>
        <v>-2.27</v>
      </c>
      <c r="O108" s="296" t="s">
        <v>135</v>
      </c>
    </row>
    <row r="109" spans="1:20" ht="15.95" customHeight="1" x14ac:dyDescent="0.2">
      <c r="A109" s="297"/>
      <c r="B109" s="80" t="s">
        <v>160</v>
      </c>
      <c r="C109" s="591" t="s">
        <v>160</v>
      </c>
      <c r="D109" s="591"/>
      <c r="E109" s="591"/>
      <c r="F109" s="591"/>
      <c r="G109" s="591" t="s">
        <v>411</v>
      </c>
      <c r="H109" s="591"/>
      <c r="I109" s="591"/>
      <c r="J109" s="591"/>
      <c r="K109" s="591"/>
      <c r="L109" s="591"/>
      <c r="M109" s="591"/>
      <c r="N109" s="299">
        <f ca="1">N86</f>
        <v>-1.0301139194300379</v>
      </c>
      <c r="O109" s="296" t="s">
        <v>135</v>
      </c>
    </row>
    <row r="110" spans="1:20" ht="15.95" customHeight="1" x14ac:dyDescent="0.2">
      <c r="A110" s="297"/>
      <c r="B110" s="80" t="s">
        <v>161</v>
      </c>
      <c r="C110" s="591" t="s">
        <v>162</v>
      </c>
      <c r="D110" s="591"/>
      <c r="E110" s="591"/>
      <c r="F110" s="591"/>
      <c r="G110" s="591" t="s">
        <v>163</v>
      </c>
      <c r="H110" s="591"/>
      <c r="I110" s="591"/>
      <c r="J110" s="591"/>
      <c r="K110" s="591"/>
      <c r="L110" s="591"/>
      <c r="M110" s="591"/>
      <c r="N110" s="299">
        <f ca="1">N109-N108</f>
        <v>1.2398860805699621</v>
      </c>
      <c r="O110" s="296" t="s">
        <v>135</v>
      </c>
    </row>
    <row r="111" spans="1:20" ht="15.95" customHeight="1" x14ac:dyDescent="0.2">
      <c r="A111" s="297"/>
      <c r="B111" s="494" t="s">
        <v>164</v>
      </c>
      <c r="C111" s="593" t="s">
        <v>165</v>
      </c>
      <c r="D111" s="593"/>
      <c r="E111" s="593"/>
      <c r="F111" s="593"/>
      <c r="G111" s="593" t="s">
        <v>184</v>
      </c>
      <c r="H111" s="593"/>
      <c r="I111" s="593"/>
      <c r="J111" s="593"/>
      <c r="K111" s="593"/>
      <c r="L111" s="593"/>
      <c r="M111" s="593"/>
      <c r="N111" s="501">
        <f ca="1">N104*N110/N107</f>
        <v>8.896402218212863</v>
      </c>
      <c r="O111" s="496" t="s">
        <v>135</v>
      </c>
    </row>
    <row r="112" spans="1:20" ht="15.95" customHeight="1" x14ac:dyDescent="0.2">
      <c r="A112" s="297"/>
      <c r="B112" s="506"/>
      <c r="C112" s="507"/>
      <c r="D112" s="507"/>
      <c r="E112" s="507"/>
      <c r="F112" s="507"/>
      <c r="G112" s="507"/>
      <c r="H112" s="507"/>
      <c r="I112" s="507"/>
      <c r="J112" s="507"/>
      <c r="K112" s="507"/>
      <c r="L112" s="513"/>
      <c r="M112" s="513"/>
      <c r="N112" s="508"/>
      <c r="O112" s="509"/>
    </row>
    <row r="113" spans="1:16" ht="15.95" customHeight="1" x14ac:dyDescent="0.2">
      <c r="A113" s="297"/>
      <c r="B113" s="82" t="s">
        <v>166</v>
      </c>
      <c r="C113" s="510"/>
      <c r="D113" s="510"/>
      <c r="E113" s="510"/>
      <c r="F113" s="510"/>
      <c r="G113" s="510"/>
      <c r="H113" s="510"/>
      <c r="I113" s="510"/>
      <c r="J113" s="510"/>
      <c r="K113" s="510"/>
      <c r="L113" s="514"/>
      <c r="M113" s="514"/>
      <c r="N113" s="511"/>
      <c r="O113" s="512"/>
    </row>
    <row r="114" spans="1:16" ht="15.95" customHeight="1" x14ac:dyDescent="0.2">
      <c r="A114" s="297"/>
      <c r="B114" s="502" t="s">
        <v>167</v>
      </c>
      <c r="C114" s="598" t="s">
        <v>168</v>
      </c>
      <c r="D114" s="598"/>
      <c r="E114" s="598"/>
      <c r="F114" s="598"/>
      <c r="G114" s="598" t="s">
        <v>153</v>
      </c>
      <c r="H114" s="598"/>
      <c r="I114" s="598"/>
      <c r="J114" s="598"/>
      <c r="K114" s="598"/>
      <c r="L114" s="598"/>
      <c r="M114" s="598"/>
      <c r="N114" s="505">
        <v>82.8</v>
      </c>
      <c r="O114" s="504" t="s">
        <v>135</v>
      </c>
    </row>
    <row r="115" spans="1:16" ht="15.95" customHeight="1" x14ac:dyDescent="0.2">
      <c r="A115" s="297"/>
      <c r="B115" s="80" t="s">
        <v>169</v>
      </c>
      <c r="C115" s="591" t="s">
        <v>169</v>
      </c>
      <c r="D115" s="591"/>
      <c r="E115" s="591"/>
      <c r="F115" s="591"/>
      <c r="G115" s="591" t="s">
        <v>185</v>
      </c>
      <c r="H115" s="591"/>
      <c r="I115" s="591"/>
      <c r="J115" s="591"/>
      <c r="K115" s="591"/>
      <c r="L115" s="591"/>
      <c r="M115" s="591"/>
      <c r="N115" s="295">
        <f>VLOOKUP($N$90,Hydrostatic!$A$3:$J$252,7,0)</f>
        <v>25.13</v>
      </c>
      <c r="O115" s="296" t="s">
        <v>135</v>
      </c>
    </row>
    <row r="116" spans="1:16" ht="15.95" customHeight="1" x14ac:dyDescent="0.2">
      <c r="A116" s="297"/>
      <c r="B116" s="80" t="s">
        <v>170</v>
      </c>
      <c r="C116" s="591" t="s">
        <v>171</v>
      </c>
      <c r="D116" s="591"/>
      <c r="E116" s="591"/>
      <c r="F116" s="591"/>
      <c r="G116" s="591" t="s">
        <v>172</v>
      </c>
      <c r="H116" s="591"/>
      <c r="I116" s="591"/>
      <c r="J116" s="591"/>
      <c r="K116" s="591"/>
      <c r="L116" s="591"/>
      <c r="M116" s="591"/>
      <c r="N116" s="295">
        <f ca="1">N95+N97</f>
        <v>16.666996825069788</v>
      </c>
      <c r="O116" s="296" t="s">
        <v>135</v>
      </c>
    </row>
    <row r="117" spans="1:16" ht="15.95" customHeight="1" x14ac:dyDescent="0.2">
      <c r="A117" s="297"/>
      <c r="B117" s="80" t="s">
        <v>173</v>
      </c>
      <c r="C117" s="591" t="s">
        <v>173</v>
      </c>
      <c r="D117" s="591"/>
      <c r="E117" s="591"/>
      <c r="F117" s="591"/>
      <c r="G117" s="591" t="s">
        <v>410</v>
      </c>
      <c r="H117" s="591"/>
      <c r="I117" s="591"/>
      <c r="J117" s="591"/>
      <c r="K117" s="591"/>
      <c r="L117" s="591"/>
      <c r="M117" s="591"/>
      <c r="N117" s="295">
        <f ca="1">N115-N116</f>
        <v>8.4630031749302113</v>
      </c>
      <c r="O117" s="296" t="s">
        <v>135</v>
      </c>
    </row>
    <row r="118" spans="1:16" ht="15.95" customHeight="1" x14ac:dyDescent="0.2">
      <c r="A118" s="297"/>
      <c r="B118" s="80" t="s">
        <v>174</v>
      </c>
      <c r="C118" s="591" t="s">
        <v>174</v>
      </c>
      <c r="D118" s="591"/>
      <c r="E118" s="591"/>
      <c r="F118" s="591"/>
      <c r="G118" s="591" t="s">
        <v>189</v>
      </c>
      <c r="H118" s="591"/>
      <c r="I118" s="591"/>
      <c r="J118" s="591"/>
      <c r="K118" s="591"/>
      <c r="L118" s="591"/>
      <c r="M118" s="591"/>
      <c r="N118" s="351">
        <v>0</v>
      </c>
      <c r="O118" s="296" t="s">
        <v>135</v>
      </c>
    </row>
    <row r="119" spans="1:16" ht="15.95" customHeight="1" x14ac:dyDescent="0.2">
      <c r="A119" s="297"/>
      <c r="B119" s="80" t="s">
        <v>175</v>
      </c>
      <c r="C119" s="591" t="s">
        <v>175</v>
      </c>
      <c r="D119" s="591"/>
      <c r="E119" s="591"/>
      <c r="F119" s="591"/>
      <c r="G119" s="591" t="s">
        <v>187</v>
      </c>
      <c r="H119" s="591"/>
      <c r="I119" s="591"/>
      <c r="J119" s="591"/>
      <c r="K119" s="591"/>
      <c r="L119" s="591"/>
      <c r="M119" s="591"/>
      <c r="N119" s="299">
        <f ca="1">O86</f>
        <v>0.4549388938176212</v>
      </c>
      <c r="O119" s="296" t="s">
        <v>135</v>
      </c>
    </row>
    <row r="120" spans="1:16" ht="15.95" customHeight="1" x14ac:dyDescent="0.2">
      <c r="A120" s="297"/>
      <c r="B120" s="80" t="s">
        <v>176</v>
      </c>
      <c r="C120" s="591" t="s">
        <v>177</v>
      </c>
      <c r="D120" s="591"/>
      <c r="E120" s="591"/>
      <c r="F120" s="591"/>
      <c r="G120" s="591" t="s">
        <v>178</v>
      </c>
      <c r="H120" s="591"/>
      <c r="I120" s="591"/>
      <c r="J120" s="591"/>
      <c r="K120" s="591"/>
      <c r="L120" s="591"/>
      <c r="M120" s="591"/>
      <c r="N120" s="299">
        <f ca="1">N119-N118</f>
        <v>0.4549388938176212</v>
      </c>
      <c r="O120" s="296" t="s">
        <v>135</v>
      </c>
    </row>
    <row r="121" spans="1:16" ht="15.95" customHeight="1" thickBot="1" x14ac:dyDescent="0.25">
      <c r="A121" s="297"/>
      <c r="B121" s="81" t="s">
        <v>179</v>
      </c>
      <c r="C121" s="590" t="s">
        <v>180</v>
      </c>
      <c r="D121" s="590"/>
      <c r="E121" s="590"/>
      <c r="F121" s="590"/>
      <c r="G121" s="590" t="s">
        <v>188</v>
      </c>
      <c r="H121" s="590"/>
      <c r="I121" s="590"/>
      <c r="J121" s="590"/>
      <c r="K121" s="590"/>
      <c r="L121" s="590"/>
      <c r="M121" s="590"/>
      <c r="N121" s="301">
        <f ca="1">N114*N120/N117</f>
        <v>4.4510133849039546</v>
      </c>
      <c r="O121" s="302" t="s">
        <v>135</v>
      </c>
    </row>
    <row r="122" spans="1:16" ht="15.95" customHeight="1" x14ac:dyDescent="0.2">
      <c r="A122" s="297"/>
      <c r="B122" s="303"/>
      <c r="C122" s="303"/>
      <c r="D122" s="303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3"/>
      <c r="P122" s="303"/>
    </row>
    <row r="123" spans="1:16" ht="15.95" customHeight="1" x14ac:dyDescent="0.2">
      <c r="A123" s="297"/>
      <c r="B123" s="303"/>
      <c r="C123" s="303"/>
      <c r="D123" s="303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3"/>
      <c r="P123" s="303"/>
    </row>
    <row r="124" spans="1:16" ht="15.95" customHeight="1" x14ac:dyDescent="0.2">
      <c r="A124" s="297"/>
      <c r="B124" s="303"/>
      <c r="C124" s="303"/>
      <c r="D124" s="303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3"/>
      <c r="P124" s="303"/>
    </row>
  </sheetData>
  <mergeCells count="71">
    <mergeCell ref="C99:F99"/>
    <mergeCell ref="G106:M106"/>
    <mergeCell ref="G105:M105"/>
    <mergeCell ref="G89:M89"/>
    <mergeCell ref="G91:M91"/>
    <mergeCell ref="G118:M118"/>
    <mergeCell ref="C114:F114"/>
    <mergeCell ref="C115:F115"/>
    <mergeCell ref="C116:F116"/>
    <mergeCell ref="C117:F117"/>
    <mergeCell ref="C118:F118"/>
    <mergeCell ref="G114:M114"/>
    <mergeCell ref="G99:M99"/>
    <mergeCell ref="G100:M100"/>
    <mergeCell ref="G97:M97"/>
    <mergeCell ref="G98:M98"/>
    <mergeCell ref="P7:P8"/>
    <mergeCell ref="O7:O8"/>
    <mergeCell ref="G115:M115"/>
    <mergeCell ref="G116:M116"/>
    <mergeCell ref="G117:M117"/>
    <mergeCell ref="C108:F108"/>
    <mergeCell ref="C100:F100"/>
    <mergeCell ref="C109:F109"/>
    <mergeCell ref="C104:F104"/>
    <mergeCell ref="C105:F105"/>
    <mergeCell ref="G101:M101"/>
    <mergeCell ref="G107:M107"/>
    <mergeCell ref="C106:F106"/>
    <mergeCell ref="C107:F107"/>
    <mergeCell ref="G104:M104"/>
    <mergeCell ref="C111:F111"/>
    <mergeCell ref="V7:W7"/>
    <mergeCell ref="V8:V9"/>
    <mergeCell ref="W8:W9"/>
    <mergeCell ref="C94:F94"/>
    <mergeCell ref="C95:F95"/>
    <mergeCell ref="G94:M94"/>
    <mergeCell ref="R7:R8"/>
    <mergeCell ref="Q7:Q8"/>
    <mergeCell ref="S7:T9"/>
    <mergeCell ref="S77:T77"/>
    <mergeCell ref="D8:J8"/>
    <mergeCell ref="C91:F91"/>
    <mergeCell ref="G90:M90"/>
    <mergeCell ref="G95:M95"/>
    <mergeCell ref="C90:F90"/>
    <mergeCell ref="C121:F121"/>
    <mergeCell ref="G120:M120"/>
    <mergeCell ref="G121:M121"/>
    <mergeCell ref="C110:F110"/>
    <mergeCell ref="C96:F96"/>
    <mergeCell ref="C97:F97"/>
    <mergeCell ref="C98:F98"/>
    <mergeCell ref="G96:M96"/>
    <mergeCell ref="G109:M109"/>
    <mergeCell ref="C101:F101"/>
    <mergeCell ref="G108:M108"/>
    <mergeCell ref="C120:F120"/>
    <mergeCell ref="G110:M110"/>
    <mergeCell ref="G111:M111"/>
    <mergeCell ref="G119:M119"/>
    <mergeCell ref="C119:F119"/>
    <mergeCell ref="D2:N3"/>
    <mergeCell ref="C89:F89"/>
    <mergeCell ref="M7:M8"/>
    <mergeCell ref="N7:N8"/>
    <mergeCell ref="D7:J7"/>
    <mergeCell ref="K7:L8"/>
    <mergeCell ref="B7:C9"/>
    <mergeCell ref="D4:N5"/>
  </mergeCells>
  <phoneticPr fontId="4" type="noConversion"/>
  <conditionalFormatting sqref="N21:R23 N28:R28 N33:R34 N39:R43 N48:R51 N68:R73 N58:R61 N78:R82">
    <cfRule type="expression" dxfId="56" priority="31" stopIfTrue="1">
      <formula>INDEX($D21:$L21,1,$K$7)=""</formula>
    </cfRule>
  </conditionalFormatting>
  <conditionalFormatting sqref="M21:M23 M28 M33:M34 M39:M43 M48:M51 M68:M73 M58:M61 M78:M82 V21:V23 V28 V33:V34 V39:V43 V48:V51">
    <cfRule type="expression" dxfId="55" priority="32" stopIfTrue="1">
      <formula>INDEX($D21:$L21,1,$K$7)=""</formula>
    </cfRule>
  </conditionalFormatting>
  <printOptions horizontalCentered="1"/>
  <pageMargins left="0.5" right="0.5" top="0.5" bottom="0.5" header="0.2" footer="0.3"/>
  <pageSetup scale="56" fitToHeight="2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B1:U624"/>
  <sheetViews>
    <sheetView topLeftCell="B1" zoomScale="85" zoomScaleNormal="85" zoomScaleSheetLayoutView="85" workbookViewId="0">
      <pane ySplit="10" topLeftCell="A29" activePane="bottomLeft" state="frozen"/>
      <selection activeCell="C2" sqref="C2:U36"/>
      <selection pane="bottomLeft" activeCell="C2" sqref="C2:U36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451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379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529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40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0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38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1"/>
      <c r="G8" s="611"/>
      <c r="H8" s="611"/>
      <c r="I8" s="611"/>
      <c r="J8" s="611"/>
      <c r="K8" s="611"/>
      <c r="L8" s="611"/>
      <c r="M8" s="639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416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40"/>
      <c r="O9" s="417"/>
    </row>
    <row r="10" spans="2:21" ht="15.95" customHeight="1" thickTop="1" x14ac:dyDescent="0.2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20"/>
    </row>
    <row r="11" spans="2:21" ht="15.95" customHeight="1" x14ac:dyDescent="0.2">
      <c r="B11" s="463"/>
      <c r="C11" s="470" t="s">
        <v>548</v>
      </c>
      <c r="D11" s="464"/>
      <c r="E11" s="465"/>
      <c r="F11" s="466"/>
      <c r="G11" s="467"/>
      <c r="H11" s="468"/>
      <c r="I11" s="468"/>
      <c r="J11" s="468"/>
      <c r="K11" s="468"/>
      <c r="L11" s="468"/>
      <c r="M11" s="469"/>
    </row>
    <row r="12" spans="2:21" ht="15.95" customHeight="1" x14ac:dyDescent="0.2">
      <c r="B12" s="243"/>
      <c r="C12" s="244"/>
      <c r="D12" s="245"/>
      <c r="E12" s="246"/>
      <c r="F12" s="279"/>
      <c r="G12" s="280"/>
      <c r="H12" s="281"/>
      <c r="I12" s="281"/>
      <c r="J12" s="281"/>
      <c r="K12" s="281"/>
      <c r="L12" s="281"/>
      <c r="M12" s="282"/>
    </row>
    <row r="13" spans="2:21" ht="15.95" customHeight="1" x14ac:dyDescent="0.2">
      <c r="B13" s="82"/>
      <c r="C13" s="242" t="s">
        <v>460</v>
      </c>
      <c r="D13" s="227"/>
      <c r="E13" s="228"/>
      <c r="F13" s="242"/>
      <c r="G13" s="227"/>
      <c r="H13" s="227"/>
      <c r="I13" s="227"/>
      <c r="J13" s="227"/>
      <c r="K13" s="227"/>
      <c r="L13" s="227"/>
      <c r="M13" s="274"/>
    </row>
    <row r="14" spans="2:21" ht="15.95" customHeight="1" x14ac:dyDescent="0.2">
      <c r="B14" s="58" t="s">
        <v>321</v>
      </c>
      <c r="C14" s="56" t="s">
        <v>429</v>
      </c>
      <c r="D14" s="316">
        <v>0.5</v>
      </c>
      <c r="E14" s="309">
        <v>1.73</v>
      </c>
      <c r="F14" s="271">
        <f>8.1*7.2*4.5*$Q$3</f>
        <v>249.31799999999998</v>
      </c>
      <c r="G14" s="24">
        <f>+E14*F14*D14</f>
        <v>215.66006999999999</v>
      </c>
      <c r="H14" s="16">
        <v>-26.55</v>
      </c>
      <c r="I14" s="16">
        <v>28.2</v>
      </c>
      <c r="J14" s="16">
        <v>3.3</v>
      </c>
      <c r="K14" s="16">
        <v>4</v>
      </c>
      <c r="L14" s="16">
        <v>5</v>
      </c>
      <c r="M14" s="312"/>
    </row>
    <row r="15" spans="2:21" ht="15.95" customHeight="1" x14ac:dyDescent="0.2">
      <c r="B15" s="59" t="s">
        <v>322</v>
      </c>
      <c r="C15" s="56" t="s">
        <v>429</v>
      </c>
      <c r="D15" s="317">
        <v>0.5</v>
      </c>
      <c r="E15" s="310">
        <v>1.73</v>
      </c>
      <c r="F15" s="271">
        <f>8.1*5.4*4.5*$Q$3</f>
        <v>186.98850000000002</v>
      </c>
      <c r="G15" s="24">
        <f>+E15*F15*D15</f>
        <v>161.74505250000001</v>
      </c>
      <c r="H15" s="9">
        <v>-26.55</v>
      </c>
      <c r="I15" s="9">
        <v>36.6</v>
      </c>
      <c r="J15" s="9">
        <v>3.3</v>
      </c>
      <c r="K15" s="9">
        <v>4</v>
      </c>
      <c r="L15" s="9">
        <v>5</v>
      </c>
      <c r="M15" s="313"/>
    </row>
    <row r="16" spans="2:21" ht="15.95" customHeight="1" thickBot="1" x14ac:dyDescent="0.25">
      <c r="B16" s="255"/>
      <c r="C16" s="252"/>
      <c r="D16" s="316"/>
      <c r="E16" s="256"/>
      <c r="F16" s="272"/>
      <c r="G16" s="253"/>
      <c r="H16" s="250"/>
      <c r="I16" s="250"/>
      <c r="J16" s="250"/>
      <c r="K16" s="250"/>
      <c r="L16" s="250"/>
      <c r="M16" s="276"/>
    </row>
    <row r="17" spans="2:21" ht="15.95" customHeight="1" thickTop="1" x14ac:dyDescent="0.2">
      <c r="B17" s="318"/>
      <c r="C17" s="319"/>
      <c r="D17" s="320"/>
      <c r="E17" s="321"/>
      <c r="F17" s="322" t="s">
        <v>33</v>
      </c>
      <c r="G17" s="323">
        <f>SUBTOTAL(9,G14:G16)</f>
        <v>377.4051225</v>
      </c>
      <c r="H17" s="324">
        <f>IF($G17=0,0,SUMPRODUCT($G14:$G16,H14:H16)/$G17)</f>
        <v>-26.549999999999997</v>
      </c>
      <c r="I17" s="324">
        <f>IF($G17=0,0,SUMPRODUCT($G14:$G16,I14:I16)/$G17)</f>
        <v>31.800000000000004</v>
      </c>
      <c r="J17" s="324">
        <f>IF($G17=0,0,SUMPRODUCT($G14:$G16,J14:J16)/$G17)</f>
        <v>3.3</v>
      </c>
      <c r="K17" s="324">
        <f>SUBTOTAL(9,K14:K16)</f>
        <v>8</v>
      </c>
      <c r="L17" s="324">
        <f>SUBTOTAL(9,L14:L16)</f>
        <v>10</v>
      </c>
      <c r="M17" s="444"/>
      <c r="O17" s="445" t="s">
        <v>551</v>
      </c>
      <c r="P17" s="446">
        <f t="shared" ref="P17:U17" si="0">G17</f>
        <v>377.4051225</v>
      </c>
      <c r="Q17" s="446">
        <f t="shared" si="0"/>
        <v>-26.549999999999997</v>
      </c>
      <c r="R17" s="446">
        <f t="shared" si="0"/>
        <v>31.800000000000004</v>
      </c>
      <c r="S17" s="446">
        <f t="shared" si="0"/>
        <v>3.3</v>
      </c>
      <c r="T17" s="446">
        <f t="shared" si="0"/>
        <v>8</v>
      </c>
      <c r="U17" s="447">
        <f t="shared" si="0"/>
        <v>10</v>
      </c>
    </row>
    <row r="18" spans="2:21" ht="15.95" customHeight="1" x14ac:dyDescent="0.2">
      <c r="B18" s="243"/>
      <c r="C18" s="244"/>
      <c r="D18" s="245"/>
      <c r="E18" s="246"/>
      <c r="F18" s="257"/>
      <c r="G18" s="247"/>
      <c r="H18" s="248"/>
      <c r="I18" s="248"/>
      <c r="J18" s="248"/>
      <c r="K18" s="248"/>
      <c r="L18" s="248"/>
      <c r="M18" s="282"/>
    </row>
    <row r="19" spans="2:21" ht="15.95" customHeight="1" x14ac:dyDescent="0.2">
      <c r="B19" s="82"/>
      <c r="C19" s="242" t="s">
        <v>462</v>
      </c>
      <c r="D19" s="227"/>
      <c r="E19" s="228"/>
      <c r="F19" s="242"/>
      <c r="G19" s="227"/>
      <c r="H19" s="227"/>
      <c r="I19" s="227"/>
      <c r="J19" s="227"/>
      <c r="K19" s="227"/>
      <c r="L19" s="227"/>
      <c r="M19" s="274"/>
    </row>
    <row r="20" spans="2:21" ht="15.95" customHeight="1" x14ac:dyDescent="0.2">
      <c r="B20" s="314" t="s">
        <v>430</v>
      </c>
      <c r="C20" s="56" t="s">
        <v>431</v>
      </c>
      <c r="D20" s="316">
        <v>0.8</v>
      </c>
      <c r="E20" s="310">
        <v>1.73</v>
      </c>
      <c r="F20" s="311">
        <v>61</v>
      </c>
      <c r="G20" s="24">
        <f>+E20*F20*D20</f>
        <v>84.424000000000007</v>
      </c>
      <c r="H20" s="9">
        <v>-26.5</v>
      </c>
      <c r="I20" s="9">
        <v>37.15</v>
      </c>
      <c r="J20" s="9">
        <v>10.5</v>
      </c>
      <c r="K20" s="9">
        <v>1000</v>
      </c>
      <c r="L20" s="9">
        <v>1000</v>
      </c>
      <c r="M20" s="313"/>
    </row>
    <row r="21" spans="2:21" ht="15.95" customHeight="1" x14ac:dyDescent="0.2">
      <c r="B21" s="314" t="s">
        <v>432</v>
      </c>
      <c r="C21" s="56" t="s">
        <v>433</v>
      </c>
      <c r="D21" s="316">
        <v>0.8</v>
      </c>
      <c r="E21" s="310">
        <v>1.73</v>
      </c>
      <c r="F21" s="311">
        <v>61</v>
      </c>
      <c r="G21" s="24">
        <f>+E21*F21*D21</f>
        <v>84.424000000000007</v>
      </c>
      <c r="H21" s="9">
        <v>-26.5</v>
      </c>
      <c r="I21" s="9">
        <v>33</v>
      </c>
      <c r="J21" s="9">
        <v>10.5</v>
      </c>
      <c r="K21" s="9">
        <v>1000</v>
      </c>
      <c r="L21" s="9">
        <v>1000</v>
      </c>
      <c r="M21" s="313"/>
    </row>
    <row r="22" spans="2:21" ht="15.95" customHeight="1" x14ac:dyDescent="0.2">
      <c r="B22" s="314" t="s">
        <v>434</v>
      </c>
      <c r="C22" s="56" t="s">
        <v>435</v>
      </c>
      <c r="D22" s="317">
        <v>0.8</v>
      </c>
      <c r="E22" s="309">
        <v>1.73</v>
      </c>
      <c r="F22" s="311">
        <v>61</v>
      </c>
      <c r="G22" s="24">
        <f>+E22*F22*D22</f>
        <v>84.424000000000007</v>
      </c>
      <c r="H22" s="16">
        <v>-26.5</v>
      </c>
      <c r="I22" s="16">
        <v>29.2</v>
      </c>
      <c r="J22" s="16">
        <v>10.5</v>
      </c>
      <c r="K22" s="16">
        <v>1000</v>
      </c>
      <c r="L22" s="16">
        <v>1000</v>
      </c>
      <c r="M22" s="313"/>
    </row>
    <row r="23" spans="2:21" ht="15.95" customHeight="1" thickBot="1" x14ac:dyDescent="0.25">
      <c r="B23" s="255"/>
      <c r="C23" s="252"/>
      <c r="D23" s="316"/>
      <c r="E23" s="256"/>
      <c r="F23" s="272"/>
      <c r="G23" s="253"/>
      <c r="H23" s="250"/>
      <c r="I23" s="250"/>
      <c r="J23" s="250"/>
      <c r="K23" s="250"/>
      <c r="L23" s="250"/>
      <c r="M23" s="276"/>
    </row>
    <row r="24" spans="2:21" ht="15.95" customHeight="1" thickTop="1" x14ac:dyDescent="0.2">
      <c r="B24" s="318"/>
      <c r="C24" s="319"/>
      <c r="D24" s="320"/>
      <c r="E24" s="321"/>
      <c r="F24" s="322" t="s">
        <v>33</v>
      </c>
      <c r="G24" s="323">
        <f>SUBTOTAL(9,G20:G23)</f>
        <v>253.27200000000002</v>
      </c>
      <c r="H24" s="324">
        <f>IF($G24=0,0,SUMPRODUCT($G20:$G23,H20:H23)/$G24)</f>
        <v>-26.5</v>
      </c>
      <c r="I24" s="324">
        <f>IF($G24=0,0,SUMPRODUCT($G20:$G23,I20:I23)/$G24)</f>
        <v>33.116666666666667</v>
      </c>
      <c r="J24" s="324">
        <f>IF($G24=0,0,SUMPRODUCT($G20:$G23,J20:J23)/$G24)</f>
        <v>10.5</v>
      </c>
      <c r="K24" s="324">
        <f>SUBTOTAL(9,K20:K23)</f>
        <v>3000</v>
      </c>
      <c r="L24" s="324">
        <f>SUBTOTAL(9,L20:L23)</f>
        <v>3000</v>
      </c>
      <c r="M24" s="444"/>
      <c r="O24" s="445" t="s">
        <v>552</v>
      </c>
      <c r="P24" s="446">
        <f t="shared" ref="P24:U24" si="1">G24</f>
        <v>253.27200000000002</v>
      </c>
      <c r="Q24" s="446">
        <f t="shared" si="1"/>
        <v>-26.5</v>
      </c>
      <c r="R24" s="446">
        <f t="shared" si="1"/>
        <v>33.116666666666667</v>
      </c>
      <c r="S24" s="446">
        <f t="shared" si="1"/>
        <v>10.5</v>
      </c>
      <c r="T24" s="446">
        <f t="shared" si="1"/>
        <v>3000</v>
      </c>
      <c r="U24" s="447">
        <f t="shared" si="1"/>
        <v>3000</v>
      </c>
    </row>
    <row r="25" spans="2:21" ht="15.95" customHeight="1" x14ac:dyDescent="0.2">
      <c r="B25" s="456"/>
      <c r="C25" s="448"/>
      <c r="D25" s="471"/>
      <c r="E25" s="449"/>
      <c r="F25" s="472"/>
      <c r="G25" s="473"/>
      <c r="H25" s="474"/>
      <c r="I25" s="474"/>
      <c r="J25" s="474"/>
      <c r="K25" s="474"/>
      <c r="L25" s="474"/>
      <c r="M25" s="460"/>
    </row>
    <row r="26" spans="2:21" ht="15.95" customHeight="1" x14ac:dyDescent="0.2">
      <c r="B26" s="463"/>
      <c r="C26" s="470" t="s">
        <v>549</v>
      </c>
      <c r="D26" s="464"/>
      <c r="E26" s="465"/>
      <c r="F26" s="466"/>
      <c r="G26" s="467"/>
      <c r="H26" s="468"/>
      <c r="I26" s="468"/>
      <c r="J26" s="468"/>
      <c r="K26" s="468"/>
      <c r="L26" s="468"/>
      <c r="M26" s="469"/>
    </row>
    <row r="27" spans="2:21" ht="15.95" customHeight="1" x14ac:dyDescent="0.2">
      <c r="B27" s="243"/>
      <c r="C27" s="244"/>
      <c r="D27" s="245"/>
      <c r="E27" s="246"/>
      <c r="F27" s="279"/>
      <c r="G27" s="280"/>
      <c r="H27" s="281"/>
      <c r="I27" s="281"/>
      <c r="J27" s="281"/>
      <c r="K27" s="281"/>
      <c r="L27" s="281"/>
      <c r="M27" s="282"/>
    </row>
    <row r="28" spans="2:21" ht="15.95" customHeight="1" x14ac:dyDescent="0.2">
      <c r="B28" s="82"/>
      <c r="C28" s="242" t="s">
        <v>460</v>
      </c>
      <c r="D28" s="227"/>
      <c r="E28" s="228"/>
      <c r="F28" s="242"/>
      <c r="G28" s="227"/>
      <c r="H28" s="227"/>
      <c r="I28" s="227"/>
      <c r="J28" s="227"/>
      <c r="K28" s="227"/>
      <c r="L28" s="227"/>
      <c r="M28" s="274"/>
    </row>
    <row r="29" spans="2:21" ht="15.95" customHeight="1" x14ac:dyDescent="0.2">
      <c r="B29" s="58" t="s">
        <v>436</v>
      </c>
      <c r="C29" s="56" t="s">
        <v>437</v>
      </c>
      <c r="D29" s="316">
        <v>0.5</v>
      </c>
      <c r="E29" s="309">
        <v>1.73</v>
      </c>
      <c r="F29" s="271">
        <f>8.1*5.4*4.5*$Q$3</f>
        <v>186.98850000000002</v>
      </c>
      <c r="G29" s="24">
        <f>+E29*F29*D29</f>
        <v>161.74505250000001</v>
      </c>
      <c r="H29" s="16">
        <v>-26.55</v>
      </c>
      <c r="I29" s="16">
        <v>-28.2</v>
      </c>
      <c r="J29" s="16">
        <v>3.3</v>
      </c>
      <c r="K29" s="16">
        <v>4</v>
      </c>
      <c r="L29" s="16">
        <v>5</v>
      </c>
      <c r="M29" s="273"/>
    </row>
    <row r="30" spans="2:21" ht="15.95" customHeight="1" x14ac:dyDescent="0.2">
      <c r="B30" s="59" t="s">
        <v>438</v>
      </c>
      <c r="C30" s="56" t="s">
        <v>437</v>
      </c>
      <c r="D30" s="317">
        <v>0.5</v>
      </c>
      <c r="E30" s="310">
        <v>1.73</v>
      </c>
      <c r="F30" s="271">
        <f>8.1*7.2*4.5*$Q$3</f>
        <v>249.31799999999998</v>
      </c>
      <c r="G30" s="24">
        <f>+E30*F30*D30</f>
        <v>215.66006999999999</v>
      </c>
      <c r="H30" s="9">
        <v>-26.55</v>
      </c>
      <c r="I30" s="9">
        <v>-36.6</v>
      </c>
      <c r="J30" s="9">
        <v>3.3</v>
      </c>
      <c r="K30" s="9">
        <v>4</v>
      </c>
      <c r="L30" s="9">
        <v>5</v>
      </c>
      <c r="M30" s="273"/>
    </row>
    <row r="31" spans="2:21" ht="15.95" customHeight="1" thickBot="1" x14ac:dyDescent="0.25">
      <c r="B31" s="255"/>
      <c r="C31" s="252"/>
      <c r="D31" s="316"/>
      <c r="E31" s="256"/>
      <c r="F31" s="272"/>
      <c r="G31" s="253"/>
      <c r="H31" s="250"/>
      <c r="I31" s="250"/>
      <c r="J31" s="250"/>
      <c r="K31" s="250"/>
      <c r="L31" s="250"/>
      <c r="M31" s="276"/>
    </row>
    <row r="32" spans="2:21" ht="15.95" customHeight="1" thickTop="1" x14ac:dyDescent="0.2">
      <c r="B32" s="318"/>
      <c r="C32" s="319"/>
      <c r="D32" s="320"/>
      <c r="E32" s="321"/>
      <c r="F32" s="322" t="s">
        <v>33</v>
      </c>
      <c r="G32" s="323">
        <f>SUBTOTAL(9,G29:G31)</f>
        <v>377.4051225</v>
      </c>
      <c r="H32" s="324">
        <f>IF($G32=0,0,SUMPRODUCT($G29:$G31,H29:H31)/$G32)</f>
        <v>-26.549999999999997</v>
      </c>
      <c r="I32" s="324">
        <f>IF($G32=0,0,SUMPRODUCT($G29:$G31,I29:I31)/$G32)</f>
        <v>-32.999999999999993</v>
      </c>
      <c r="J32" s="324">
        <f>IF($G32=0,0,SUMPRODUCT($G29:$G31,J29:J31)/$G32)</f>
        <v>3.3</v>
      </c>
      <c r="K32" s="324">
        <f>SUBTOTAL(9,K29:K31)</f>
        <v>8</v>
      </c>
      <c r="L32" s="324">
        <f>SUBTOTAL(9,L29:L31)</f>
        <v>10</v>
      </c>
      <c r="M32" s="444"/>
      <c r="O32" s="445" t="s">
        <v>553</v>
      </c>
      <c r="P32" s="446">
        <f t="shared" ref="P32:U32" si="2">G32</f>
        <v>377.4051225</v>
      </c>
      <c r="Q32" s="446">
        <f t="shared" si="2"/>
        <v>-26.549999999999997</v>
      </c>
      <c r="R32" s="446">
        <f t="shared" si="2"/>
        <v>-32.999999999999993</v>
      </c>
      <c r="S32" s="446">
        <f t="shared" si="2"/>
        <v>3.3</v>
      </c>
      <c r="T32" s="446">
        <f t="shared" si="2"/>
        <v>8</v>
      </c>
      <c r="U32" s="447">
        <f t="shared" si="2"/>
        <v>10</v>
      </c>
    </row>
    <row r="33" spans="2:21" ht="15.95" customHeight="1" x14ac:dyDescent="0.2">
      <c r="B33" s="243"/>
      <c r="C33" s="244"/>
      <c r="D33" s="245"/>
      <c r="E33" s="246"/>
      <c r="F33" s="257"/>
      <c r="G33" s="247"/>
      <c r="H33" s="248"/>
      <c r="I33" s="248"/>
      <c r="J33" s="248"/>
      <c r="K33" s="248"/>
      <c r="L33" s="248"/>
      <c r="M33" s="282"/>
    </row>
    <row r="34" spans="2:21" ht="15.95" customHeight="1" x14ac:dyDescent="0.2">
      <c r="B34" s="82"/>
      <c r="C34" s="242" t="s">
        <v>462</v>
      </c>
      <c r="D34" s="227"/>
      <c r="E34" s="228"/>
      <c r="F34" s="242"/>
      <c r="G34" s="227"/>
      <c r="H34" s="227"/>
      <c r="I34" s="227"/>
      <c r="J34" s="227"/>
      <c r="K34" s="227"/>
      <c r="L34" s="227"/>
      <c r="M34" s="274"/>
    </row>
    <row r="35" spans="2:21" ht="15.95" customHeight="1" x14ac:dyDescent="0.2">
      <c r="B35" s="58" t="s">
        <v>439</v>
      </c>
      <c r="C35" s="56" t="s">
        <v>440</v>
      </c>
      <c r="D35" s="316">
        <v>0.9</v>
      </c>
      <c r="E35" s="309">
        <v>1.506</v>
      </c>
      <c r="F35" s="271">
        <v>61</v>
      </c>
      <c r="G35" s="24">
        <f>+E35*F35*D35</f>
        <v>82.679400000000001</v>
      </c>
      <c r="H35" s="9">
        <v>-26.5</v>
      </c>
      <c r="I35" s="9">
        <v>-37.15</v>
      </c>
      <c r="J35" s="16">
        <v>10.5</v>
      </c>
      <c r="K35" s="16">
        <v>4</v>
      </c>
      <c r="L35" s="16">
        <v>5</v>
      </c>
      <c r="M35" s="273"/>
    </row>
    <row r="36" spans="2:21" ht="15.95" customHeight="1" x14ac:dyDescent="0.2">
      <c r="B36" s="58" t="s">
        <v>441</v>
      </c>
      <c r="C36" s="56" t="s">
        <v>442</v>
      </c>
      <c r="D36" s="316">
        <v>0.9</v>
      </c>
      <c r="E36" s="310">
        <v>1.51</v>
      </c>
      <c r="F36" s="271">
        <v>61</v>
      </c>
      <c r="G36" s="24">
        <f>+E36*F36*D36</f>
        <v>82.899000000000001</v>
      </c>
      <c r="H36" s="9">
        <v>-26.5</v>
      </c>
      <c r="I36" s="9">
        <v>-33</v>
      </c>
      <c r="J36" s="9">
        <v>10.5</v>
      </c>
      <c r="K36" s="9">
        <v>4</v>
      </c>
      <c r="L36" s="9">
        <v>5</v>
      </c>
      <c r="M36" s="275"/>
    </row>
    <row r="37" spans="2:21" ht="15.95" customHeight="1" x14ac:dyDescent="0.2">
      <c r="B37" s="58" t="s">
        <v>443</v>
      </c>
      <c r="C37" s="56" t="s">
        <v>444</v>
      </c>
      <c r="D37" s="317">
        <v>0.9</v>
      </c>
      <c r="E37" s="310">
        <v>1.51</v>
      </c>
      <c r="F37" s="271">
        <v>61</v>
      </c>
      <c r="G37" s="24">
        <f>+E37*F37*D37</f>
        <v>82.899000000000001</v>
      </c>
      <c r="H37" s="16">
        <v>-26.5</v>
      </c>
      <c r="I37" s="16">
        <v>-29.2</v>
      </c>
      <c r="J37" s="9">
        <v>10.5</v>
      </c>
      <c r="K37" s="9">
        <v>4</v>
      </c>
      <c r="L37" s="9">
        <v>5</v>
      </c>
      <c r="M37" s="276"/>
    </row>
    <row r="38" spans="2:21" ht="15.95" customHeight="1" thickBot="1" x14ac:dyDescent="0.25">
      <c r="B38" s="255"/>
      <c r="C38" s="252"/>
      <c r="D38" s="316"/>
      <c r="E38" s="256"/>
      <c r="F38" s="272"/>
      <c r="G38" s="253"/>
      <c r="H38" s="250"/>
      <c r="I38" s="250"/>
      <c r="J38" s="250"/>
      <c r="K38" s="250"/>
      <c r="L38" s="250"/>
      <c r="M38" s="276"/>
    </row>
    <row r="39" spans="2:21" ht="15.95" customHeight="1" thickTop="1" x14ac:dyDescent="0.2">
      <c r="B39" s="318"/>
      <c r="C39" s="319"/>
      <c r="D39" s="320"/>
      <c r="E39" s="321"/>
      <c r="F39" s="322" t="s">
        <v>33</v>
      </c>
      <c r="G39" s="323">
        <f>SUBTOTAL(9,G35:G38)</f>
        <v>248.47739999999999</v>
      </c>
      <c r="H39" s="324">
        <f>IF($G39=0,0,SUMPRODUCT($G35:$G38,H35:H38)/$G39)</f>
        <v>-26.500000000000004</v>
      </c>
      <c r="I39" s="324">
        <f>IF($G39=0,0,SUMPRODUCT($G35:$G38,I35:I38)/$G39)</f>
        <v>-33.113102076889085</v>
      </c>
      <c r="J39" s="324">
        <f>IF($G39=0,0,SUMPRODUCT($G35:$G38,J35:J38)/$G39)</f>
        <v>10.5</v>
      </c>
      <c r="K39" s="324">
        <f>SUBTOTAL(9,K35:K38)</f>
        <v>12</v>
      </c>
      <c r="L39" s="324">
        <f>SUBTOTAL(9,L35:L38)</f>
        <v>15</v>
      </c>
      <c r="M39" s="444"/>
      <c r="O39" s="445" t="s">
        <v>554</v>
      </c>
      <c r="P39" s="446">
        <f t="shared" ref="P39:U39" si="3">G39</f>
        <v>248.47739999999999</v>
      </c>
      <c r="Q39" s="446">
        <f t="shared" si="3"/>
        <v>-26.500000000000004</v>
      </c>
      <c r="R39" s="446">
        <f t="shared" si="3"/>
        <v>-33.113102076889085</v>
      </c>
      <c r="S39" s="446">
        <f t="shared" si="3"/>
        <v>10.5</v>
      </c>
      <c r="T39" s="446">
        <f t="shared" si="3"/>
        <v>12</v>
      </c>
      <c r="U39" s="447">
        <f t="shared" si="3"/>
        <v>15</v>
      </c>
    </row>
    <row r="40" spans="2:21" ht="15.95" customHeight="1" x14ac:dyDescent="0.2">
      <c r="B40" s="456"/>
      <c r="C40" s="448"/>
      <c r="D40" s="471"/>
      <c r="E40" s="449"/>
      <c r="F40" s="472"/>
      <c r="G40" s="473"/>
      <c r="H40" s="474"/>
      <c r="I40" s="474"/>
      <c r="J40" s="474"/>
      <c r="K40" s="474"/>
      <c r="L40" s="474"/>
      <c r="M40" s="460"/>
    </row>
    <row r="41" spans="2:21" ht="15.95" customHeight="1" x14ac:dyDescent="0.2">
      <c r="B41" s="463"/>
      <c r="C41" s="470" t="s">
        <v>550</v>
      </c>
      <c r="D41" s="464"/>
      <c r="E41" s="465"/>
      <c r="F41" s="466"/>
      <c r="G41" s="467"/>
      <c r="H41" s="468"/>
      <c r="I41" s="468"/>
      <c r="J41" s="468"/>
      <c r="K41" s="468"/>
      <c r="L41" s="468"/>
      <c r="M41" s="469"/>
    </row>
    <row r="42" spans="2:21" ht="15.95" customHeight="1" x14ac:dyDescent="0.2">
      <c r="B42" s="243"/>
      <c r="C42" s="244"/>
      <c r="D42" s="245"/>
      <c r="E42" s="246"/>
      <c r="F42" s="279"/>
      <c r="G42" s="280"/>
      <c r="H42" s="281"/>
      <c r="I42" s="281"/>
      <c r="J42" s="281"/>
      <c r="K42" s="281"/>
      <c r="L42" s="281"/>
      <c r="M42" s="282"/>
    </row>
    <row r="43" spans="2:21" ht="15.95" customHeight="1" x14ac:dyDescent="0.2">
      <c r="B43" s="82"/>
      <c r="C43" s="242" t="s">
        <v>460</v>
      </c>
      <c r="D43" s="227"/>
      <c r="E43" s="228"/>
      <c r="F43" s="242"/>
      <c r="G43" s="227"/>
      <c r="H43" s="227"/>
      <c r="I43" s="227"/>
      <c r="J43" s="227"/>
      <c r="K43" s="227"/>
      <c r="L43" s="227"/>
      <c r="M43" s="274"/>
    </row>
    <row r="44" spans="2:21" ht="15.95" customHeight="1" x14ac:dyDescent="0.2">
      <c r="B44" s="58" t="s">
        <v>319</v>
      </c>
      <c r="C44" s="56" t="s">
        <v>424</v>
      </c>
      <c r="D44" s="316">
        <v>0.5</v>
      </c>
      <c r="E44" s="218">
        <v>1.0249999999999999</v>
      </c>
      <c r="F44" s="271">
        <v>240</v>
      </c>
      <c r="G44" s="24">
        <f>+E44*F44*D44</f>
        <v>122.99999999999999</v>
      </c>
      <c r="H44" s="16">
        <v>43.35</v>
      </c>
      <c r="I44" s="16">
        <v>3.45</v>
      </c>
      <c r="J44" s="16">
        <v>3.5</v>
      </c>
      <c r="K44" s="271">
        <v>4</v>
      </c>
      <c r="L44" s="271">
        <v>5</v>
      </c>
      <c r="M44" s="275" t="s">
        <v>408</v>
      </c>
    </row>
    <row r="45" spans="2:21" ht="15.95" customHeight="1" x14ac:dyDescent="0.2">
      <c r="B45" s="59" t="s">
        <v>425</v>
      </c>
      <c r="C45" s="56" t="s">
        <v>424</v>
      </c>
      <c r="D45" s="317">
        <v>0.5</v>
      </c>
      <c r="E45" s="218">
        <v>1.0249999999999999</v>
      </c>
      <c r="F45" s="311">
        <v>240</v>
      </c>
      <c r="G45" s="24">
        <f>+E45*F45*D45</f>
        <v>122.99999999999999</v>
      </c>
      <c r="H45" s="9">
        <v>43.35</v>
      </c>
      <c r="I45" s="9">
        <v>-3.45</v>
      </c>
      <c r="J45" s="9">
        <v>3.5</v>
      </c>
      <c r="K45" s="311">
        <v>4</v>
      </c>
      <c r="L45" s="311">
        <v>5</v>
      </c>
      <c r="M45" s="276"/>
    </row>
    <row r="46" spans="2:21" ht="15.95" customHeight="1" thickBot="1" x14ac:dyDescent="0.25">
      <c r="B46" s="255"/>
      <c r="C46" s="252"/>
      <c r="D46" s="316"/>
      <c r="E46" s="256"/>
      <c r="F46" s="272"/>
      <c r="G46" s="253"/>
      <c r="H46" s="250"/>
      <c r="I46" s="250"/>
      <c r="J46" s="250"/>
      <c r="K46" s="250"/>
      <c r="L46" s="250"/>
      <c r="M46" s="276"/>
    </row>
    <row r="47" spans="2:21" ht="15.95" customHeight="1" thickTop="1" x14ac:dyDescent="0.2">
      <c r="B47" s="318"/>
      <c r="C47" s="319"/>
      <c r="D47" s="320"/>
      <c r="E47" s="321"/>
      <c r="F47" s="322" t="s">
        <v>33</v>
      </c>
      <c r="G47" s="323">
        <f>SUBTOTAL(9,G44:G46)</f>
        <v>245.99999999999997</v>
      </c>
      <c r="H47" s="324">
        <f>IF($G47=0,0,SUMPRODUCT($G44:$G46,H44:H46)/$G47)</f>
        <v>43.35</v>
      </c>
      <c r="I47" s="324">
        <f>IF($G47=0,0,SUMPRODUCT($G44:$G46,I44:I46)/$G47)</f>
        <v>0</v>
      </c>
      <c r="J47" s="324">
        <f>IF($G47=0,0,SUMPRODUCT($G44:$G46,J44:J46)/$G47)</f>
        <v>3.5</v>
      </c>
      <c r="K47" s="324">
        <f>SUBTOTAL(9,K44:K46)</f>
        <v>8</v>
      </c>
      <c r="L47" s="324">
        <f>SUBTOTAL(9,L44:L46)</f>
        <v>10</v>
      </c>
      <c r="M47" s="444"/>
      <c r="O47" s="445" t="s">
        <v>555</v>
      </c>
      <c r="P47" s="446">
        <f t="shared" ref="P47:U47" si="4">G47</f>
        <v>245.99999999999997</v>
      </c>
      <c r="Q47" s="446">
        <f t="shared" si="4"/>
        <v>43.35</v>
      </c>
      <c r="R47" s="446">
        <f t="shared" si="4"/>
        <v>0</v>
      </c>
      <c r="S47" s="446">
        <f t="shared" si="4"/>
        <v>3.5</v>
      </c>
      <c r="T47" s="446">
        <f t="shared" si="4"/>
        <v>8</v>
      </c>
      <c r="U47" s="447">
        <f t="shared" si="4"/>
        <v>10</v>
      </c>
    </row>
    <row r="48" spans="2:21" ht="15.95" customHeight="1" x14ac:dyDescent="0.2">
      <c r="B48" s="243"/>
      <c r="C48" s="244"/>
      <c r="D48" s="245"/>
      <c r="E48" s="246"/>
      <c r="F48" s="257"/>
      <c r="G48" s="247"/>
      <c r="H48" s="248"/>
      <c r="I48" s="248"/>
      <c r="J48" s="248"/>
      <c r="K48" s="248"/>
      <c r="L48" s="248"/>
      <c r="M48" s="282"/>
    </row>
    <row r="49" spans="2:21" ht="15.95" customHeight="1" x14ac:dyDescent="0.2">
      <c r="B49" s="82"/>
      <c r="C49" s="242" t="s">
        <v>461</v>
      </c>
      <c r="D49" s="227"/>
      <c r="E49" s="228"/>
      <c r="F49" s="242"/>
      <c r="G49" s="227"/>
      <c r="H49" s="227"/>
      <c r="I49" s="227"/>
      <c r="J49" s="227"/>
      <c r="K49" s="227"/>
      <c r="L49" s="227"/>
      <c r="M49" s="274"/>
    </row>
    <row r="50" spans="2:21" ht="15.95" customHeight="1" x14ac:dyDescent="0.2">
      <c r="B50" s="58" t="s">
        <v>426</v>
      </c>
      <c r="C50" s="56" t="s">
        <v>428</v>
      </c>
      <c r="D50" s="316">
        <v>0.8</v>
      </c>
      <c r="E50" s="218">
        <v>1</v>
      </c>
      <c r="F50" s="271">
        <v>144</v>
      </c>
      <c r="G50" s="24">
        <f>+E50*F50*D50</f>
        <v>115.2</v>
      </c>
      <c r="H50" s="16">
        <v>43.35</v>
      </c>
      <c r="I50" s="16">
        <v>3.45</v>
      </c>
      <c r="J50" s="16">
        <v>10.5</v>
      </c>
      <c r="K50" s="271">
        <v>4</v>
      </c>
      <c r="L50" s="271">
        <v>5</v>
      </c>
      <c r="M50" s="276"/>
    </row>
    <row r="51" spans="2:21" ht="15.95" customHeight="1" x14ac:dyDescent="0.2">
      <c r="B51" s="59" t="s">
        <v>427</v>
      </c>
      <c r="C51" s="56" t="s">
        <v>428</v>
      </c>
      <c r="D51" s="316">
        <v>0.8</v>
      </c>
      <c r="E51" s="218">
        <v>1</v>
      </c>
      <c r="F51" s="311">
        <v>144</v>
      </c>
      <c r="G51" s="24">
        <f>+E51*F51*D51</f>
        <v>115.2</v>
      </c>
      <c r="H51" s="9">
        <v>43.35</v>
      </c>
      <c r="I51" s="9">
        <v>-3.45</v>
      </c>
      <c r="J51" s="9">
        <v>10.5</v>
      </c>
      <c r="K51" s="311">
        <v>4</v>
      </c>
      <c r="L51" s="311">
        <v>5</v>
      </c>
      <c r="M51" s="276"/>
    </row>
    <row r="52" spans="2:21" ht="15.95" customHeight="1" thickBot="1" x14ac:dyDescent="0.25">
      <c r="B52" s="255"/>
      <c r="C52" s="252"/>
      <c r="D52" s="316"/>
      <c r="E52" s="256"/>
      <c r="F52" s="272"/>
      <c r="G52" s="253"/>
      <c r="H52" s="250"/>
      <c r="I52" s="250"/>
      <c r="J52" s="250"/>
      <c r="K52" s="250"/>
      <c r="L52" s="250"/>
      <c r="M52" s="276"/>
    </row>
    <row r="53" spans="2:21" ht="15.95" customHeight="1" thickTop="1" x14ac:dyDescent="0.2">
      <c r="B53" s="318"/>
      <c r="C53" s="319"/>
      <c r="D53" s="320"/>
      <c r="E53" s="321"/>
      <c r="F53" s="322" t="s">
        <v>33</v>
      </c>
      <c r="G53" s="323">
        <f>SUBTOTAL(9,G50:G52)</f>
        <v>230.4</v>
      </c>
      <c r="H53" s="324">
        <f>IF($G53=0,0,SUMPRODUCT($G50:$G52,H50:H52)/$G53)</f>
        <v>43.35</v>
      </c>
      <c r="I53" s="324">
        <f>IF($G53=0,0,SUMPRODUCT($G50:$G52,I50:I52)/$G53)</f>
        <v>0</v>
      </c>
      <c r="J53" s="324">
        <f>IF($G53=0,0,SUMPRODUCT($G50:$G52,J50:J52)/$G53)</f>
        <v>10.500000000000002</v>
      </c>
      <c r="K53" s="324">
        <f>SUBTOTAL(9,K50:K52)</f>
        <v>8</v>
      </c>
      <c r="L53" s="324">
        <f>SUBTOTAL(9,L50:L52)</f>
        <v>10</v>
      </c>
      <c r="M53" s="444"/>
      <c r="O53" s="445" t="s">
        <v>556</v>
      </c>
      <c r="P53" s="446">
        <f t="shared" ref="P53:U53" si="5">G53</f>
        <v>230.4</v>
      </c>
      <c r="Q53" s="446">
        <f t="shared" si="5"/>
        <v>43.35</v>
      </c>
      <c r="R53" s="446">
        <f t="shared" si="5"/>
        <v>0</v>
      </c>
      <c r="S53" s="446">
        <f t="shared" si="5"/>
        <v>10.500000000000002</v>
      </c>
      <c r="T53" s="446">
        <f t="shared" si="5"/>
        <v>8</v>
      </c>
      <c r="U53" s="447">
        <f t="shared" si="5"/>
        <v>10</v>
      </c>
    </row>
    <row r="54" spans="2:21" ht="15.95" customHeight="1" x14ac:dyDescent="0.2">
      <c r="B54" s="456"/>
      <c r="C54" s="448"/>
      <c r="D54" s="471"/>
      <c r="E54" s="449"/>
      <c r="F54" s="472"/>
      <c r="G54" s="473"/>
      <c r="H54" s="474"/>
      <c r="I54" s="474"/>
      <c r="J54" s="474"/>
      <c r="K54" s="474"/>
      <c r="L54" s="474"/>
      <c r="M54" s="460"/>
    </row>
    <row r="55" spans="2:21" ht="15.95" customHeight="1" x14ac:dyDescent="0.2">
      <c r="B55" s="463"/>
      <c r="C55" s="470" t="s">
        <v>530</v>
      </c>
      <c r="D55" s="464"/>
      <c r="E55" s="465"/>
      <c r="F55" s="466"/>
      <c r="G55" s="467"/>
      <c r="H55" s="468"/>
      <c r="I55" s="468"/>
      <c r="J55" s="468"/>
      <c r="K55" s="468"/>
      <c r="L55" s="468"/>
      <c r="M55" s="469"/>
    </row>
    <row r="56" spans="2:21" ht="15.95" customHeight="1" x14ac:dyDescent="0.2">
      <c r="B56" s="243"/>
      <c r="C56" s="244"/>
      <c r="D56" s="245"/>
      <c r="E56" s="246"/>
      <c r="F56" s="279"/>
      <c r="G56" s="280"/>
      <c r="H56" s="281"/>
      <c r="I56" s="281"/>
      <c r="J56" s="281"/>
      <c r="K56" s="281"/>
      <c r="L56" s="281"/>
      <c r="M56" s="282"/>
    </row>
    <row r="57" spans="2:21" ht="15.95" customHeight="1" x14ac:dyDescent="0.2">
      <c r="B57" s="82"/>
      <c r="C57" s="242" t="s">
        <v>460</v>
      </c>
      <c r="D57" s="227"/>
      <c r="E57" s="228"/>
      <c r="F57" s="229"/>
      <c r="G57" s="227"/>
      <c r="H57" s="227"/>
      <c r="I57" s="227"/>
      <c r="J57" s="227"/>
      <c r="K57" s="227"/>
      <c r="L57" s="227"/>
      <c r="M57" s="274"/>
    </row>
    <row r="58" spans="2:21" ht="15.95" customHeight="1" x14ac:dyDescent="0.2">
      <c r="B58" s="230" t="s">
        <v>319</v>
      </c>
      <c r="C58" s="231" t="s">
        <v>324</v>
      </c>
      <c r="D58" s="232">
        <v>50</v>
      </c>
      <c r="E58" s="233">
        <v>1.73</v>
      </c>
      <c r="F58" s="234">
        <v>60</v>
      </c>
      <c r="G58" s="235">
        <f>+E58*F58*D58/100</f>
        <v>51.9</v>
      </c>
      <c r="H58" s="236">
        <v>-16.425000000000001</v>
      </c>
      <c r="I58" s="236">
        <v>18.45</v>
      </c>
      <c r="J58" s="236">
        <v>32.200000000000003</v>
      </c>
      <c r="K58" s="236">
        <v>4</v>
      </c>
      <c r="L58" s="236">
        <v>5</v>
      </c>
      <c r="M58" s="275"/>
    </row>
    <row r="59" spans="2:21" ht="15.95" customHeight="1" x14ac:dyDescent="0.2">
      <c r="B59" s="230" t="s">
        <v>321</v>
      </c>
      <c r="C59" s="231" t="s">
        <v>325</v>
      </c>
      <c r="D59" s="238">
        <v>50</v>
      </c>
      <c r="E59" s="239">
        <v>1.73</v>
      </c>
      <c r="F59" s="240">
        <v>60</v>
      </c>
      <c r="G59" s="235">
        <f t="shared" ref="G59:G65" si="6">+E59*F59*D59/100</f>
        <v>51.9</v>
      </c>
      <c r="H59" s="241">
        <f>H58-4.2</f>
        <v>-20.625</v>
      </c>
      <c r="I59" s="241">
        <v>18.45</v>
      </c>
      <c r="J59" s="236">
        <v>32.200000000000003</v>
      </c>
      <c r="K59" s="236">
        <v>4</v>
      </c>
      <c r="L59" s="236">
        <v>5</v>
      </c>
      <c r="M59" s="275"/>
    </row>
    <row r="60" spans="2:21" ht="15.95" customHeight="1" x14ac:dyDescent="0.2">
      <c r="B60" s="230" t="s">
        <v>322</v>
      </c>
      <c r="C60" s="231" t="s">
        <v>326</v>
      </c>
      <c r="D60" s="238">
        <v>50</v>
      </c>
      <c r="E60" s="239">
        <v>1.73</v>
      </c>
      <c r="F60" s="240">
        <v>60</v>
      </c>
      <c r="G60" s="235">
        <f t="shared" si="6"/>
        <v>51.9</v>
      </c>
      <c r="H60" s="241">
        <f>H59-4.2</f>
        <v>-24.824999999999999</v>
      </c>
      <c r="I60" s="241">
        <v>18.45</v>
      </c>
      <c r="J60" s="236">
        <v>32.200000000000003</v>
      </c>
      <c r="K60" s="236">
        <v>4</v>
      </c>
      <c r="L60" s="236">
        <v>5</v>
      </c>
      <c r="M60" s="275"/>
    </row>
    <row r="61" spans="2:21" ht="15.95" customHeight="1" x14ac:dyDescent="0.2">
      <c r="B61" s="230" t="s">
        <v>327</v>
      </c>
      <c r="C61" s="231" t="s">
        <v>328</v>
      </c>
      <c r="D61" s="238">
        <v>50</v>
      </c>
      <c r="E61" s="239">
        <v>1.73</v>
      </c>
      <c r="F61" s="240">
        <v>60</v>
      </c>
      <c r="G61" s="235">
        <f t="shared" si="6"/>
        <v>51.9</v>
      </c>
      <c r="H61" s="241">
        <f>H60-4.2</f>
        <v>-29.024999999999999</v>
      </c>
      <c r="I61" s="241">
        <v>18.45</v>
      </c>
      <c r="J61" s="236">
        <v>32.200000000000003</v>
      </c>
      <c r="K61" s="236">
        <v>4</v>
      </c>
      <c r="L61" s="236">
        <v>5</v>
      </c>
      <c r="M61" s="275"/>
    </row>
    <row r="62" spans="2:21" ht="15.95" customHeight="1" x14ac:dyDescent="0.2">
      <c r="B62" s="230" t="s">
        <v>329</v>
      </c>
      <c r="C62" s="231" t="s">
        <v>330</v>
      </c>
      <c r="D62" s="238">
        <v>50</v>
      </c>
      <c r="E62" s="239">
        <v>1.73</v>
      </c>
      <c r="F62" s="240">
        <v>60</v>
      </c>
      <c r="G62" s="235">
        <f t="shared" si="6"/>
        <v>51.9</v>
      </c>
      <c r="H62" s="236">
        <v>-16.425000000000001</v>
      </c>
      <c r="I62" s="241">
        <v>20.7</v>
      </c>
      <c r="J62" s="236">
        <v>32.200000000000003</v>
      </c>
      <c r="K62" s="236">
        <v>4</v>
      </c>
      <c r="L62" s="236">
        <v>5</v>
      </c>
      <c r="M62" s="275"/>
    </row>
    <row r="63" spans="2:21" ht="15.95" customHeight="1" x14ac:dyDescent="0.2">
      <c r="B63" s="230" t="s">
        <v>331</v>
      </c>
      <c r="C63" s="231" t="s">
        <v>332</v>
      </c>
      <c r="D63" s="238">
        <v>50</v>
      </c>
      <c r="E63" s="239">
        <v>1.73</v>
      </c>
      <c r="F63" s="240">
        <v>60</v>
      </c>
      <c r="G63" s="235">
        <f t="shared" si="6"/>
        <v>51.9</v>
      </c>
      <c r="H63" s="241">
        <f>H62-4.2</f>
        <v>-20.625</v>
      </c>
      <c r="I63" s="241">
        <v>22.95</v>
      </c>
      <c r="J63" s="236">
        <v>32.200000000000003</v>
      </c>
      <c r="K63" s="236">
        <v>4</v>
      </c>
      <c r="L63" s="236">
        <v>5</v>
      </c>
      <c r="M63" s="275"/>
    </row>
    <row r="64" spans="2:21" ht="15.95" customHeight="1" x14ac:dyDescent="0.2">
      <c r="B64" s="230" t="s">
        <v>333</v>
      </c>
      <c r="C64" s="231" t="s">
        <v>334</v>
      </c>
      <c r="D64" s="238">
        <v>50</v>
      </c>
      <c r="E64" s="239">
        <v>1.73</v>
      </c>
      <c r="F64" s="240">
        <v>60</v>
      </c>
      <c r="G64" s="235">
        <f t="shared" si="6"/>
        <v>51.9</v>
      </c>
      <c r="H64" s="241">
        <f>H63-4.2</f>
        <v>-24.824999999999999</v>
      </c>
      <c r="I64" s="241">
        <v>22.95</v>
      </c>
      <c r="J64" s="236">
        <v>32.200000000000003</v>
      </c>
      <c r="K64" s="236">
        <v>4</v>
      </c>
      <c r="L64" s="236">
        <v>5</v>
      </c>
      <c r="M64" s="275"/>
    </row>
    <row r="65" spans="2:21" ht="15.95" customHeight="1" x14ac:dyDescent="0.2">
      <c r="B65" s="230" t="s">
        <v>335</v>
      </c>
      <c r="C65" s="231" t="s">
        <v>336</v>
      </c>
      <c r="D65" s="238">
        <v>50</v>
      </c>
      <c r="E65" s="239">
        <v>1.73</v>
      </c>
      <c r="F65" s="240">
        <v>60</v>
      </c>
      <c r="G65" s="235">
        <f t="shared" si="6"/>
        <v>51.9</v>
      </c>
      <c r="H65" s="241">
        <f>H64-4.2</f>
        <v>-29.024999999999999</v>
      </c>
      <c r="I65" s="241">
        <v>22.95</v>
      </c>
      <c r="J65" s="236">
        <v>32.200000000000003</v>
      </c>
      <c r="K65" s="236">
        <v>4</v>
      </c>
      <c r="L65" s="236">
        <v>5</v>
      </c>
      <c r="M65" s="275"/>
    </row>
    <row r="66" spans="2:21" ht="15.95" customHeight="1" thickBot="1" x14ac:dyDescent="0.25">
      <c r="B66" s="255"/>
      <c r="C66" s="252"/>
      <c r="D66" s="278"/>
      <c r="E66" s="256"/>
      <c r="F66" s="272"/>
      <c r="G66" s="253"/>
      <c r="H66" s="250"/>
      <c r="I66" s="250"/>
      <c r="J66" s="250"/>
      <c r="K66" s="250"/>
      <c r="L66" s="250"/>
      <c r="M66" s="276"/>
    </row>
    <row r="67" spans="2:21" ht="15.95" customHeight="1" thickTop="1" x14ac:dyDescent="0.2">
      <c r="B67" s="318"/>
      <c r="C67" s="319"/>
      <c r="D67" s="320"/>
      <c r="E67" s="321"/>
      <c r="F67" s="322" t="s">
        <v>33</v>
      </c>
      <c r="G67" s="323">
        <f>SUBTOTAL(9,G58:G66)</f>
        <v>415.19999999999993</v>
      </c>
      <c r="H67" s="324">
        <f>IF($G67=0,0,SUMPRODUCT($G58:$G66,H58:H66)/$G67)</f>
        <v>-22.724999999999998</v>
      </c>
      <c r="I67" s="324">
        <f>IF($G67=0,0,SUMPRODUCT($G58:$G66,I58:I66)/$G67)</f>
        <v>20.418749999999999</v>
      </c>
      <c r="J67" s="324">
        <f>IF($G67=0,0,SUMPRODUCT($G58:$G66,J58:J66)/$G67)</f>
        <v>32.20000000000001</v>
      </c>
      <c r="K67" s="324">
        <f>SUBTOTAL(9,K58:K66)</f>
        <v>32</v>
      </c>
      <c r="L67" s="324">
        <f>SUBTOTAL(9,L58:L66)</f>
        <v>40</v>
      </c>
      <c r="M67" s="444"/>
      <c r="O67" s="445" t="s">
        <v>534</v>
      </c>
      <c r="P67" s="446">
        <f t="shared" ref="P67:U67" si="7">G67</f>
        <v>415.19999999999993</v>
      </c>
      <c r="Q67" s="446">
        <f t="shared" si="7"/>
        <v>-22.724999999999998</v>
      </c>
      <c r="R67" s="446">
        <f t="shared" si="7"/>
        <v>20.418749999999999</v>
      </c>
      <c r="S67" s="446">
        <f t="shared" si="7"/>
        <v>32.20000000000001</v>
      </c>
      <c r="T67" s="446">
        <f t="shared" si="7"/>
        <v>32</v>
      </c>
      <c r="U67" s="447">
        <f t="shared" si="7"/>
        <v>40</v>
      </c>
    </row>
    <row r="68" spans="2:21" ht="15.95" customHeight="1" x14ac:dyDescent="0.2">
      <c r="B68" s="485"/>
      <c r="C68" s="452"/>
      <c r="D68" s="452"/>
      <c r="F68" s="452"/>
      <c r="G68" s="383"/>
      <c r="H68" s="452"/>
      <c r="I68" s="452"/>
      <c r="J68" s="452"/>
      <c r="K68" s="452"/>
      <c r="L68" s="452"/>
      <c r="M68" s="486"/>
    </row>
    <row r="69" spans="2:21" ht="15.95" customHeight="1" x14ac:dyDescent="0.2">
      <c r="B69" s="82"/>
      <c r="C69" s="242" t="s">
        <v>480</v>
      </c>
      <c r="D69" s="227"/>
      <c r="E69" s="228"/>
      <c r="F69" s="242"/>
      <c r="G69" s="227"/>
      <c r="H69" s="227"/>
      <c r="I69" s="227"/>
      <c r="J69" s="227"/>
      <c r="K69" s="227"/>
      <c r="L69" s="227"/>
      <c r="M69" s="274"/>
    </row>
    <row r="70" spans="2:21" ht="15.95" customHeight="1" x14ac:dyDescent="0.2">
      <c r="B70" s="58" t="s">
        <v>337</v>
      </c>
      <c r="C70" s="56" t="s">
        <v>343</v>
      </c>
      <c r="D70" s="55" t="s">
        <v>38</v>
      </c>
      <c r="E70" s="218" t="s">
        <v>38</v>
      </c>
      <c r="F70" s="16" t="s">
        <v>38</v>
      </c>
      <c r="G70" s="24">
        <v>10</v>
      </c>
      <c r="H70" s="16">
        <v>-24.34</v>
      </c>
      <c r="I70" s="16">
        <v>-1.4</v>
      </c>
      <c r="J70" s="16">
        <v>33</v>
      </c>
      <c r="K70" s="169" t="s">
        <v>38</v>
      </c>
      <c r="L70" s="169" t="s">
        <v>38</v>
      </c>
      <c r="M70" s="273"/>
    </row>
    <row r="71" spans="2:21" ht="15.95" customHeight="1" x14ac:dyDescent="0.2">
      <c r="B71" s="259" t="s">
        <v>338</v>
      </c>
      <c r="C71" s="260" t="s">
        <v>339</v>
      </c>
      <c r="D71" s="261" t="s">
        <v>38</v>
      </c>
      <c r="E71" s="262" t="s">
        <v>38</v>
      </c>
      <c r="F71" s="263" t="s">
        <v>38</v>
      </c>
      <c r="G71" s="264">
        <v>10</v>
      </c>
      <c r="H71" s="265">
        <v>-24.34</v>
      </c>
      <c r="I71" s="265">
        <v>-15.8</v>
      </c>
      <c r="J71" s="265">
        <v>33</v>
      </c>
      <c r="K71" s="265" t="s">
        <v>38</v>
      </c>
      <c r="L71" s="265" t="s">
        <v>38</v>
      </c>
      <c r="M71" s="275"/>
    </row>
    <row r="72" spans="2:21" ht="15.95" customHeight="1" x14ac:dyDescent="0.2">
      <c r="B72" s="237" t="s">
        <v>340</v>
      </c>
      <c r="C72" s="231" t="s">
        <v>341</v>
      </c>
      <c r="D72" s="232">
        <v>3</v>
      </c>
      <c r="E72" s="232">
        <v>0.88</v>
      </c>
      <c r="F72" s="232">
        <v>192</v>
      </c>
      <c r="G72" s="264">
        <v>5</v>
      </c>
      <c r="H72" s="241">
        <v>-16.7</v>
      </c>
      <c r="I72" s="241">
        <v>-20.100000000000001</v>
      </c>
      <c r="J72" s="241">
        <v>33</v>
      </c>
      <c r="K72" s="241">
        <v>4</v>
      </c>
      <c r="L72" s="241">
        <v>5</v>
      </c>
      <c r="M72" s="275"/>
    </row>
    <row r="73" spans="2:21" ht="15.95" customHeight="1" x14ac:dyDescent="0.2">
      <c r="B73" s="237" t="s">
        <v>342</v>
      </c>
      <c r="C73" s="231" t="s">
        <v>343</v>
      </c>
      <c r="D73" s="238">
        <v>3</v>
      </c>
      <c r="E73" s="239">
        <v>1.506</v>
      </c>
      <c r="F73" s="266">
        <v>10</v>
      </c>
      <c r="G73" s="235">
        <v>10</v>
      </c>
      <c r="H73" s="241">
        <v>-22.3</v>
      </c>
      <c r="I73" s="241">
        <v>25.8</v>
      </c>
      <c r="J73" s="241">
        <v>31</v>
      </c>
      <c r="K73" s="241">
        <v>4</v>
      </c>
      <c r="L73" s="241">
        <v>5</v>
      </c>
      <c r="M73" s="275"/>
    </row>
    <row r="74" spans="2:21" ht="15.95" customHeight="1" x14ac:dyDescent="0.2">
      <c r="B74" s="237" t="s">
        <v>344</v>
      </c>
      <c r="C74" s="258" t="s">
        <v>345</v>
      </c>
      <c r="D74" s="238">
        <v>3</v>
      </c>
      <c r="E74" s="239">
        <v>1.506</v>
      </c>
      <c r="F74" s="241">
        <v>2</v>
      </c>
      <c r="G74" s="235">
        <v>10</v>
      </c>
      <c r="H74" s="241">
        <v>-23.31</v>
      </c>
      <c r="I74" s="241">
        <v>40.18</v>
      </c>
      <c r="J74" s="241">
        <v>31</v>
      </c>
      <c r="K74" s="241">
        <v>4</v>
      </c>
      <c r="L74" s="241">
        <v>5</v>
      </c>
      <c r="M74" s="275"/>
    </row>
    <row r="75" spans="2:21" ht="15.95" customHeight="1" x14ac:dyDescent="0.2">
      <c r="B75" s="237" t="s">
        <v>346</v>
      </c>
      <c r="C75" s="249" t="s">
        <v>347</v>
      </c>
      <c r="D75" s="238">
        <v>3</v>
      </c>
      <c r="E75" s="239">
        <v>1.506</v>
      </c>
      <c r="F75" s="267">
        <v>10</v>
      </c>
      <c r="G75" s="235">
        <v>10</v>
      </c>
      <c r="H75" s="250">
        <v>-29.5</v>
      </c>
      <c r="I75" s="250">
        <v>39.049999999999997</v>
      </c>
      <c r="J75" s="250">
        <v>31</v>
      </c>
      <c r="K75" s="241">
        <v>4</v>
      </c>
      <c r="L75" s="241">
        <v>5</v>
      </c>
      <c r="M75" s="275"/>
    </row>
    <row r="76" spans="2:21" ht="15.95" customHeight="1" x14ac:dyDescent="0.2">
      <c r="B76" s="230" t="s">
        <v>348</v>
      </c>
      <c r="C76" s="244" t="s">
        <v>349</v>
      </c>
      <c r="D76" s="232" t="s">
        <v>38</v>
      </c>
      <c r="E76" s="233" t="s">
        <v>38</v>
      </c>
      <c r="F76" s="234" t="s">
        <v>38</v>
      </c>
      <c r="G76" s="264">
        <v>20</v>
      </c>
      <c r="H76" s="236">
        <v>-26.6</v>
      </c>
      <c r="I76" s="236">
        <v>29.3</v>
      </c>
      <c r="J76" s="236">
        <v>31</v>
      </c>
      <c r="K76" s="236" t="s">
        <v>38</v>
      </c>
      <c r="L76" s="236" t="s">
        <v>38</v>
      </c>
      <c r="M76" s="275"/>
    </row>
    <row r="77" spans="2:21" ht="15.95" customHeight="1" thickBot="1" x14ac:dyDescent="0.25">
      <c r="B77" s="255"/>
      <c r="C77" s="252"/>
      <c r="D77" s="278"/>
      <c r="E77" s="256"/>
      <c r="F77" s="272"/>
      <c r="G77" s="253"/>
      <c r="H77" s="250"/>
      <c r="I77" s="250"/>
      <c r="J77" s="250"/>
      <c r="K77" s="250"/>
      <c r="L77" s="250"/>
      <c r="M77" s="276"/>
    </row>
    <row r="78" spans="2:21" ht="15.95" customHeight="1" thickTop="1" x14ac:dyDescent="0.2">
      <c r="B78" s="318"/>
      <c r="C78" s="319"/>
      <c r="D78" s="320"/>
      <c r="E78" s="321"/>
      <c r="F78" s="322" t="s">
        <v>33</v>
      </c>
      <c r="G78" s="323">
        <f>SUBTOTAL(9,G70:G77)</f>
        <v>75</v>
      </c>
      <c r="H78" s="324">
        <f>IF($G78=0,0,SUMPRODUCT($G70:$G77,H70:H77)/$G78)</f>
        <v>-24.712</v>
      </c>
      <c r="I78" s="324">
        <f>IF($G78=0,0,SUMPRODUCT($G70:$G77,I70:I77)/$G78)</f>
        <v>18.184000000000001</v>
      </c>
      <c r="J78" s="324">
        <f>IF($G78=0,0,SUMPRODUCT($G70:$G77,J70:J77)/$G78)</f>
        <v>31.666666666666668</v>
      </c>
      <c r="K78" s="324">
        <f>SUBTOTAL(9,K70:K77)</f>
        <v>16</v>
      </c>
      <c r="L78" s="324">
        <f>SUBTOTAL(9,L70:L77)</f>
        <v>20</v>
      </c>
      <c r="M78" s="444"/>
      <c r="O78" s="445" t="s">
        <v>535</v>
      </c>
      <c r="P78" s="446">
        <f t="shared" ref="P78:U78" si="8">G78</f>
        <v>75</v>
      </c>
      <c r="Q78" s="446">
        <f t="shared" si="8"/>
        <v>-24.712</v>
      </c>
      <c r="R78" s="446">
        <f t="shared" si="8"/>
        <v>18.184000000000001</v>
      </c>
      <c r="S78" s="446">
        <f t="shared" si="8"/>
        <v>31.666666666666668</v>
      </c>
      <c r="T78" s="446">
        <f t="shared" si="8"/>
        <v>16</v>
      </c>
      <c r="U78" s="447">
        <f t="shared" si="8"/>
        <v>20</v>
      </c>
    </row>
    <row r="79" spans="2:21" ht="15.95" customHeight="1" x14ac:dyDescent="0.2">
      <c r="B79" s="485"/>
      <c r="C79" s="452"/>
      <c r="D79" s="452"/>
      <c r="F79" s="452"/>
      <c r="G79" s="383"/>
      <c r="H79" s="452"/>
      <c r="I79" s="452"/>
      <c r="J79" s="452"/>
      <c r="K79" s="452"/>
      <c r="L79" s="452"/>
      <c r="M79" s="486"/>
    </row>
    <row r="80" spans="2:21" ht="15.95" customHeight="1" x14ac:dyDescent="0.2">
      <c r="B80" s="82"/>
      <c r="C80" s="242" t="s">
        <v>481</v>
      </c>
      <c r="D80" s="227"/>
      <c r="E80" s="228"/>
      <c r="F80" s="242"/>
      <c r="G80" s="227"/>
      <c r="H80" s="227"/>
      <c r="I80" s="227"/>
      <c r="J80" s="227"/>
      <c r="K80" s="227"/>
      <c r="L80" s="227"/>
      <c r="M80" s="274"/>
    </row>
    <row r="81" spans="2:21" ht="15.95" customHeight="1" x14ac:dyDescent="0.2">
      <c r="B81" s="58" t="s">
        <v>350</v>
      </c>
      <c r="C81" s="56" t="s">
        <v>351</v>
      </c>
      <c r="D81" s="55" t="s">
        <v>38</v>
      </c>
      <c r="E81" s="218" t="s">
        <v>38</v>
      </c>
      <c r="F81" s="16" t="s">
        <v>38</v>
      </c>
      <c r="G81" s="24">
        <v>200</v>
      </c>
      <c r="H81" s="16">
        <v>-6</v>
      </c>
      <c r="I81" s="16">
        <v>33</v>
      </c>
      <c r="J81" s="16">
        <v>33.4</v>
      </c>
      <c r="K81" s="169" t="s">
        <v>38</v>
      </c>
      <c r="L81" s="169" t="s">
        <v>38</v>
      </c>
      <c r="M81" s="273"/>
    </row>
    <row r="82" spans="2:21" ht="15.95" customHeight="1" x14ac:dyDescent="0.2">
      <c r="B82" s="259" t="s">
        <v>352</v>
      </c>
      <c r="C82" s="260" t="s">
        <v>353</v>
      </c>
      <c r="D82" s="261" t="s">
        <v>38</v>
      </c>
      <c r="E82" s="261" t="s">
        <v>38</v>
      </c>
      <c r="F82" s="261" t="s">
        <v>38</v>
      </c>
      <c r="G82" s="264">
        <v>10</v>
      </c>
      <c r="H82" s="265">
        <v>-8</v>
      </c>
      <c r="I82" s="265">
        <v>-36</v>
      </c>
      <c r="J82" s="16">
        <v>33.4</v>
      </c>
      <c r="K82" s="265" t="s">
        <v>38</v>
      </c>
      <c r="L82" s="265" t="s">
        <v>38</v>
      </c>
      <c r="M82" s="275"/>
    </row>
    <row r="83" spans="2:21" ht="15.95" customHeight="1" x14ac:dyDescent="0.2">
      <c r="B83" s="268" t="s">
        <v>354</v>
      </c>
      <c r="C83" s="260" t="s">
        <v>355</v>
      </c>
      <c r="D83" s="261" t="s">
        <v>38</v>
      </c>
      <c r="E83" s="261" t="s">
        <v>38</v>
      </c>
      <c r="F83" s="261" t="s">
        <v>38</v>
      </c>
      <c r="G83" s="264">
        <v>10</v>
      </c>
      <c r="H83" s="269">
        <v>-8</v>
      </c>
      <c r="I83" s="269">
        <v>-36.200000000000003</v>
      </c>
      <c r="J83" s="16">
        <v>33.4</v>
      </c>
      <c r="K83" s="265" t="s">
        <v>38</v>
      </c>
      <c r="L83" s="265" t="s">
        <v>38</v>
      </c>
      <c r="M83" s="275"/>
    </row>
    <row r="84" spans="2:21" ht="15.95" customHeight="1" x14ac:dyDescent="0.2">
      <c r="B84" s="243" t="s">
        <v>356</v>
      </c>
      <c r="C84" s="231" t="s">
        <v>357</v>
      </c>
      <c r="D84" s="232" t="s">
        <v>38</v>
      </c>
      <c r="E84" s="232" t="s">
        <v>38</v>
      </c>
      <c r="F84" s="232" t="s">
        <v>38</v>
      </c>
      <c r="G84" s="264">
        <v>20</v>
      </c>
      <c r="H84" s="254">
        <v>16.350000000000001</v>
      </c>
      <c r="I84" s="254">
        <v>-15.2</v>
      </c>
      <c r="J84" s="16">
        <v>33.4</v>
      </c>
      <c r="K84" s="236" t="s">
        <v>38</v>
      </c>
      <c r="L84" s="236" t="s">
        <v>38</v>
      </c>
      <c r="M84" s="275"/>
    </row>
    <row r="85" spans="2:21" ht="15.95" customHeight="1" x14ac:dyDescent="0.2">
      <c r="B85" s="237" t="s">
        <v>358</v>
      </c>
      <c r="C85" s="249" t="s">
        <v>359</v>
      </c>
      <c r="D85" s="238">
        <v>3</v>
      </c>
      <c r="E85" s="239">
        <v>1.506</v>
      </c>
      <c r="F85" s="232">
        <f>2*2</f>
        <v>4</v>
      </c>
      <c r="G85" s="235">
        <v>5</v>
      </c>
      <c r="H85" s="250">
        <v>-12.4</v>
      </c>
      <c r="I85" s="250">
        <v>19.899999999999999</v>
      </c>
      <c r="J85" s="16">
        <v>33.4</v>
      </c>
      <c r="K85" s="241">
        <v>4</v>
      </c>
      <c r="L85" s="241">
        <v>5</v>
      </c>
      <c r="M85" s="275"/>
    </row>
    <row r="86" spans="2:21" ht="15.95" customHeight="1" x14ac:dyDescent="0.2">
      <c r="B86" s="270" t="s">
        <v>360</v>
      </c>
      <c r="C86" s="260" t="s">
        <v>361</v>
      </c>
      <c r="D86" s="261" t="s">
        <v>38</v>
      </c>
      <c r="E86" s="261" t="s">
        <v>38</v>
      </c>
      <c r="F86" s="261" t="s">
        <v>38</v>
      </c>
      <c r="G86" s="264">
        <v>2</v>
      </c>
      <c r="H86" s="267">
        <v>-2</v>
      </c>
      <c r="I86" s="267">
        <v>-14.25</v>
      </c>
      <c r="J86" s="16">
        <v>33.4</v>
      </c>
      <c r="K86" s="265" t="s">
        <v>38</v>
      </c>
      <c r="L86" s="265" t="s">
        <v>38</v>
      </c>
      <c r="M86" s="275"/>
    </row>
    <row r="87" spans="2:21" ht="15.95" customHeight="1" x14ac:dyDescent="0.2">
      <c r="B87" s="270" t="s">
        <v>362</v>
      </c>
      <c r="C87" s="260" t="s">
        <v>363</v>
      </c>
      <c r="D87" s="261" t="s">
        <v>38</v>
      </c>
      <c r="E87" s="261" t="s">
        <v>38</v>
      </c>
      <c r="F87" s="261" t="s">
        <v>38</v>
      </c>
      <c r="G87" s="264">
        <v>2</v>
      </c>
      <c r="H87" s="267">
        <v>-2</v>
      </c>
      <c r="I87" s="267">
        <v>-14.25</v>
      </c>
      <c r="J87" s="16">
        <v>33.4</v>
      </c>
      <c r="K87" s="265" t="s">
        <v>38</v>
      </c>
      <c r="L87" s="265" t="s">
        <v>38</v>
      </c>
      <c r="M87" s="275"/>
    </row>
    <row r="88" spans="2:21" ht="15.95" customHeight="1" x14ac:dyDescent="0.2">
      <c r="B88" s="237" t="s">
        <v>364</v>
      </c>
      <c r="C88" s="249" t="s">
        <v>365</v>
      </c>
      <c r="D88" s="238" t="s">
        <v>38</v>
      </c>
      <c r="E88" s="239" t="s">
        <v>38</v>
      </c>
      <c r="F88" s="250" t="s">
        <v>38</v>
      </c>
      <c r="G88" s="251">
        <v>5</v>
      </c>
      <c r="H88" s="250">
        <v>0</v>
      </c>
      <c r="I88" s="250">
        <v>-31.8</v>
      </c>
      <c r="J88" s="16">
        <v>33.4</v>
      </c>
      <c r="K88" s="250" t="s">
        <v>38</v>
      </c>
      <c r="L88" s="250" t="s">
        <v>38</v>
      </c>
      <c r="M88" s="276"/>
    </row>
    <row r="89" spans="2:21" ht="15.95" customHeight="1" thickBot="1" x14ac:dyDescent="0.25">
      <c r="B89" s="255"/>
      <c r="C89" s="252"/>
      <c r="D89" s="278"/>
      <c r="E89" s="256"/>
      <c r="F89" s="272"/>
      <c r="G89" s="253"/>
      <c r="H89" s="250"/>
      <c r="I89" s="250"/>
      <c r="J89" s="250"/>
      <c r="K89" s="250"/>
      <c r="L89" s="250"/>
      <c r="M89" s="276"/>
    </row>
    <row r="90" spans="2:21" ht="15.95" customHeight="1" thickTop="1" x14ac:dyDescent="0.2">
      <c r="B90" s="318"/>
      <c r="C90" s="319"/>
      <c r="D90" s="320"/>
      <c r="E90" s="321"/>
      <c r="F90" s="322" t="s">
        <v>33</v>
      </c>
      <c r="G90" s="323">
        <f>SUBTOTAL(9,G81:G89)</f>
        <v>254</v>
      </c>
      <c r="H90" s="324">
        <f>IF($G90=0,0,SUMPRODUCT($G82:$G89,H82:H89)/$G90)</f>
        <v>0.38188976377952755</v>
      </c>
      <c r="I90" s="324">
        <f>IF($G90=0,0,SUMPRODUCT($G82:$G89,I82:I89)/$G90)</f>
        <v>-4.4980314960629917</v>
      </c>
      <c r="J90" s="324">
        <f>IF($G90=0,0,SUMPRODUCT($G82:$G89,J82:J89)/$G90)</f>
        <v>7.1007874015748031</v>
      </c>
      <c r="K90" s="324">
        <f>SUBTOTAL(9,K82:K89)</f>
        <v>4</v>
      </c>
      <c r="L90" s="324">
        <f>SUBTOTAL(9,L82:L89)</f>
        <v>5</v>
      </c>
      <c r="M90" s="444"/>
      <c r="O90" s="445" t="s">
        <v>536</v>
      </c>
      <c r="P90" s="446">
        <f t="shared" ref="P90:U90" si="9">G90</f>
        <v>254</v>
      </c>
      <c r="Q90" s="446">
        <f t="shared" si="9"/>
        <v>0.38188976377952755</v>
      </c>
      <c r="R90" s="446">
        <f t="shared" si="9"/>
        <v>-4.4980314960629917</v>
      </c>
      <c r="S90" s="446">
        <f t="shared" si="9"/>
        <v>7.1007874015748031</v>
      </c>
      <c r="T90" s="446">
        <f t="shared" si="9"/>
        <v>4</v>
      </c>
      <c r="U90" s="447">
        <f t="shared" si="9"/>
        <v>5</v>
      </c>
    </row>
    <row r="91" spans="2:21" ht="15.95" customHeight="1" x14ac:dyDescent="0.2">
      <c r="B91" s="485"/>
      <c r="C91" s="452"/>
      <c r="D91" s="452"/>
      <c r="F91" s="452"/>
      <c r="G91" s="383"/>
      <c r="H91" s="452"/>
      <c r="I91" s="452"/>
      <c r="J91" s="452"/>
      <c r="K91" s="452"/>
      <c r="L91" s="452"/>
      <c r="M91" s="486"/>
    </row>
    <row r="92" spans="2:21" ht="15.95" customHeight="1" x14ac:dyDescent="0.2">
      <c r="B92" s="82"/>
      <c r="C92" s="242" t="s">
        <v>482</v>
      </c>
      <c r="D92" s="227"/>
      <c r="E92" s="228"/>
      <c r="F92" s="242"/>
      <c r="G92" s="227"/>
      <c r="H92" s="227"/>
      <c r="I92" s="227"/>
      <c r="J92" s="227"/>
      <c r="K92" s="227"/>
      <c r="L92" s="227"/>
      <c r="M92" s="274"/>
    </row>
    <row r="93" spans="2:21" ht="15.95" customHeight="1" x14ac:dyDescent="0.2">
      <c r="B93" s="58" t="s">
        <v>366</v>
      </c>
      <c r="C93" s="56" t="s">
        <v>367</v>
      </c>
      <c r="D93" s="55" t="s">
        <v>38</v>
      </c>
      <c r="E93" s="218" t="s">
        <v>38</v>
      </c>
      <c r="F93" s="16" t="s">
        <v>38</v>
      </c>
      <c r="G93" s="24">
        <v>5</v>
      </c>
      <c r="H93" s="16">
        <v>26.7</v>
      </c>
      <c r="I93" s="16">
        <v>12.8</v>
      </c>
      <c r="J93" s="16">
        <v>33.4</v>
      </c>
      <c r="K93" s="169" t="s">
        <v>38</v>
      </c>
      <c r="L93" s="169" t="s">
        <v>38</v>
      </c>
      <c r="M93" s="273"/>
    </row>
    <row r="94" spans="2:21" ht="15.95" customHeight="1" x14ac:dyDescent="0.2">
      <c r="B94" s="237" t="s">
        <v>368</v>
      </c>
      <c r="C94" s="231" t="s">
        <v>369</v>
      </c>
      <c r="D94" s="232" t="s">
        <v>38</v>
      </c>
      <c r="E94" s="232" t="s">
        <v>38</v>
      </c>
      <c r="F94" s="232" t="s">
        <v>38</v>
      </c>
      <c r="G94" s="264">
        <v>10</v>
      </c>
      <c r="H94" s="241">
        <v>30</v>
      </c>
      <c r="I94" s="241">
        <v>14.5</v>
      </c>
      <c r="J94" s="16">
        <v>33.4</v>
      </c>
      <c r="K94" s="236" t="s">
        <v>38</v>
      </c>
      <c r="L94" s="236" t="s">
        <v>38</v>
      </c>
      <c r="M94" s="275"/>
    </row>
    <row r="95" spans="2:21" ht="15.95" customHeight="1" x14ac:dyDescent="0.2">
      <c r="B95" s="230" t="s">
        <v>370</v>
      </c>
      <c r="C95" s="231" t="s">
        <v>367</v>
      </c>
      <c r="D95" s="232" t="s">
        <v>38</v>
      </c>
      <c r="E95" s="232" t="s">
        <v>38</v>
      </c>
      <c r="F95" s="232" t="s">
        <v>38</v>
      </c>
      <c r="G95" s="264">
        <v>5</v>
      </c>
      <c r="H95" s="236">
        <v>26.7</v>
      </c>
      <c r="I95" s="236">
        <v>-12.8</v>
      </c>
      <c r="J95" s="16">
        <v>33.4</v>
      </c>
      <c r="K95" s="236" t="s">
        <v>38</v>
      </c>
      <c r="L95" s="236" t="s">
        <v>38</v>
      </c>
      <c r="M95" s="275"/>
    </row>
    <row r="96" spans="2:21" ht="15.95" customHeight="1" x14ac:dyDescent="0.2">
      <c r="B96" s="237" t="s">
        <v>371</v>
      </c>
      <c r="C96" s="231" t="s">
        <v>369</v>
      </c>
      <c r="D96" s="232" t="s">
        <v>38</v>
      </c>
      <c r="E96" s="232" t="s">
        <v>38</v>
      </c>
      <c r="F96" s="232" t="s">
        <v>38</v>
      </c>
      <c r="G96" s="264">
        <v>5</v>
      </c>
      <c r="H96" s="241">
        <v>37</v>
      </c>
      <c r="I96" s="241">
        <v>-20.6</v>
      </c>
      <c r="J96" s="16">
        <v>33.4</v>
      </c>
      <c r="K96" s="236" t="s">
        <v>38</v>
      </c>
      <c r="L96" s="236" t="s">
        <v>38</v>
      </c>
      <c r="M96" s="275"/>
    </row>
    <row r="97" spans="2:21" ht="15.95" customHeight="1" x14ac:dyDescent="0.2">
      <c r="B97" s="237" t="s">
        <v>372</v>
      </c>
      <c r="C97" s="258" t="s">
        <v>373</v>
      </c>
      <c r="D97" s="232" t="s">
        <v>38</v>
      </c>
      <c r="E97" s="232" t="s">
        <v>38</v>
      </c>
      <c r="F97" s="232" t="s">
        <v>38</v>
      </c>
      <c r="G97" s="264">
        <v>200</v>
      </c>
      <c r="H97" s="241">
        <v>12</v>
      </c>
      <c r="I97" s="241">
        <v>0</v>
      </c>
      <c r="J97" s="241">
        <v>33.4</v>
      </c>
      <c r="K97" s="236" t="s">
        <v>38</v>
      </c>
      <c r="L97" s="236" t="s">
        <v>38</v>
      </c>
      <c r="M97" s="275"/>
    </row>
    <row r="98" spans="2:21" ht="15.95" customHeight="1" x14ac:dyDescent="0.2">
      <c r="B98" s="243" t="s">
        <v>374</v>
      </c>
      <c r="C98" s="258" t="s">
        <v>375</v>
      </c>
      <c r="D98" s="232" t="s">
        <v>38</v>
      </c>
      <c r="E98" s="232" t="s">
        <v>38</v>
      </c>
      <c r="F98" s="232" t="s">
        <v>38</v>
      </c>
      <c r="G98" s="264">
        <v>20</v>
      </c>
      <c r="H98" s="254">
        <v>10.7</v>
      </c>
      <c r="I98" s="254">
        <v>15.4</v>
      </c>
      <c r="J98" s="241">
        <v>33.4</v>
      </c>
      <c r="K98" s="236" t="s">
        <v>38</v>
      </c>
      <c r="L98" s="236" t="s">
        <v>38</v>
      </c>
      <c r="M98" s="275"/>
    </row>
    <row r="99" spans="2:21" ht="15.95" customHeight="1" thickBot="1" x14ac:dyDescent="0.25">
      <c r="B99" s="255"/>
      <c r="C99" s="252"/>
      <c r="D99" s="278"/>
      <c r="E99" s="256"/>
      <c r="F99" s="272"/>
      <c r="G99" s="253"/>
      <c r="H99" s="250"/>
      <c r="I99" s="250"/>
      <c r="J99" s="250"/>
      <c r="K99" s="250"/>
      <c r="L99" s="250"/>
      <c r="M99" s="276"/>
    </row>
    <row r="100" spans="2:21" ht="15.95" customHeight="1" thickTop="1" x14ac:dyDescent="0.2">
      <c r="B100" s="318"/>
      <c r="C100" s="319"/>
      <c r="D100" s="320"/>
      <c r="E100" s="321"/>
      <c r="F100" s="322" t="s">
        <v>33</v>
      </c>
      <c r="G100" s="323">
        <f>SUBTOTAL(9,G93:G99)</f>
        <v>245</v>
      </c>
      <c r="H100" s="324">
        <f>IF($G100=0,0,SUMPRODUCT($G93:$G99,H93:H99)/$G100)</f>
        <v>13.738775510204082</v>
      </c>
      <c r="I100" s="324">
        <f>IF($G100=0,0,SUMPRODUCT($G93:$G99,I93:I99)/$G100)</f>
        <v>1.4285714285714286</v>
      </c>
      <c r="J100" s="324">
        <f>IF($G100=0,0,SUMPRODUCT($G93:$G99,J93:J99)/$G100)</f>
        <v>33.4</v>
      </c>
      <c r="K100" s="324">
        <f>SUBTOTAL(9,K93:K99)</f>
        <v>0</v>
      </c>
      <c r="L100" s="324">
        <f>SUBTOTAL(9,L93:L99)</f>
        <v>0</v>
      </c>
      <c r="M100" s="444"/>
      <c r="O100" s="445" t="s">
        <v>537</v>
      </c>
      <c r="P100" s="446">
        <f t="shared" ref="P100:U100" si="10">G100</f>
        <v>245</v>
      </c>
      <c r="Q100" s="446">
        <f t="shared" si="10"/>
        <v>13.738775510204082</v>
      </c>
      <c r="R100" s="446">
        <f t="shared" si="10"/>
        <v>1.4285714285714286</v>
      </c>
      <c r="S100" s="446">
        <f t="shared" si="10"/>
        <v>33.4</v>
      </c>
      <c r="T100" s="446">
        <f t="shared" si="10"/>
        <v>0</v>
      </c>
      <c r="U100" s="447">
        <f t="shared" si="10"/>
        <v>0</v>
      </c>
    </row>
    <row r="101" spans="2:21" ht="15.95" customHeight="1" x14ac:dyDescent="0.2">
      <c r="B101" s="485"/>
      <c r="C101" s="452"/>
      <c r="D101" s="452"/>
      <c r="F101" s="452"/>
      <c r="G101" s="383"/>
      <c r="H101" s="452"/>
      <c r="I101" s="452"/>
      <c r="J101" s="452"/>
      <c r="K101" s="452"/>
      <c r="L101" s="452"/>
      <c r="M101" s="486"/>
    </row>
    <row r="102" spans="2:21" ht="15.95" customHeight="1" x14ac:dyDescent="0.2">
      <c r="B102" s="82"/>
      <c r="C102" s="242" t="s">
        <v>422</v>
      </c>
      <c r="D102" s="227"/>
      <c r="E102" s="228"/>
      <c r="F102" s="242"/>
      <c r="G102" s="227"/>
      <c r="H102" s="227"/>
      <c r="I102" s="227"/>
      <c r="J102" s="227"/>
      <c r="K102" s="227"/>
      <c r="L102" s="227"/>
      <c r="M102" s="274"/>
    </row>
    <row r="103" spans="2:21" ht="15.95" customHeight="1" x14ac:dyDescent="0.2">
      <c r="B103" s="230" t="s">
        <v>447</v>
      </c>
      <c r="C103" s="231" t="s">
        <v>445</v>
      </c>
      <c r="D103" s="225"/>
      <c r="E103" s="232">
        <v>10</v>
      </c>
      <c r="F103" s="233">
        <v>1</v>
      </c>
      <c r="G103" s="235">
        <f>+E103*F103</f>
        <v>10</v>
      </c>
      <c r="H103" s="236">
        <v>22</v>
      </c>
      <c r="I103" s="236">
        <v>0</v>
      </c>
      <c r="J103" s="236">
        <v>34</v>
      </c>
      <c r="K103" s="236" t="s">
        <v>38</v>
      </c>
      <c r="L103" s="236" t="s">
        <v>38</v>
      </c>
      <c r="M103" s="275"/>
    </row>
    <row r="104" spans="2:21" ht="15.95" customHeight="1" x14ac:dyDescent="0.2">
      <c r="B104" s="230" t="s">
        <v>448</v>
      </c>
      <c r="C104" s="231" t="s">
        <v>446</v>
      </c>
      <c r="D104" s="225"/>
      <c r="E104" s="238">
        <v>15</v>
      </c>
      <c r="F104" s="239">
        <v>1</v>
      </c>
      <c r="G104" s="235">
        <v>25</v>
      </c>
      <c r="H104" s="241">
        <v>22</v>
      </c>
      <c r="I104" s="241">
        <v>0</v>
      </c>
      <c r="J104" s="236">
        <v>34</v>
      </c>
      <c r="K104" s="236" t="s">
        <v>38</v>
      </c>
      <c r="L104" s="236" t="s">
        <v>38</v>
      </c>
      <c r="M104" s="275"/>
    </row>
    <row r="105" spans="2:21" ht="15.95" customHeight="1" x14ac:dyDescent="0.2">
      <c r="B105" s="315" t="s">
        <v>449</v>
      </c>
      <c r="C105" s="252" t="s">
        <v>39</v>
      </c>
      <c r="D105" s="225"/>
      <c r="E105" s="278">
        <v>10</v>
      </c>
      <c r="F105" s="256">
        <v>1</v>
      </c>
      <c r="G105" s="253">
        <v>15</v>
      </c>
      <c r="H105" s="241">
        <v>22</v>
      </c>
      <c r="I105" s="241">
        <v>0</v>
      </c>
      <c r="J105" s="236">
        <v>34</v>
      </c>
      <c r="K105" s="236" t="s">
        <v>38</v>
      </c>
      <c r="L105" s="236" t="s">
        <v>38</v>
      </c>
      <c r="M105" s="276"/>
    </row>
    <row r="106" spans="2:21" ht="15.95" customHeight="1" thickBot="1" x14ac:dyDescent="0.25">
      <c r="B106" s="255"/>
      <c r="C106" s="252"/>
      <c r="D106" s="278"/>
      <c r="E106" s="256"/>
      <c r="F106" s="272"/>
      <c r="G106" s="253"/>
      <c r="H106" s="250"/>
      <c r="I106" s="250"/>
      <c r="J106" s="250"/>
      <c r="K106" s="250"/>
      <c r="L106" s="250"/>
      <c r="M106" s="276"/>
    </row>
    <row r="107" spans="2:21" ht="15.95" customHeight="1" thickTop="1" x14ac:dyDescent="0.2">
      <c r="B107" s="318"/>
      <c r="C107" s="319"/>
      <c r="D107" s="320"/>
      <c r="E107" s="321"/>
      <c r="F107" s="322" t="s">
        <v>33</v>
      </c>
      <c r="G107" s="323">
        <f>SUBTOTAL(9,G103:G106)</f>
        <v>50</v>
      </c>
      <c r="H107" s="324">
        <f>IF($G107=0,0,SUMPRODUCT($G103:$G106,H103:H106)/$G107)</f>
        <v>22</v>
      </c>
      <c r="I107" s="324">
        <f>IF($G107=0,0,SUMPRODUCT($G103:$G106,I103:I106)/$G107)</f>
        <v>0</v>
      </c>
      <c r="J107" s="324">
        <f>IF($G107=0,0,SUMPRODUCT($G103:$G106,J103:J106)/$G107)</f>
        <v>34</v>
      </c>
      <c r="K107" s="324" t="s">
        <v>38</v>
      </c>
      <c r="L107" s="324" t="s">
        <v>38</v>
      </c>
      <c r="M107" s="444"/>
      <c r="O107" s="445" t="s">
        <v>538</v>
      </c>
      <c r="P107" s="446">
        <f t="shared" ref="P107:U107" si="11">G107</f>
        <v>50</v>
      </c>
      <c r="Q107" s="446">
        <f t="shared" si="11"/>
        <v>22</v>
      </c>
      <c r="R107" s="446">
        <f t="shared" si="11"/>
        <v>0</v>
      </c>
      <c r="S107" s="446">
        <f t="shared" si="11"/>
        <v>34</v>
      </c>
      <c r="T107" s="446" t="str">
        <f t="shared" si="11"/>
        <v>n/a</v>
      </c>
      <c r="U107" s="447" t="str">
        <f t="shared" si="11"/>
        <v>n/a</v>
      </c>
    </row>
    <row r="108" spans="2:21" ht="15.95" customHeight="1" x14ac:dyDescent="0.2">
      <c r="B108" s="485"/>
      <c r="C108" s="452"/>
      <c r="D108" s="452"/>
      <c r="F108" s="452"/>
      <c r="G108" s="383"/>
      <c r="H108" s="452"/>
      <c r="I108" s="452"/>
      <c r="J108" s="452"/>
      <c r="K108" s="452"/>
      <c r="L108" s="452"/>
      <c r="M108" s="486"/>
    </row>
    <row r="109" spans="2:21" ht="15.95" customHeight="1" x14ac:dyDescent="0.2">
      <c r="B109" s="463"/>
      <c r="C109" s="470" t="s">
        <v>531</v>
      </c>
      <c r="D109" s="464"/>
      <c r="E109" s="465"/>
      <c r="F109" s="466"/>
      <c r="G109" s="467"/>
      <c r="H109" s="468"/>
      <c r="I109" s="468"/>
      <c r="J109" s="468"/>
      <c r="K109" s="468"/>
      <c r="L109" s="468"/>
      <c r="M109" s="469"/>
    </row>
    <row r="110" spans="2:21" ht="15.95" customHeight="1" x14ac:dyDescent="0.2">
      <c r="B110" s="243"/>
      <c r="C110" s="244"/>
      <c r="D110" s="245"/>
      <c r="E110" s="246"/>
      <c r="F110" s="279"/>
      <c r="G110" s="280"/>
      <c r="H110" s="281"/>
      <c r="I110" s="281"/>
      <c r="J110" s="281"/>
      <c r="K110" s="281"/>
      <c r="L110" s="281"/>
      <c r="M110" s="282"/>
    </row>
    <row r="111" spans="2:21" ht="15.95" customHeight="1" x14ac:dyDescent="0.2">
      <c r="B111" s="82"/>
      <c r="C111" s="242" t="s">
        <v>486</v>
      </c>
      <c r="D111" s="227"/>
      <c r="E111" s="228"/>
      <c r="F111" s="242"/>
      <c r="G111" s="227"/>
      <c r="H111" s="227"/>
      <c r="I111" s="227"/>
      <c r="J111" s="227"/>
      <c r="K111" s="227"/>
      <c r="L111" s="227"/>
      <c r="M111" s="274"/>
    </row>
    <row r="112" spans="2:21" ht="15.95" customHeight="1" x14ac:dyDescent="0.2">
      <c r="B112" s="230" t="s">
        <v>377</v>
      </c>
      <c r="C112" s="343" t="s">
        <v>378</v>
      </c>
      <c r="D112" s="345"/>
      <c r="E112" s="232">
        <v>26.3</v>
      </c>
      <c r="F112" s="232">
        <v>25000</v>
      </c>
      <c r="G112" s="235">
        <f>+E112*F112/2205</f>
        <v>298.18594104308391</v>
      </c>
      <c r="H112" s="236">
        <v>-2</v>
      </c>
      <c r="I112" s="236">
        <v>0</v>
      </c>
      <c r="J112" s="236">
        <v>37.6</v>
      </c>
      <c r="K112" s="236" t="s">
        <v>38</v>
      </c>
      <c r="L112" s="236" t="s">
        <v>38</v>
      </c>
      <c r="M112" s="273"/>
    </row>
    <row r="113" spans="2:21" ht="15.95" customHeight="1" x14ac:dyDescent="0.2">
      <c r="B113" s="230" t="s">
        <v>379</v>
      </c>
      <c r="C113" s="342" t="s">
        <v>380</v>
      </c>
      <c r="D113" s="346"/>
      <c r="E113" s="232">
        <v>19.5</v>
      </c>
      <c r="F113" s="233">
        <v>5000</v>
      </c>
      <c r="G113" s="235">
        <f>+E113*F113/2205</f>
        <v>44.217687074829932</v>
      </c>
      <c r="H113" s="236">
        <v>-2</v>
      </c>
      <c r="I113" s="236">
        <v>0</v>
      </c>
      <c r="J113" s="236">
        <v>37.6</v>
      </c>
      <c r="K113" s="236" t="s">
        <v>38</v>
      </c>
      <c r="L113" s="236" t="s">
        <v>38</v>
      </c>
      <c r="M113" s="273"/>
    </row>
    <row r="114" spans="2:21" ht="15.95" customHeight="1" x14ac:dyDescent="0.2">
      <c r="B114" s="230" t="s">
        <v>381</v>
      </c>
      <c r="C114" s="343" t="s">
        <v>382</v>
      </c>
      <c r="D114" s="346"/>
      <c r="E114" s="232">
        <v>38.700000000000003</v>
      </c>
      <c r="F114" s="233">
        <v>900</v>
      </c>
      <c r="G114" s="235">
        <f>+E114*F114/2205</f>
        <v>15.795918367346939</v>
      </c>
      <c r="H114" s="236">
        <v>-2</v>
      </c>
      <c r="I114" s="236">
        <v>0</v>
      </c>
      <c r="J114" s="236">
        <v>37.6</v>
      </c>
      <c r="K114" s="236" t="s">
        <v>38</v>
      </c>
      <c r="L114" s="236" t="s">
        <v>38</v>
      </c>
      <c r="M114" s="273"/>
    </row>
    <row r="115" spans="2:21" ht="15.95" customHeight="1" x14ac:dyDescent="0.2">
      <c r="B115" s="230" t="s">
        <v>383</v>
      </c>
      <c r="C115" s="343" t="s">
        <v>384</v>
      </c>
      <c r="D115" s="346"/>
      <c r="E115" s="232">
        <v>148</v>
      </c>
      <c r="F115" s="233">
        <f>31*24</f>
        <v>744</v>
      </c>
      <c r="G115" s="235">
        <f>+E115*F115/2205</f>
        <v>49.937414965986392</v>
      </c>
      <c r="H115" s="236">
        <v>-2</v>
      </c>
      <c r="I115" s="236">
        <v>0</v>
      </c>
      <c r="J115" s="236">
        <v>37.6</v>
      </c>
      <c r="K115" s="236" t="s">
        <v>38</v>
      </c>
      <c r="L115" s="236" t="s">
        <v>38</v>
      </c>
      <c r="M115" s="273"/>
    </row>
    <row r="116" spans="2:21" ht="15.95" customHeight="1" x14ac:dyDescent="0.2">
      <c r="B116" s="230" t="s">
        <v>385</v>
      </c>
      <c r="C116" s="343" t="s">
        <v>386</v>
      </c>
      <c r="D116" s="346"/>
      <c r="E116" s="232">
        <v>100</v>
      </c>
      <c r="F116" s="233">
        <f>31*24</f>
        <v>744</v>
      </c>
      <c r="G116" s="235">
        <f>+E116*F116/2205</f>
        <v>33.741496598639458</v>
      </c>
      <c r="H116" s="236">
        <v>-2</v>
      </c>
      <c r="I116" s="236">
        <v>0</v>
      </c>
      <c r="J116" s="236">
        <v>37.6</v>
      </c>
      <c r="K116" s="236" t="s">
        <v>38</v>
      </c>
      <c r="L116" s="236" t="s">
        <v>38</v>
      </c>
      <c r="M116" s="273"/>
    </row>
    <row r="117" spans="2:21" ht="15.95" customHeight="1" x14ac:dyDescent="0.2">
      <c r="B117" s="315"/>
      <c r="C117" s="344" t="s">
        <v>511</v>
      </c>
      <c r="D117" s="367"/>
      <c r="E117" s="368"/>
      <c r="F117" s="369"/>
      <c r="G117" s="253">
        <v>300</v>
      </c>
      <c r="H117" s="254">
        <v>-10</v>
      </c>
      <c r="I117" s="254">
        <v>0</v>
      </c>
      <c r="J117" s="236">
        <v>37.6</v>
      </c>
      <c r="K117" s="254"/>
      <c r="L117" s="254"/>
      <c r="M117" s="277"/>
    </row>
    <row r="118" spans="2:21" ht="15.95" customHeight="1" thickBot="1" x14ac:dyDescent="0.25">
      <c r="B118" s="255"/>
      <c r="C118" s="344"/>
      <c r="D118" s="347"/>
      <c r="E118" s="256"/>
      <c r="F118" s="272"/>
      <c r="G118" s="253"/>
      <c r="H118" s="250"/>
      <c r="I118" s="250"/>
      <c r="J118" s="250"/>
      <c r="K118" s="250"/>
      <c r="L118" s="250"/>
      <c r="M118" s="276"/>
    </row>
    <row r="119" spans="2:21" ht="15.95" customHeight="1" thickTop="1" x14ac:dyDescent="0.2">
      <c r="B119" s="318"/>
      <c r="C119" s="319"/>
      <c r="D119" s="320"/>
      <c r="E119" s="321"/>
      <c r="F119" s="322" t="s">
        <v>33</v>
      </c>
      <c r="G119" s="323">
        <f>SUBTOTAL(9,G112:G118)</f>
        <v>741.8784580498866</v>
      </c>
      <c r="H119" s="324">
        <f>IF($G119=0,0,SUMPRODUCT($G112:$G118,H112:H118)/$G119)</f>
        <v>-5.2350312560748531</v>
      </c>
      <c r="I119" s="324">
        <f>IF($G119=0,0,SUMPRODUCT($G112:$G118,I112:I118)/$G119)</f>
        <v>0</v>
      </c>
      <c r="J119" s="324">
        <f>IF($G119=0,0,SUMPRODUCT($G112:$G118,J112:J118)/$G119)</f>
        <v>37.6</v>
      </c>
      <c r="K119" s="324">
        <f>SUBTOTAL(9,K112:K118)</f>
        <v>0</v>
      </c>
      <c r="L119" s="324">
        <f>SUBTOTAL(9,L112:L118)</f>
        <v>0</v>
      </c>
      <c r="M119" s="444"/>
      <c r="O119" s="445" t="s">
        <v>542</v>
      </c>
      <c r="P119" s="446">
        <f t="shared" ref="P119:U119" si="12">G119</f>
        <v>741.8784580498866</v>
      </c>
      <c r="Q119" s="446">
        <f t="shared" si="12"/>
        <v>-5.2350312560748531</v>
      </c>
      <c r="R119" s="446">
        <f t="shared" si="12"/>
        <v>0</v>
      </c>
      <c r="S119" s="446">
        <f t="shared" si="12"/>
        <v>37.6</v>
      </c>
      <c r="T119" s="446">
        <f t="shared" si="12"/>
        <v>0</v>
      </c>
      <c r="U119" s="447">
        <f t="shared" si="12"/>
        <v>0</v>
      </c>
    </row>
    <row r="120" spans="2:21" ht="15.95" customHeight="1" x14ac:dyDescent="0.2">
      <c r="B120" s="485"/>
      <c r="C120" s="452"/>
      <c r="D120" s="452"/>
      <c r="F120" s="452"/>
      <c r="G120" s="383"/>
      <c r="H120" s="452"/>
      <c r="I120" s="452"/>
      <c r="J120" s="452"/>
      <c r="K120" s="452"/>
      <c r="L120" s="452"/>
      <c r="M120" s="486"/>
    </row>
    <row r="121" spans="2:21" ht="15.95" customHeight="1" x14ac:dyDescent="0.2">
      <c r="B121" s="82"/>
      <c r="C121" s="242" t="s">
        <v>421</v>
      </c>
      <c r="D121" s="227"/>
      <c r="E121" s="228"/>
      <c r="F121" s="242"/>
      <c r="G121" s="227"/>
      <c r="H121" s="227"/>
      <c r="I121" s="227"/>
      <c r="J121" s="227"/>
      <c r="K121" s="227"/>
      <c r="L121" s="227"/>
      <c r="M121" s="274"/>
    </row>
    <row r="122" spans="2:21" ht="15.95" customHeight="1" x14ac:dyDescent="0.2">
      <c r="B122" s="58"/>
      <c r="C122" s="56" t="s">
        <v>387</v>
      </c>
      <c r="D122" s="55"/>
      <c r="E122" s="218" t="s">
        <v>38</v>
      </c>
      <c r="F122" s="16" t="s">
        <v>38</v>
      </c>
      <c r="G122" s="24">
        <v>0</v>
      </c>
      <c r="H122" s="16">
        <v>4</v>
      </c>
      <c r="I122" s="16">
        <v>0</v>
      </c>
      <c r="J122" s="16">
        <v>73.5</v>
      </c>
      <c r="K122" s="169" t="s">
        <v>38</v>
      </c>
      <c r="L122" s="169" t="s">
        <v>38</v>
      </c>
      <c r="M122" s="273" t="s">
        <v>500</v>
      </c>
    </row>
    <row r="123" spans="2:21" ht="15.95" customHeight="1" thickBot="1" x14ac:dyDescent="0.25">
      <c r="B123" s="255"/>
      <c r="C123" s="252"/>
      <c r="D123" s="278"/>
      <c r="E123" s="256"/>
      <c r="F123" s="272"/>
      <c r="G123" s="253"/>
      <c r="H123" s="250"/>
      <c r="I123" s="250"/>
      <c r="J123" s="250"/>
      <c r="K123" s="250"/>
      <c r="L123" s="250"/>
      <c r="M123" s="276"/>
    </row>
    <row r="124" spans="2:21" ht="15.95" customHeight="1" thickTop="1" x14ac:dyDescent="0.2">
      <c r="B124" s="318"/>
      <c r="C124" s="319"/>
      <c r="D124" s="320"/>
      <c r="E124" s="321"/>
      <c r="F124" s="322" t="s">
        <v>33</v>
      </c>
      <c r="G124" s="323">
        <f>SUBTOTAL(9,G122:G123)</f>
        <v>0</v>
      </c>
      <c r="H124" s="324">
        <f>IF($G124=0,0,SUMPRODUCT($G122:$G123,H122:H123)/$G124)</f>
        <v>0</v>
      </c>
      <c r="I124" s="324">
        <f>IF($G124=0,0,SUMPRODUCT($G122:$G123,I122:I123)/$G124)</f>
        <v>0</v>
      </c>
      <c r="J124" s="324">
        <f>IF($G124=0,0,SUMPRODUCT($G122:$G123,J122:J123)/$G124)</f>
        <v>0</v>
      </c>
      <c r="K124" s="324">
        <f>SUBTOTAL(9,K122:K123)</f>
        <v>0</v>
      </c>
      <c r="L124" s="324">
        <f>SUBTOTAL(9,L122:L123)</f>
        <v>0</v>
      </c>
      <c r="M124" s="444"/>
      <c r="O124" s="445" t="s">
        <v>539</v>
      </c>
      <c r="P124" s="446">
        <f t="shared" ref="P124:U124" si="13">G124</f>
        <v>0</v>
      </c>
      <c r="Q124" s="446">
        <f t="shared" si="13"/>
        <v>0</v>
      </c>
      <c r="R124" s="446">
        <f t="shared" si="13"/>
        <v>0</v>
      </c>
      <c r="S124" s="446">
        <f t="shared" si="13"/>
        <v>0</v>
      </c>
      <c r="T124" s="446">
        <f t="shared" si="13"/>
        <v>0</v>
      </c>
      <c r="U124" s="447">
        <f t="shared" si="13"/>
        <v>0</v>
      </c>
    </row>
    <row r="125" spans="2:21" ht="15.95" customHeight="1" x14ac:dyDescent="0.2">
      <c r="B125" s="485"/>
      <c r="C125" s="452"/>
      <c r="D125" s="452"/>
      <c r="F125" s="452"/>
      <c r="G125" s="383"/>
      <c r="H125" s="452"/>
      <c r="I125" s="452"/>
      <c r="J125" s="452"/>
      <c r="K125" s="452"/>
      <c r="L125" s="452"/>
      <c r="M125" s="486"/>
    </row>
    <row r="126" spans="2:21" ht="15.95" customHeight="1" x14ac:dyDescent="0.2">
      <c r="B126" s="82"/>
      <c r="C126" s="242" t="s">
        <v>483</v>
      </c>
      <c r="D126" s="227"/>
      <c r="E126" s="228"/>
      <c r="F126" s="242"/>
      <c r="G126" s="227"/>
      <c r="H126" s="227"/>
      <c r="I126" s="227"/>
      <c r="J126" s="227"/>
      <c r="K126" s="227"/>
      <c r="L126" s="227"/>
      <c r="M126" s="274"/>
    </row>
    <row r="127" spans="2:21" ht="15.95" customHeight="1" x14ac:dyDescent="0.2">
      <c r="B127" s="58" t="s">
        <v>388</v>
      </c>
      <c r="C127" s="56" t="s">
        <v>484</v>
      </c>
      <c r="D127" s="55"/>
      <c r="E127" s="218" t="s">
        <v>38</v>
      </c>
      <c r="F127" s="16" t="s">
        <v>38</v>
      </c>
      <c r="G127" s="24">
        <v>100</v>
      </c>
      <c r="H127" s="16">
        <v>-6.31</v>
      </c>
      <c r="I127" s="16">
        <v>41.36</v>
      </c>
      <c r="J127" s="16">
        <v>36.6</v>
      </c>
      <c r="K127" s="169"/>
      <c r="L127" s="169"/>
      <c r="M127" s="273"/>
    </row>
    <row r="128" spans="2:21" ht="15.95" customHeight="1" x14ac:dyDescent="0.2">
      <c r="B128" s="58" t="s">
        <v>389</v>
      </c>
      <c r="C128" s="56" t="s">
        <v>485</v>
      </c>
      <c r="D128" s="55"/>
      <c r="E128" s="218" t="s">
        <v>38</v>
      </c>
      <c r="F128" s="16" t="s">
        <v>38</v>
      </c>
      <c r="G128" s="24">
        <v>100</v>
      </c>
      <c r="H128" s="16">
        <v>-6.31</v>
      </c>
      <c r="I128" s="16">
        <v>-41.36</v>
      </c>
      <c r="J128" s="16">
        <v>36.6</v>
      </c>
      <c r="K128" s="169"/>
      <c r="L128" s="169"/>
      <c r="M128" s="273"/>
    </row>
    <row r="129" spans="2:21" ht="15.95" customHeight="1" thickBot="1" x14ac:dyDescent="0.25">
      <c r="B129" s="255"/>
      <c r="C129" s="252"/>
      <c r="D129" s="278"/>
      <c r="E129" s="256"/>
      <c r="F129" s="272"/>
      <c r="G129" s="253"/>
      <c r="H129" s="250"/>
      <c r="I129" s="250"/>
      <c r="J129" s="250"/>
      <c r="K129" s="250"/>
      <c r="L129" s="250"/>
      <c r="M129" s="276"/>
    </row>
    <row r="130" spans="2:21" ht="15.95" customHeight="1" thickTop="1" x14ac:dyDescent="0.2">
      <c r="B130" s="318"/>
      <c r="C130" s="319"/>
      <c r="D130" s="320"/>
      <c r="E130" s="321"/>
      <c r="F130" s="322" t="s">
        <v>33</v>
      </c>
      <c r="G130" s="323">
        <f>SUBTOTAL(9,G127:G129)</f>
        <v>200</v>
      </c>
      <c r="H130" s="324">
        <f>IF($G130=0,0,SUMPRODUCT($G127:$G129,H127:H129)/$G130)</f>
        <v>-6.31</v>
      </c>
      <c r="I130" s="324">
        <f>IF($G130=0,0,SUMPRODUCT($G127:$G129,I127:I129)/$G130)</f>
        <v>0</v>
      </c>
      <c r="J130" s="324">
        <f>IF($G130=0,0,SUMPRODUCT($G127:$G129,J127:J129)/$G130)</f>
        <v>36.6</v>
      </c>
      <c r="K130" s="324">
        <f>SUBTOTAL(9,K127:K129)</f>
        <v>0</v>
      </c>
      <c r="L130" s="324">
        <f>SUBTOTAL(9,L127:L129)</f>
        <v>0</v>
      </c>
      <c r="M130" s="444"/>
      <c r="O130" s="445" t="s">
        <v>540</v>
      </c>
      <c r="P130" s="446">
        <f t="shared" ref="P130:U130" si="14">G130</f>
        <v>200</v>
      </c>
      <c r="Q130" s="446">
        <f t="shared" si="14"/>
        <v>-6.31</v>
      </c>
      <c r="R130" s="446">
        <f t="shared" si="14"/>
        <v>0</v>
      </c>
      <c r="S130" s="446">
        <f t="shared" si="14"/>
        <v>36.6</v>
      </c>
      <c r="T130" s="446">
        <f t="shared" si="14"/>
        <v>0</v>
      </c>
      <c r="U130" s="447">
        <f t="shared" si="14"/>
        <v>0</v>
      </c>
    </row>
    <row r="131" spans="2:21" ht="15.95" customHeight="1" x14ac:dyDescent="0.2">
      <c r="B131" s="485"/>
      <c r="C131" s="452"/>
      <c r="D131" s="452"/>
      <c r="F131" s="452"/>
      <c r="G131" s="383"/>
      <c r="H131" s="452"/>
      <c r="I131" s="452"/>
      <c r="J131" s="452"/>
      <c r="K131" s="452"/>
      <c r="L131" s="452"/>
      <c r="M131" s="486"/>
    </row>
    <row r="132" spans="2:21" ht="15.95" customHeight="1" x14ac:dyDescent="0.2">
      <c r="B132" s="82"/>
      <c r="C132" s="242" t="s">
        <v>492</v>
      </c>
      <c r="D132" s="227"/>
      <c r="E132" s="228"/>
      <c r="F132" s="242"/>
      <c r="G132" s="227"/>
      <c r="H132" s="227"/>
      <c r="I132" s="227"/>
      <c r="J132" s="227"/>
      <c r="K132" s="227"/>
      <c r="L132" s="227"/>
      <c r="M132" s="274"/>
    </row>
    <row r="133" spans="2:21" ht="15.95" customHeight="1" x14ac:dyDescent="0.2">
      <c r="B133" s="230" t="s">
        <v>390</v>
      </c>
      <c r="C133" s="231" t="s">
        <v>391</v>
      </c>
      <c r="D133" s="232">
        <v>50</v>
      </c>
      <c r="E133" s="233">
        <v>1.73</v>
      </c>
      <c r="F133" s="234">
        <v>8</v>
      </c>
      <c r="G133" s="235">
        <f>+E133*F133*D133/100</f>
        <v>6.92</v>
      </c>
      <c r="H133" s="236">
        <v>0</v>
      </c>
      <c r="I133" s="236">
        <v>0</v>
      </c>
      <c r="J133" s="236">
        <v>37</v>
      </c>
      <c r="K133" s="236"/>
      <c r="L133" s="236"/>
      <c r="M133" s="273"/>
    </row>
    <row r="134" spans="2:21" ht="15.95" customHeight="1" x14ac:dyDescent="0.2">
      <c r="B134" s="230" t="s">
        <v>392</v>
      </c>
      <c r="C134" s="231" t="s">
        <v>391</v>
      </c>
      <c r="D134" s="232">
        <v>50</v>
      </c>
      <c r="E134" s="233">
        <v>1.73</v>
      </c>
      <c r="F134" s="234">
        <v>8</v>
      </c>
      <c r="G134" s="235">
        <f t="shared" ref="G134:G140" si="15">+E134*F134*D134/100</f>
        <v>6.92</v>
      </c>
      <c r="H134" s="236">
        <v>0</v>
      </c>
      <c r="I134" s="236">
        <v>0</v>
      </c>
      <c r="J134" s="236">
        <v>37</v>
      </c>
      <c r="K134" s="236"/>
      <c r="L134" s="236"/>
      <c r="M134" s="273"/>
    </row>
    <row r="135" spans="2:21" ht="15.95" customHeight="1" x14ac:dyDescent="0.2">
      <c r="B135" s="230" t="s">
        <v>342</v>
      </c>
      <c r="C135" s="231" t="s">
        <v>393</v>
      </c>
      <c r="D135" s="232">
        <v>50</v>
      </c>
      <c r="E135" s="233">
        <v>1.73</v>
      </c>
      <c r="F135" s="234">
        <v>16</v>
      </c>
      <c r="G135" s="235">
        <f t="shared" si="15"/>
        <v>13.84</v>
      </c>
      <c r="H135" s="236">
        <v>0</v>
      </c>
      <c r="I135" s="236">
        <v>0</v>
      </c>
      <c r="J135" s="236">
        <v>37</v>
      </c>
      <c r="K135" s="236"/>
      <c r="L135" s="236"/>
      <c r="M135" s="273"/>
    </row>
    <row r="136" spans="2:21" ht="15.95" customHeight="1" x14ac:dyDescent="0.2">
      <c r="B136" s="230" t="s">
        <v>344</v>
      </c>
      <c r="C136" s="231" t="s">
        <v>394</v>
      </c>
      <c r="D136" s="232">
        <v>50</v>
      </c>
      <c r="E136" s="233">
        <v>1.73</v>
      </c>
      <c r="F136" s="234">
        <v>12</v>
      </c>
      <c r="G136" s="235">
        <f t="shared" si="15"/>
        <v>10.38</v>
      </c>
      <c r="H136" s="236">
        <v>0</v>
      </c>
      <c r="I136" s="236">
        <v>0</v>
      </c>
      <c r="J136" s="236">
        <v>37</v>
      </c>
      <c r="K136" s="236"/>
      <c r="L136" s="236"/>
      <c r="M136" s="273"/>
    </row>
    <row r="137" spans="2:21" ht="15.95" customHeight="1" x14ac:dyDescent="0.2">
      <c r="B137" s="230" t="s">
        <v>342</v>
      </c>
      <c r="C137" s="231" t="s">
        <v>395</v>
      </c>
      <c r="D137" s="232">
        <v>50</v>
      </c>
      <c r="E137" s="233">
        <v>1.73</v>
      </c>
      <c r="F137" s="234">
        <v>16</v>
      </c>
      <c r="G137" s="235">
        <f t="shared" si="15"/>
        <v>13.84</v>
      </c>
      <c r="H137" s="236">
        <v>0</v>
      </c>
      <c r="I137" s="236">
        <v>0</v>
      </c>
      <c r="J137" s="236">
        <v>37</v>
      </c>
      <c r="K137" s="236"/>
      <c r="L137" s="236"/>
      <c r="M137" s="273"/>
    </row>
    <row r="138" spans="2:21" ht="15.95" customHeight="1" x14ac:dyDescent="0.2">
      <c r="B138" s="230" t="s">
        <v>344</v>
      </c>
      <c r="C138" s="231" t="s">
        <v>396</v>
      </c>
      <c r="D138" s="232">
        <v>50</v>
      </c>
      <c r="E138" s="233">
        <v>1.73</v>
      </c>
      <c r="F138" s="234">
        <v>16</v>
      </c>
      <c r="G138" s="235">
        <f t="shared" si="15"/>
        <v>13.84</v>
      </c>
      <c r="H138" s="236">
        <v>0</v>
      </c>
      <c r="I138" s="236">
        <v>0</v>
      </c>
      <c r="J138" s="236">
        <v>37</v>
      </c>
      <c r="K138" s="236"/>
      <c r="L138" s="236"/>
      <c r="M138" s="273"/>
    </row>
    <row r="139" spans="2:21" ht="15.95" customHeight="1" x14ac:dyDescent="0.2">
      <c r="B139" s="230" t="s">
        <v>344</v>
      </c>
      <c r="C139" s="231" t="s">
        <v>397</v>
      </c>
      <c r="D139" s="232">
        <v>50</v>
      </c>
      <c r="E139" s="233">
        <v>1.73</v>
      </c>
      <c r="F139" s="234">
        <v>2</v>
      </c>
      <c r="G139" s="235">
        <f t="shared" si="15"/>
        <v>1.73</v>
      </c>
      <c r="H139" s="236">
        <v>0</v>
      </c>
      <c r="I139" s="236">
        <v>0</v>
      </c>
      <c r="J139" s="236">
        <v>37</v>
      </c>
      <c r="K139" s="236"/>
      <c r="L139" s="236"/>
      <c r="M139" s="273"/>
    </row>
    <row r="140" spans="2:21" ht="15.95" customHeight="1" x14ac:dyDescent="0.2">
      <c r="B140" s="230" t="s">
        <v>398</v>
      </c>
      <c r="C140" s="231" t="s">
        <v>399</v>
      </c>
      <c r="D140" s="232">
        <v>50</v>
      </c>
      <c r="E140" s="233">
        <v>1.73</v>
      </c>
      <c r="F140" s="234">
        <v>16</v>
      </c>
      <c r="G140" s="235">
        <f t="shared" si="15"/>
        <v>13.84</v>
      </c>
      <c r="H140" s="236">
        <v>0</v>
      </c>
      <c r="I140" s="236">
        <v>0</v>
      </c>
      <c r="J140" s="236">
        <v>37</v>
      </c>
      <c r="K140" s="236"/>
      <c r="L140" s="236"/>
      <c r="M140" s="273"/>
    </row>
    <row r="141" spans="2:21" ht="15.95" customHeight="1" thickBot="1" x14ac:dyDescent="0.25">
      <c r="B141" s="255"/>
      <c r="C141" s="252"/>
      <c r="D141" s="278"/>
      <c r="E141" s="256"/>
      <c r="F141" s="272"/>
      <c r="G141" s="253"/>
      <c r="H141" s="250"/>
      <c r="I141" s="250"/>
      <c r="J141" s="250"/>
      <c r="K141" s="250"/>
      <c r="L141" s="250"/>
      <c r="M141" s="276"/>
    </row>
    <row r="142" spans="2:21" ht="15.95" customHeight="1" thickTop="1" x14ac:dyDescent="0.2">
      <c r="B142" s="318"/>
      <c r="C142" s="319"/>
      <c r="D142" s="320"/>
      <c r="E142" s="321"/>
      <c r="F142" s="322" t="s">
        <v>33</v>
      </c>
      <c r="G142" s="323">
        <f>SUBTOTAL(9,G133:G141)</f>
        <v>81.310000000000016</v>
      </c>
      <c r="H142" s="324">
        <f>IF($G142=0,0,SUMPRODUCT($G133:$G141,H133:H141)/$G142)</f>
        <v>0</v>
      </c>
      <c r="I142" s="324">
        <f>IF($G142=0,0,SUMPRODUCT($G133:$G141,I133:I141)/$G142)</f>
        <v>0</v>
      </c>
      <c r="J142" s="324">
        <f>IF($G142=0,0,SUMPRODUCT($G133:$G141,J133:J141)/$G142)</f>
        <v>36.999999999999993</v>
      </c>
      <c r="K142" s="324" t="s">
        <v>38</v>
      </c>
      <c r="L142" s="324" t="s">
        <v>38</v>
      </c>
      <c r="M142" s="444"/>
      <c r="O142" s="445" t="s">
        <v>541</v>
      </c>
      <c r="P142" s="446">
        <f t="shared" ref="P142:U142" si="16">G142</f>
        <v>81.310000000000016</v>
      </c>
      <c r="Q142" s="446">
        <f t="shared" si="16"/>
        <v>0</v>
      </c>
      <c r="R142" s="446">
        <f t="shared" si="16"/>
        <v>0</v>
      </c>
      <c r="S142" s="446">
        <f t="shared" si="16"/>
        <v>36.999999999999993</v>
      </c>
      <c r="T142" s="446" t="str">
        <f t="shared" si="16"/>
        <v>n/a</v>
      </c>
      <c r="U142" s="447" t="str">
        <f t="shared" si="16"/>
        <v>n/a</v>
      </c>
    </row>
    <row r="143" spans="2:21" ht="15.95" customHeight="1" x14ac:dyDescent="0.2">
      <c r="B143" s="485"/>
      <c r="C143" s="452"/>
      <c r="D143" s="452"/>
      <c r="F143" s="452"/>
      <c r="G143" s="383"/>
      <c r="H143" s="452"/>
      <c r="I143" s="452"/>
      <c r="J143" s="452"/>
      <c r="K143" s="452"/>
      <c r="L143" s="452"/>
      <c r="M143" s="486"/>
    </row>
    <row r="144" spans="2:21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</sheetData>
  <dataConsolidate/>
  <mergeCells count="15"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J7:J8"/>
    <mergeCell ref="K7:K8"/>
    <mergeCell ref="L7:L8"/>
    <mergeCell ref="M7:M9"/>
    <mergeCell ref="I7:I8"/>
  </mergeCells>
  <phoneticPr fontId="59" type="noConversion"/>
  <conditionalFormatting sqref="E142 E133:F141 E14:F16 E127:F129 E130 E122:F123 E110 F113:F118 E124 E118:E119 F103:F106 E106:E107 E93:F93 E99:F99 E100 E88:F89 E85 E81:F81 E90 E70:F71 E73:F77 E78 E53 E56 E58:F66 E50:F52 E47:E48 E39 E42 E44:F46 E35:F38 E32:E33 E24 E27 E29:F31 E20:F23 E17:E18 E12 E67">
    <cfRule type="expression" dxfId="44" priority="1" stopIfTrue="1">
      <formula>#REF!="B"</formula>
    </cfRule>
  </conditionalFormatting>
  <conditionalFormatting sqref="E11 E54:E55 E40:E41 E25:E26 E109">
    <cfRule type="expression" dxfId="43" priority="2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U692"/>
  <sheetViews>
    <sheetView topLeftCell="B1" zoomScale="85" zoomScaleNormal="85" zoomScaleSheetLayoutView="85" workbookViewId="0">
      <pane ySplit="10" topLeftCell="A29" activePane="bottomLeft" state="frozen"/>
      <selection activeCell="F41" sqref="F41:F43"/>
      <selection pane="bottomLeft" activeCell="I47" sqref="I47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558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548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529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54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5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17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6"/>
      <c r="G8" s="611"/>
      <c r="H8" s="611"/>
      <c r="I8" s="611"/>
      <c r="J8" s="611"/>
      <c r="K8" s="611"/>
      <c r="L8" s="611"/>
      <c r="M8" s="618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550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19"/>
      <c r="O9" s="417"/>
    </row>
    <row r="10" spans="2:21" ht="15.95" customHeight="1" thickTop="1" x14ac:dyDescent="0.2">
      <c r="B10" s="418"/>
      <c r="C10" s="419"/>
      <c r="D10" s="477"/>
      <c r="E10" s="419"/>
      <c r="F10" s="551"/>
      <c r="G10" s="419"/>
      <c r="H10" s="419"/>
      <c r="I10" s="419"/>
      <c r="J10" s="419"/>
      <c r="K10" s="419"/>
      <c r="L10" s="419"/>
      <c r="M10" s="420"/>
    </row>
    <row r="11" spans="2:21" s="429" customFormat="1" ht="15.95" customHeight="1" x14ac:dyDescent="0.2">
      <c r="B11" s="463"/>
      <c r="C11" s="470" t="s">
        <v>528</v>
      </c>
      <c r="D11" s="478"/>
      <c r="E11" s="465"/>
      <c r="F11" s="552"/>
      <c r="G11" s="467"/>
      <c r="H11" s="468"/>
      <c r="I11" s="468"/>
      <c r="J11" s="468"/>
      <c r="K11" s="468"/>
      <c r="L11" s="468"/>
      <c r="M11" s="469"/>
      <c r="N11" s="381"/>
      <c r="O11" s="445"/>
      <c r="P11" s="446"/>
      <c r="Q11" s="446"/>
      <c r="R11" s="446"/>
      <c r="S11" s="446"/>
      <c r="T11" s="446"/>
      <c r="U11" s="447"/>
    </row>
    <row r="12" spans="2:21" s="429" customFormat="1" ht="15.95" customHeight="1" x14ac:dyDescent="0.2">
      <c r="B12" s="59" t="s">
        <v>88</v>
      </c>
      <c r="C12" s="29" t="s">
        <v>456</v>
      </c>
      <c r="D12" s="316">
        <v>0.94</v>
      </c>
      <c r="E12" s="218">
        <v>1.0249999999999999</v>
      </c>
      <c r="F12" s="271">
        <f>(0.5*PI()*3.3^2*9+(11.1-3.3)*9*6.6)*$Q$3</f>
        <v>586.41006058970936</v>
      </c>
      <c r="G12" s="24">
        <f>E12*F12*D12</f>
        <v>565.0060933781848</v>
      </c>
      <c r="H12" s="16">
        <v>-27.6</v>
      </c>
      <c r="I12" s="16">
        <v>13.5</v>
      </c>
      <c r="J12" s="16">
        <v>3.3</v>
      </c>
      <c r="K12" s="169">
        <v>0</v>
      </c>
      <c r="L12" s="169">
        <v>0</v>
      </c>
      <c r="M12" s="430"/>
      <c r="N12" s="381"/>
      <c r="O12" s="426"/>
      <c r="P12" s="427"/>
      <c r="Q12" s="427"/>
      <c r="R12" s="427"/>
      <c r="S12" s="427"/>
      <c r="T12" s="427"/>
      <c r="U12" s="428"/>
    </row>
    <row r="13" spans="2:21" s="429" customFormat="1" ht="15.95" customHeight="1" x14ac:dyDescent="0.2">
      <c r="B13" s="59" t="s">
        <v>90</v>
      </c>
      <c r="C13" s="29" t="s">
        <v>468</v>
      </c>
      <c r="D13" s="316">
        <v>0.94</v>
      </c>
      <c r="E13" s="218">
        <v>1.0249999999999999</v>
      </c>
      <c r="F13" s="271">
        <f t="shared" ref="F13:F15" si="0">(0.5*PI()*3.3^2*9+(11.1-3.3)*9*6.6)*$Q$3</f>
        <v>586.41006058970936</v>
      </c>
      <c r="G13" s="24">
        <f t="shared" ref="G13:G19" si="1">E13*F13*D13</f>
        <v>565.0060933781848</v>
      </c>
      <c r="H13" s="16">
        <v>-27.6</v>
      </c>
      <c r="I13" s="16">
        <v>4.5</v>
      </c>
      <c r="J13" s="16">
        <v>3.3</v>
      </c>
      <c r="K13" s="169">
        <v>0</v>
      </c>
      <c r="L13" s="169">
        <v>0</v>
      </c>
      <c r="M13" s="430"/>
      <c r="N13" s="381"/>
      <c r="O13" s="426"/>
      <c r="P13" s="427"/>
      <c r="Q13" s="427"/>
      <c r="R13" s="427"/>
      <c r="S13" s="427"/>
      <c r="T13" s="427"/>
      <c r="U13" s="428"/>
    </row>
    <row r="14" spans="2:21" s="429" customFormat="1" ht="15.95" customHeight="1" x14ac:dyDescent="0.2">
      <c r="B14" s="59" t="s">
        <v>467</v>
      </c>
      <c r="C14" s="29" t="s">
        <v>469</v>
      </c>
      <c r="D14" s="316">
        <v>0.94</v>
      </c>
      <c r="E14" s="218">
        <v>1.0249999999999999</v>
      </c>
      <c r="F14" s="271">
        <f t="shared" si="0"/>
        <v>586.41006058970936</v>
      </c>
      <c r="G14" s="24">
        <f t="shared" si="1"/>
        <v>565.0060933781848</v>
      </c>
      <c r="H14" s="16">
        <v>-27.6</v>
      </c>
      <c r="I14" s="16">
        <v>-4.5</v>
      </c>
      <c r="J14" s="16">
        <v>3.3</v>
      </c>
      <c r="K14" s="169">
        <v>0</v>
      </c>
      <c r="L14" s="169">
        <v>0</v>
      </c>
      <c r="M14" s="430"/>
      <c r="N14" s="381"/>
      <c r="O14" s="426"/>
      <c r="P14" s="427"/>
      <c r="Q14" s="427"/>
      <c r="R14" s="427"/>
      <c r="S14" s="427"/>
      <c r="T14" s="427"/>
      <c r="U14" s="428"/>
    </row>
    <row r="15" spans="2:21" s="429" customFormat="1" ht="15.95" customHeight="1" x14ac:dyDescent="0.2">
      <c r="B15" s="59" t="s">
        <v>114</v>
      </c>
      <c r="C15" s="29" t="s">
        <v>470</v>
      </c>
      <c r="D15" s="316">
        <v>0.94</v>
      </c>
      <c r="E15" s="218">
        <v>1.0249999999999999</v>
      </c>
      <c r="F15" s="271">
        <f t="shared" si="0"/>
        <v>586.41006058970936</v>
      </c>
      <c r="G15" s="24">
        <f t="shared" si="1"/>
        <v>565.0060933781848</v>
      </c>
      <c r="H15" s="16">
        <v>-27.6</v>
      </c>
      <c r="I15" s="16">
        <v>-13.5</v>
      </c>
      <c r="J15" s="16">
        <v>3.3</v>
      </c>
      <c r="K15" s="169">
        <v>0</v>
      </c>
      <c r="L15" s="169">
        <v>0</v>
      </c>
      <c r="M15" s="430"/>
      <c r="N15" s="381"/>
      <c r="O15" s="426"/>
      <c r="P15" s="427"/>
      <c r="Q15" s="427"/>
      <c r="R15" s="427"/>
      <c r="S15" s="427"/>
      <c r="T15" s="427"/>
      <c r="U15" s="428"/>
    </row>
    <row r="16" spans="2:21" s="429" customFormat="1" ht="15.95" customHeight="1" x14ac:dyDescent="0.2">
      <c r="B16" s="59" t="s">
        <v>294</v>
      </c>
      <c r="C16" s="29" t="s">
        <v>474</v>
      </c>
      <c r="D16" s="316">
        <v>0.94</v>
      </c>
      <c r="E16" s="218">
        <v>1.0249999999999999</v>
      </c>
      <c r="F16" s="271">
        <f>((2.1*6.6-(1-1/4*PI())*3.3^2)*15+9*15*2.1)*$Q$3</f>
        <v>433.52755049142451</v>
      </c>
      <c r="G16" s="24">
        <f t="shared" si="1"/>
        <v>417.7037948984875</v>
      </c>
      <c r="H16" s="16">
        <v>-31.6</v>
      </c>
      <c r="I16" s="16">
        <v>33.700000000000003</v>
      </c>
      <c r="J16" s="16">
        <v>2.5</v>
      </c>
      <c r="K16" s="169">
        <v>0</v>
      </c>
      <c r="L16" s="169">
        <v>0</v>
      </c>
      <c r="M16" s="430"/>
      <c r="N16" s="381"/>
      <c r="O16" s="426"/>
      <c r="P16" s="427"/>
      <c r="Q16" s="427"/>
      <c r="R16" s="427"/>
      <c r="S16" s="427"/>
      <c r="T16" s="427"/>
      <c r="U16" s="428"/>
    </row>
    <row r="17" spans="2:21" s="429" customFormat="1" ht="15.95" customHeight="1" x14ac:dyDescent="0.2">
      <c r="B17" s="58" t="s">
        <v>299</v>
      </c>
      <c r="C17" s="56" t="s">
        <v>476</v>
      </c>
      <c r="D17" s="316">
        <v>0.94</v>
      </c>
      <c r="E17" s="218">
        <v>1.0249999999999999</v>
      </c>
      <c r="F17" s="271">
        <f>(0.5*PI()*3.3^2*8.4+(9+1.5-1.8-3.3)*8.4*6.6)*$Q$3</f>
        <v>420.91285655039542</v>
      </c>
      <c r="G17" s="24">
        <f t="shared" si="1"/>
        <v>405.54953728630596</v>
      </c>
      <c r="H17" s="16">
        <v>-16.8</v>
      </c>
      <c r="I17" s="16">
        <v>23.22</v>
      </c>
      <c r="J17" s="16">
        <v>3.3</v>
      </c>
      <c r="K17" s="169">
        <v>0</v>
      </c>
      <c r="L17" s="169">
        <v>0</v>
      </c>
      <c r="M17" s="430"/>
      <c r="N17" s="381"/>
      <c r="O17" s="426"/>
      <c r="P17" s="427"/>
      <c r="Q17" s="427"/>
      <c r="R17" s="427"/>
      <c r="S17" s="427"/>
      <c r="T17" s="427"/>
      <c r="U17" s="428"/>
    </row>
    <row r="18" spans="2:21" s="429" customFormat="1" ht="15.95" customHeight="1" x14ac:dyDescent="0.2">
      <c r="B18" s="59" t="s">
        <v>295</v>
      </c>
      <c r="C18" s="29" t="s">
        <v>475</v>
      </c>
      <c r="D18" s="316">
        <v>0.94</v>
      </c>
      <c r="E18" s="218">
        <v>1.0249999999999999</v>
      </c>
      <c r="F18" s="271">
        <f>((2.1*6.6-(1-1/4*PI())*3.3^2)*15+9*15*2.1)*$Q$3</f>
        <v>433.52755049142451</v>
      </c>
      <c r="G18" s="24">
        <f t="shared" si="1"/>
        <v>417.7037948984875</v>
      </c>
      <c r="H18" s="16">
        <v>-31.6</v>
      </c>
      <c r="I18" s="16">
        <v>-33.700000000000003</v>
      </c>
      <c r="J18" s="16">
        <v>2.5</v>
      </c>
      <c r="K18" s="169">
        <v>0</v>
      </c>
      <c r="L18" s="169">
        <v>0</v>
      </c>
      <c r="M18" s="430"/>
      <c r="N18" s="381"/>
      <c r="O18" s="445"/>
      <c r="P18" s="446"/>
      <c r="Q18" s="446"/>
      <c r="R18" s="446"/>
      <c r="S18" s="446"/>
      <c r="T18" s="446"/>
      <c r="U18" s="447"/>
    </row>
    <row r="19" spans="2:21" s="429" customFormat="1" ht="15.95" customHeight="1" x14ac:dyDescent="0.2">
      <c r="B19" s="59" t="s">
        <v>300</v>
      </c>
      <c r="C19" s="56" t="s">
        <v>477</v>
      </c>
      <c r="D19" s="316">
        <v>0.94</v>
      </c>
      <c r="E19" s="218">
        <v>1.0249999999999999</v>
      </c>
      <c r="F19" s="271">
        <f>(0.5*PI()*3.3^2*8.4+(9+1.5-1.8-3.3)*8.4*6.6)*$Q$3</f>
        <v>420.91285655039542</v>
      </c>
      <c r="G19" s="24">
        <f t="shared" si="1"/>
        <v>405.54953728630596</v>
      </c>
      <c r="H19" s="16">
        <v>-16.8</v>
      </c>
      <c r="I19" s="16">
        <v>-23.22</v>
      </c>
      <c r="J19" s="16">
        <v>3.3</v>
      </c>
      <c r="K19" s="169">
        <v>0</v>
      </c>
      <c r="L19" s="169">
        <v>0</v>
      </c>
      <c r="M19" s="430"/>
      <c r="N19" s="381"/>
      <c r="O19" s="426"/>
      <c r="P19" s="427"/>
      <c r="Q19" s="427"/>
      <c r="R19" s="427"/>
      <c r="S19" s="427"/>
      <c r="T19" s="427"/>
      <c r="U19" s="428"/>
    </row>
    <row r="20" spans="2:21" s="429" customFormat="1" ht="15.95" customHeight="1" thickBot="1" x14ac:dyDescent="0.25">
      <c r="B20" s="431"/>
      <c r="C20" s="432"/>
      <c r="D20" s="316"/>
      <c r="E20" s="433"/>
      <c r="F20" s="434"/>
      <c r="G20" s="435"/>
      <c r="H20" s="436"/>
      <c r="I20" s="436"/>
      <c r="J20" s="436"/>
      <c r="K20" s="436"/>
      <c r="L20" s="436"/>
      <c r="M20" s="437"/>
      <c r="N20" s="454"/>
      <c r="O20" s="426"/>
      <c r="P20" s="427"/>
      <c r="Q20" s="427"/>
      <c r="R20" s="427"/>
      <c r="S20" s="427"/>
      <c r="T20" s="427"/>
      <c r="U20" s="428"/>
    </row>
    <row r="21" spans="2:21" s="429" customFormat="1" ht="15.95" customHeight="1" thickTop="1" x14ac:dyDescent="0.2">
      <c r="B21" s="438"/>
      <c r="C21" s="439"/>
      <c r="D21" s="479"/>
      <c r="E21" s="440"/>
      <c r="F21" s="553" t="s">
        <v>33</v>
      </c>
      <c r="G21" s="442">
        <f>SUBTOTAL(9,G12:G20)</f>
        <v>3906.5310378823265</v>
      </c>
      <c r="H21" s="443">
        <f>IF($G21=0,0,SUMPRODUCT($G12:$G20,H12:H20)/$G21)</f>
        <v>-26.21303043706688</v>
      </c>
      <c r="I21" s="443">
        <f>IF($G21=0,0,SUMPRODUCT($G12:$G20,I12:I20)/$G21)</f>
        <v>0</v>
      </c>
      <c r="J21" s="443">
        <f>IF($G21=0,0,SUMPRODUCT($G12:$G20,J12:J20)/$G21)</f>
        <v>3.1289208340195676</v>
      </c>
      <c r="K21" s="443">
        <f>SUBTOTAL(9,K12:K20)</f>
        <v>0</v>
      </c>
      <c r="L21" s="443">
        <f>SUBTOTAL(9,L12:L20)</f>
        <v>0</v>
      </c>
      <c r="M21" s="444"/>
      <c r="N21" s="454"/>
      <c r="O21" s="445" t="s">
        <v>563</v>
      </c>
      <c r="P21" s="446">
        <f t="shared" ref="P21:U21" si="2">G21</f>
        <v>3906.5310378823265</v>
      </c>
      <c r="Q21" s="446">
        <f t="shared" si="2"/>
        <v>-26.21303043706688</v>
      </c>
      <c r="R21" s="446">
        <f t="shared" si="2"/>
        <v>0</v>
      </c>
      <c r="S21" s="446">
        <f t="shared" si="2"/>
        <v>3.1289208340195676</v>
      </c>
      <c r="T21" s="446">
        <f t="shared" si="2"/>
        <v>0</v>
      </c>
      <c r="U21" s="447">
        <f t="shared" si="2"/>
        <v>0</v>
      </c>
    </row>
    <row r="22" spans="2:21" s="429" customFormat="1" ht="15.95" customHeight="1" x14ac:dyDescent="0.2">
      <c r="B22" s="456"/>
      <c r="C22" s="448"/>
      <c r="D22" s="480"/>
      <c r="E22" s="449"/>
      <c r="F22" s="554"/>
      <c r="G22" s="461"/>
      <c r="H22" s="462"/>
      <c r="I22" s="462"/>
      <c r="J22" s="462"/>
      <c r="K22" s="462"/>
      <c r="L22" s="462"/>
      <c r="M22" s="460"/>
      <c r="N22" s="454"/>
      <c r="O22" s="426"/>
      <c r="P22" s="427"/>
      <c r="Q22" s="427"/>
      <c r="R22" s="427"/>
      <c r="S22" s="427"/>
      <c r="T22" s="427"/>
      <c r="U22" s="428"/>
    </row>
    <row r="23" spans="2:21" s="429" customFormat="1" ht="15.95" customHeight="1" x14ac:dyDescent="0.2">
      <c r="B23" s="463"/>
      <c r="C23" s="470" t="s">
        <v>544</v>
      </c>
      <c r="D23" s="478"/>
      <c r="E23" s="465"/>
      <c r="F23" s="552"/>
      <c r="G23" s="467"/>
      <c r="H23" s="468"/>
      <c r="I23" s="468"/>
      <c r="J23" s="468"/>
      <c r="K23" s="468"/>
      <c r="L23" s="468"/>
      <c r="M23" s="469"/>
      <c r="N23" s="454"/>
      <c r="O23" s="426"/>
      <c r="P23" s="427"/>
      <c r="Q23" s="427"/>
      <c r="R23" s="427"/>
      <c r="S23" s="427"/>
      <c r="T23" s="427"/>
      <c r="U23" s="428"/>
    </row>
    <row r="24" spans="2:21" ht="15.95" customHeight="1" x14ac:dyDescent="0.2">
      <c r="B24" s="59" t="s">
        <v>471</v>
      </c>
      <c r="C24" s="29" t="s">
        <v>288</v>
      </c>
      <c r="D24" s="316">
        <v>0.5</v>
      </c>
      <c r="E24" s="218">
        <v>1.0249999999999999</v>
      </c>
      <c r="F24" s="271">
        <f>9*(0.5*PI()*3.3^2+(12-3.3)*6.6)*$Q$3</f>
        <v>637.19706058970939</v>
      </c>
      <c r="G24" s="24">
        <f>E24*F24*D24</f>
        <v>326.56349355222602</v>
      </c>
      <c r="H24" s="16">
        <v>-2.94</v>
      </c>
      <c r="I24" s="16">
        <v>29.71</v>
      </c>
      <c r="J24" s="16">
        <v>3.3</v>
      </c>
      <c r="K24" s="169">
        <v>0</v>
      </c>
      <c r="L24" s="169">
        <v>0</v>
      </c>
      <c r="M24" s="273" t="s">
        <v>407</v>
      </c>
    </row>
    <row r="25" spans="2:21" ht="15.95" customHeight="1" x14ac:dyDescent="0.2">
      <c r="B25" s="58" t="s">
        <v>472</v>
      </c>
      <c r="C25" s="56" t="s">
        <v>503</v>
      </c>
      <c r="D25" s="316">
        <v>0.5</v>
      </c>
      <c r="E25" s="218">
        <v>1.0249999999999999</v>
      </c>
      <c r="F25" s="271">
        <f>9*(0.5*PI()*3.3^2+(12-3.3)*6.6)*$Q$3</f>
        <v>637.19706058970939</v>
      </c>
      <c r="G25" s="24">
        <f>E25*F25*D25</f>
        <v>326.56349355222602</v>
      </c>
      <c r="H25" s="16">
        <v>5.3</v>
      </c>
      <c r="I25" s="16">
        <v>26.17</v>
      </c>
      <c r="J25" s="16">
        <v>3.3</v>
      </c>
      <c r="K25" s="169">
        <v>0</v>
      </c>
      <c r="L25" s="169">
        <v>0</v>
      </c>
      <c r="M25" s="273" t="s">
        <v>407</v>
      </c>
    </row>
    <row r="26" spans="2:21" ht="15.95" customHeight="1" x14ac:dyDescent="0.2">
      <c r="B26" s="59" t="s">
        <v>94</v>
      </c>
      <c r="C26" s="29" t="s">
        <v>502</v>
      </c>
      <c r="D26" s="316">
        <v>0.5</v>
      </c>
      <c r="E26" s="218">
        <v>1.0249999999999999</v>
      </c>
      <c r="F26" s="271">
        <f>10.8*(0.5*PI()*3.3^2+(12-3.3)*6.6)*$Q$3</f>
        <v>764.63647270765125</v>
      </c>
      <c r="G26" s="24">
        <f>E26*F26*D26</f>
        <v>391.87619226267122</v>
      </c>
      <c r="H26" s="16">
        <v>21.05</v>
      </c>
      <c r="I26" s="16">
        <v>19.434999999999999</v>
      </c>
      <c r="J26" s="16">
        <v>3.3</v>
      </c>
      <c r="K26" s="169">
        <v>0</v>
      </c>
      <c r="L26" s="169">
        <v>0</v>
      </c>
      <c r="M26" s="273" t="s">
        <v>407</v>
      </c>
    </row>
    <row r="27" spans="2:21" ht="15.95" customHeight="1" x14ac:dyDescent="0.2">
      <c r="B27" s="58" t="s">
        <v>292</v>
      </c>
      <c r="C27" s="56" t="s">
        <v>478</v>
      </c>
      <c r="D27" s="316">
        <v>0.5</v>
      </c>
      <c r="E27" s="218">
        <v>1.0249999999999999</v>
      </c>
      <c r="F27" s="271">
        <f>7.2*(0.5*PI()*3.3^2+(12-3.3)*6.6)*$Q$3</f>
        <v>509.75764847176754</v>
      </c>
      <c r="G27" s="24">
        <f>E27*F27*D27</f>
        <v>261.25079484178082</v>
      </c>
      <c r="H27" s="16">
        <v>47</v>
      </c>
      <c r="I27" s="16">
        <v>7</v>
      </c>
      <c r="J27" s="16">
        <v>3.3</v>
      </c>
      <c r="K27" s="169">
        <v>0</v>
      </c>
      <c r="L27" s="169">
        <v>0</v>
      </c>
      <c r="M27" s="273" t="s">
        <v>316</v>
      </c>
    </row>
    <row r="28" spans="2:21" ht="15.95" customHeight="1" thickBot="1" x14ac:dyDescent="0.25">
      <c r="B28" s="255"/>
      <c r="C28" s="252"/>
      <c r="D28" s="316"/>
      <c r="E28" s="256"/>
      <c r="F28" s="272"/>
      <c r="G28" s="253"/>
      <c r="H28" s="250"/>
      <c r="I28" s="250"/>
      <c r="J28" s="250"/>
      <c r="K28" s="250"/>
      <c r="L28" s="250"/>
      <c r="M28" s="276"/>
    </row>
    <row r="29" spans="2:21" ht="15.95" customHeight="1" thickTop="1" x14ac:dyDescent="0.2">
      <c r="B29" s="318"/>
      <c r="C29" s="319"/>
      <c r="D29" s="481"/>
      <c r="E29" s="321"/>
      <c r="F29" s="555" t="s">
        <v>33</v>
      </c>
      <c r="G29" s="323">
        <f>SUBTOTAL(9,G24:G28)</f>
        <v>1306.2539742089041</v>
      </c>
      <c r="H29" s="324">
        <f>IF($G29=0,0,SUMPRODUCT($G24:$G28,H24:H28)/$G29)</f>
        <v>16.305</v>
      </c>
      <c r="I29" s="324">
        <f>IF($G29=0,0,SUMPRODUCT($G24:$G28,I24:I28)/$G29)</f>
        <v>21.200499999999998</v>
      </c>
      <c r="J29" s="324">
        <f>IF($G29=0,0,SUMPRODUCT($G24:$G28,J24:J28)/$G29)</f>
        <v>3.3</v>
      </c>
      <c r="K29" s="324">
        <f>SUBTOTAL(9,K24:K28)</f>
        <v>0</v>
      </c>
      <c r="L29" s="324">
        <f>SUBTOTAL(9,L24:L28)</f>
        <v>0</v>
      </c>
      <c r="M29" s="444"/>
      <c r="N29" s="454"/>
      <c r="O29" s="445" t="s">
        <v>532</v>
      </c>
      <c r="P29" s="446">
        <f t="shared" ref="P29:U29" si="3">G29</f>
        <v>1306.2539742089041</v>
      </c>
      <c r="Q29" s="446">
        <f t="shared" si="3"/>
        <v>16.305</v>
      </c>
      <c r="R29" s="446">
        <f t="shared" si="3"/>
        <v>21.200499999999998</v>
      </c>
      <c r="S29" s="446">
        <f t="shared" si="3"/>
        <v>3.3</v>
      </c>
      <c r="T29" s="446">
        <f t="shared" si="3"/>
        <v>0</v>
      </c>
      <c r="U29" s="447">
        <f t="shared" si="3"/>
        <v>0</v>
      </c>
    </row>
    <row r="30" spans="2:21" ht="15.95" customHeight="1" x14ac:dyDescent="0.2">
      <c r="B30" s="456"/>
      <c r="C30" s="448"/>
      <c r="D30" s="480"/>
      <c r="E30" s="449"/>
      <c r="F30" s="556"/>
      <c r="G30" s="473"/>
      <c r="H30" s="474"/>
      <c r="I30" s="474"/>
      <c r="J30" s="474"/>
      <c r="K30" s="474"/>
      <c r="L30" s="474"/>
      <c r="M30" s="460"/>
    </row>
    <row r="31" spans="2:21" ht="15.95" customHeight="1" x14ac:dyDescent="0.2">
      <c r="B31" s="463"/>
      <c r="C31" s="470" t="s">
        <v>545</v>
      </c>
      <c r="D31" s="478"/>
      <c r="E31" s="465"/>
      <c r="F31" s="552"/>
      <c r="G31" s="467"/>
      <c r="H31" s="468"/>
      <c r="I31" s="468"/>
      <c r="J31" s="468"/>
      <c r="K31" s="468"/>
      <c r="L31" s="468"/>
      <c r="M31" s="469"/>
    </row>
    <row r="32" spans="2:21" ht="15.95" customHeight="1" x14ac:dyDescent="0.2">
      <c r="B32" s="59" t="s">
        <v>108</v>
      </c>
      <c r="C32" s="29" t="s">
        <v>479</v>
      </c>
      <c r="D32" s="317">
        <v>0.5</v>
      </c>
      <c r="E32" s="218">
        <v>1.0249999999999999</v>
      </c>
      <c r="F32" s="271">
        <f>7.2*(0.5*PI()*3.3^2+(12-3.3)*6.6)*$Q$3</f>
        <v>509.75764847176754</v>
      </c>
      <c r="G32" s="24">
        <f>E32*F32*D32</f>
        <v>261.25079484178082</v>
      </c>
      <c r="H32" s="16">
        <v>29.32</v>
      </c>
      <c r="I32" s="16">
        <v>15.9</v>
      </c>
      <c r="J32" s="16">
        <v>3.3</v>
      </c>
      <c r="K32" s="169">
        <v>0</v>
      </c>
      <c r="L32" s="169">
        <v>0</v>
      </c>
      <c r="M32" s="273"/>
    </row>
    <row r="33" spans="2:21" ht="15.95" customHeight="1" x14ac:dyDescent="0.2">
      <c r="B33" s="59" t="s">
        <v>473</v>
      </c>
      <c r="C33" s="29" t="s">
        <v>291</v>
      </c>
      <c r="D33" s="317">
        <v>0.5</v>
      </c>
      <c r="E33" s="218">
        <v>1.0249999999999999</v>
      </c>
      <c r="F33" s="271">
        <f>9*(0.5*PI()*3.3^2+(12-3.3)*6.6)*$Q$3</f>
        <v>637.19706058970939</v>
      </c>
      <c r="G33" s="24">
        <f>E33*F33*D33</f>
        <v>326.56349355222602</v>
      </c>
      <c r="H33" s="16">
        <v>-2.94</v>
      </c>
      <c r="I33" s="16">
        <v>-29.71</v>
      </c>
      <c r="J33" s="16">
        <v>3.3</v>
      </c>
      <c r="K33" s="169">
        <v>0</v>
      </c>
      <c r="L33" s="169">
        <v>0</v>
      </c>
      <c r="M33" s="273"/>
    </row>
    <row r="34" spans="2:21" ht="15.95" customHeight="1" x14ac:dyDescent="0.2">
      <c r="B34" s="58" t="s">
        <v>120</v>
      </c>
      <c r="C34" s="56" t="s">
        <v>290</v>
      </c>
      <c r="D34" s="317">
        <v>0.5</v>
      </c>
      <c r="E34" s="218">
        <v>1.0249999999999999</v>
      </c>
      <c r="F34" s="271">
        <f>9*(0.5*PI()*3.3^2+(12-3.3)*6.6)*$Q$3</f>
        <v>637.19706058970939</v>
      </c>
      <c r="G34" s="24">
        <f>E34*F34*D34</f>
        <v>326.56349355222602</v>
      </c>
      <c r="H34" s="16">
        <v>5.3</v>
      </c>
      <c r="I34" s="16">
        <v>-26.17</v>
      </c>
      <c r="J34" s="16">
        <v>3.3</v>
      </c>
      <c r="K34" s="169">
        <v>0</v>
      </c>
      <c r="L34" s="169">
        <v>0</v>
      </c>
      <c r="M34" s="273"/>
    </row>
    <row r="35" spans="2:21" ht="15.95" customHeight="1" x14ac:dyDescent="0.2">
      <c r="B35" s="59" t="s">
        <v>112</v>
      </c>
      <c r="C35" s="29" t="s">
        <v>289</v>
      </c>
      <c r="D35" s="317">
        <v>0.5</v>
      </c>
      <c r="E35" s="218">
        <v>1.0249999999999999</v>
      </c>
      <c r="F35" s="271">
        <f>10.8*(0.5*PI()*3.3^2+(12-3.3)*6.6)*$Q$3</f>
        <v>764.63647270765125</v>
      </c>
      <c r="G35" s="24">
        <f>E35*F35*D35</f>
        <v>391.87619226267122</v>
      </c>
      <c r="H35" s="16">
        <v>21.05</v>
      </c>
      <c r="I35" s="16">
        <v>-19.434999999999999</v>
      </c>
      <c r="J35" s="16">
        <v>3.3</v>
      </c>
      <c r="K35" s="169">
        <v>0</v>
      </c>
      <c r="L35" s="169">
        <v>0</v>
      </c>
      <c r="M35" s="273"/>
    </row>
    <row r="36" spans="2:21" ht="15.95" customHeight="1" x14ac:dyDescent="0.2">
      <c r="B36" s="58" t="s">
        <v>293</v>
      </c>
      <c r="C36" s="56" t="s">
        <v>478</v>
      </c>
      <c r="D36" s="317">
        <v>0.5</v>
      </c>
      <c r="E36" s="218">
        <v>1.0249999999999999</v>
      </c>
      <c r="F36" s="271">
        <f>((47+33.1)*6.6*0.5+8.1*16.2*2.1)*$Q$3</f>
        <v>512.89740000000006</v>
      </c>
      <c r="G36" s="24">
        <f>E36*F36*D36</f>
        <v>262.85991749999999</v>
      </c>
      <c r="H36" s="16">
        <v>47</v>
      </c>
      <c r="I36" s="16">
        <v>-7</v>
      </c>
      <c r="J36" s="16">
        <v>3.3</v>
      </c>
      <c r="K36" s="169">
        <v>0</v>
      </c>
      <c r="L36" s="169">
        <v>0</v>
      </c>
      <c r="M36" s="273" t="s">
        <v>509</v>
      </c>
    </row>
    <row r="37" spans="2:21" ht="15.95" customHeight="1" thickBot="1" x14ac:dyDescent="0.25">
      <c r="B37" s="255"/>
      <c r="C37" s="252"/>
      <c r="D37" s="316"/>
      <c r="E37" s="256"/>
      <c r="F37" s="272"/>
      <c r="G37" s="253"/>
      <c r="H37" s="250"/>
      <c r="I37" s="250"/>
      <c r="J37" s="250"/>
      <c r="K37" s="250"/>
      <c r="L37" s="250"/>
      <c r="M37" s="276"/>
    </row>
    <row r="38" spans="2:21" ht="15.95" customHeight="1" thickTop="1" x14ac:dyDescent="0.2">
      <c r="B38" s="318"/>
      <c r="C38" s="319"/>
      <c r="D38" s="481"/>
      <c r="E38" s="321"/>
      <c r="F38" s="555" t="s">
        <v>33</v>
      </c>
      <c r="G38" s="323">
        <f>SUBTOTAL(9,G32:G37)</f>
        <v>1569.1138917089038</v>
      </c>
      <c r="H38" s="324">
        <f>IF($G38=0,0,SUMPRODUCT($G32:$G37,H32:H37)/$G38)</f>
        <v>18.503419842617628</v>
      </c>
      <c r="I38" s="324">
        <f>IF($G38=0,0,SUMPRODUCT($G32:$G37,I32:I37)/$G38)</f>
        <v>-15.008861832961273</v>
      </c>
      <c r="J38" s="324">
        <f>IF($G38=0,0,SUMPRODUCT($G32:$G37,J32:J37)/$G38)</f>
        <v>3.3000000000000003</v>
      </c>
      <c r="K38" s="324">
        <f>SUBTOTAL(9,K32:K37)</f>
        <v>0</v>
      </c>
      <c r="L38" s="324">
        <f>SUBTOTAL(9,L32:L37)</f>
        <v>0</v>
      </c>
      <c r="M38" s="444"/>
      <c r="N38" s="454"/>
      <c r="O38" s="445" t="s">
        <v>559</v>
      </c>
      <c r="P38" s="446">
        <f t="shared" ref="P38:U38" si="4">G38</f>
        <v>1569.1138917089038</v>
      </c>
      <c r="Q38" s="446">
        <f t="shared" si="4"/>
        <v>18.503419842617628</v>
      </c>
      <c r="R38" s="446">
        <f t="shared" si="4"/>
        <v>-15.008861832961273</v>
      </c>
      <c r="S38" s="446">
        <f t="shared" si="4"/>
        <v>3.3000000000000003</v>
      </c>
      <c r="T38" s="446">
        <f t="shared" si="4"/>
        <v>0</v>
      </c>
      <c r="U38" s="447">
        <f t="shared" si="4"/>
        <v>0</v>
      </c>
    </row>
    <row r="39" spans="2:21" ht="15.95" customHeight="1" x14ac:dyDescent="0.2">
      <c r="B39" s="243"/>
      <c r="C39" s="244"/>
      <c r="D39" s="482"/>
      <c r="E39" s="246"/>
      <c r="F39" s="557"/>
      <c r="G39" s="247"/>
      <c r="H39" s="248"/>
      <c r="I39" s="248"/>
      <c r="J39" s="248"/>
      <c r="K39" s="248"/>
      <c r="L39" s="248"/>
      <c r="M39" s="282"/>
    </row>
    <row r="40" spans="2:21" ht="15.95" customHeight="1" x14ac:dyDescent="0.2">
      <c r="B40" s="463"/>
      <c r="C40" s="470" t="s">
        <v>548</v>
      </c>
      <c r="D40" s="478"/>
      <c r="E40" s="465"/>
      <c r="F40" s="552"/>
      <c r="G40" s="467"/>
      <c r="H40" s="468"/>
      <c r="I40" s="468"/>
      <c r="J40" s="468"/>
      <c r="K40" s="468"/>
      <c r="L40" s="468"/>
      <c r="M40" s="469"/>
    </row>
    <row r="41" spans="2:21" ht="15.95" customHeight="1" x14ac:dyDescent="0.2">
      <c r="B41" s="58" t="s">
        <v>302</v>
      </c>
      <c r="C41" s="56" t="s">
        <v>451</v>
      </c>
      <c r="D41" s="316">
        <v>0.5</v>
      </c>
      <c r="E41" s="218">
        <v>1.0249999999999999</v>
      </c>
      <c r="F41" s="271">
        <f>(18*(1.8+1.8)+(1.8+1.8)*(15-(3.6+1.8)))*(15-6.6)*$Q$3</f>
        <v>792.89279999999997</v>
      </c>
      <c r="G41" s="24">
        <f>E41*F41*D41</f>
        <v>406.35755999999992</v>
      </c>
      <c r="H41" s="16">
        <v>-15.1</v>
      </c>
      <c r="I41" s="16">
        <v>25.64</v>
      </c>
      <c r="J41" s="16">
        <v>10.8</v>
      </c>
      <c r="K41" s="16">
        <v>4</v>
      </c>
      <c r="L41" s="16">
        <v>5</v>
      </c>
      <c r="M41" s="312"/>
    </row>
    <row r="42" spans="2:21" ht="15.95" customHeight="1" x14ac:dyDescent="0.2">
      <c r="B42" s="59" t="s">
        <v>304</v>
      </c>
      <c r="C42" s="30" t="s">
        <v>452</v>
      </c>
      <c r="D42" s="316">
        <v>0</v>
      </c>
      <c r="E42" s="218">
        <v>1.0249999999999999</v>
      </c>
      <c r="F42" s="271">
        <f>2*2*16.2*8*0.95</f>
        <v>492.47999999999996</v>
      </c>
      <c r="G42" s="24">
        <f t="shared" ref="G42:G43" si="5">E42*F42*D42</f>
        <v>0</v>
      </c>
      <c r="H42" s="16">
        <v>-34</v>
      </c>
      <c r="I42" s="16">
        <v>41.4</v>
      </c>
      <c r="J42" s="16">
        <v>19</v>
      </c>
      <c r="K42" s="9">
        <v>4</v>
      </c>
      <c r="L42" s="9">
        <v>5</v>
      </c>
      <c r="M42" s="313"/>
    </row>
    <row r="43" spans="2:21" ht="15.95" customHeight="1" x14ac:dyDescent="0.2">
      <c r="B43" s="559" t="s">
        <v>576</v>
      </c>
      <c r="C43" s="56" t="s">
        <v>451</v>
      </c>
      <c r="D43" s="316">
        <v>0.5</v>
      </c>
      <c r="E43" s="218">
        <v>1.0249999999999999</v>
      </c>
      <c r="F43" s="271">
        <f>(18*(1.8+1.8)+(1.8+1.8)*(15-(3.6+1.8)))*(23-15)*$Q$3</f>
        <v>755.13599999999997</v>
      </c>
      <c r="G43" s="24">
        <f t="shared" si="5"/>
        <v>387.00719999999995</v>
      </c>
      <c r="H43" s="16">
        <v>-15.1</v>
      </c>
      <c r="I43" s="16">
        <v>25.64</v>
      </c>
      <c r="J43" s="16">
        <v>19</v>
      </c>
      <c r="K43" s="16">
        <v>4</v>
      </c>
      <c r="L43" s="16">
        <v>5</v>
      </c>
      <c r="M43" s="560"/>
    </row>
    <row r="44" spans="2:21" ht="15.95" customHeight="1" thickBot="1" x14ac:dyDescent="0.25">
      <c r="B44" s="255"/>
      <c r="C44" s="252"/>
      <c r="D44" s="316"/>
      <c r="E44" s="256"/>
      <c r="F44" s="272"/>
      <c r="G44" s="253"/>
      <c r="H44" s="250"/>
      <c r="I44" s="250"/>
      <c r="J44" s="250"/>
      <c r="K44" s="250"/>
      <c r="L44" s="250"/>
      <c r="M44" s="276"/>
    </row>
    <row r="45" spans="2:21" ht="15.95" customHeight="1" thickTop="1" x14ac:dyDescent="0.2">
      <c r="B45" s="318"/>
      <c r="C45" s="319"/>
      <c r="D45" s="481"/>
      <c r="E45" s="321"/>
      <c r="F45" s="555" t="s">
        <v>33</v>
      </c>
      <c r="G45" s="323">
        <f>SUBTOTAL(9,G41:G44)</f>
        <v>793.36475999999993</v>
      </c>
      <c r="H45" s="324">
        <f>IF($G45=0,0,SUMPRODUCT($G41:$G44,H41:H44)/$G45)</f>
        <v>-15.1</v>
      </c>
      <c r="I45" s="324">
        <f>IF($G45=0,0,SUMPRODUCT($G41:$G44,I41:I44)/$G45)</f>
        <v>25.639999999999997</v>
      </c>
      <c r="J45" s="324">
        <f>IF($G45=0,0,SUMPRODUCT($G41:$G44,J41:J44)/$G45)</f>
        <v>14.799999999999999</v>
      </c>
      <c r="K45" s="324">
        <f>SUBTOTAL(9,K41:K44)</f>
        <v>12</v>
      </c>
      <c r="L45" s="324">
        <f>SUBTOTAL(9,L41:L44)</f>
        <v>15</v>
      </c>
      <c r="M45" s="444"/>
      <c r="N45" s="454"/>
      <c r="O45" s="445" t="s">
        <v>560</v>
      </c>
      <c r="P45" s="446">
        <f t="shared" ref="P45:U45" si="6">G45</f>
        <v>793.36475999999993</v>
      </c>
      <c r="Q45" s="446">
        <f t="shared" si="6"/>
        <v>-15.1</v>
      </c>
      <c r="R45" s="446">
        <f t="shared" si="6"/>
        <v>25.639999999999997</v>
      </c>
      <c r="S45" s="446">
        <f t="shared" si="6"/>
        <v>14.799999999999999</v>
      </c>
      <c r="T45" s="446">
        <f t="shared" si="6"/>
        <v>12</v>
      </c>
      <c r="U45" s="447">
        <f t="shared" si="6"/>
        <v>15</v>
      </c>
    </row>
    <row r="46" spans="2:21" ht="15.95" customHeight="1" x14ac:dyDescent="0.2">
      <c r="B46" s="456"/>
      <c r="C46" s="448"/>
      <c r="D46" s="480"/>
      <c r="E46" s="449"/>
      <c r="F46" s="556"/>
      <c r="G46" s="473"/>
      <c r="H46" s="474"/>
      <c r="I46" s="474"/>
      <c r="J46" s="474"/>
      <c r="K46" s="474"/>
      <c r="L46" s="474"/>
      <c r="M46" s="460"/>
    </row>
    <row r="47" spans="2:21" ht="15.95" customHeight="1" x14ac:dyDescent="0.2">
      <c r="B47" s="463"/>
      <c r="C47" s="470" t="s">
        <v>549</v>
      </c>
      <c r="D47" s="478"/>
      <c r="E47" s="465"/>
      <c r="F47" s="552"/>
      <c r="G47" s="467"/>
      <c r="H47" s="468"/>
      <c r="I47" s="468"/>
      <c r="J47" s="468"/>
      <c r="K47" s="468"/>
      <c r="L47" s="468"/>
      <c r="M47" s="469"/>
    </row>
    <row r="48" spans="2:21" ht="15.95" customHeight="1" x14ac:dyDescent="0.2">
      <c r="B48" s="59" t="s">
        <v>303</v>
      </c>
      <c r="C48" s="29" t="s">
        <v>453</v>
      </c>
      <c r="D48" s="317">
        <v>0.5</v>
      </c>
      <c r="E48" s="218">
        <v>1.0249999999999999</v>
      </c>
      <c r="F48" s="271">
        <f>(18*(1.8+1.8)+(1.8+1.8)*(15-(3.6+1.8)))*(15-6.6)*$Q$3</f>
        <v>792.89279999999997</v>
      </c>
      <c r="G48" s="24">
        <f>E48*F48*D48</f>
        <v>406.35755999999992</v>
      </c>
      <c r="H48" s="16">
        <v>-15.1</v>
      </c>
      <c r="I48" s="16">
        <v>-25.64</v>
      </c>
      <c r="J48" s="16">
        <v>10.8</v>
      </c>
      <c r="K48" s="16">
        <v>4</v>
      </c>
      <c r="L48" s="16">
        <v>5</v>
      </c>
      <c r="M48" s="273"/>
    </row>
    <row r="49" spans="2:21" ht="15.95" customHeight="1" x14ac:dyDescent="0.2">
      <c r="B49" s="59" t="s">
        <v>305</v>
      </c>
      <c r="C49" s="30" t="s">
        <v>454</v>
      </c>
      <c r="D49" s="316">
        <v>0</v>
      </c>
      <c r="E49" s="218">
        <v>1.0249999999999999</v>
      </c>
      <c r="F49" s="271">
        <f>2*2*16.2*8*0.95</f>
        <v>492.47999999999996</v>
      </c>
      <c r="G49" s="24">
        <f>E49*F49*D49</f>
        <v>0</v>
      </c>
      <c r="H49" s="16">
        <v>-34</v>
      </c>
      <c r="I49" s="16">
        <v>-41.4</v>
      </c>
      <c r="J49" s="16">
        <v>19</v>
      </c>
      <c r="K49" s="9">
        <v>4</v>
      </c>
      <c r="L49" s="9">
        <v>5</v>
      </c>
      <c r="M49" s="273"/>
    </row>
    <row r="50" spans="2:21" ht="15.95" customHeight="1" x14ac:dyDescent="0.2">
      <c r="B50" s="559" t="s">
        <v>577</v>
      </c>
      <c r="C50" s="56" t="s">
        <v>451</v>
      </c>
      <c r="D50" s="316">
        <v>0.5</v>
      </c>
      <c r="E50" s="218">
        <v>1.0249999999999999</v>
      </c>
      <c r="F50" s="271">
        <f>(18*(1.8+1.8)+(1.8+1.8)*(15-(3.6+1.8)))*(23-15)*$Q$3</f>
        <v>755.13599999999997</v>
      </c>
      <c r="G50" s="24">
        <f t="shared" ref="G50" si="7">E50*F50*D50</f>
        <v>387.00719999999995</v>
      </c>
      <c r="H50" s="16">
        <v>-15.1</v>
      </c>
      <c r="I50" s="16">
        <v>-25.64</v>
      </c>
      <c r="J50" s="16">
        <v>19</v>
      </c>
      <c r="K50" s="16">
        <v>4</v>
      </c>
      <c r="L50" s="16">
        <v>5</v>
      </c>
      <c r="M50" s="560"/>
    </row>
    <row r="51" spans="2:21" ht="15.95" customHeight="1" thickBot="1" x14ac:dyDescent="0.25">
      <c r="B51" s="255"/>
      <c r="C51" s="252"/>
      <c r="D51" s="316"/>
      <c r="E51" s="256"/>
      <c r="F51" s="272"/>
      <c r="G51" s="253"/>
      <c r="H51" s="250"/>
      <c r="I51" s="250"/>
      <c r="J51" s="250"/>
      <c r="K51" s="250"/>
      <c r="L51" s="250"/>
      <c r="M51" s="276"/>
    </row>
    <row r="52" spans="2:21" ht="15.95" customHeight="1" thickTop="1" x14ac:dyDescent="0.2">
      <c r="B52" s="318"/>
      <c r="C52" s="319"/>
      <c r="D52" s="481"/>
      <c r="E52" s="321"/>
      <c r="F52" s="555" t="s">
        <v>33</v>
      </c>
      <c r="G52" s="323">
        <f>SUBTOTAL(9,G48:G51)</f>
        <v>793.36475999999993</v>
      </c>
      <c r="H52" s="324">
        <f>IF($G52=0,0,SUMPRODUCT($G48:$G51,H48:H51)/$G52)</f>
        <v>-15.1</v>
      </c>
      <c r="I52" s="324">
        <f>IF($G52=0,0,SUMPRODUCT($G48:$G51,I48:I51)/$G52)</f>
        <v>-25.639999999999997</v>
      </c>
      <c r="J52" s="324">
        <f>IF($G52=0,0,SUMPRODUCT($G48:$G51,J48:J51)/$G52)</f>
        <v>14.799999999999999</v>
      </c>
      <c r="K52" s="324">
        <f>SUBTOTAL(9,K48:K51)</f>
        <v>12</v>
      </c>
      <c r="L52" s="324">
        <f>SUBTOTAL(9,L48:L51)</f>
        <v>15</v>
      </c>
      <c r="M52" s="444"/>
      <c r="N52" s="454"/>
      <c r="O52" s="445" t="s">
        <v>561</v>
      </c>
      <c r="P52" s="446">
        <f t="shared" ref="P52:U52" si="8">G52</f>
        <v>793.36475999999993</v>
      </c>
      <c r="Q52" s="446">
        <f t="shared" si="8"/>
        <v>-15.1</v>
      </c>
      <c r="R52" s="446">
        <f t="shared" si="8"/>
        <v>-25.639999999999997</v>
      </c>
      <c r="S52" s="446">
        <f t="shared" si="8"/>
        <v>14.799999999999999</v>
      </c>
      <c r="T52" s="446">
        <f t="shared" si="8"/>
        <v>12</v>
      </c>
      <c r="U52" s="447">
        <f t="shared" si="8"/>
        <v>15</v>
      </c>
    </row>
    <row r="53" spans="2:21" ht="15.95" customHeight="1" x14ac:dyDescent="0.2">
      <c r="B53" s="456"/>
      <c r="C53" s="448"/>
      <c r="D53" s="480"/>
      <c r="E53" s="449"/>
      <c r="F53" s="556"/>
      <c r="G53" s="473"/>
      <c r="H53" s="474"/>
      <c r="I53" s="474"/>
      <c r="J53" s="474"/>
      <c r="K53" s="474"/>
      <c r="L53" s="474"/>
      <c r="M53" s="460"/>
    </row>
    <row r="54" spans="2:21" ht="15.95" customHeight="1" x14ac:dyDescent="0.2">
      <c r="B54" s="463"/>
      <c r="C54" s="470" t="s">
        <v>550</v>
      </c>
      <c r="D54" s="478"/>
      <c r="E54" s="465"/>
      <c r="F54" s="552"/>
      <c r="G54" s="467"/>
      <c r="H54" s="468"/>
      <c r="I54" s="468"/>
      <c r="J54" s="468"/>
      <c r="K54" s="468"/>
      <c r="L54" s="468"/>
      <c r="M54" s="469"/>
    </row>
    <row r="55" spans="2:21" ht="15.95" customHeight="1" x14ac:dyDescent="0.2">
      <c r="B55" s="59" t="s">
        <v>301</v>
      </c>
      <c r="C55" s="29" t="s">
        <v>450</v>
      </c>
      <c r="D55" s="317">
        <v>0.5</v>
      </c>
      <c r="E55" s="218">
        <v>1.0249999999999999</v>
      </c>
      <c r="F55" s="271">
        <f>(15*(2.7*2)+1.8*(18-(2.7*2)))*(15-6.6)*$Q$3</f>
        <v>827.36640000000011</v>
      </c>
      <c r="G55" s="24">
        <f>E55*F55*D55</f>
        <v>424.02528000000001</v>
      </c>
      <c r="H55" s="16">
        <v>40.9</v>
      </c>
      <c r="I55" s="16">
        <v>0</v>
      </c>
      <c r="J55" s="16">
        <v>10.8</v>
      </c>
      <c r="K55" s="16">
        <v>4</v>
      </c>
      <c r="L55" s="16">
        <v>5</v>
      </c>
      <c r="M55" s="275"/>
    </row>
    <row r="56" spans="2:21" ht="15.95" customHeight="1" x14ac:dyDescent="0.2">
      <c r="B56" s="559" t="s">
        <v>578</v>
      </c>
      <c r="C56" s="56" t="s">
        <v>575</v>
      </c>
      <c r="D56" s="316">
        <v>0.5</v>
      </c>
      <c r="E56" s="218">
        <v>1.0249999999999999</v>
      </c>
      <c r="F56" s="271">
        <f>(15*(2.7*2)+1.8*(18-(2.7*2)))*(23-15)*$Q$3</f>
        <v>787.96799999999996</v>
      </c>
      <c r="G56" s="24">
        <f t="shared" ref="G56" si="9">E56*F56*D56</f>
        <v>403.83359999999993</v>
      </c>
      <c r="H56" s="16">
        <v>40.9</v>
      </c>
      <c r="I56" s="16">
        <v>0</v>
      </c>
      <c r="J56" s="16">
        <f>15+4</f>
        <v>19</v>
      </c>
      <c r="K56" s="16">
        <v>4</v>
      </c>
      <c r="L56" s="16">
        <v>5</v>
      </c>
      <c r="M56" s="276"/>
    </row>
    <row r="57" spans="2:21" ht="15.95" customHeight="1" thickBot="1" x14ac:dyDescent="0.25">
      <c r="B57" s="255"/>
      <c r="C57" s="252"/>
      <c r="D57" s="316"/>
      <c r="E57" s="256"/>
      <c r="F57" s="272"/>
      <c r="G57" s="253"/>
      <c r="H57" s="250"/>
      <c r="I57" s="250"/>
      <c r="J57" s="250"/>
      <c r="K57" s="250"/>
      <c r="L57" s="250"/>
      <c r="M57" s="276"/>
    </row>
    <row r="58" spans="2:21" ht="15.95" customHeight="1" thickTop="1" x14ac:dyDescent="0.2">
      <c r="B58" s="318"/>
      <c r="C58" s="319"/>
      <c r="D58" s="481"/>
      <c r="E58" s="321"/>
      <c r="F58" s="555" t="s">
        <v>33</v>
      </c>
      <c r="G58" s="323">
        <f>SUBTOTAL(9,G55:G57)</f>
        <v>827.85888</v>
      </c>
      <c r="H58" s="324">
        <f>IF($G58=0,0,SUMPRODUCT($G55:$G57,H55:H57)/$G58)</f>
        <v>40.899999999999991</v>
      </c>
      <c r="I58" s="324">
        <f>IF($G58=0,0,SUMPRODUCT($G55:$G57,I55:I57)/$G58)</f>
        <v>0</v>
      </c>
      <c r="J58" s="324">
        <v>3.5</v>
      </c>
      <c r="K58" s="324">
        <f>SUBTOTAL(9,K55:K57)</f>
        <v>8</v>
      </c>
      <c r="L58" s="324">
        <f>SUBTOTAL(9,L55:L57)</f>
        <v>10</v>
      </c>
      <c r="M58" s="444"/>
      <c r="N58" s="454"/>
      <c r="O58" s="445" t="s">
        <v>562</v>
      </c>
      <c r="P58" s="446">
        <f t="shared" ref="P58:U58" si="10">G58</f>
        <v>827.85888</v>
      </c>
      <c r="Q58" s="446">
        <f t="shared" si="10"/>
        <v>40.899999999999991</v>
      </c>
      <c r="R58" s="446">
        <f t="shared" si="10"/>
        <v>0</v>
      </c>
      <c r="S58" s="446">
        <f t="shared" si="10"/>
        <v>3.5</v>
      </c>
      <c r="T58" s="446">
        <f t="shared" si="10"/>
        <v>8</v>
      </c>
      <c r="U58" s="447">
        <f t="shared" si="10"/>
        <v>10</v>
      </c>
    </row>
    <row r="59" spans="2:21" ht="15.95" customHeight="1" x14ac:dyDescent="0.2">
      <c r="E59" s="452"/>
      <c r="G59" s="451"/>
      <c r="M59" s="453"/>
    </row>
    <row r="60" spans="2:21" ht="15.95" customHeight="1" x14ac:dyDescent="0.2">
      <c r="E60" s="452"/>
      <c r="G60" s="451"/>
      <c r="M60" s="453"/>
    </row>
    <row r="61" spans="2:21" ht="15.95" customHeight="1" x14ac:dyDescent="0.2">
      <c r="E61" s="452"/>
      <c r="G61" s="451"/>
      <c r="M61" s="453"/>
    </row>
    <row r="62" spans="2:21" ht="15.95" customHeight="1" x14ac:dyDescent="0.2">
      <c r="E62" s="452"/>
      <c r="G62" s="451"/>
      <c r="M62" s="453"/>
    </row>
    <row r="63" spans="2:21" ht="15.95" customHeight="1" x14ac:dyDescent="0.2">
      <c r="E63" s="452"/>
      <c r="G63" s="451"/>
      <c r="M63" s="453"/>
    </row>
    <row r="64" spans="2:21" ht="15.95" customHeight="1" x14ac:dyDescent="0.2">
      <c r="E64" s="452"/>
      <c r="G64" s="451"/>
      <c r="M64" s="453"/>
    </row>
    <row r="65" spans="5:13" ht="15.95" customHeight="1" x14ac:dyDescent="0.2">
      <c r="E65" s="452"/>
      <c r="G65" s="451"/>
      <c r="M65" s="453"/>
    </row>
    <row r="66" spans="5:13" ht="15.95" customHeight="1" x14ac:dyDescent="0.2">
      <c r="E66" s="452"/>
      <c r="G66" s="451"/>
      <c r="M66" s="453"/>
    </row>
    <row r="67" spans="5:13" ht="15.95" customHeight="1" x14ac:dyDescent="0.2">
      <c r="E67" s="452"/>
      <c r="G67" s="451"/>
      <c r="M67" s="453"/>
    </row>
    <row r="68" spans="5:13" ht="15.95" customHeight="1" x14ac:dyDescent="0.2">
      <c r="E68" s="452"/>
      <c r="G68" s="451"/>
      <c r="M68" s="453"/>
    </row>
    <row r="69" spans="5:13" ht="15.95" customHeight="1" x14ac:dyDescent="0.2">
      <c r="E69" s="452"/>
      <c r="G69" s="451"/>
      <c r="M69" s="453"/>
    </row>
    <row r="70" spans="5:13" ht="15.95" customHeight="1" x14ac:dyDescent="0.2">
      <c r="E70" s="452"/>
      <c r="G70" s="451"/>
      <c r="M70" s="453"/>
    </row>
    <row r="71" spans="5:13" ht="15.95" customHeight="1" x14ac:dyDescent="0.2">
      <c r="E71" s="452"/>
      <c r="G71" s="451"/>
      <c r="M71" s="453"/>
    </row>
    <row r="72" spans="5:13" ht="15.95" customHeight="1" x14ac:dyDescent="0.2">
      <c r="E72" s="452"/>
      <c r="G72" s="451"/>
      <c r="M72" s="453"/>
    </row>
    <row r="73" spans="5:13" ht="15.95" customHeight="1" x14ac:dyDescent="0.2">
      <c r="E73" s="452"/>
      <c r="G73" s="451"/>
      <c r="M73" s="453"/>
    </row>
    <row r="74" spans="5:13" ht="15.95" customHeight="1" x14ac:dyDescent="0.2">
      <c r="E74" s="452"/>
      <c r="G74" s="451"/>
      <c r="M74" s="453"/>
    </row>
    <row r="75" spans="5:13" ht="15.95" customHeight="1" x14ac:dyDescent="0.2">
      <c r="E75" s="452"/>
      <c r="G75" s="451"/>
      <c r="M75" s="453"/>
    </row>
    <row r="76" spans="5:13" ht="15.95" customHeight="1" x14ac:dyDescent="0.2">
      <c r="E76" s="452"/>
      <c r="G76" s="451"/>
      <c r="M76" s="453"/>
    </row>
    <row r="77" spans="5:13" ht="15.95" customHeight="1" x14ac:dyDescent="0.2">
      <c r="E77" s="452"/>
      <c r="G77" s="451"/>
      <c r="M77" s="453"/>
    </row>
    <row r="78" spans="5:13" ht="15.95" customHeight="1" x14ac:dyDescent="0.2">
      <c r="E78" s="452"/>
      <c r="G78" s="451"/>
      <c r="M78" s="453"/>
    </row>
    <row r="79" spans="5:13" ht="15.95" customHeight="1" x14ac:dyDescent="0.2">
      <c r="E79" s="452"/>
      <c r="G79" s="451"/>
      <c r="M79" s="453"/>
    </row>
    <row r="80" spans="5:13" ht="15.95" customHeight="1" x14ac:dyDescent="0.2">
      <c r="E80" s="452"/>
      <c r="G80" s="451"/>
      <c r="M80" s="453"/>
    </row>
    <row r="81" spans="5:13" ht="15.95" customHeight="1" x14ac:dyDescent="0.2">
      <c r="E81" s="452"/>
      <c r="G81" s="451"/>
      <c r="M81" s="453"/>
    </row>
    <row r="82" spans="5:13" ht="15.95" customHeight="1" x14ac:dyDescent="0.2">
      <c r="E82" s="452"/>
      <c r="G82" s="451"/>
      <c r="M82" s="453"/>
    </row>
    <row r="83" spans="5:13" ht="15.95" customHeight="1" x14ac:dyDescent="0.2">
      <c r="E83" s="452"/>
      <c r="G83" s="451"/>
      <c r="M83" s="453"/>
    </row>
    <row r="84" spans="5:13" ht="15.95" customHeight="1" x14ac:dyDescent="0.2">
      <c r="E84" s="452"/>
      <c r="G84" s="451"/>
      <c r="M84" s="453"/>
    </row>
    <row r="85" spans="5:13" ht="15.95" customHeight="1" x14ac:dyDescent="0.2">
      <c r="E85" s="452"/>
      <c r="G85" s="451"/>
      <c r="M85" s="453"/>
    </row>
    <row r="86" spans="5:13" ht="15.95" customHeight="1" x14ac:dyDescent="0.2">
      <c r="E86" s="452"/>
      <c r="G86" s="451"/>
      <c r="M86" s="453"/>
    </row>
    <row r="87" spans="5:13" ht="15.95" customHeight="1" x14ac:dyDescent="0.2">
      <c r="E87" s="452"/>
      <c r="G87" s="451"/>
      <c r="M87" s="453"/>
    </row>
    <row r="88" spans="5:13" ht="15.95" customHeight="1" x14ac:dyDescent="0.2">
      <c r="E88" s="452"/>
      <c r="G88" s="451"/>
      <c r="M88" s="453"/>
    </row>
    <row r="89" spans="5:13" ht="15.95" customHeight="1" x14ac:dyDescent="0.2">
      <c r="E89" s="452"/>
      <c r="G89" s="451"/>
      <c r="M89" s="453"/>
    </row>
    <row r="90" spans="5:13" ht="15.95" customHeight="1" x14ac:dyDescent="0.2">
      <c r="E90" s="452"/>
      <c r="G90" s="451"/>
      <c r="M90" s="453"/>
    </row>
    <row r="91" spans="5:13" ht="15.95" customHeight="1" x14ac:dyDescent="0.2">
      <c r="E91" s="452"/>
      <c r="G91" s="451"/>
      <c r="M91" s="453"/>
    </row>
    <row r="92" spans="5:13" ht="15.95" customHeight="1" x14ac:dyDescent="0.2">
      <c r="E92" s="452"/>
      <c r="G92" s="451"/>
      <c r="M92" s="453"/>
    </row>
    <row r="93" spans="5:13" ht="15.95" customHeight="1" x14ac:dyDescent="0.2">
      <c r="E93" s="452"/>
      <c r="G93" s="451"/>
      <c r="M93" s="453"/>
    </row>
    <row r="94" spans="5:13" ht="15.95" customHeight="1" x14ac:dyDescent="0.2">
      <c r="E94" s="452"/>
      <c r="G94" s="451"/>
      <c r="M94" s="453"/>
    </row>
    <row r="95" spans="5:13" ht="15.95" customHeight="1" x14ac:dyDescent="0.2">
      <c r="E95" s="452"/>
      <c r="G95" s="451"/>
      <c r="M95" s="453"/>
    </row>
    <row r="96" spans="5:13" ht="15.95" customHeight="1" x14ac:dyDescent="0.2">
      <c r="E96" s="452"/>
      <c r="G96" s="451"/>
      <c r="M96" s="453"/>
    </row>
    <row r="97" spans="5:13" ht="15.95" customHeight="1" x14ac:dyDescent="0.2">
      <c r="E97" s="452"/>
      <c r="G97" s="451"/>
      <c r="M97" s="453"/>
    </row>
    <row r="98" spans="5:13" ht="15.95" customHeight="1" x14ac:dyDescent="0.2">
      <c r="E98" s="452"/>
      <c r="G98" s="451"/>
      <c r="M98" s="453"/>
    </row>
    <row r="99" spans="5:13" ht="15.95" customHeight="1" x14ac:dyDescent="0.2">
      <c r="E99" s="452"/>
      <c r="G99" s="451"/>
      <c r="M99" s="453"/>
    </row>
    <row r="100" spans="5:13" ht="15.95" customHeight="1" x14ac:dyDescent="0.2">
      <c r="E100" s="452"/>
      <c r="G100" s="451"/>
      <c r="M100" s="453"/>
    </row>
    <row r="101" spans="5:13" ht="15.95" customHeight="1" x14ac:dyDescent="0.2">
      <c r="E101" s="452"/>
      <c r="G101" s="451"/>
      <c r="M101" s="453"/>
    </row>
    <row r="102" spans="5:13" ht="15.95" customHeight="1" x14ac:dyDescent="0.2">
      <c r="E102" s="452"/>
      <c r="G102" s="451"/>
      <c r="M102" s="453"/>
    </row>
    <row r="103" spans="5:13" ht="15.95" customHeight="1" x14ac:dyDescent="0.2">
      <c r="E103" s="452"/>
      <c r="G103" s="451"/>
      <c r="M103" s="453"/>
    </row>
    <row r="104" spans="5:13" ht="15.95" customHeight="1" x14ac:dyDescent="0.2">
      <c r="E104" s="452"/>
      <c r="G104" s="451"/>
      <c r="M104" s="453"/>
    </row>
    <row r="105" spans="5:13" ht="15.95" customHeight="1" x14ac:dyDescent="0.2">
      <c r="E105" s="452"/>
      <c r="G105" s="451"/>
      <c r="M105" s="453"/>
    </row>
    <row r="106" spans="5:13" ht="15.95" customHeight="1" x14ac:dyDescent="0.2">
      <c r="E106" s="452"/>
      <c r="G106" s="451"/>
      <c r="M106" s="453"/>
    </row>
    <row r="107" spans="5:13" ht="15.95" customHeight="1" x14ac:dyDescent="0.2">
      <c r="E107" s="452"/>
      <c r="G107" s="451"/>
      <c r="M107" s="453"/>
    </row>
    <row r="108" spans="5:13" ht="15.95" customHeight="1" x14ac:dyDescent="0.2">
      <c r="E108" s="452"/>
      <c r="G108" s="451"/>
      <c r="M108" s="453"/>
    </row>
    <row r="109" spans="5:13" ht="15.95" customHeight="1" x14ac:dyDescent="0.2">
      <c r="E109" s="452"/>
      <c r="G109" s="451"/>
      <c r="M109" s="453"/>
    </row>
    <row r="110" spans="5:13" ht="15.95" customHeight="1" x14ac:dyDescent="0.2">
      <c r="E110" s="452"/>
      <c r="G110" s="451"/>
      <c r="M110" s="453"/>
    </row>
    <row r="111" spans="5:13" ht="15.95" customHeight="1" x14ac:dyDescent="0.2">
      <c r="E111" s="452"/>
      <c r="G111" s="451"/>
      <c r="M111" s="453"/>
    </row>
    <row r="112" spans="5:13" ht="15.95" customHeight="1" x14ac:dyDescent="0.2">
      <c r="E112" s="452"/>
      <c r="G112" s="451"/>
      <c r="M112" s="453"/>
    </row>
    <row r="113" spans="5:13" ht="15.95" customHeight="1" x14ac:dyDescent="0.2">
      <c r="E113" s="452"/>
      <c r="G113" s="451"/>
      <c r="M113" s="453"/>
    </row>
    <row r="114" spans="5:13" ht="15.95" customHeight="1" x14ac:dyDescent="0.2"/>
    <row r="115" spans="5:13" ht="15.95" customHeight="1" x14ac:dyDescent="0.2"/>
    <row r="116" spans="5:13" ht="15.95" customHeight="1" x14ac:dyDescent="0.2"/>
    <row r="117" spans="5:13" ht="15.95" customHeight="1" x14ac:dyDescent="0.2"/>
    <row r="118" spans="5:13" ht="15.95" customHeight="1" x14ac:dyDescent="0.2"/>
    <row r="119" spans="5:13" ht="15.95" customHeight="1" x14ac:dyDescent="0.2"/>
    <row r="120" spans="5:13" ht="15.95" customHeight="1" x14ac:dyDescent="0.2"/>
    <row r="121" spans="5:13" ht="15.95" customHeight="1" x14ac:dyDescent="0.2"/>
    <row r="122" spans="5:13" ht="15.95" customHeight="1" x14ac:dyDescent="0.2"/>
    <row r="123" spans="5:13" ht="15.95" customHeight="1" x14ac:dyDescent="0.2"/>
    <row r="124" spans="5:13" ht="15.95" customHeight="1" x14ac:dyDescent="0.2"/>
    <row r="125" spans="5:13" ht="15.95" customHeight="1" x14ac:dyDescent="0.2"/>
    <row r="126" spans="5:13" ht="15.95" customHeight="1" x14ac:dyDescent="0.2"/>
    <row r="127" spans="5:13" ht="15.95" customHeight="1" x14ac:dyDescent="0.2"/>
    <row r="128" spans="5:13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</sheetData>
  <dataConsolidate/>
  <mergeCells count="15">
    <mergeCell ref="J7:J8"/>
    <mergeCell ref="K7:K8"/>
    <mergeCell ref="L7:L8"/>
    <mergeCell ref="M7:M9"/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I7:I8"/>
  </mergeCells>
  <conditionalFormatting sqref="E58 E52 E45 E38:E39 E29 E24:F28 E32:F37 E51:F51 E55:F55 E57:F57 E48:F49 E41:F44">
    <cfRule type="expression" dxfId="14" priority="5" stopIfTrue="1">
      <formula>#REF!="B"</formula>
    </cfRule>
  </conditionalFormatting>
  <conditionalFormatting sqref="E53:E54 E46:E47 E40 E30:E31 E21:E23 E11 E12:F20">
    <cfRule type="expression" dxfId="13" priority="6" stopIfTrue="1">
      <formula>#REF!="B"</formula>
    </cfRule>
  </conditionalFormatting>
  <conditionalFormatting sqref="E50">
    <cfRule type="expression" dxfId="12" priority="4" stopIfTrue="1">
      <formula>#REF!="B"</formula>
    </cfRule>
  </conditionalFormatting>
  <conditionalFormatting sqref="E56">
    <cfRule type="expression" dxfId="11" priority="3" stopIfTrue="1">
      <formula>#REF!="B"</formula>
    </cfRule>
  </conditionalFormatting>
  <conditionalFormatting sqref="F50">
    <cfRule type="expression" dxfId="10" priority="2" stopIfTrue="1">
      <formula>#REF!="B"</formula>
    </cfRule>
  </conditionalFormatting>
  <conditionalFormatting sqref="F56">
    <cfRule type="expression" dxfId="9" priority="1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B1:U700"/>
  <sheetViews>
    <sheetView topLeftCell="B1" zoomScale="85" zoomScaleNormal="85" zoomScaleSheetLayoutView="85" workbookViewId="0">
      <pane ySplit="10" topLeftCell="A20" activePane="bottomLeft" state="frozen"/>
      <selection activeCell="F41" sqref="F41:F43"/>
      <selection pane="bottomLeft" activeCell="F41" sqref="F41:F43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451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379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527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40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0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17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1"/>
      <c r="G8" s="611"/>
      <c r="H8" s="611"/>
      <c r="I8" s="611"/>
      <c r="J8" s="611"/>
      <c r="K8" s="611"/>
      <c r="L8" s="611"/>
      <c r="M8" s="618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416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19"/>
      <c r="O9" s="417"/>
    </row>
    <row r="10" spans="2:21" ht="15.95" customHeight="1" thickTop="1" x14ac:dyDescent="0.2">
      <c r="B10" s="418"/>
      <c r="C10" s="419"/>
      <c r="D10" s="477"/>
      <c r="E10" s="419"/>
      <c r="F10" s="419"/>
      <c r="G10" s="419"/>
      <c r="H10" s="419"/>
      <c r="I10" s="419"/>
      <c r="J10" s="419"/>
      <c r="K10" s="419"/>
      <c r="L10" s="419"/>
      <c r="M10" s="420"/>
    </row>
    <row r="11" spans="2:21" s="429" customFormat="1" ht="15.95" customHeight="1" x14ac:dyDescent="0.2">
      <c r="B11" s="463"/>
      <c r="C11" s="470" t="s">
        <v>528</v>
      </c>
      <c r="D11" s="478"/>
      <c r="E11" s="465"/>
      <c r="F11" s="466"/>
      <c r="G11" s="467"/>
      <c r="H11" s="468"/>
      <c r="I11" s="468"/>
      <c r="J11" s="468"/>
      <c r="K11" s="468"/>
      <c r="L11" s="468"/>
      <c r="M11" s="469"/>
      <c r="N11" s="381"/>
      <c r="O11" s="445"/>
      <c r="P11" s="446"/>
      <c r="Q11" s="446"/>
      <c r="R11" s="446"/>
      <c r="S11" s="446"/>
      <c r="T11" s="446"/>
      <c r="U11" s="447"/>
    </row>
    <row r="12" spans="2:21" s="429" customFormat="1" ht="15.95" customHeight="1" x14ac:dyDescent="0.2">
      <c r="B12" s="456"/>
      <c r="C12" s="448"/>
      <c r="D12" s="480"/>
      <c r="E12" s="449"/>
      <c r="F12" s="457"/>
      <c r="G12" s="458"/>
      <c r="H12" s="459"/>
      <c r="I12" s="459"/>
      <c r="J12" s="459"/>
      <c r="K12" s="459"/>
      <c r="L12" s="459"/>
      <c r="M12" s="460"/>
      <c r="N12" s="381"/>
      <c r="O12" s="445"/>
      <c r="P12" s="446"/>
      <c r="Q12" s="446"/>
      <c r="R12" s="446"/>
      <c r="S12" s="446"/>
      <c r="T12" s="446"/>
      <c r="U12" s="447"/>
    </row>
    <row r="13" spans="2:21" s="429" customFormat="1" ht="15.95" customHeight="1" x14ac:dyDescent="0.2">
      <c r="B13" s="421"/>
      <c r="C13" s="422" t="s">
        <v>459</v>
      </c>
      <c r="D13" s="483"/>
      <c r="E13" s="424"/>
      <c r="F13" s="422"/>
      <c r="G13" s="423"/>
      <c r="H13" s="423"/>
      <c r="I13" s="423"/>
      <c r="J13" s="423"/>
      <c r="K13" s="423"/>
      <c r="L13" s="423"/>
      <c r="M13" s="425"/>
      <c r="N13" s="381"/>
      <c r="O13" s="426"/>
      <c r="P13" s="427"/>
      <c r="Q13" s="427"/>
      <c r="R13" s="427"/>
      <c r="S13" s="427"/>
      <c r="T13" s="427"/>
      <c r="U13" s="428"/>
    </row>
    <row r="14" spans="2:21" s="429" customFormat="1" ht="15.95" customHeight="1" x14ac:dyDescent="0.2">
      <c r="B14" s="58" t="s">
        <v>308</v>
      </c>
      <c r="C14" s="56" t="s">
        <v>400</v>
      </c>
      <c r="D14" s="316">
        <v>0.5</v>
      </c>
      <c r="E14" s="218">
        <v>0.83</v>
      </c>
      <c r="F14" s="271">
        <f>(0.5*PI()*3.3^2*9+(9-1.8+1.5-3.3)*9*6.6)*$Q$3</f>
        <v>450.97806058970929</v>
      </c>
      <c r="G14" s="24">
        <f>E14*F14*D14</f>
        <v>187.15589514472936</v>
      </c>
      <c r="H14" s="16">
        <v>-16.8</v>
      </c>
      <c r="I14" s="16">
        <v>4.5</v>
      </c>
      <c r="J14" s="16">
        <v>3.3</v>
      </c>
      <c r="K14" s="169">
        <v>1000</v>
      </c>
      <c r="L14" s="169">
        <v>1000</v>
      </c>
      <c r="M14" s="430"/>
      <c r="N14" s="381"/>
      <c r="O14" s="426"/>
      <c r="P14" s="427"/>
      <c r="Q14" s="427"/>
      <c r="R14" s="427"/>
      <c r="S14" s="427"/>
      <c r="T14" s="427"/>
      <c r="U14" s="428"/>
    </row>
    <row r="15" spans="2:21" s="429" customFormat="1" ht="15.95" customHeight="1" x14ac:dyDescent="0.2">
      <c r="B15" s="59" t="s">
        <v>309</v>
      </c>
      <c r="C15" s="29" t="s">
        <v>400</v>
      </c>
      <c r="D15" s="316">
        <v>0.5</v>
      </c>
      <c r="E15" s="218">
        <v>0.83</v>
      </c>
      <c r="F15" s="271">
        <f>(0.5*PI()*3.3^2*9+5.4*9*6.6)*$Q$3</f>
        <v>450.97806058970934</v>
      </c>
      <c r="G15" s="24">
        <f>E15*F15*D15</f>
        <v>187.15589514472936</v>
      </c>
      <c r="H15" s="16">
        <v>-16.8</v>
      </c>
      <c r="I15" s="16">
        <v>13.5</v>
      </c>
      <c r="J15" s="16">
        <v>3.3</v>
      </c>
      <c r="K15" s="169">
        <v>1000</v>
      </c>
      <c r="L15" s="169">
        <v>1000</v>
      </c>
      <c r="M15" s="430"/>
      <c r="N15" s="381"/>
      <c r="O15" s="426"/>
      <c r="P15" s="427"/>
      <c r="Q15" s="427"/>
      <c r="R15" s="427"/>
      <c r="S15" s="427"/>
      <c r="T15" s="427"/>
      <c r="U15" s="428"/>
    </row>
    <row r="16" spans="2:21" s="429" customFormat="1" ht="15.95" customHeight="1" x14ac:dyDescent="0.2">
      <c r="B16" s="58" t="s">
        <v>310</v>
      </c>
      <c r="C16" s="56" t="s">
        <v>401</v>
      </c>
      <c r="D16" s="316">
        <v>0.5</v>
      </c>
      <c r="E16" s="218">
        <v>0.83</v>
      </c>
      <c r="F16" s="271">
        <f>(0.5*PI()*3.3^2*9+5.4*9*6.6)*$Q$3</f>
        <v>450.97806058970934</v>
      </c>
      <c r="G16" s="24">
        <f>E16*F16*D16</f>
        <v>187.15589514472936</v>
      </c>
      <c r="H16" s="16">
        <v>-16.8</v>
      </c>
      <c r="I16" s="16">
        <v>-4.5</v>
      </c>
      <c r="J16" s="16">
        <v>3.3</v>
      </c>
      <c r="K16" s="169">
        <v>1000</v>
      </c>
      <c r="L16" s="169">
        <v>1000</v>
      </c>
      <c r="M16" s="430"/>
      <c r="N16" s="381"/>
      <c r="O16" s="426"/>
      <c r="P16" s="427"/>
      <c r="Q16" s="427"/>
      <c r="R16" s="427"/>
      <c r="S16" s="427"/>
      <c r="T16" s="427"/>
      <c r="U16" s="428"/>
    </row>
    <row r="17" spans="2:21" s="429" customFormat="1" ht="15.95" customHeight="1" x14ac:dyDescent="0.2">
      <c r="B17" s="59" t="s">
        <v>311</v>
      </c>
      <c r="C17" s="29" t="s">
        <v>401</v>
      </c>
      <c r="D17" s="316">
        <v>0.5</v>
      </c>
      <c r="E17" s="218">
        <v>0.83</v>
      </c>
      <c r="F17" s="271">
        <f>(0.5*PI()*3.3^2*9+5.4*9*6.6)*$Q$3</f>
        <v>450.97806058970934</v>
      </c>
      <c r="G17" s="24">
        <f>E17*F17*D17</f>
        <v>187.15589514472936</v>
      </c>
      <c r="H17" s="16">
        <v>-16.8</v>
      </c>
      <c r="I17" s="16">
        <v>-13.5</v>
      </c>
      <c r="J17" s="16">
        <v>3.3</v>
      </c>
      <c r="K17" s="169">
        <v>1000</v>
      </c>
      <c r="L17" s="169">
        <v>1000</v>
      </c>
      <c r="M17" s="430"/>
      <c r="N17" s="381"/>
      <c r="O17" s="426"/>
      <c r="P17" s="427"/>
      <c r="Q17" s="427"/>
      <c r="R17" s="427"/>
      <c r="S17" s="427"/>
      <c r="T17" s="427"/>
      <c r="U17" s="428"/>
    </row>
    <row r="18" spans="2:21" s="429" customFormat="1" ht="15.95" customHeight="1" thickBot="1" x14ac:dyDescent="0.25">
      <c r="B18" s="431"/>
      <c r="C18" s="432"/>
      <c r="D18" s="316"/>
      <c r="E18" s="433"/>
      <c r="F18" s="434"/>
      <c r="G18" s="435"/>
      <c r="H18" s="436"/>
      <c r="I18" s="436"/>
      <c r="J18" s="436"/>
      <c r="K18" s="436"/>
      <c r="L18" s="436"/>
      <c r="M18" s="437"/>
      <c r="N18" s="381"/>
      <c r="O18" s="426"/>
      <c r="P18" s="427"/>
      <c r="Q18" s="427"/>
      <c r="R18" s="427"/>
      <c r="S18" s="427"/>
      <c r="T18" s="427"/>
      <c r="U18" s="428"/>
    </row>
    <row r="19" spans="2:21" s="429" customFormat="1" ht="15.95" customHeight="1" thickTop="1" x14ac:dyDescent="0.2">
      <c r="B19" s="438"/>
      <c r="C19" s="439"/>
      <c r="D19" s="479"/>
      <c r="E19" s="440"/>
      <c r="F19" s="441" t="s">
        <v>33</v>
      </c>
      <c r="G19" s="442">
        <f>SUBTOTAL(9,G14:G18)</f>
        <v>748.62358057891743</v>
      </c>
      <c r="H19" s="443">
        <f>IF($G19=0,0,SUMPRODUCT($G14:$G18,H14:H18)/$G19)</f>
        <v>-16.8</v>
      </c>
      <c r="I19" s="443">
        <f>IF($G19=0,0,SUMPRODUCT($G14:$G18,I14:I18)/$G19)</f>
        <v>0</v>
      </c>
      <c r="J19" s="443">
        <f>IF($G19=0,0,SUMPRODUCT($G14:$G18,J14:J18)/$G19)</f>
        <v>3.3000000000000003</v>
      </c>
      <c r="K19" s="450">
        <f>SUBTOTAL(9,K14:K18)</f>
        <v>4000</v>
      </c>
      <c r="L19" s="450">
        <f>SUBTOTAL(9,L14:L18)</f>
        <v>4000</v>
      </c>
      <c r="M19" s="444"/>
      <c r="N19" s="381"/>
      <c r="O19" s="445" t="s">
        <v>546</v>
      </c>
      <c r="P19" s="446">
        <f t="shared" ref="P19:U19" si="0">G19</f>
        <v>748.62358057891743</v>
      </c>
      <c r="Q19" s="446">
        <f t="shared" si="0"/>
        <v>-16.8</v>
      </c>
      <c r="R19" s="446">
        <f t="shared" si="0"/>
        <v>0</v>
      </c>
      <c r="S19" s="446">
        <f t="shared" si="0"/>
        <v>3.3000000000000003</v>
      </c>
      <c r="T19" s="446">
        <f t="shared" si="0"/>
        <v>4000</v>
      </c>
      <c r="U19" s="447">
        <f t="shared" si="0"/>
        <v>4000</v>
      </c>
    </row>
    <row r="20" spans="2:21" s="429" customFormat="1" ht="15.95" customHeight="1" x14ac:dyDescent="0.2">
      <c r="B20" s="475"/>
      <c r="C20" s="419"/>
      <c r="D20" s="477"/>
      <c r="E20" s="419"/>
      <c r="F20" s="419"/>
      <c r="G20" s="419"/>
      <c r="H20" s="419"/>
      <c r="I20" s="419"/>
      <c r="J20" s="419"/>
      <c r="K20" s="419"/>
      <c r="L20" s="419"/>
      <c r="M20" s="476"/>
      <c r="N20" s="381"/>
      <c r="O20" s="426"/>
      <c r="P20" s="427"/>
      <c r="Q20" s="427"/>
      <c r="R20" s="427"/>
      <c r="S20" s="427"/>
      <c r="T20" s="427"/>
      <c r="U20" s="428"/>
    </row>
    <row r="21" spans="2:21" s="429" customFormat="1" ht="15.95" customHeight="1" x14ac:dyDescent="0.2">
      <c r="B21" s="463"/>
      <c r="C21" s="470" t="s">
        <v>544</v>
      </c>
      <c r="D21" s="478"/>
      <c r="E21" s="465"/>
      <c r="F21" s="466"/>
      <c r="G21" s="467"/>
      <c r="H21" s="468"/>
      <c r="I21" s="468"/>
      <c r="J21" s="468"/>
      <c r="K21" s="468"/>
      <c r="L21" s="468"/>
      <c r="M21" s="469"/>
      <c r="N21" s="454"/>
      <c r="O21" s="426"/>
      <c r="P21" s="427"/>
      <c r="Q21" s="427"/>
      <c r="R21" s="427"/>
      <c r="S21" s="427"/>
      <c r="T21" s="427"/>
      <c r="U21" s="428"/>
    </row>
    <row r="22" spans="2:21" s="429" customFormat="1" ht="15.95" customHeight="1" x14ac:dyDescent="0.2">
      <c r="B22" s="456"/>
      <c r="C22" s="448"/>
      <c r="D22" s="480"/>
      <c r="E22" s="449"/>
      <c r="F22" s="457"/>
      <c r="G22" s="458"/>
      <c r="H22" s="459"/>
      <c r="I22" s="459"/>
      <c r="J22" s="459"/>
      <c r="K22" s="459"/>
      <c r="L22" s="459"/>
      <c r="M22" s="460"/>
      <c r="N22" s="454"/>
      <c r="O22" s="426"/>
      <c r="P22" s="427"/>
      <c r="Q22" s="427"/>
      <c r="R22" s="427"/>
      <c r="S22" s="427"/>
      <c r="T22" s="427"/>
      <c r="U22" s="428"/>
    </row>
    <row r="23" spans="2:21" s="429" customFormat="1" ht="15.95" customHeight="1" x14ac:dyDescent="0.2">
      <c r="B23" s="82"/>
      <c r="C23" s="242" t="s">
        <v>458</v>
      </c>
      <c r="D23" s="484"/>
      <c r="E23" s="228"/>
      <c r="F23" s="242"/>
      <c r="G23" s="227"/>
      <c r="H23" s="227"/>
      <c r="I23" s="227"/>
      <c r="J23" s="227"/>
      <c r="K23" s="227"/>
      <c r="L23" s="227"/>
      <c r="M23" s="274"/>
      <c r="N23" s="454"/>
      <c r="O23" s="426"/>
      <c r="P23" s="427"/>
      <c r="Q23" s="427"/>
      <c r="R23" s="427"/>
      <c r="S23" s="427"/>
      <c r="T23" s="427"/>
      <c r="U23" s="428"/>
    </row>
    <row r="24" spans="2:21" s="429" customFormat="1" ht="15.95" customHeight="1" x14ac:dyDescent="0.2">
      <c r="B24" s="58" t="s">
        <v>306</v>
      </c>
      <c r="C24" s="56" t="s">
        <v>403</v>
      </c>
      <c r="D24" s="316">
        <v>0.5</v>
      </c>
      <c r="E24" s="218">
        <v>1</v>
      </c>
      <c r="F24" s="271">
        <f>7.2*(0.5*PI()*3.3^2+(12-3.3)*6.6)*$Q$3</f>
        <v>509.75764847176754</v>
      </c>
      <c r="G24" s="24">
        <f>E24*F24*D24</f>
        <v>254.87882423588377</v>
      </c>
      <c r="H24" s="16">
        <v>12.78</v>
      </c>
      <c r="I24" s="16">
        <v>23</v>
      </c>
      <c r="J24" s="16">
        <v>3.3</v>
      </c>
      <c r="K24" s="169">
        <v>1000</v>
      </c>
      <c r="L24" s="169">
        <v>1000</v>
      </c>
      <c r="M24" s="273" t="s">
        <v>407</v>
      </c>
      <c r="N24" s="454"/>
      <c r="O24" s="426"/>
      <c r="P24" s="427"/>
      <c r="Q24" s="427"/>
      <c r="R24" s="427"/>
      <c r="S24" s="427"/>
      <c r="T24" s="427"/>
      <c r="U24" s="428"/>
    </row>
    <row r="25" spans="2:21" s="429" customFormat="1" ht="15.95" customHeight="1" x14ac:dyDescent="0.2">
      <c r="B25" s="59"/>
      <c r="C25" s="56" t="s">
        <v>457</v>
      </c>
      <c r="D25" s="317"/>
      <c r="E25" s="310"/>
      <c r="F25" s="311"/>
      <c r="G25" s="24">
        <f>E25*F25*D25</f>
        <v>0</v>
      </c>
      <c r="H25" s="9"/>
      <c r="I25" s="9"/>
      <c r="J25" s="9"/>
      <c r="K25" s="311"/>
      <c r="L25" s="311"/>
      <c r="M25" s="276"/>
      <c r="N25" s="454"/>
      <c r="O25" s="426"/>
      <c r="P25" s="427"/>
      <c r="Q25" s="427"/>
      <c r="R25" s="427"/>
      <c r="S25" s="427"/>
      <c r="T25" s="427"/>
      <c r="U25" s="428"/>
    </row>
    <row r="26" spans="2:21" s="429" customFormat="1" ht="15.95" customHeight="1" thickBot="1" x14ac:dyDescent="0.25">
      <c r="B26" s="255"/>
      <c r="C26" s="252"/>
      <c r="D26" s="316"/>
      <c r="E26" s="256"/>
      <c r="F26" s="272"/>
      <c r="G26" s="253"/>
      <c r="H26" s="250"/>
      <c r="I26" s="250"/>
      <c r="J26" s="250"/>
      <c r="K26" s="250"/>
      <c r="L26" s="250"/>
      <c r="M26" s="276"/>
      <c r="N26" s="454"/>
      <c r="O26" s="426"/>
      <c r="P26" s="427"/>
      <c r="Q26" s="427"/>
      <c r="R26" s="427"/>
      <c r="S26" s="427"/>
      <c r="T26" s="427"/>
      <c r="U26" s="428"/>
    </row>
    <row r="27" spans="2:21" s="429" customFormat="1" ht="15.95" customHeight="1" thickTop="1" x14ac:dyDescent="0.2">
      <c r="B27" s="318"/>
      <c r="C27" s="319"/>
      <c r="D27" s="481"/>
      <c r="E27" s="321"/>
      <c r="F27" s="322" t="s">
        <v>33</v>
      </c>
      <c r="G27" s="323">
        <f>SUBTOTAL(9,G24:G26)</f>
        <v>254.87882423588377</v>
      </c>
      <c r="H27" s="324">
        <f>IF($G27=0,0,SUMPRODUCT($G24:$G26,H24:H26)/$G27)</f>
        <v>12.78</v>
      </c>
      <c r="I27" s="324">
        <f>IF($G27=0,0,SUMPRODUCT($G24:$G26,I24:I26)/$G27)</f>
        <v>23</v>
      </c>
      <c r="J27" s="324">
        <f>IF($G27=0,0,SUMPRODUCT($G24:$G26,J24:J26)/$G27)</f>
        <v>3.3</v>
      </c>
      <c r="K27" s="324">
        <f>SUBTOTAL(9,K24:K26)</f>
        <v>1000</v>
      </c>
      <c r="L27" s="324">
        <f>SUBTOTAL(9,L24:L26)</f>
        <v>1000</v>
      </c>
      <c r="M27" s="444"/>
      <c r="N27" s="381"/>
      <c r="O27" s="445" t="s">
        <v>533</v>
      </c>
      <c r="P27" s="446">
        <f t="shared" ref="P27:U27" si="1">G27</f>
        <v>254.87882423588377</v>
      </c>
      <c r="Q27" s="446">
        <f t="shared" si="1"/>
        <v>12.78</v>
      </c>
      <c r="R27" s="446">
        <f t="shared" si="1"/>
        <v>23</v>
      </c>
      <c r="S27" s="446">
        <f t="shared" si="1"/>
        <v>3.3</v>
      </c>
      <c r="T27" s="446">
        <f t="shared" si="1"/>
        <v>1000</v>
      </c>
      <c r="U27" s="447">
        <f t="shared" si="1"/>
        <v>1000</v>
      </c>
    </row>
    <row r="28" spans="2:21" ht="15.95" customHeight="1" x14ac:dyDescent="0.2">
      <c r="B28" s="243"/>
      <c r="C28" s="244"/>
      <c r="D28" s="482"/>
      <c r="E28" s="246"/>
      <c r="F28" s="279"/>
      <c r="G28" s="280"/>
      <c r="H28" s="281"/>
      <c r="I28" s="281"/>
      <c r="J28" s="281"/>
      <c r="K28" s="281"/>
      <c r="L28" s="281"/>
      <c r="M28" s="282"/>
    </row>
    <row r="29" spans="2:21" ht="15.95" customHeight="1" x14ac:dyDescent="0.2">
      <c r="B29" s="82"/>
      <c r="C29" s="242" t="s">
        <v>83</v>
      </c>
      <c r="D29" s="484"/>
      <c r="E29" s="228"/>
      <c r="F29" s="242"/>
      <c r="G29" s="227"/>
      <c r="H29" s="227"/>
      <c r="I29" s="227"/>
      <c r="J29" s="227"/>
      <c r="K29" s="227"/>
      <c r="L29" s="227"/>
      <c r="M29" s="274"/>
    </row>
    <row r="30" spans="2:21" ht="15.95" customHeight="1" x14ac:dyDescent="0.2">
      <c r="B30" s="58" t="s">
        <v>84</v>
      </c>
      <c r="C30" s="56" t="s">
        <v>466</v>
      </c>
      <c r="D30" s="316">
        <v>0.5</v>
      </c>
      <c r="E30" s="218">
        <v>0.8</v>
      </c>
      <c r="F30" s="271">
        <f>7.2*(0.5*PI()*3.3^2+(12-3.3)*6.6)*$Q$3</f>
        <v>509.75764847176754</v>
      </c>
      <c r="G30" s="24">
        <f>E30*F30*D30</f>
        <v>203.90305938870702</v>
      </c>
      <c r="H30" s="16">
        <v>29.32</v>
      </c>
      <c r="I30" s="16">
        <v>15.9</v>
      </c>
      <c r="J30" s="16">
        <v>3.3</v>
      </c>
      <c r="K30" s="169">
        <v>1000</v>
      </c>
      <c r="L30" s="169">
        <v>1000</v>
      </c>
      <c r="M30" s="273" t="s">
        <v>501</v>
      </c>
    </row>
    <row r="31" spans="2:21" ht="15.95" customHeight="1" x14ac:dyDescent="0.2">
      <c r="B31" s="59"/>
      <c r="C31" s="56" t="s">
        <v>457</v>
      </c>
      <c r="D31" s="317"/>
      <c r="E31" s="218"/>
      <c r="F31" s="271"/>
      <c r="G31" s="24">
        <f>E31*F31*D31</f>
        <v>0</v>
      </c>
      <c r="H31" s="16"/>
      <c r="I31" s="16"/>
      <c r="J31" s="16"/>
      <c r="K31" s="169"/>
      <c r="L31" s="169"/>
      <c r="M31" s="273"/>
    </row>
    <row r="32" spans="2:21" ht="15.95" customHeight="1" thickBot="1" x14ac:dyDescent="0.25">
      <c r="B32" s="255"/>
      <c r="C32" s="252"/>
      <c r="D32" s="316"/>
      <c r="E32" s="256"/>
      <c r="F32" s="272"/>
      <c r="G32" s="253"/>
      <c r="H32" s="250"/>
      <c r="I32" s="250"/>
      <c r="J32" s="250"/>
      <c r="K32" s="250"/>
      <c r="L32" s="272"/>
      <c r="M32" s="276"/>
    </row>
    <row r="33" spans="2:21" ht="15.95" customHeight="1" thickTop="1" x14ac:dyDescent="0.2">
      <c r="B33" s="318"/>
      <c r="C33" s="319"/>
      <c r="D33" s="481"/>
      <c r="E33" s="321"/>
      <c r="F33" s="322" t="s">
        <v>33</v>
      </c>
      <c r="G33" s="323">
        <f>SUBTOTAL(9,G30:G32)</f>
        <v>203.90305938870702</v>
      </c>
      <c r="H33" s="324">
        <f>IF($G33=0,0,SUMPRODUCT($G30:$G32,H30:H32)/$G33)</f>
        <v>29.32</v>
      </c>
      <c r="I33" s="324">
        <f>IF($G33=0,0,SUMPRODUCT($G30:$G32,I30:I32)/$G33)</f>
        <v>15.899999999999999</v>
      </c>
      <c r="J33" s="324">
        <f>IF($G33=0,0,SUMPRODUCT($G30:$G32,J30:J32)/$G33)</f>
        <v>3.3</v>
      </c>
      <c r="K33" s="324">
        <f>SUBTOTAL(9,K30:K32)</f>
        <v>1000</v>
      </c>
      <c r="L33" s="324">
        <f>SUBTOTAL(9,L30:L32)</f>
        <v>1000</v>
      </c>
      <c r="M33" s="444"/>
      <c r="O33" s="445" t="s">
        <v>543</v>
      </c>
      <c r="P33" s="446">
        <f t="shared" ref="P33:U33" si="2">G33</f>
        <v>203.90305938870702</v>
      </c>
      <c r="Q33" s="446">
        <f t="shared" si="2"/>
        <v>29.32</v>
      </c>
      <c r="R33" s="446">
        <f t="shared" si="2"/>
        <v>15.899999999999999</v>
      </c>
      <c r="S33" s="446">
        <f t="shared" si="2"/>
        <v>3.3</v>
      </c>
      <c r="T33" s="446">
        <f t="shared" si="2"/>
        <v>1000</v>
      </c>
      <c r="U33" s="447">
        <f t="shared" si="2"/>
        <v>1000</v>
      </c>
    </row>
    <row r="34" spans="2:21" ht="15.95" customHeight="1" x14ac:dyDescent="0.2">
      <c r="B34" s="475"/>
      <c r="C34" s="419"/>
      <c r="D34" s="477"/>
      <c r="E34" s="419"/>
      <c r="F34" s="419"/>
      <c r="G34" s="419"/>
      <c r="H34" s="419"/>
      <c r="I34" s="419"/>
      <c r="J34" s="419"/>
      <c r="K34" s="419"/>
      <c r="L34" s="419"/>
      <c r="M34" s="476"/>
    </row>
    <row r="35" spans="2:21" ht="15.95" customHeight="1" x14ac:dyDescent="0.2">
      <c r="B35" s="463"/>
      <c r="C35" s="470" t="s">
        <v>545</v>
      </c>
      <c r="D35" s="478"/>
      <c r="E35" s="465"/>
      <c r="F35" s="466"/>
      <c r="G35" s="467"/>
      <c r="H35" s="468"/>
      <c r="I35" s="468"/>
      <c r="J35" s="468"/>
      <c r="K35" s="468"/>
      <c r="L35" s="468"/>
      <c r="M35" s="469"/>
    </row>
    <row r="36" spans="2:21" ht="15.95" customHeight="1" x14ac:dyDescent="0.2">
      <c r="B36" s="456"/>
      <c r="C36" s="448"/>
      <c r="D36" s="480"/>
      <c r="E36" s="449"/>
      <c r="F36" s="457"/>
      <c r="G36" s="458"/>
      <c r="H36" s="459"/>
      <c r="I36" s="459"/>
      <c r="J36" s="459"/>
      <c r="K36" s="459"/>
      <c r="L36" s="459"/>
      <c r="M36" s="460"/>
    </row>
    <row r="37" spans="2:21" ht="15.95" customHeight="1" x14ac:dyDescent="0.2">
      <c r="B37" s="82"/>
      <c r="C37" s="242" t="s">
        <v>458</v>
      </c>
      <c r="D37" s="484"/>
      <c r="E37" s="228"/>
      <c r="F37" s="242"/>
      <c r="G37" s="227"/>
      <c r="H37" s="227"/>
      <c r="I37" s="227"/>
      <c r="J37" s="227"/>
      <c r="K37" s="227"/>
      <c r="L37" s="227"/>
      <c r="M37" s="274"/>
    </row>
    <row r="38" spans="2:21" ht="15.95" customHeight="1" x14ac:dyDescent="0.2">
      <c r="B38" s="59" t="s">
        <v>307</v>
      </c>
      <c r="C38" s="29" t="s">
        <v>402</v>
      </c>
      <c r="D38" s="317">
        <v>0.5</v>
      </c>
      <c r="E38" s="218">
        <v>1</v>
      </c>
      <c r="F38" s="271">
        <f>7.2*(0.5*PI()*3.3^2+(12-3.3)*6.6)*$Q$3</f>
        <v>509.75764847176754</v>
      </c>
      <c r="G38" s="24">
        <f>E38*F38*D38</f>
        <v>254.87882423588377</v>
      </c>
      <c r="H38" s="16">
        <v>12.78</v>
      </c>
      <c r="I38" s="16">
        <v>-23</v>
      </c>
      <c r="J38" s="16">
        <v>3.3</v>
      </c>
      <c r="K38" s="169">
        <v>1000</v>
      </c>
      <c r="L38" s="169">
        <v>1000</v>
      </c>
      <c r="M38" s="273" t="s">
        <v>407</v>
      </c>
    </row>
    <row r="39" spans="2:21" ht="15.95" customHeight="1" x14ac:dyDescent="0.2">
      <c r="B39" s="59"/>
      <c r="C39" s="56" t="s">
        <v>457</v>
      </c>
      <c r="D39" s="317"/>
      <c r="E39" s="310"/>
      <c r="F39" s="311"/>
      <c r="G39" s="24">
        <f>E39*F39*D39</f>
        <v>0</v>
      </c>
      <c r="H39" s="9"/>
      <c r="I39" s="9"/>
      <c r="J39" s="9"/>
      <c r="K39" s="311"/>
      <c r="L39" s="311"/>
      <c r="M39" s="276"/>
    </row>
    <row r="40" spans="2:21" ht="15.95" customHeight="1" thickBot="1" x14ac:dyDescent="0.25">
      <c r="B40" s="255"/>
      <c r="C40" s="252"/>
      <c r="D40" s="316"/>
      <c r="E40" s="256"/>
      <c r="F40" s="272"/>
      <c r="G40" s="253"/>
      <c r="H40" s="250"/>
      <c r="I40" s="250"/>
      <c r="J40" s="250"/>
      <c r="K40" s="250"/>
      <c r="L40" s="250"/>
      <c r="M40" s="276"/>
    </row>
    <row r="41" spans="2:21" ht="15.95" customHeight="1" thickTop="1" x14ac:dyDescent="0.2">
      <c r="B41" s="318"/>
      <c r="C41" s="319"/>
      <c r="D41" s="481"/>
      <c r="E41" s="321"/>
      <c r="F41" s="322" t="s">
        <v>33</v>
      </c>
      <c r="G41" s="323">
        <f>SUBTOTAL(9,G38:G40)</f>
        <v>254.87882423588377</v>
      </c>
      <c r="H41" s="324">
        <f>IF($G41=0,0,SUMPRODUCT($G38:$G40,H38:H40)/$G41)</f>
        <v>12.78</v>
      </c>
      <c r="I41" s="324">
        <f>IF($G41=0,0,SUMPRODUCT($G38:$G40,I38:I40)/$G41)</f>
        <v>-23</v>
      </c>
      <c r="J41" s="324">
        <f>IF($G41=0,0,SUMPRODUCT($G38:$G40,J38:J40)/$G41)</f>
        <v>3.3</v>
      </c>
      <c r="K41" s="324">
        <f>SUBTOTAL(9,K38:K40)</f>
        <v>1000</v>
      </c>
      <c r="L41" s="324">
        <f>SUBTOTAL(9,L38:L40)</f>
        <v>1000</v>
      </c>
      <c r="M41" s="444"/>
      <c r="O41" s="445" t="s">
        <v>547</v>
      </c>
      <c r="P41" s="446">
        <f t="shared" ref="P41:U41" si="3">G41</f>
        <v>254.87882423588377</v>
      </c>
      <c r="Q41" s="446">
        <f t="shared" si="3"/>
        <v>12.78</v>
      </c>
      <c r="R41" s="446">
        <f t="shared" si="3"/>
        <v>-23</v>
      </c>
      <c r="S41" s="446">
        <f t="shared" si="3"/>
        <v>3.3</v>
      </c>
      <c r="T41" s="446">
        <f t="shared" si="3"/>
        <v>1000</v>
      </c>
      <c r="U41" s="447">
        <f t="shared" si="3"/>
        <v>1000</v>
      </c>
    </row>
    <row r="42" spans="2:21" ht="15.95" customHeight="1" x14ac:dyDescent="0.2">
      <c r="E42" s="452"/>
      <c r="G42" s="451"/>
      <c r="M42" s="453"/>
    </row>
    <row r="43" spans="2:21" ht="15.95" customHeight="1" x14ac:dyDescent="0.2">
      <c r="E43" s="452"/>
      <c r="G43" s="451"/>
      <c r="M43" s="453"/>
    </row>
    <row r="44" spans="2:21" ht="15.95" customHeight="1" x14ac:dyDescent="0.2">
      <c r="E44" s="452"/>
      <c r="G44" s="451"/>
      <c r="M44" s="453"/>
    </row>
    <row r="45" spans="2:21" ht="15.95" customHeight="1" x14ac:dyDescent="0.2">
      <c r="E45" s="452"/>
      <c r="G45" s="451"/>
      <c r="M45" s="453"/>
    </row>
    <row r="46" spans="2:21" ht="15.95" customHeight="1" x14ac:dyDescent="0.2">
      <c r="E46" s="452"/>
      <c r="G46" s="451"/>
      <c r="M46" s="453"/>
    </row>
    <row r="47" spans="2:21" ht="15.95" customHeight="1" x14ac:dyDescent="0.2">
      <c r="E47" s="452"/>
      <c r="G47" s="451"/>
      <c r="M47" s="453"/>
    </row>
    <row r="48" spans="2:21" ht="15.95" customHeight="1" x14ac:dyDescent="0.2">
      <c r="E48" s="452"/>
      <c r="G48" s="451"/>
      <c r="M48" s="453"/>
    </row>
    <row r="49" spans="5:13" ht="15.95" customHeight="1" x14ac:dyDescent="0.2">
      <c r="E49" s="452"/>
      <c r="G49" s="451"/>
      <c r="M49" s="453"/>
    </row>
    <row r="50" spans="5:13" ht="15.95" customHeight="1" x14ac:dyDescent="0.2">
      <c r="E50" s="452"/>
      <c r="G50" s="451"/>
      <c r="M50" s="453"/>
    </row>
    <row r="51" spans="5:13" ht="15.95" customHeight="1" x14ac:dyDescent="0.2">
      <c r="E51" s="452"/>
      <c r="G51" s="451"/>
      <c r="M51" s="453"/>
    </row>
    <row r="52" spans="5:13" ht="15.95" customHeight="1" x14ac:dyDescent="0.2">
      <c r="E52" s="452"/>
      <c r="G52" s="451"/>
      <c r="M52" s="453"/>
    </row>
    <row r="53" spans="5:13" ht="15.95" customHeight="1" x14ac:dyDescent="0.2">
      <c r="E53" s="452"/>
      <c r="G53" s="451"/>
      <c r="M53" s="453"/>
    </row>
    <row r="54" spans="5:13" ht="15.95" customHeight="1" x14ac:dyDescent="0.2">
      <c r="E54" s="452"/>
      <c r="G54" s="451"/>
      <c r="M54" s="453"/>
    </row>
    <row r="55" spans="5:13" ht="15.95" customHeight="1" x14ac:dyDescent="0.2">
      <c r="E55" s="452"/>
      <c r="G55" s="451"/>
      <c r="M55" s="453"/>
    </row>
    <row r="56" spans="5:13" ht="15.95" customHeight="1" x14ac:dyDescent="0.2">
      <c r="E56" s="452"/>
      <c r="G56" s="451"/>
      <c r="M56" s="453"/>
    </row>
    <row r="57" spans="5:13" ht="15.95" customHeight="1" x14ac:dyDescent="0.2">
      <c r="E57" s="452"/>
      <c r="G57" s="451"/>
      <c r="M57" s="453"/>
    </row>
    <row r="58" spans="5:13" ht="15.95" customHeight="1" x14ac:dyDescent="0.2">
      <c r="E58" s="452"/>
      <c r="G58" s="451"/>
      <c r="M58" s="453"/>
    </row>
    <row r="59" spans="5:13" ht="15.95" customHeight="1" x14ac:dyDescent="0.2">
      <c r="E59" s="452"/>
      <c r="G59" s="451"/>
      <c r="M59" s="453"/>
    </row>
    <row r="60" spans="5:13" ht="15.95" customHeight="1" x14ac:dyDescent="0.2">
      <c r="E60" s="452"/>
      <c r="G60" s="451"/>
      <c r="M60" s="453"/>
    </row>
    <row r="61" spans="5:13" ht="15.95" customHeight="1" x14ac:dyDescent="0.2">
      <c r="E61" s="452"/>
      <c r="G61" s="451"/>
      <c r="M61" s="453"/>
    </row>
    <row r="62" spans="5:13" ht="15.95" customHeight="1" x14ac:dyDescent="0.2">
      <c r="E62" s="452"/>
      <c r="G62" s="451"/>
      <c r="M62" s="453"/>
    </row>
    <row r="63" spans="5:13" ht="15.95" customHeight="1" x14ac:dyDescent="0.2">
      <c r="E63" s="452"/>
      <c r="G63" s="451"/>
      <c r="M63" s="453"/>
    </row>
    <row r="64" spans="5:13" ht="15.95" customHeight="1" x14ac:dyDescent="0.2">
      <c r="E64" s="452"/>
      <c r="G64" s="451"/>
      <c r="M64" s="453"/>
    </row>
    <row r="65" spans="5:13" ht="15.95" customHeight="1" x14ac:dyDescent="0.2">
      <c r="E65" s="452"/>
      <c r="G65" s="451"/>
      <c r="M65" s="453"/>
    </row>
    <row r="66" spans="5:13" ht="15.95" customHeight="1" x14ac:dyDescent="0.2">
      <c r="E66" s="452"/>
      <c r="G66" s="451"/>
      <c r="M66" s="453"/>
    </row>
    <row r="67" spans="5:13" ht="15.95" customHeight="1" x14ac:dyDescent="0.2">
      <c r="E67" s="452"/>
      <c r="G67" s="451"/>
      <c r="M67" s="453"/>
    </row>
    <row r="68" spans="5:13" ht="15.95" customHeight="1" x14ac:dyDescent="0.2">
      <c r="E68" s="452"/>
      <c r="G68" s="451"/>
      <c r="M68" s="453"/>
    </row>
    <row r="69" spans="5:13" ht="15.95" customHeight="1" x14ac:dyDescent="0.2">
      <c r="E69" s="452"/>
      <c r="G69" s="451"/>
      <c r="M69" s="453"/>
    </row>
    <row r="70" spans="5:13" ht="15.95" customHeight="1" x14ac:dyDescent="0.2">
      <c r="E70" s="452"/>
      <c r="G70" s="451"/>
      <c r="M70" s="453"/>
    </row>
    <row r="71" spans="5:13" ht="15.95" customHeight="1" x14ac:dyDescent="0.2">
      <c r="E71" s="452"/>
      <c r="G71" s="451"/>
      <c r="M71" s="453"/>
    </row>
    <row r="72" spans="5:13" ht="15.95" customHeight="1" x14ac:dyDescent="0.2">
      <c r="E72" s="452"/>
      <c r="G72" s="451"/>
      <c r="M72" s="453"/>
    </row>
    <row r="73" spans="5:13" ht="15.95" customHeight="1" x14ac:dyDescent="0.2">
      <c r="E73" s="452"/>
      <c r="G73" s="451"/>
      <c r="M73" s="453"/>
    </row>
    <row r="74" spans="5:13" ht="15.95" customHeight="1" x14ac:dyDescent="0.2">
      <c r="E74" s="452"/>
      <c r="G74" s="451"/>
      <c r="M74" s="453"/>
    </row>
    <row r="75" spans="5:13" ht="15.95" customHeight="1" x14ac:dyDescent="0.2">
      <c r="E75" s="452"/>
      <c r="G75" s="451"/>
      <c r="M75" s="453"/>
    </row>
    <row r="76" spans="5:13" ht="15.95" customHeight="1" x14ac:dyDescent="0.2">
      <c r="E76" s="452"/>
      <c r="G76" s="451"/>
      <c r="M76" s="453"/>
    </row>
    <row r="77" spans="5:13" ht="15.95" customHeight="1" x14ac:dyDescent="0.2">
      <c r="E77" s="452"/>
      <c r="G77" s="451"/>
      <c r="M77" s="453"/>
    </row>
    <row r="78" spans="5:13" ht="15.95" customHeight="1" x14ac:dyDescent="0.2">
      <c r="E78" s="452"/>
      <c r="G78" s="451"/>
      <c r="M78" s="453"/>
    </row>
    <row r="79" spans="5:13" ht="15.95" customHeight="1" x14ac:dyDescent="0.2">
      <c r="E79" s="452"/>
      <c r="G79" s="451"/>
      <c r="M79" s="453"/>
    </row>
    <row r="80" spans="5:13" ht="15.95" customHeight="1" x14ac:dyDescent="0.2">
      <c r="E80" s="452"/>
      <c r="G80" s="451"/>
      <c r="M80" s="453"/>
    </row>
    <row r="81" spans="5:13" ht="15.95" customHeight="1" x14ac:dyDescent="0.2">
      <c r="E81" s="452"/>
      <c r="G81" s="451"/>
      <c r="M81" s="453"/>
    </row>
    <row r="82" spans="5:13" ht="15.95" customHeight="1" x14ac:dyDescent="0.2">
      <c r="E82" s="452"/>
      <c r="G82" s="451"/>
      <c r="M82" s="453"/>
    </row>
    <row r="83" spans="5:13" ht="15.95" customHeight="1" x14ac:dyDescent="0.2">
      <c r="E83" s="452"/>
      <c r="G83" s="451"/>
      <c r="M83" s="453"/>
    </row>
    <row r="84" spans="5:13" ht="15.95" customHeight="1" x14ac:dyDescent="0.2">
      <c r="E84" s="452"/>
      <c r="G84" s="451"/>
      <c r="M84" s="453"/>
    </row>
    <row r="85" spans="5:13" ht="15.95" customHeight="1" x14ac:dyDescent="0.2">
      <c r="E85" s="452"/>
      <c r="G85" s="451"/>
      <c r="M85" s="453"/>
    </row>
    <row r="86" spans="5:13" ht="15.95" customHeight="1" x14ac:dyDescent="0.2">
      <c r="E86" s="452"/>
      <c r="G86" s="451"/>
      <c r="M86" s="453"/>
    </row>
    <row r="87" spans="5:13" ht="15.95" customHeight="1" x14ac:dyDescent="0.2">
      <c r="E87" s="452"/>
      <c r="G87" s="451"/>
      <c r="M87" s="453"/>
    </row>
    <row r="88" spans="5:13" ht="15.95" customHeight="1" x14ac:dyDescent="0.2">
      <c r="E88" s="452"/>
      <c r="G88" s="451"/>
      <c r="M88" s="453"/>
    </row>
    <row r="89" spans="5:13" ht="15.95" customHeight="1" x14ac:dyDescent="0.2">
      <c r="E89" s="452"/>
      <c r="G89" s="451"/>
      <c r="M89" s="453"/>
    </row>
    <row r="90" spans="5:13" ht="15.95" customHeight="1" x14ac:dyDescent="0.2">
      <c r="E90" s="452"/>
      <c r="G90" s="451"/>
      <c r="M90" s="453"/>
    </row>
    <row r="91" spans="5:13" ht="15.95" customHeight="1" x14ac:dyDescent="0.2">
      <c r="E91" s="452"/>
      <c r="G91" s="451"/>
      <c r="M91" s="453"/>
    </row>
    <row r="92" spans="5:13" ht="15.95" customHeight="1" x14ac:dyDescent="0.2">
      <c r="E92" s="452"/>
      <c r="G92" s="451"/>
      <c r="M92" s="453"/>
    </row>
    <row r="93" spans="5:13" ht="15.95" customHeight="1" x14ac:dyDescent="0.2">
      <c r="E93" s="452"/>
      <c r="G93" s="451"/>
      <c r="M93" s="453"/>
    </row>
    <row r="94" spans="5:13" ht="15.95" customHeight="1" x14ac:dyDescent="0.2">
      <c r="E94" s="452"/>
      <c r="G94" s="451"/>
      <c r="M94" s="453"/>
    </row>
    <row r="95" spans="5:13" ht="15.95" customHeight="1" x14ac:dyDescent="0.2">
      <c r="E95" s="452"/>
      <c r="G95" s="451"/>
      <c r="M95" s="453"/>
    </row>
    <row r="96" spans="5:13" ht="15.95" customHeight="1" x14ac:dyDescent="0.2">
      <c r="E96" s="452"/>
      <c r="G96" s="451"/>
      <c r="M96" s="453"/>
    </row>
    <row r="97" spans="5:13" ht="15.95" customHeight="1" x14ac:dyDescent="0.2">
      <c r="E97" s="452"/>
      <c r="G97" s="451"/>
      <c r="M97" s="453"/>
    </row>
    <row r="98" spans="5:13" ht="15.95" customHeight="1" x14ac:dyDescent="0.2">
      <c r="E98" s="452"/>
      <c r="G98" s="451"/>
      <c r="M98" s="453"/>
    </row>
    <row r="99" spans="5:13" ht="15.95" customHeight="1" x14ac:dyDescent="0.2">
      <c r="E99" s="452"/>
      <c r="G99" s="451"/>
      <c r="M99" s="453"/>
    </row>
    <row r="100" spans="5:13" ht="15.95" customHeight="1" x14ac:dyDescent="0.2">
      <c r="E100" s="452"/>
      <c r="G100" s="451"/>
      <c r="M100" s="453"/>
    </row>
    <row r="101" spans="5:13" ht="15.95" customHeight="1" x14ac:dyDescent="0.2">
      <c r="E101" s="452"/>
      <c r="G101" s="451"/>
      <c r="M101" s="453"/>
    </row>
    <row r="102" spans="5:13" ht="15.95" customHeight="1" x14ac:dyDescent="0.2">
      <c r="E102" s="452"/>
      <c r="G102" s="451"/>
      <c r="M102" s="453"/>
    </row>
    <row r="103" spans="5:13" ht="15.95" customHeight="1" x14ac:dyDescent="0.2">
      <c r="E103" s="452"/>
      <c r="G103" s="451"/>
      <c r="M103" s="453"/>
    </row>
    <row r="104" spans="5:13" ht="15.95" customHeight="1" x14ac:dyDescent="0.2">
      <c r="E104" s="452"/>
      <c r="G104" s="451"/>
      <c r="M104" s="453"/>
    </row>
    <row r="105" spans="5:13" ht="15.95" customHeight="1" x14ac:dyDescent="0.2">
      <c r="E105" s="452"/>
      <c r="G105" s="451"/>
      <c r="M105" s="453"/>
    </row>
    <row r="106" spans="5:13" ht="15.95" customHeight="1" x14ac:dyDescent="0.2">
      <c r="E106" s="452"/>
      <c r="G106" s="451"/>
      <c r="M106" s="453"/>
    </row>
    <row r="107" spans="5:13" ht="15.95" customHeight="1" x14ac:dyDescent="0.2">
      <c r="E107" s="452"/>
      <c r="G107" s="451"/>
      <c r="M107" s="453"/>
    </row>
    <row r="108" spans="5:13" ht="15.95" customHeight="1" x14ac:dyDescent="0.2">
      <c r="E108" s="452"/>
      <c r="G108" s="451"/>
      <c r="M108" s="453"/>
    </row>
    <row r="109" spans="5:13" ht="15.95" customHeight="1" x14ac:dyDescent="0.2">
      <c r="E109" s="452"/>
      <c r="G109" s="451"/>
      <c r="M109" s="453"/>
    </row>
    <row r="110" spans="5:13" ht="15.95" customHeight="1" x14ac:dyDescent="0.2">
      <c r="E110" s="452"/>
      <c r="G110" s="451"/>
      <c r="M110" s="453"/>
    </row>
    <row r="111" spans="5:13" ht="15.95" customHeight="1" x14ac:dyDescent="0.2">
      <c r="E111" s="452"/>
      <c r="G111" s="451"/>
      <c r="M111" s="453"/>
    </row>
    <row r="112" spans="5:13" ht="15.95" customHeight="1" x14ac:dyDescent="0.2"/>
    <row r="113" ht="15.95" customHeight="1" x14ac:dyDescent="0.2"/>
    <row r="114" ht="15.95" customHeight="1" x14ac:dyDescent="0.2"/>
    <row r="115" ht="15.95" customHeight="1" x14ac:dyDescent="0.2"/>
    <row r="116" ht="15.95" customHeight="1" x14ac:dyDescent="0.2"/>
    <row r="117" ht="15.95" customHeight="1" x14ac:dyDescent="0.2"/>
    <row r="118" ht="15.95" customHeight="1" x14ac:dyDescent="0.2"/>
    <row r="119" ht="15.95" customHeight="1" x14ac:dyDescent="0.2"/>
    <row r="120" ht="15.95" customHeight="1" x14ac:dyDescent="0.2"/>
    <row r="121" ht="15.95" customHeight="1" x14ac:dyDescent="0.2"/>
    <row r="122" ht="15.95" customHeight="1" x14ac:dyDescent="0.2"/>
    <row r="123" ht="15.95" customHeight="1" x14ac:dyDescent="0.2"/>
    <row r="124" ht="15.95" customHeight="1" x14ac:dyDescent="0.2"/>
    <row r="125" ht="15.95" customHeight="1" x14ac:dyDescent="0.2"/>
    <row r="126" ht="15.95" customHeight="1" x14ac:dyDescent="0.2"/>
    <row r="127" ht="15.95" customHeight="1" x14ac:dyDescent="0.2"/>
    <row r="128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  <row r="693" ht="15.95" customHeight="1" x14ac:dyDescent="0.2"/>
    <row r="694" ht="15.95" customHeight="1" x14ac:dyDescent="0.2"/>
    <row r="695" ht="15.95" customHeight="1" x14ac:dyDescent="0.2"/>
    <row r="696" ht="15.95" customHeight="1" x14ac:dyDescent="0.2"/>
    <row r="697" ht="15.95" customHeight="1" x14ac:dyDescent="0.2"/>
    <row r="698" ht="15.95" customHeight="1" x14ac:dyDescent="0.2"/>
    <row r="699" ht="15.95" customHeight="1" x14ac:dyDescent="0.2"/>
    <row r="700" ht="15.95" customHeight="1" x14ac:dyDescent="0.2"/>
  </sheetData>
  <dataConsolidate/>
  <mergeCells count="15">
    <mergeCell ref="J7:J8"/>
    <mergeCell ref="K7:K8"/>
    <mergeCell ref="L7:L8"/>
    <mergeCell ref="M7:M9"/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I7:I8"/>
  </mergeCells>
  <conditionalFormatting sqref="E41 E33 E27:E28 E24:F26 E30:F32 E38:F40">
    <cfRule type="expression" dxfId="24" priority="1" stopIfTrue="1">
      <formula>#REF!="B"</formula>
    </cfRule>
  </conditionalFormatting>
  <conditionalFormatting sqref="E35:E36 E19 E21:E22 E11:E12 E14:F18">
    <cfRule type="expression" dxfId="23" priority="2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B1:U624"/>
  <sheetViews>
    <sheetView topLeftCell="B1" zoomScale="85" zoomScaleNormal="85" zoomScaleSheetLayoutView="85" workbookViewId="0">
      <pane ySplit="10" topLeftCell="A29" activePane="bottomLeft" state="frozen"/>
      <selection activeCell="C2" sqref="C2:U36"/>
      <selection pane="bottomLeft" activeCell="C2" sqref="C2:U36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451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379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529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40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0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38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1"/>
      <c r="G8" s="611"/>
      <c r="H8" s="611"/>
      <c r="I8" s="611"/>
      <c r="J8" s="611"/>
      <c r="K8" s="611"/>
      <c r="L8" s="611"/>
      <c r="M8" s="639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416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40"/>
      <c r="O9" s="417"/>
    </row>
    <row r="10" spans="2:21" ht="15.95" customHeight="1" thickTop="1" x14ac:dyDescent="0.2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20"/>
    </row>
    <row r="11" spans="2:21" ht="15.95" customHeight="1" x14ac:dyDescent="0.2">
      <c r="B11" s="463"/>
      <c r="C11" s="470" t="s">
        <v>548</v>
      </c>
      <c r="D11" s="464"/>
      <c r="E11" s="465"/>
      <c r="F11" s="466"/>
      <c r="G11" s="467"/>
      <c r="H11" s="468"/>
      <c r="I11" s="468"/>
      <c r="J11" s="468"/>
      <c r="K11" s="468"/>
      <c r="L11" s="468"/>
      <c r="M11" s="469"/>
    </row>
    <row r="12" spans="2:21" ht="15.95" customHeight="1" x14ac:dyDescent="0.2">
      <c r="B12" s="243"/>
      <c r="C12" s="244"/>
      <c r="D12" s="245"/>
      <c r="E12" s="246"/>
      <c r="F12" s="279"/>
      <c r="G12" s="280"/>
      <c r="H12" s="281"/>
      <c r="I12" s="281"/>
      <c r="J12" s="281"/>
      <c r="K12" s="281"/>
      <c r="L12" s="281"/>
      <c r="M12" s="282"/>
    </row>
    <row r="13" spans="2:21" ht="15.95" customHeight="1" x14ac:dyDescent="0.2">
      <c r="B13" s="82"/>
      <c r="C13" s="242" t="s">
        <v>460</v>
      </c>
      <c r="D13" s="227"/>
      <c r="E13" s="228"/>
      <c r="F13" s="242"/>
      <c r="G13" s="227"/>
      <c r="H13" s="227"/>
      <c r="I13" s="227"/>
      <c r="J13" s="227"/>
      <c r="K13" s="227"/>
      <c r="L13" s="227"/>
      <c r="M13" s="274"/>
    </row>
    <row r="14" spans="2:21" ht="15.95" customHeight="1" x14ac:dyDescent="0.2">
      <c r="B14" s="58" t="s">
        <v>321</v>
      </c>
      <c r="C14" s="56" t="s">
        <v>429</v>
      </c>
      <c r="D14" s="316">
        <v>0.5</v>
      </c>
      <c r="E14" s="309">
        <v>1.73</v>
      </c>
      <c r="F14" s="271">
        <f>8.1*7.2*4.5*$Q$3</f>
        <v>249.31799999999998</v>
      </c>
      <c r="G14" s="24">
        <f>+E14*F14*D14</f>
        <v>215.66006999999999</v>
      </c>
      <c r="H14" s="16">
        <v>-26.55</v>
      </c>
      <c r="I14" s="16">
        <v>28.2</v>
      </c>
      <c r="J14" s="16">
        <v>3.3</v>
      </c>
      <c r="K14" s="16">
        <v>4</v>
      </c>
      <c r="L14" s="16">
        <v>5</v>
      </c>
      <c r="M14" s="312"/>
    </row>
    <row r="15" spans="2:21" ht="15.95" customHeight="1" x14ac:dyDescent="0.2">
      <c r="B15" s="59" t="s">
        <v>322</v>
      </c>
      <c r="C15" s="56" t="s">
        <v>429</v>
      </c>
      <c r="D15" s="317">
        <v>0.5</v>
      </c>
      <c r="E15" s="310">
        <v>1.73</v>
      </c>
      <c r="F15" s="271">
        <f>8.1*5.4*4.5*$Q$3</f>
        <v>186.98850000000002</v>
      </c>
      <c r="G15" s="24">
        <f>+E15*F15*D15</f>
        <v>161.74505250000001</v>
      </c>
      <c r="H15" s="9">
        <v>-26.55</v>
      </c>
      <c r="I15" s="9">
        <v>36.6</v>
      </c>
      <c r="J15" s="9">
        <v>3.3</v>
      </c>
      <c r="K15" s="9">
        <v>4</v>
      </c>
      <c r="L15" s="9">
        <v>5</v>
      </c>
      <c r="M15" s="313"/>
    </row>
    <row r="16" spans="2:21" ht="15.95" customHeight="1" thickBot="1" x14ac:dyDescent="0.25">
      <c r="B16" s="255"/>
      <c r="C16" s="252"/>
      <c r="D16" s="316"/>
      <c r="E16" s="256"/>
      <c r="F16" s="272"/>
      <c r="G16" s="253"/>
      <c r="H16" s="250"/>
      <c r="I16" s="250"/>
      <c r="J16" s="250"/>
      <c r="K16" s="250"/>
      <c r="L16" s="250"/>
      <c r="M16" s="276"/>
    </row>
    <row r="17" spans="2:21" ht="15.95" customHeight="1" thickTop="1" x14ac:dyDescent="0.2">
      <c r="B17" s="318"/>
      <c r="C17" s="319"/>
      <c r="D17" s="320"/>
      <c r="E17" s="321"/>
      <c r="F17" s="322" t="s">
        <v>33</v>
      </c>
      <c r="G17" s="323">
        <f>SUBTOTAL(9,G14:G16)</f>
        <v>377.4051225</v>
      </c>
      <c r="H17" s="324">
        <f>IF($G17=0,0,SUMPRODUCT($G14:$G16,H14:H16)/$G17)</f>
        <v>-26.549999999999997</v>
      </c>
      <c r="I17" s="324">
        <f>IF($G17=0,0,SUMPRODUCT($G14:$G16,I14:I16)/$G17)</f>
        <v>31.800000000000004</v>
      </c>
      <c r="J17" s="324">
        <f>IF($G17=0,0,SUMPRODUCT($G14:$G16,J14:J16)/$G17)</f>
        <v>3.3</v>
      </c>
      <c r="K17" s="324">
        <f>SUBTOTAL(9,K14:K16)</f>
        <v>8</v>
      </c>
      <c r="L17" s="324">
        <f>SUBTOTAL(9,L14:L16)</f>
        <v>10</v>
      </c>
      <c r="M17" s="444"/>
      <c r="O17" s="445" t="s">
        <v>551</v>
      </c>
      <c r="P17" s="446">
        <f t="shared" ref="P17:U17" si="0">G17</f>
        <v>377.4051225</v>
      </c>
      <c r="Q17" s="446">
        <f t="shared" si="0"/>
        <v>-26.549999999999997</v>
      </c>
      <c r="R17" s="446">
        <f t="shared" si="0"/>
        <v>31.800000000000004</v>
      </c>
      <c r="S17" s="446">
        <f t="shared" si="0"/>
        <v>3.3</v>
      </c>
      <c r="T17" s="446">
        <f t="shared" si="0"/>
        <v>8</v>
      </c>
      <c r="U17" s="447">
        <f t="shared" si="0"/>
        <v>10</v>
      </c>
    </row>
    <row r="18" spans="2:21" ht="15.95" customHeight="1" x14ac:dyDescent="0.2">
      <c r="B18" s="243"/>
      <c r="C18" s="244"/>
      <c r="D18" s="245"/>
      <c r="E18" s="246"/>
      <c r="F18" s="257"/>
      <c r="G18" s="247"/>
      <c r="H18" s="248"/>
      <c r="I18" s="248"/>
      <c r="J18" s="248"/>
      <c r="K18" s="248"/>
      <c r="L18" s="248"/>
      <c r="M18" s="282"/>
    </row>
    <row r="19" spans="2:21" ht="15.95" customHeight="1" x14ac:dyDescent="0.2">
      <c r="B19" s="82"/>
      <c r="C19" s="242" t="s">
        <v>462</v>
      </c>
      <c r="D19" s="227"/>
      <c r="E19" s="228"/>
      <c r="F19" s="242"/>
      <c r="G19" s="227"/>
      <c r="H19" s="227"/>
      <c r="I19" s="227"/>
      <c r="J19" s="227"/>
      <c r="K19" s="227"/>
      <c r="L19" s="227"/>
      <c r="M19" s="274"/>
    </row>
    <row r="20" spans="2:21" ht="15.95" customHeight="1" x14ac:dyDescent="0.2">
      <c r="B20" s="314" t="s">
        <v>430</v>
      </c>
      <c r="C20" s="56" t="s">
        <v>431</v>
      </c>
      <c r="D20" s="316">
        <v>0.8</v>
      </c>
      <c r="E20" s="310">
        <v>1.73</v>
      </c>
      <c r="F20" s="311">
        <v>61</v>
      </c>
      <c r="G20" s="24">
        <f>+E20*F20*D20</f>
        <v>84.424000000000007</v>
      </c>
      <c r="H20" s="9">
        <v>-26.5</v>
      </c>
      <c r="I20" s="9">
        <v>37.15</v>
      </c>
      <c r="J20" s="9">
        <v>10.5</v>
      </c>
      <c r="K20" s="9">
        <v>1000</v>
      </c>
      <c r="L20" s="9">
        <v>1000</v>
      </c>
      <c r="M20" s="313"/>
    </row>
    <row r="21" spans="2:21" ht="15.95" customHeight="1" x14ac:dyDescent="0.2">
      <c r="B21" s="314" t="s">
        <v>432</v>
      </c>
      <c r="C21" s="56" t="s">
        <v>433</v>
      </c>
      <c r="D21" s="316">
        <v>0.8</v>
      </c>
      <c r="E21" s="310">
        <v>1.73</v>
      </c>
      <c r="F21" s="311">
        <v>61</v>
      </c>
      <c r="G21" s="24">
        <f>+E21*F21*D21</f>
        <v>84.424000000000007</v>
      </c>
      <c r="H21" s="9">
        <v>-26.5</v>
      </c>
      <c r="I21" s="9">
        <v>33</v>
      </c>
      <c r="J21" s="9">
        <v>10.5</v>
      </c>
      <c r="K21" s="9">
        <v>1000</v>
      </c>
      <c r="L21" s="9">
        <v>1000</v>
      </c>
      <c r="M21" s="313"/>
    </row>
    <row r="22" spans="2:21" ht="15.95" customHeight="1" x14ac:dyDescent="0.2">
      <c r="B22" s="314" t="s">
        <v>434</v>
      </c>
      <c r="C22" s="56" t="s">
        <v>435</v>
      </c>
      <c r="D22" s="317">
        <v>0.8</v>
      </c>
      <c r="E22" s="309">
        <v>1.73</v>
      </c>
      <c r="F22" s="311">
        <v>61</v>
      </c>
      <c r="G22" s="24">
        <f>+E22*F22*D22</f>
        <v>84.424000000000007</v>
      </c>
      <c r="H22" s="16">
        <v>-26.5</v>
      </c>
      <c r="I22" s="16">
        <v>29.2</v>
      </c>
      <c r="J22" s="16">
        <v>10.5</v>
      </c>
      <c r="K22" s="16">
        <v>1000</v>
      </c>
      <c r="L22" s="16">
        <v>1000</v>
      </c>
      <c r="M22" s="313"/>
    </row>
    <row r="23" spans="2:21" ht="15.95" customHeight="1" thickBot="1" x14ac:dyDescent="0.25">
      <c r="B23" s="255"/>
      <c r="C23" s="252"/>
      <c r="D23" s="316"/>
      <c r="E23" s="256"/>
      <c r="F23" s="272"/>
      <c r="G23" s="253"/>
      <c r="H23" s="250"/>
      <c r="I23" s="250"/>
      <c r="J23" s="250"/>
      <c r="K23" s="250"/>
      <c r="L23" s="250"/>
      <c r="M23" s="276"/>
    </row>
    <row r="24" spans="2:21" ht="15.95" customHeight="1" thickTop="1" x14ac:dyDescent="0.2">
      <c r="B24" s="318"/>
      <c r="C24" s="319"/>
      <c r="D24" s="320"/>
      <c r="E24" s="321"/>
      <c r="F24" s="322" t="s">
        <v>33</v>
      </c>
      <c r="G24" s="323">
        <f>SUBTOTAL(9,G20:G23)</f>
        <v>253.27200000000002</v>
      </c>
      <c r="H24" s="324">
        <f>IF($G24=0,0,SUMPRODUCT($G20:$G23,H20:H23)/$G24)</f>
        <v>-26.5</v>
      </c>
      <c r="I24" s="324">
        <f>IF($G24=0,0,SUMPRODUCT($G20:$G23,I20:I23)/$G24)</f>
        <v>33.116666666666667</v>
      </c>
      <c r="J24" s="324">
        <f>IF($G24=0,0,SUMPRODUCT($G20:$G23,J20:J23)/$G24)</f>
        <v>10.5</v>
      </c>
      <c r="K24" s="324">
        <f>SUBTOTAL(9,K20:K23)</f>
        <v>3000</v>
      </c>
      <c r="L24" s="324">
        <f>SUBTOTAL(9,L20:L23)</f>
        <v>3000</v>
      </c>
      <c r="M24" s="444"/>
      <c r="O24" s="445" t="s">
        <v>552</v>
      </c>
      <c r="P24" s="446">
        <f t="shared" ref="P24:U24" si="1">G24</f>
        <v>253.27200000000002</v>
      </c>
      <c r="Q24" s="446">
        <f t="shared" si="1"/>
        <v>-26.5</v>
      </c>
      <c r="R24" s="446">
        <f t="shared" si="1"/>
        <v>33.116666666666667</v>
      </c>
      <c r="S24" s="446">
        <f t="shared" si="1"/>
        <v>10.5</v>
      </c>
      <c r="T24" s="446">
        <f t="shared" si="1"/>
        <v>3000</v>
      </c>
      <c r="U24" s="447">
        <f t="shared" si="1"/>
        <v>3000</v>
      </c>
    </row>
    <row r="25" spans="2:21" ht="15.95" customHeight="1" x14ac:dyDescent="0.2">
      <c r="B25" s="456"/>
      <c r="C25" s="448"/>
      <c r="D25" s="471"/>
      <c r="E25" s="449"/>
      <c r="F25" s="472"/>
      <c r="G25" s="473"/>
      <c r="H25" s="474"/>
      <c r="I25" s="474"/>
      <c r="J25" s="474"/>
      <c r="K25" s="474"/>
      <c r="L25" s="474"/>
      <c r="M25" s="460"/>
    </row>
    <row r="26" spans="2:21" ht="15.95" customHeight="1" x14ac:dyDescent="0.2">
      <c r="B26" s="463"/>
      <c r="C26" s="470" t="s">
        <v>549</v>
      </c>
      <c r="D26" s="464"/>
      <c r="E26" s="465"/>
      <c r="F26" s="466"/>
      <c r="G26" s="467"/>
      <c r="H26" s="468"/>
      <c r="I26" s="468"/>
      <c r="J26" s="468"/>
      <c r="K26" s="468"/>
      <c r="L26" s="468"/>
      <c r="M26" s="469"/>
    </row>
    <row r="27" spans="2:21" ht="15.95" customHeight="1" x14ac:dyDescent="0.2">
      <c r="B27" s="243"/>
      <c r="C27" s="244"/>
      <c r="D27" s="245"/>
      <c r="E27" s="246"/>
      <c r="F27" s="279"/>
      <c r="G27" s="280"/>
      <c r="H27" s="281"/>
      <c r="I27" s="281"/>
      <c r="J27" s="281"/>
      <c r="K27" s="281"/>
      <c r="L27" s="281"/>
      <c r="M27" s="282"/>
    </row>
    <row r="28" spans="2:21" ht="15.95" customHeight="1" x14ac:dyDescent="0.2">
      <c r="B28" s="82"/>
      <c r="C28" s="242" t="s">
        <v>460</v>
      </c>
      <c r="D28" s="227"/>
      <c r="E28" s="228"/>
      <c r="F28" s="242"/>
      <c r="G28" s="227"/>
      <c r="H28" s="227"/>
      <c r="I28" s="227"/>
      <c r="J28" s="227"/>
      <c r="K28" s="227"/>
      <c r="L28" s="227"/>
      <c r="M28" s="274"/>
    </row>
    <row r="29" spans="2:21" ht="15.95" customHeight="1" x14ac:dyDescent="0.2">
      <c r="B29" s="58" t="s">
        <v>436</v>
      </c>
      <c r="C29" s="56" t="s">
        <v>437</v>
      </c>
      <c r="D29" s="316">
        <v>0.5</v>
      </c>
      <c r="E29" s="309">
        <v>1.73</v>
      </c>
      <c r="F29" s="271">
        <f>8.1*5.4*4.5*$Q$3</f>
        <v>186.98850000000002</v>
      </c>
      <c r="G29" s="24">
        <f>+E29*F29*D29</f>
        <v>161.74505250000001</v>
      </c>
      <c r="H29" s="16">
        <v>-26.55</v>
      </c>
      <c r="I29" s="16">
        <v>-28.2</v>
      </c>
      <c r="J29" s="16">
        <v>3.3</v>
      </c>
      <c r="K29" s="16">
        <v>4</v>
      </c>
      <c r="L29" s="16">
        <v>5</v>
      </c>
      <c r="M29" s="273"/>
    </row>
    <row r="30" spans="2:21" ht="15.95" customHeight="1" x14ac:dyDescent="0.2">
      <c r="B30" s="59" t="s">
        <v>438</v>
      </c>
      <c r="C30" s="56" t="s">
        <v>437</v>
      </c>
      <c r="D30" s="317">
        <v>0.5</v>
      </c>
      <c r="E30" s="310">
        <v>1.73</v>
      </c>
      <c r="F30" s="271">
        <f>8.1*7.2*4.5*$Q$3</f>
        <v>249.31799999999998</v>
      </c>
      <c r="G30" s="24">
        <f>+E30*F30*D30</f>
        <v>215.66006999999999</v>
      </c>
      <c r="H30" s="9">
        <v>-26.55</v>
      </c>
      <c r="I30" s="9">
        <v>-36.6</v>
      </c>
      <c r="J30" s="9">
        <v>3.3</v>
      </c>
      <c r="K30" s="9">
        <v>4</v>
      </c>
      <c r="L30" s="9">
        <v>5</v>
      </c>
      <c r="M30" s="273"/>
    </row>
    <row r="31" spans="2:21" ht="15.95" customHeight="1" thickBot="1" x14ac:dyDescent="0.25">
      <c r="B31" s="255"/>
      <c r="C31" s="252"/>
      <c r="D31" s="316"/>
      <c r="E31" s="256"/>
      <c r="F31" s="272"/>
      <c r="G31" s="253"/>
      <c r="H31" s="250"/>
      <c r="I31" s="250"/>
      <c r="J31" s="250"/>
      <c r="K31" s="250"/>
      <c r="L31" s="250"/>
      <c r="M31" s="276"/>
    </row>
    <row r="32" spans="2:21" ht="15.95" customHeight="1" thickTop="1" x14ac:dyDescent="0.2">
      <c r="B32" s="318"/>
      <c r="C32" s="319"/>
      <c r="D32" s="320"/>
      <c r="E32" s="321"/>
      <c r="F32" s="322" t="s">
        <v>33</v>
      </c>
      <c r="G32" s="323">
        <f>SUBTOTAL(9,G29:G31)</f>
        <v>377.4051225</v>
      </c>
      <c r="H32" s="324">
        <f>IF($G32=0,0,SUMPRODUCT($G29:$G31,H29:H31)/$G32)</f>
        <v>-26.549999999999997</v>
      </c>
      <c r="I32" s="324">
        <f>IF($G32=0,0,SUMPRODUCT($G29:$G31,I29:I31)/$G32)</f>
        <v>-32.999999999999993</v>
      </c>
      <c r="J32" s="324">
        <f>IF($G32=0,0,SUMPRODUCT($G29:$G31,J29:J31)/$G32)</f>
        <v>3.3</v>
      </c>
      <c r="K32" s="324">
        <f>SUBTOTAL(9,K29:K31)</f>
        <v>8</v>
      </c>
      <c r="L32" s="324">
        <f>SUBTOTAL(9,L29:L31)</f>
        <v>10</v>
      </c>
      <c r="M32" s="444"/>
      <c r="O32" s="445" t="s">
        <v>553</v>
      </c>
      <c r="P32" s="446">
        <f t="shared" ref="P32:U32" si="2">G32</f>
        <v>377.4051225</v>
      </c>
      <c r="Q32" s="446">
        <f t="shared" si="2"/>
        <v>-26.549999999999997</v>
      </c>
      <c r="R32" s="446">
        <f t="shared" si="2"/>
        <v>-32.999999999999993</v>
      </c>
      <c r="S32" s="446">
        <f t="shared" si="2"/>
        <v>3.3</v>
      </c>
      <c r="T32" s="446">
        <f t="shared" si="2"/>
        <v>8</v>
      </c>
      <c r="U32" s="447">
        <f t="shared" si="2"/>
        <v>10</v>
      </c>
    </row>
    <row r="33" spans="2:21" ht="15.95" customHeight="1" x14ac:dyDescent="0.2">
      <c r="B33" s="243"/>
      <c r="C33" s="244"/>
      <c r="D33" s="245"/>
      <c r="E33" s="246"/>
      <c r="F33" s="257"/>
      <c r="G33" s="247"/>
      <c r="H33" s="248"/>
      <c r="I33" s="248"/>
      <c r="J33" s="248"/>
      <c r="K33" s="248"/>
      <c r="L33" s="248"/>
      <c r="M33" s="282"/>
    </row>
    <row r="34" spans="2:21" ht="15.95" customHeight="1" x14ac:dyDescent="0.2">
      <c r="B34" s="82"/>
      <c r="C34" s="242" t="s">
        <v>462</v>
      </c>
      <c r="D34" s="227"/>
      <c r="E34" s="228"/>
      <c r="F34" s="242"/>
      <c r="G34" s="227"/>
      <c r="H34" s="227"/>
      <c r="I34" s="227"/>
      <c r="J34" s="227"/>
      <c r="K34" s="227"/>
      <c r="L34" s="227"/>
      <c r="M34" s="274"/>
    </row>
    <row r="35" spans="2:21" ht="15.95" customHeight="1" x14ac:dyDescent="0.2">
      <c r="B35" s="58" t="s">
        <v>439</v>
      </c>
      <c r="C35" s="56" t="s">
        <v>440</v>
      </c>
      <c r="D35" s="316">
        <v>0.9</v>
      </c>
      <c r="E35" s="309">
        <v>1.506</v>
      </c>
      <c r="F35" s="271">
        <v>61</v>
      </c>
      <c r="G35" s="24">
        <f>+E35*F35*D35</f>
        <v>82.679400000000001</v>
      </c>
      <c r="H35" s="9">
        <v>-26.5</v>
      </c>
      <c r="I35" s="9">
        <v>-37.15</v>
      </c>
      <c r="J35" s="16">
        <v>10.5</v>
      </c>
      <c r="K35" s="16">
        <v>4</v>
      </c>
      <c r="L35" s="16">
        <v>5</v>
      </c>
      <c r="M35" s="273"/>
    </row>
    <row r="36" spans="2:21" ht="15.95" customHeight="1" x14ac:dyDescent="0.2">
      <c r="B36" s="58" t="s">
        <v>441</v>
      </c>
      <c r="C36" s="56" t="s">
        <v>442</v>
      </c>
      <c r="D36" s="316">
        <v>0.9</v>
      </c>
      <c r="E36" s="310">
        <v>1.51</v>
      </c>
      <c r="F36" s="271">
        <v>61</v>
      </c>
      <c r="G36" s="24">
        <f>+E36*F36*D36</f>
        <v>82.899000000000001</v>
      </c>
      <c r="H36" s="9">
        <v>-26.5</v>
      </c>
      <c r="I36" s="9">
        <v>-33</v>
      </c>
      <c r="J36" s="9">
        <v>10.5</v>
      </c>
      <c r="K36" s="9">
        <v>4</v>
      </c>
      <c r="L36" s="9">
        <v>5</v>
      </c>
      <c r="M36" s="275"/>
    </row>
    <row r="37" spans="2:21" ht="15.95" customHeight="1" x14ac:dyDescent="0.2">
      <c r="B37" s="58" t="s">
        <v>443</v>
      </c>
      <c r="C37" s="56" t="s">
        <v>444</v>
      </c>
      <c r="D37" s="317">
        <v>0.9</v>
      </c>
      <c r="E37" s="310">
        <v>1.51</v>
      </c>
      <c r="F37" s="271">
        <v>61</v>
      </c>
      <c r="G37" s="24">
        <f>+E37*F37*D37</f>
        <v>82.899000000000001</v>
      </c>
      <c r="H37" s="16">
        <v>-26.5</v>
      </c>
      <c r="I37" s="16">
        <v>-29.2</v>
      </c>
      <c r="J37" s="9">
        <v>10.5</v>
      </c>
      <c r="K37" s="9">
        <v>4</v>
      </c>
      <c r="L37" s="9">
        <v>5</v>
      </c>
      <c r="M37" s="276"/>
    </row>
    <row r="38" spans="2:21" ht="15.95" customHeight="1" thickBot="1" x14ac:dyDescent="0.25">
      <c r="B38" s="255"/>
      <c r="C38" s="252"/>
      <c r="D38" s="316"/>
      <c r="E38" s="256"/>
      <c r="F38" s="272"/>
      <c r="G38" s="253"/>
      <c r="H38" s="250"/>
      <c r="I38" s="250"/>
      <c r="J38" s="250"/>
      <c r="K38" s="250"/>
      <c r="L38" s="250"/>
      <c r="M38" s="276"/>
    </row>
    <row r="39" spans="2:21" ht="15.95" customHeight="1" thickTop="1" x14ac:dyDescent="0.2">
      <c r="B39" s="318"/>
      <c r="C39" s="319"/>
      <c r="D39" s="320"/>
      <c r="E39" s="321"/>
      <c r="F39" s="322" t="s">
        <v>33</v>
      </c>
      <c r="G39" s="323">
        <f>SUBTOTAL(9,G35:G38)</f>
        <v>248.47739999999999</v>
      </c>
      <c r="H39" s="324">
        <f>IF($G39=0,0,SUMPRODUCT($G35:$G38,H35:H38)/$G39)</f>
        <v>-26.500000000000004</v>
      </c>
      <c r="I39" s="324">
        <f>IF($G39=0,0,SUMPRODUCT($G35:$G38,I35:I38)/$G39)</f>
        <v>-33.113102076889085</v>
      </c>
      <c r="J39" s="324">
        <f>IF($G39=0,0,SUMPRODUCT($G35:$G38,J35:J38)/$G39)</f>
        <v>10.5</v>
      </c>
      <c r="K39" s="324">
        <f>SUBTOTAL(9,K35:K38)</f>
        <v>12</v>
      </c>
      <c r="L39" s="324">
        <f>SUBTOTAL(9,L35:L38)</f>
        <v>15</v>
      </c>
      <c r="M39" s="444"/>
      <c r="O39" s="445" t="s">
        <v>554</v>
      </c>
      <c r="P39" s="446">
        <f t="shared" ref="P39:U39" si="3">G39</f>
        <v>248.47739999999999</v>
      </c>
      <c r="Q39" s="446">
        <f t="shared" si="3"/>
        <v>-26.500000000000004</v>
      </c>
      <c r="R39" s="446">
        <f t="shared" si="3"/>
        <v>-33.113102076889085</v>
      </c>
      <c r="S39" s="446">
        <f t="shared" si="3"/>
        <v>10.5</v>
      </c>
      <c r="T39" s="446">
        <f t="shared" si="3"/>
        <v>12</v>
      </c>
      <c r="U39" s="447">
        <f t="shared" si="3"/>
        <v>15</v>
      </c>
    </row>
    <row r="40" spans="2:21" ht="15.95" customHeight="1" x14ac:dyDescent="0.2">
      <c r="B40" s="456"/>
      <c r="C40" s="448"/>
      <c r="D40" s="471"/>
      <c r="E40" s="449"/>
      <c r="F40" s="472"/>
      <c r="G40" s="473"/>
      <c r="H40" s="474"/>
      <c r="I40" s="474"/>
      <c r="J40" s="474"/>
      <c r="K40" s="474"/>
      <c r="L40" s="474"/>
      <c r="M40" s="460"/>
    </row>
    <row r="41" spans="2:21" ht="15.95" customHeight="1" x14ac:dyDescent="0.2">
      <c r="B41" s="463"/>
      <c r="C41" s="470" t="s">
        <v>550</v>
      </c>
      <c r="D41" s="464"/>
      <c r="E41" s="465"/>
      <c r="F41" s="466"/>
      <c r="G41" s="467"/>
      <c r="H41" s="468"/>
      <c r="I41" s="468"/>
      <c r="J41" s="468"/>
      <c r="K41" s="468"/>
      <c r="L41" s="468"/>
      <c r="M41" s="469"/>
    </row>
    <row r="42" spans="2:21" ht="15.95" customHeight="1" x14ac:dyDescent="0.2">
      <c r="B42" s="243"/>
      <c r="C42" s="244"/>
      <c r="D42" s="245"/>
      <c r="E42" s="246"/>
      <c r="F42" s="279"/>
      <c r="G42" s="280"/>
      <c r="H42" s="281"/>
      <c r="I42" s="281"/>
      <c r="J42" s="281"/>
      <c r="K42" s="281"/>
      <c r="L42" s="281"/>
      <c r="M42" s="282"/>
    </row>
    <row r="43" spans="2:21" ht="15.95" customHeight="1" x14ac:dyDescent="0.2">
      <c r="B43" s="82"/>
      <c r="C43" s="242" t="s">
        <v>460</v>
      </c>
      <c r="D43" s="227"/>
      <c r="E43" s="228"/>
      <c r="F43" s="242"/>
      <c r="G43" s="227"/>
      <c r="H43" s="227"/>
      <c r="I43" s="227"/>
      <c r="J43" s="227"/>
      <c r="K43" s="227"/>
      <c r="L43" s="227"/>
      <c r="M43" s="274"/>
    </row>
    <row r="44" spans="2:21" ht="15.95" customHeight="1" x14ac:dyDescent="0.2">
      <c r="B44" s="58" t="s">
        <v>319</v>
      </c>
      <c r="C44" s="56" t="s">
        <v>424</v>
      </c>
      <c r="D44" s="316">
        <v>0.5</v>
      </c>
      <c r="E44" s="218">
        <v>1.0249999999999999</v>
      </c>
      <c r="F44" s="271">
        <v>240</v>
      </c>
      <c r="G44" s="24">
        <f>+E44*F44*D44</f>
        <v>122.99999999999999</v>
      </c>
      <c r="H44" s="16">
        <v>43.35</v>
      </c>
      <c r="I44" s="16">
        <v>3.45</v>
      </c>
      <c r="J44" s="16">
        <v>3.5</v>
      </c>
      <c r="K44" s="271">
        <v>4</v>
      </c>
      <c r="L44" s="271">
        <v>5</v>
      </c>
      <c r="M44" s="275" t="s">
        <v>408</v>
      </c>
    </row>
    <row r="45" spans="2:21" ht="15.95" customHeight="1" x14ac:dyDescent="0.2">
      <c r="B45" s="59" t="s">
        <v>425</v>
      </c>
      <c r="C45" s="56" t="s">
        <v>424</v>
      </c>
      <c r="D45" s="317">
        <v>0.5</v>
      </c>
      <c r="E45" s="218">
        <v>1.0249999999999999</v>
      </c>
      <c r="F45" s="311">
        <v>240</v>
      </c>
      <c r="G45" s="24">
        <f>+E45*F45*D45</f>
        <v>122.99999999999999</v>
      </c>
      <c r="H45" s="9">
        <v>43.35</v>
      </c>
      <c r="I45" s="9">
        <v>-3.45</v>
      </c>
      <c r="J45" s="9">
        <v>3.5</v>
      </c>
      <c r="K45" s="311">
        <v>4</v>
      </c>
      <c r="L45" s="311">
        <v>5</v>
      </c>
      <c r="M45" s="276"/>
    </row>
    <row r="46" spans="2:21" ht="15.95" customHeight="1" thickBot="1" x14ac:dyDescent="0.25">
      <c r="B46" s="255"/>
      <c r="C46" s="252"/>
      <c r="D46" s="316"/>
      <c r="E46" s="256"/>
      <c r="F46" s="272"/>
      <c r="G46" s="253"/>
      <c r="H46" s="250"/>
      <c r="I46" s="250"/>
      <c r="J46" s="250"/>
      <c r="K46" s="250"/>
      <c r="L46" s="250"/>
      <c r="M46" s="276"/>
    </row>
    <row r="47" spans="2:21" ht="15.95" customHeight="1" thickTop="1" x14ac:dyDescent="0.2">
      <c r="B47" s="318"/>
      <c r="C47" s="319"/>
      <c r="D47" s="320"/>
      <c r="E47" s="321"/>
      <c r="F47" s="322" t="s">
        <v>33</v>
      </c>
      <c r="G47" s="323">
        <f>SUBTOTAL(9,G44:G46)</f>
        <v>245.99999999999997</v>
      </c>
      <c r="H47" s="324">
        <f>IF($G47=0,0,SUMPRODUCT($G44:$G46,H44:H46)/$G47)</f>
        <v>43.35</v>
      </c>
      <c r="I47" s="324">
        <f>IF($G47=0,0,SUMPRODUCT($G44:$G46,I44:I46)/$G47)</f>
        <v>0</v>
      </c>
      <c r="J47" s="324">
        <f>IF($G47=0,0,SUMPRODUCT($G44:$G46,J44:J46)/$G47)</f>
        <v>3.5</v>
      </c>
      <c r="K47" s="324">
        <f>SUBTOTAL(9,K44:K46)</f>
        <v>8</v>
      </c>
      <c r="L47" s="324">
        <f>SUBTOTAL(9,L44:L46)</f>
        <v>10</v>
      </c>
      <c r="M47" s="444"/>
      <c r="O47" s="445" t="s">
        <v>555</v>
      </c>
      <c r="P47" s="446">
        <f t="shared" ref="P47:U47" si="4">G47</f>
        <v>245.99999999999997</v>
      </c>
      <c r="Q47" s="446">
        <f t="shared" si="4"/>
        <v>43.35</v>
      </c>
      <c r="R47" s="446">
        <f t="shared" si="4"/>
        <v>0</v>
      </c>
      <c r="S47" s="446">
        <f t="shared" si="4"/>
        <v>3.5</v>
      </c>
      <c r="T47" s="446">
        <f t="shared" si="4"/>
        <v>8</v>
      </c>
      <c r="U47" s="447">
        <f t="shared" si="4"/>
        <v>10</v>
      </c>
    </row>
    <row r="48" spans="2:21" ht="15.95" customHeight="1" x14ac:dyDescent="0.2">
      <c r="B48" s="243"/>
      <c r="C48" s="244"/>
      <c r="D48" s="245"/>
      <c r="E48" s="246"/>
      <c r="F48" s="257"/>
      <c r="G48" s="247"/>
      <c r="H48" s="248"/>
      <c r="I48" s="248"/>
      <c r="J48" s="248"/>
      <c r="K48" s="248"/>
      <c r="L48" s="248"/>
      <c r="M48" s="282"/>
    </row>
    <row r="49" spans="2:21" ht="15.95" customHeight="1" x14ac:dyDescent="0.2">
      <c r="B49" s="82"/>
      <c r="C49" s="242" t="s">
        <v>461</v>
      </c>
      <c r="D49" s="227"/>
      <c r="E49" s="228"/>
      <c r="F49" s="242"/>
      <c r="G49" s="227"/>
      <c r="H49" s="227"/>
      <c r="I49" s="227"/>
      <c r="J49" s="227"/>
      <c r="K49" s="227"/>
      <c r="L49" s="227"/>
      <c r="M49" s="274"/>
    </row>
    <row r="50" spans="2:21" ht="15.95" customHeight="1" x14ac:dyDescent="0.2">
      <c r="B50" s="58" t="s">
        <v>426</v>
      </c>
      <c r="C50" s="56" t="s">
        <v>428</v>
      </c>
      <c r="D50" s="316">
        <v>0.8</v>
      </c>
      <c r="E50" s="218">
        <v>1</v>
      </c>
      <c r="F50" s="271">
        <v>144</v>
      </c>
      <c r="G50" s="24">
        <f>+E50*F50*D50</f>
        <v>115.2</v>
      </c>
      <c r="H50" s="16">
        <v>43.35</v>
      </c>
      <c r="I50" s="16">
        <v>3.45</v>
      </c>
      <c r="J50" s="16">
        <v>10.5</v>
      </c>
      <c r="K50" s="271">
        <v>4</v>
      </c>
      <c r="L50" s="271">
        <v>5</v>
      </c>
      <c r="M50" s="276"/>
    </row>
    <row r="51" spans="2:21" ht="15.95" customHeight="1" x14ac:dyDescent="0.2">
      <c r="B51" s="59" t="s">
        <v>427</v>
      </c>
      <c r="C51" s="56" t="s">
        <v>428</v>
      </c>
      <c r="D51" s="316">
        <v>0.8</v>
      </c>
      <c r="E51" s="218">
        <v>1</v>
      </c>
      <c r="F51" s="311">
        <v>144</v>
      </c>
      <c r="G51" s="24">
        <f>+E51*F51*D51</f>
        <v>115.2</v>
      </c>
      <c r="H51" s="9">
        <v>43.35</v>
      </c>
      <c r="I51" s="9">
        <v>-3.45</v>
      </c>
      <c r="J51" s="9">
        <v>10.5</v>
      </c>
      <c r="K51" s="311">
        <v>4</v>
      </c>
      <c r="L51" s="311">
        <v>5</v>
      </c>
      <c r="M51" s="276"/>
    </row>
    <row r="52" spans="2:21" ht="15.95" customHeight="1" thickBot="1" x14ac:dyDescent="0.25">
      <c r="B52" s="255"/>
      <c r="C52" s="252"/>
      <c r="D52" s="316"/>
      <c r="E52" s="256"/>
      <c r="F52" s="272"/>
      <c r="G52" s="253"/>
      <c r="H52" s="250"/>
      <c r="I52" s="250"/>
      <c r="J52" s="250"/>
      <c r="K52" s="250"/>
      <c r="L52" s="250"/>
      <c r="M52" s="276"/>
    </row>
    <row r="53" spans="2:21" ht="15.95" customHeight="1" thickTop="1" x14ac:dyDescent="0.2">
      <c r="B53" s="318"/>
      <c r="C53" s="319"/>
      <c r="D53" s="320"/>
      <c r="E53" s="321"/>
      <c r="F53" s="322" t="s">
        <v>33</v>
      </c>
      <c r="G53" s="323">
        <f>SUBTOTAL(9,G50:G52)</f>
        <v>230.4</v>
      </c>
      <c r="H53" s="324">
        <f>IF($G53=0,0,SUMPRODUCT($G50:$G52,H50:H52)/$G53)</f>
        <v>43.35</v>
      </c>
      <c r="I53" s="324">
        <f>IF($G53=0,0,SUMPRODUCT($G50:$G52,I50:I52)/$G53)</f>
        <v>0</v>
      </c>
      <c r="J53" s="324">
        <f>IF($G53=0,0,SUMPRODUCT($G50:$G52,J50:J52)/$G53)</f>
        <v>10.500000000000002</v>
      </c>
      <c r="K53" s="324">
        <f>SUBTOTAL(9,K50:K52)</f>
        <v>8</v>
      </c>
      <c r="L53" s="324">
        <f>SUBTOTAL(9,L50:L52)</f>
        <v>10</v>
      </c>
      <c r="M53" s="444"/>
      <c r="O53" s="445" t="s">
        <v>556</v>
      </c>
      <c r="P53" s="446">
        <f t="shared" ref="P53:U53" si="5">G53</f>
        <v>230.4</v>
      </c>
      <c r="Q53" s="446">
        <f t="shared" si="5"/>
        <v>43.35</v>
      </c>
      <c r="R53" s="446">
        <f t="shared" si="5"/>
        <v>0</v>
      </c>
      <c r="S53" s="446">
        <f t="shared" si="5"/>
        <v>10.500000000000002</v>
      </c>
      <c r="T53" s="446">
        <f t="shared" si="5"/>
        <v>8</v>
      </c>
      <c r="U53" s="447">
        <f t="shared" si="5"/>
        <v>10</v>
      </c>
    </row>
    <row r="54" spans="2:21" ht="15.95" customHeight="1" x14ac:dyDescent="0.2">
      <c r="B54" s="456"/>
      <c r="C54" s="448"/>
      <c r="D54" s="471"/>
      <c r="E54" s="449"/>
      <c r="F54" s="472"/>
      <c r="G54" s="473"/>
      <c r="H54" s="474"/>
      <c r="I54" s="474"/>
      <c r="J54" s="474"/>
      <c r="K54" s="474"/>
      <c r="L54" s="474"/>
      <c r="M54" s="460"/>
    </row>
    <row r="55" spans="2:21" ht="15.95" customHeight="1" x14ac:dyDescent="0.2">
      <c r="B55" s="463"/>
      <c r="C55" s="470" t="s">
        <v>530</v>
      </c>
      <c r="D55" s="464"/>
      <c r="E55" s="465"/>
      <c r="F55" s="466"/>
      <c r="G55" s="467"/>
      <c r="H55" s="468"/>
      <c r="I55" s="468"/>
      <c r="J55" s="468"/>
      <c r="K55" s="468"/>
      <c r="L55" s="468"/>
      <c r="M55" s="469"/>
    </row>
    <row r="56" spans="2:21" ht="15.95" customHeight="1" x14ac:dyDescent="0.2">
      <c r="B56" s="243"/>
      <c r="C56" s="244"/>
      <c r="D56" s="245"/>
      <c r="E56" s="246"/>
      <c r="F56" s="279"/>
      <c r="G56" s="280"/>
      <c r="H56" s="281"/>
      <c r="I56" s="281"/>
      <c r="J56" s="281"/>
      <c r="K56" s="281"/>
      <c r="L56" s="281"/>
      <c r="M56" s="282"/>
    </row>
    <row r="57" spans="2:21" ht="15.95" customHeight="1" x14ac:dyDescent="0.2">
      <c r="B57" s="82"/>
      <c r="C57" s="242" t="s">
        <v>460</v>
      </c>
      <c r="D57" s="227"/>
      <c r="E57" s="228"/>
      <c r="F57" s="229"/>
      <c r="G57" s="227"/>
      <c r="H57" s="227"/>
      <c r="I57" s="227"/>
      <c r="J57" s="227"/>
      <c r="K57" s="227"/>
      <c r="L57" s="227"/>
      <c r="M57" s="274"/>
    </row>
    <row r="58" spans="2:21" ht="15.95" customHeight="1" x14ac:dyDescent="0.2">
      <c r="B58" s="230" t="s">
        <v>319</v>
      </c>
      <c r="C58" s="231" t="s">
        <v>324</v>
      </c>
      <c r="D58" s="232">
        <v>50</v>
      </c>
      <c r="E58" s="233">
        <v>1.73</v>
      </c>
      <c r="F58" s="234">
        <v>60</v>
      </c>
      <c r="G58" s="235">
        <f>+E58*F58*D58/100</f>
        <v>51.9</v>
      </c>
      <c r="H58" s="236">
        <v>-16.425000000000001</v>
      </c>
      <c r="I58" s="236">
        <v>18.45</v>
      </c>
      <c r="J58" s="236">
        <v>32.200000000000003</v>
      </c>
      <c r="K58" s="236">
        <v>4</v>
      </c>
      <c r="L58" s="236">
        <v>5</v>
      </c>
      <c r="M58" s="275"/>
    </row>
    <row r="59" spans="2:21" ht="15.95" customHeight="1" x14ac:dyDescent="0.2">
      <c r="B59" s="230" t="s">
        <v>321</v>
      </c>
      <c r="C59" s="231" t="s">
        <v>325</v>
      </c>
      <c r="D59" s="238">
        <v>50</v>
      </c>
      <c r="E59" s="239">
        <v>1.73</v>
      </c>
      <c r="F59" s="240">
        <v>60</v>
      </c>
      <c r="G59" s="235">
        <f t="shared" ref="G59:G65" si="6">+E59*F59*D59/100</f>
        <v>51.9</v>
      </c>
      <c r="H59" s="241">
        <f>H58-4.2</f>
        <v>-20.625</v>
      </c>
      <c r="I59" s="241">
        <v>18.45</v>
      </c>
      <c r="J59" s="236">
        <v>32.200000000000003</v>
      </c>
      <c r="K59" s="236">
        <v>4</v>
      </c>
      <c r="L59" s="236">
        <v>5</v>
      </c>
      <c r="M59" s="275"/>
    </row>
    <row r="60" spans="2:21" ht="15.95" customHeight="1" x14ac:dyDescent="0.2">
      <c r="B60" s="230" t="s">
        <v>322</v>
      </c>
      <c r="C60" s="231" t="s">
        <v>326</v>
      </c>
      <c r="D60" s="238">
        <v>50</v>
      </c>
      <c r="E60" s="239">
        <v>1.73</v>
      </c>
      <c r="F60" s="240">
        <v>60</v>
      </c>
      <c r="G60" s="235">
        <f t="shared" si="6"/>
        <v>51.9</v>
      </c>
      <c r="H60" s="241">
        <f>H59-4.2</f>
        <v>-24.824999999999999</v>
      </c>
      <c r="I60" s="241">
        <v>18.45</v>
      </c>
      <c r="J60" s="236">
        <v>32.200000000000003</v>
      </c>
      <c r="K60" s="236">
        <v>4</v>
      </c>
      <c r="L60" s="236">
        <v>5</v>
      </c>
      <c r="M60" s="275"/>
    </row>
    <row r="61" spans="2:21" ht="15.95" customHeight="1" x14ac:dyDescent="0.2">
      <c r="B61" s="230" t="s">
        <v>327</v>
      </c>
      <c r="C61" s="231" t="s">
        <v>328</v>
      </c>
      <c r="D61" s="238">
        <v>50</v>
      </c>
      <c r="E61" s="239">
        <v>1.73</v>
      </c>
      <c r="F61" s="240">
        <v>60</v>
      </c>
      <c r="G61" s="235">
        <f t="shared" si="6"/>
        <v>51.9</v>
      </c>
      <c r="H61" s="241">
        <f>H60-4.2</f>
        <v>-29.024999999999999</v>
      </c>
      <c r="I61" s="241">
        <v>18.45</v>
      </c>
      <c r="J61" s="236">
        <v>32.200000000000003</v>
      </c>
      <c r="K61" s="236">
        <v>4</v>
      </c>
      <c r="L61" s="236">
        <v>5</v>
      </c>
      <c r="M61" s="275"/>
    </row>
    <row r="62" spans="2:21" ht="15.95" customHeight="1" x14ac:dyDescent="0.2">
      <c r="B62" s="230" t="s">
        <v>329</v>
      </c>
      <c r="C62" s="231" t="s">
        <v>330</v>
      </c>
      <c r="D62" s="238">
        <v>50</v>
      </c>
      <c r="E62" s="239">
        <v>1.73</v>
      </c>
      <c r="F62" s="240">
        <v>60</v>
      </c>
      <c r="G62" s="235">
        <f t="shared" si="6"/>
        <v>51.9</v>
      </c>
      <c r="H62" s="236">
        <v>-16.425000000000001</v>
      </c>
      <c r="I62" s="241">
        <v>20.7</v>
      </c>
      <c r="J62" s="236">
        <v>32.200000000000003</v>
      </c>
      <c r="K62" s="236">
        <v>4</v>
      </c>
      <c r="L62" s="236">
        <v>5</v>
      </c>
      <c r="M62" s="275"/>
    </row>
    <row r="63" spans="2:21" ht="15.95" customHeight="1" x14ac:dyDescent="0.2">
      <c r="B63" s="230" t="s">
        <v>331</v>
      </c>
      <c r="C63" s="231" t="s">
        <v>332</v>
      </c>
      <c r="D63" s="238">
        <v>50</v>
      </c>
      <c r="E63" s="239">
        <v>1.73</v>
      </c>
      <c r="F63" s="240">
        <v>60</v>
      </c>
      <c r="G63" s="235">
        <f t="shared" si="6"/>
        <v>51.9</v>
      </c>
      <c r="H63" s="241">
        <f>H62-4.2</f>
        <v>-20.625</v>
      </c>
      <c r="I63" s="241">
        <v>22.95</v>
      </c>
      <c r="J63" s="236">
        <v>32.200000000000003</v>
      </c>
      <c r="K63" s="236">
        <v>4</v>
      </c>
      <c r="L63" s="236">
        <v>5</v>
      </c>
      <c r="M63" s="275"/>
    </row>
    <row r="64" spans="2:21" ht="15.95" customHeight="1" x14ac:dyDescent="0.2">
      <c r="B64" s="230" t="s">
        <v>333</v>
      </c>
      <c r="C64" s="231" t="s">
        <v>334</v>
      </c>
      <c r="D64" s="238">
        <v>50</v>
      </c>
      <c r="E64" s="239">
        <v>1.73</v>
      </c>
      <c r="F64" s="240">
        <v>60</v>
      </c>
      <c r="G64" s="235">
        <f t="shared" si="6"/>
        <v>51.9</v>
      </c>
      <c r="H64" s="241">
        <f>H63-4.2</f>
        <v>-24.824999999999999</v>
      </c>
      <c r="I64" s="241">
        <v>22.95</v>
      </c>
      <c r="J64" s="236">
        <v>32.200000000000003</v>
      </c>
      <c r="K64" s="236">
        <v>4</v>
      </c>
      <c r="L64" s="236">
        <v>5</v>
      </c>
      <c r="M64" s="275"/>
    </row>
    <row r="65" spans="2:21" ht="15.95" customHeight="1" x14ac:dyDescent="0.2">
      <c r="B65" s="230" t="s">
        <v>335</v>
      </c>
      <c r="C65" s="231" t="s">
        <v>336</v>
      </c>
      <c r="D65" s="238">
        <v>50</v>
      </c>
      <c r="E65" s="239">
        <v>1.73</v>
      </c>
      <c r="F65" s="240">
        <v>60</v>
      </c>
      <c r="G65" s="235">
        <f t="shared" si="6"/>
        <v>51.9</v>
      </c>
      <c r="H65" s="241">
        <f>H64-4.2</f>
        <v>-29.024999999999999</v>
      </c>
      <c r="I65" s="241">
        <v>22.95</v>
      </c>
      <c r="J65" s="236">
        <v>32.200000000000003</v>
      </c>
      <c r="K65" s="236">
        <v>4</v>
      </c>
      <c r="L65" s="236">
        <v>5</v>
      </c>
      <c r="M65" s="275"/>
    </row>
    <row r="66" spans="2:21" ht="15.95" customHeight="1" thickBot="1" x14ac:dyDescent="0.25">
      <c r="B66" s="255"/>
      <c r="C66" s="252"/>
      <c r="D66" s="278"/>
      <c r="E66" s="256"/>
      <c r="F66" s="272"/>
      <c r="G66" s="253"/>
      <c r="H66" s="250"/>
      <c r="I66" s="250"/>
      <c r="J66" s="250"/>
      <c r="K66" s="250"/>
      <c r="L66" s="250"/>
      <c r="M66" s="276"/>
    </row>
    <row r="67" spans="2:21" ht="15.95" customHeight="1" thickTop="1" x14ac:dyDescent="0.2">
      <c r="B67" s="318"/>
      <c r="C67" s="319"/>
      <c r="D67" s="320"/>
      <c r="E67" s="321"/>
      <c r="F67" s="322" t="s">
        <v>33</v>
      </c>
      <c r="G67" s="323">
        <f>SUBTOTAL(9,G58:G66)</f>
        <v>415.19999999999993</v>
      </c>
      <c r="H67" s="324">
        <f>IF($G67=0,0,SUMPRODUCT($G58:$G66,H58:H66)/$G67)</f>
        <v>-22.724999999999998</v>
      </c>
      <c r="I67" s="324">
        <f>IF($G67=0,0,SUMPRODUCT($G58:$G66,I58:I66)/$G67)</f>
        <v>20.418749999999999</v>
      </c>
      <c r="J67" s="324">
        <f>IF($G67=0,0,SUMPRODUCT($G58:$G66,J58:J66)/$G67)</f>
        <v>32.20000000000001</v>
      </c>
      <c r="K67" s="324">
        <f>SUBTOTAL(9,K58:K66)</f>
        <v>32</v>
      </c>
      <c r="L67" s="324">
        <f>SUBTOTAL(9,L58:L66)</f>
        <v>40</v>
      </c>
      <c r="M67" s="444"/>
      <c r="O67" s="445" t="s">
        <v>534</v>
      </c>
      <c r="P67" s="446">
        <f t="shared" ref="P67:U67" si="7">G67</f>
        <v>415.19999999999993</v>
      </c>
      <c r="Q67" s="446">
        <f t="shared" si="7"/>
        <v>-22.724999999999998</v>
      </c>
      <c r="R67" s="446">
        <f t="shared" si="7"/>
        <v>20.418749999999999</v>
      </c>
      <c r="S67" s="446">
        <f t="shared" si="7"/>
        <v>32.20000000000001</v>
      </c>
      <c r="T67" s="446">
        <f t="shared" si="7"/>
        <v>32</v>
      </c>
      <c r="U67" s="447">
        <f t="shared" si="7"/>
        <v>40</v>
      </c>
    </row>
    <row r="68" spans="2:21" ht="15.95" customHeight="1" x14ac:dyDescent="0.2">
      <c r="B68" s="485"/>
      <c r="C68" s="452"/>
      <c r="D68" s="452"/>
      <c r="F68" s="452"/>
      <c r="G68" s="383"/>
      <c r="H68" s="452"/>
      <c r="I68" s="452"/>
      <c r="J68" s="452"/>
      <c r="K68" s="452"/>
      <c r="L68" s="452"/>
      <c r="M68" s="486"/>
    </row>
    <row r="69" spans="2:21" ht="15.95" customHeight="1" x14ac:dyDescent="0.2">
      <c r="B69" s="82"/>
      <c r="C69" s="242" t="s">
        <v>480</v>
      </c>
      <c r="D69" s="227"/>
      <c r="E69" s="228"/>
      <c r="F69" s="242"/>
      <c r="G69" s="227"/>
      <c r="H69" s="227"/>
      <c r="I69" s="227"/>
      <c r="J69" s="227"/>
      <c r="K69" s="227"/>
      <c r="L69" s="227"/>
      <c r="M69" s="274"/>
    </row>
    <row r="70" spans="2:21" ht="15.95" customHeight="1" x14ac:dyDescent="0.2">
      <c r="B70" s="58" t="s">
        <v>337</v>
      </c>
      <c r="C70" s="56" t="s">
        <v>343</v>
      </c>
      <c r="D70" s="55" t="s">
        <v>38</v>
      </c>
      <c r="E70" s="218" t="s">
        <v>38</v>
      </c>
      <c r="F70" s="16" t="s">
        <v>38</v>
      </c>
      <c r="G70" s="24">
        <v>10</v>
      </c>
      <c r="H70" s="16">
        <v>-24.34</v>
      </c>
      <c r="I70" s="16">
        <v>-1.4</v>
      </c>
      <c r="J70" s="16">
        <v>33</v>
      </c>
      <c r="K70" s="169" t="s">
        <v>38</v>
      </c>
      <c r="L70" s="169" t="s">
        <v>38</v>
      </c>
      <c r="M70" s="273"/>
    </row>
    <row r="71" spans="2:21" ht="15.95" customHeight="1" x14ac:dyDescent="0.2">
      <c r="B71" s="259" t="s">
        <v>338</v>
      </c>
      <c r="C71" s="260" t="s">
        <v>339</v>
      </c>
      <c r="D71" s="261" t="s">
        <v>38</v>
      </c>
      <c r="E71" s="262" t="s">
        <v>38</v>
      </c>
      <c r="F71" s="263" t="s">
        <v>38</v>
      </c>
      <c r="G71" s="264">
        <v>10</v>
      </c>
      <c r="H71" s="265">
        <v>-24.34</v>
      </c>
      <c r="I71" s="265">
        <v>-15.8</v>
      </c>
      <c r="J71" s="265">
        <v>33</v>
      </c>
      <c r="K71" s="265" t="s">
        <v>38</v>
      </c>
      <c r="L71" s="265" t="s">
        <v>38</v>
      </c>
      <c r="M71" s="275"/>
    </row>
    <row r="72" spans="2:21" ht="15.95" customHeight="1" x14ac:dyDescent="0.2">
      <c r="B72" s="237" t="s">
        <v>340</v>
      </c>
      <c r="C72" s="231" t="s">
        <v>341</v>
      </c>
      <c r="D72" s="232">
        <v>3</v>
      </c>
      <c r="E72" s="232">
        <v>0.88</v>
      </c>
      <c r="F72" s="232">
        <v>192</v>
      </c>
      <c r="G72" s="264">
        <v>5</v>
      </c>
      <c r="H72" s="241">
        <v>-16.7</v>
      </c>
      <c r="I72" s="241">
        <v>-20.100000000000001</v>
      </c>
      <c r="J72" s="241">
        <v>33</v>
      </c>
      <c r="K72" s="241">
        <v>4</v>
      </c>
      <c r="L72" s="241">
        <v>5</v>
      </c>
      <c r="M72" s="275"/>
    </row>
    <row r="73" spans="2:21" ht="15.95" customHeight="1" x14ac:dyDescent="0.2">
      <c r="B73" s="237" t="s">
        <v>342</v>
      </c>
      <c r="C73" s="231" t="s">
        <v>343</v>
      </c>
      <c r="D73" s="238">
        <v>3</v>
      </c>
      <c r="E73" s="239">
        <v>1.506</v>
      </c>
      <c r="F73" s="266">
        <v>10</v>
      </c>
      <c r="G73" s="235">
        <v>10</v>
      </c>
      <c r="H73" s="241">
        <v>-22.3</v>
      </c>
      <c r="I73" s="241">
        <v>25.8</v>
      </c>
      <c r="J73" s="241">
        <v>31</v>
      </c>
      <c r="K73" s="241">
        <v>4</v>
      </c>
      <c r="L73" s="241">
        <v>5</v>
      </c>
      <c r="M73" s="275"/>
    </row>
    <row r="74" spans="2:21" ht="15.95" customHeight="1" x14ac:dyDescent="0.2">
      <c r="B74" s="237" t="s">
        <v>344</v>
      </c>
      <c r="C74" s="258" t="s">
        <v>345</v>
      </c>
      <c r="D74" s="238">
        <v>3</v>
      </c>
      <c r="E74" s="239">
        <v>1.506</v>
      </c>
      <c r="F74" s="241">
        <v>2</v>
      </c>
      <c r="G74" s="235">
        <v>10</v>
      </c>
      <c r="H74" s="241">
        <v>-23.31</v>
      </c>
      <c r="I74" s="241">
        <v>40.18</v>
      </c>
      <c r="J74" s="241">
        <v>31</v>
      </c>
      <c r="K74" s="241">
        <v>4</v>
      </c>
      <c r="L74" s="241">
        <v>5</v>
      </c>
      <c r="M74" s="275"/>
    </row>
    <row r="75" spans="2:21" ht="15.95" customHeight="1" x14ac:dyDescent="0.2">
      <c r="B75" s="237" t="s">
        <v>346</v>
      </c>
      <c r="C75" s="249" t="s">
        <v>347</v>
      </c>
      <c r="D75" s="238">
        <v>3</v>
      </c>
      <c r="E75" s="239">
        <v>1.506</v>
      </c>
      <c r="F75" s="267">
        <v>10</v>
      </c>
      <c r="G75" s="235">
        <v>10</v>
      </c>
      <c r="H75" s="250">
        <v>-29.5</v>
      </c>
      <c r="I75" s="250">
        <v>39.049999999999997</v>
      </c>
      <c r="J75" s="250">
        <v>31</v>
      </c>
      <c r="K75" s="241">
        <v>4</v>
      </c>
      <c r="L75" s="241">
        <v>5</v>
      </c>
      <c r="M75" s="275"/>
    </row>
    <row r="76" spans="2:21" ht="15.95" customHeight="1" x14ac:dyDescent="0.2">
      <c r="B76" s="230" t="s">
        <v>348</v>
      </c>
      <c r="C76" s="244" t="s">
        <v>349</v>
      </c>
      <c r="D76" s="232" t="s">
        <v>38</v>
      </c>
      <c r="E76" s="233" t="s">
        <v>38</v>
      </c>
      <c r="F76" s="234" t="s">
        <v>38</v>
      </c>
      <c r="G76" s="264">
        <v>20</v>
      </c>
      <c r="H76" s="236">
        <v>-26.6</v>
      </c>
      <c r="I76" s="236">
        <v>29.3</v>
      </c>
      <c r="J76" s="236">
        <v>31</v>
      </c>
      <c r="K76" s="236" t="s">
        <v>38</v>
      </c>
      <c r="L76" s="236" t="s">
        <v>38</v>
      </c>
      <c r="M76" s="275"/>
    </row>
    <row r="77" spans="2:21" ht="15.95" customHeight="1" thickBot="1" x14ac:dyDescent="0.25">
      <c r="B77" s="255"/>
      <c r="C77" s="252"/>
      <c r="D77" s="278"/>
      <c r="E77" s="256"/>
      <c r="F77" s="272"/>
      <c r="G77" s="253"/>
      <c r="H77" s="250"/>
      <c r="I77" s="250"/>
      <c r="J77" s="250"/>
      <c r="K77" s="250"/>
      <c r="L77" s="250"/>
      <c r="M77" s="276"/>
    </row>
    <row r="78" spans="2:21" ht="15.95" customHeight="1" thickTop="1" x14ac:dyDescent="0.2">
      <c r="B78" s="318"/>
      <c r="C78" s="319"/>
      <c r="D78" s="320"/>
      <c r="E78" s="321"/>
      <c r="F78" s="322" t="s">
        <v>33</v>
      </c>
      <c r="G78" s="323">
        <f>SUBTOTAL(9,G70:G77)</f>
        <v>75</v>
      </c>
      <c r="H78" s="324">
        <f>IF($G78=0,0,SUMPRODUCT($G70:$G77,H70:H77)/$G78)</f>
        <v>-24.712</v>
      </c>
      <c r="I78" s="324">
        <f>IF($G78=0,0,SUMPRODUCT($G70:$G77,I70:I77)/$G78)</f>
        <v>18.184000000000001</v>
      </c>
      <c r="J78" s="324">
        <f>IF($G78=0,0,SUMPRODUCT($G70:$G77,J70:J77)/$G78)</f>
        <v>31.666666666666668</v>
      </c>
      <c r="K78" s="324">
        <f>SUBTOTAL(9,K70:K77)</f>
        <v>16</v>
      </c>
      <c r="L78" s="324">
        <f>SUBTOTAL(9,L70:L77)</f>
        <v>20</v>
      </c>
      <c r="M78" s="444"/>
      <c r="O78" s="445" t="s">
        <v>535</v>
      </c>
      <c r="P78" s="446">
        <f t="shared" ref="P78:U78" si="8">G78</f>
        <v>75</v>
      </c>
      <c r="Q78" s="446">
        <f t="shared" si="8"/>
        <v>-24.712</v>
      </c>
      <c r="R78" s="446">
        <f t="shared" si="8"/>
        <v>18.184000000000001</v>
      </c>
      <c r="S78" s="446">
        <f t="shared" si="8"/>
        <v>31.666666666666668</v>
      </c>
      <c r="T78" s="446">
        <f t="shared" si="8"/>
        <v>16</v>
      </c>
      <c r="U78" s="447">
        <f t="shared" si="8"/>
        <v>20</v>
      </c>
    </row>
    <row r="79" spans="2:21" ht="15.95" customHeight="1" x14ac:dyDescent="0.2">
      <c r="B79" s="485"/>
      <c r="C79" s="452"/>
      <c r="D79" s="452"/>
      <c r="F79" s="452"/>
      <c r="G79" s="383"/>
      <c r="H79" s="452"/>
      <c r="I79" s="452"/>
      <c r="J79" s="452"/>
      <c r="K79" s="452"/>
      <c r="L79" s="452"/>
      <c r="M79" s="486"/>
    </row>
    <row r="80" spans="2:21" ht="15.95" customHeight="1" x14ac:dyDescent="0.2">
      <c r="B80" s="82"/>
      <c r="C80" s="242" t="s">
        <v>481</v>
      </c>
      <c r="D80" s="227"/>
      <c r="E80" s="228"/>
      <c r="F80" s="242"/>
      <c r="G80" s="227"/>
      <c r="H80" s="227"/>
      <c r="I80" s="227"/>
      <c r="J80" s="227"/>
      <c r="K80" s="227"/>
      <c r="L80" s="227"/>
      <c r="M80" s="274"/>
    </row>
    <row r="81" spans="2:21" ht="15.95" customHeight="1" x14ac:dyDescent="0.2">
      <c r="B81" s="58" t="s">
        <v>350</v>
      </c>
      <c r="C81" s="56" t="s">
        <v>351</v>
      </c>
      <c r="D81" s="55" t="s">
        <v>38</v>
      </c>
      <c r="E81" s="218" t="s">
        <v>38</v>
      </c>
      <c r="F81" s="16" t="s">
        <v>38</v>
      </c>
      <c r="G81" s="24">
        <v>200</v>
      </c>
      <c r="H81" s="16">
        <v>-6</v>
      </c>
      <c r="I81" s="16">
        <v>33</v>
      </c>
      <c r="J81" s="16">
        <v>33.4</v>
      </c>
      <c r="K81" s="169" t="s">
        <v>38</v>
      </c>
      <c r="L81" s="169" t="s">
        <v>38</v>
      </c>
      <c r="M81" s="273"/>
    </row>
    <row r="82" spans="2:21" ht="15.95" customHeight="1" x14ac:dyDescent="0.2">
      <c r="B82" s="259" t="s">
        <v>352</v>
      </c>
      <c r="C82" s="260" t="s">
        <v>353</v>
      </c>
      <c r="D82" s="261" t="s">
        <v>38</v>
      </c>
      <c r="E82" s="261" t="s">
        <v>38</v>
      </c>
      <c r="F82" s="261" t="s">
        <v>38</v>
      </c>
      <c r="G82" s="264">
        <v>10</v>
      </c>
      <c r="H82" s="265">
        <v>-8</v>
      </c>
      <c r="I82" s="265">
        <v>-36</v>
      </c>
      <c r="J82" s="16">
        <v>33.4</v>
      </c>
      <c r="K82" s="265" t="s">
        <v>38</v>
      </c>
      <c r="L82" s="265" t="s">
        <v>38</v>
      </c>
      <c r="M82" s="275"/>
    </row>
    <row r="83" spans="2:21" ht="15.95" customHeight="1" x14ac:dyDescent="0.2">
      <c r="B83" s="268" t="s">
        <v>354</v>
      </c>
      <c r="C83" s="260" t="s">
        <v>355</v>
      </c>
      <c r="D83" s="261" t="s">
        <v>38</v>
      </c>
      <c r="E83" s="261" t="s">
        <v>38</v>
      </c>
      <c r="F83" s="261" t="s">
        <v>38</v>
      </c>
      <c r="G83" s="264">
        <v>10</v>
      </c>
      <c r="H83" s="269">
        <v>-8</v>
      </c>
      <c r="I83" s="269">
        <v>-36.200000000000003</v>
      </c>
      <c r="J83" s="16">
        <v>33.4</v>
      </c>
      <c r="K83" s="265" t="s">
        <v>38</v>
      </c>
      <c r="L83" s="265" t="s">
        <v>38</v>
      </c>
      <c r="M83" s="275"/>
    </row>
    <row r="84" spans="2:21" ht="15.95" customHeight="1" x14ac:dyDescent="0.2">
      <c r="B84" s="243" t="s">
        <v>356</v>
      </c>
      <c r="C84" s="231" t="s">
        <v>357</v>
      </c>
      <c r="D84" s="232" t="s">
        <v>38</v>
      </c>
      <c r="E84" s="232" t="s">
        <v>38</v>
      </c>
      <c r="F84" s="232" t="s">
        <v>38</v>
      </c>
      <c r="G84" s="264">
        <v>20</v>
      </c>
      <c r="H84" s="254">
        <v>16.350000000000001</v>
      </c>
      <c r="I84" s="254">
        <v>-15.2</v>
      </c>
      <c r="J84" s="16">
        <v>33.4</v>
      </c>
      <c r="K84" s="236" t="s">
        <v>38</v>
      </c>
      <c r="L84" s="236" t="s">
        <v>38</v>
      </c>
      <c r="M84" s="275"/>
    </row>
    <row r="85" spans="2:21" ht="15.95" customHeight="1" x14ac:dyDescent="0.2">
      <c r="B85" s="237" t="s">
        <v>358</v>
      </c>
      <c r="C85" s="249" t="s">
        <v>359</v>
      </c>
      <c r="D85" s="238">
        <v>3</v>
      </c>
      <c r="E85" s="239">
        <v>1.506</v>
      </c>
      <c r="F85" s="232">
        <f>2*2</f>
        <v>4</v>
      </c>
      <c r="G85" s="235">
        <v>5</v>
      </c>
      <c r="H85" s="250">
        <v>-12.4</v>
      </c>
      <c r="I85" s="250">
        <v>19.899999999999999</v>
      </c>
      <c r="J85" s="16">
        <v>33.4</v>
      </c>
      <c r="K85" s="241">
        <v>4</v>
      </c>
      <c r="L85" s="241">
        <v>5</v>
      </c>
      <c r="M85" s="275"/>
    </row>
    <row r="86" spans="2:21" ht="15.95" customHeight="1" x14ac:dyDescent="0.2">
      <c r="B86" s="270" t="s">
        <v>360</v>
      </c>
      <c r="C86" s="260" t="s">
        <v>361</v>
      </c>
      <c r="D86" s="261" t="s">
        <v>38</v>
      </c>
      <c r="E86" s="261" t="s">
        <v>38</v>
      </c>
      <c r="F86" s="261" t="s">
        <v>38</v>
      </c>
      <c r="G86" s="264">
        <v>2</v>
      </c>
      <c r="H86" s="267">
        <v>-2</v>
      </c>
      <c r="I86" s="267">
        <v>-14.25</v>
      </c>
      <c r="J86" s="16">
        <v>33.4</v>
      </c>
      <c r="K86" s="265" t="s">
        <v>38</v>
      </c>
      <c r="L86" s="265" t="s">
        <v>38</v>
      </c>
      <c r="M86" s="275"/>
    </row>
    <row r="87" spans="2:21" ht="15.95" customHeight="1" x14ac:dyDescent="0.2">
      <c r="B87" s="270" t="s">
        <v>362</v>
      </c>
      <c r="C87" s="260" t="s">
        <v>363</v>
      </c>
      <c r="D87" s="261" t="s">
        <v>38</v>
      </c>
      <c r="E87" s="261" t="s">
        <v>38</v>
      </c>
      <c r="F87" s="261" t="s">
        <v>38</v>
      </c>
      <c r="G87" s="264">
        <v>2</v>
      </c>
      <c r="H87" s="267">
        <v>-2</v>
      </c>
      <c r="I87" s="267">
        <v>-14.25</v>
      </c>
      <c r="J87" s="16">
        <v>33.4</v>
      </c>
      <c r="K87" s="265" t="s">
        <v>38</v>
      </c>
      <c r="L87" s="265" t="s">
        <v>38</v>
      </c>
      <c r="M87" s="275"/>
    </row>
    <row r="88" spans="2:21" ht="15.95" customHeight="1" x14ac:dyDescent="0.2">
      <c r="B88" s="237" t="s">
        <v>364</v>
      </c>
      <c r="C88" s="249" t="s">
        <v>365</v>
      </c>
      <c r="D88" s="238" t="s">
        <v>38</v>
      </c>
      <c r="E88" s="239" t="s">
        <v>38</v>
      </c>
      <c r="F88" s="250" t="s">
        <v>38</v>
      </c>
      <c r="G88" s="251">
        <v>5</v>
      </c>
      <c r="H88" s="250">
        <v>0</v>
      </c>
      <c r="I88" s="250">
        <v>-31.8</v>
      </c>
      <c r="J88" s="16">
        <v>33.4</v>
      </c>
      <c r="K88" s="250" t="s">
        <v>38</v>
      </c>
      <c r="L88" s="250" t="s">
        <v>38</v>
      </c>
      <c r="M88" s="276"/>
    </row>
    <row r="89" spans="2:21" ht="15.95" customHeight="1" thickBot="1" x14ac:dyDescent="0.25">
      <c r="B89" s="255"/>
      <c r="C89" s="252"/>
      <c r="D89" s="278"/>
      <c r="E89" s="256"/>
      <c r="F89" s="272"/>
      <c r="G89" s="253"/>
      <c r="H89" s="250"/>
      <c r="I89" s="250"/>
      <c r="J89" s="250"/>
      <c r="K89" s="250"/>
      <c r="L89" s="250"/>
      <c r="M89" s="276"/>
    </row>
    <row r="90" spans="2:21" ht="15.95" customHeight="1" thickTop="1" x14ac:dyDescent="0.2">
      <c r="B90" s="318"/>
      <c r="C90" s="319"/>
      <c r="D90" s="320"/>
      <c r="E90" s="321"/>
      <c r="F90" s="322" t="s">
        <v>33</v>
      </c>
      <c r="G90" s="323">
        <f>SUBTOTAL(9,G81:G89)</f>
        <v>254</v>
      </c>
      <c r="H90" s="324">
        <f>IF($G90=0,0,SUMPRODUCT($G82:$G89,H82:H89)/$G90)</f>
        <v>0.38188976377952755</v>
      </c>
      <c r="I90" s="324">
        <f>IF($G90=0,0,SUMPRODUCT($G82:$G89,I82:I89)/$G90)</f>
        <v>-4.4980314960629917</v>
      </c>
      <c r="J90" s="324">
        <f>IF($G90=0,0,SUMPRODUCT($G82:$G89,J82:J89)/$G90)</f>
        <v>7.1007874015748031</v>
      </c>
      <c r="K90" s="324">
        <f>SUBTOTAL(9,K82:K89)</f>
        <v>4</v>
      </c>
      <c r="L90" s="324">
        <f>SUBTOTAL(9,L82:L89)</f>
        <v>5</v>
      </c>
      <c r="M90" s="444"/>
      <c r="O90" s="445" t="s">
        <v>536</v>
      </c>
      <c r="P90" s="446">
        <f t="shared" ref="P90:U90" si="9">G90</f>
        <v>254</v>
      </c>
      <c r="Q90" s="446">
        <f t="shared" si="9"/>
        <v>0.38188976377952755</v>
      </c>
      <c r="R90" s="446">
        <f t="shared" si="9"/>
        <v>-4.4980314960629917</v>
      </c>
      <c r="S90" s="446">
        <f t="shared" si="9"/>
        <v>7.1007874015748031</v>
      </c>
      <c r="T90" s="446">
        <f t="shared" si="9"/>
        <v>4</v>
      </c>
      <c r="U90" s="447">
        <f t="shared" si="9"/>
        <v>5</v>
      </c>
    </row>
    <row r="91" spans="2:21" ht="15.95" customHeight="1" x14ac:dyDescent="0.2">
      <c r="B91" s="485"/>
      <c r="C91" s="452"/>
      <c r="D91" s="452"/>
      <c r="F91" s="452"/>
      <c r="G91" s="383"/>
      <c r="H91" s="452"/>
      <c r="I91" s="452"/>
      <c r="J91" s="452"/>
      <c r="K91" s="452"/>
      <c r="L91" s="452"/>
      <c r="M91" s="486"/>
    </row>
    <row r="92" spans="2:21" ht="15.95" customHeight="1" x14ac:dyDescent="0.2">
      <c r="B92" s="82"/>
      <c r="C92" s="242" t="s">
        <v>482</v>
      </c>
      <c r="D92" s="227"/>
      <c r="E92" s="228"/>
      <c r="F92" s="242"/>
      <c r="G92" s="227"/>
      <c r="H92" s="227"/>
      <c r="I92" s="227"/>
      <c r="J92" s="227"/>
      <c r="K92" s="227"/>
      <c r="L92" s="227"/>
      <c r="M92" s="274"/>
    </row>
    <row r="93" spans="2:21" ht="15.95" customHeight="1" x14ac:dyDescent="0.2">
      <c r="B93" s="58" t="s">
        <v>366</v>
      </c>
      <c r="C93" s="56" t="s">
        <v>367</v>
      </c>
      <c r="D93" s="55" t="s">
        <v>38</v>
      </c>
      <c r="E93" s="218" t="s">
        <v>38</v>
      </c>
      <c r="F93" s="16" t="s">
        <v>38</v>
      </c>
      <c r="G93" s="24">
        <v>5</v>
      </c>
      <c r="H93" s="16">
        <v>26.7</v>
      </c>
      <c r="I93" s="16">
        <v>12.8</v>
      </c>
      <c r="J93" s="16">
        <v>33.4</v>
      </c>
      <c r="K93" s="169" t="s">
        <v>38</v>
      </c>
      <c r="L93" s="169" t="s">
        <v>38</v>
      </c>
      <c r="M93" s="273"/>
    </row>
    <row r="94" spans="2:21" ht="15.95" customHeight="1" x14ac:dyDescent="0.2">
      <c r="B94" s="237" t="s">
        <v>368</v>
      </c>
      <c r="C94" s="231" t="s">
        <v>369</v>
      </c>
      <c r="D94" s="232" t="s">
        <v>38</v>
      </c>
      <c r="E94" s="232" t="s">
        <v>38</v>
      </c>
      <c r="F94" s="232" t="s">
        <v>38</v>
      </c>
      <c r="G94" s="264">
        <v>10</v>
      </c>
      <c r="H94" s="241">
        <v>30</v>
      </c>
      <c r="I94" s="241">
        <v>14.5</v>
      </c>
      <c r="J94" s="16">
        <v>33.4</v>
      </c>
      <c r="K94" s="236" t="s">
        <v>38</v>
      </c>
      <c r="L94" s="236" t="s">
        <v>38</v>
      </c>
      <c r="M94" s="275"/>
    </row>
    <row r="95" spans="2:21" ht="15.95" customHeight="1" x14ac:dyDescent="0.2">
      <c r="B95" s="230" t="s">
        <v>370</v>
      </c>
      <c r="C95" s="231" t="s">
        <v>367</v>
      </c>
      <c r="D95" s="232" t="s">
        <v>38</v>
      </c>
      <c r="E95" s="232" t="s">
        <v>38</v>
      </c>
      <c r="F95" s="232" t="s">
        <v>38</v>
      </c>
      <c r="G95" s="264">
        <v>5</v>
      </c>
      <c r="H95" s="236">
        <v>26.7</v>
      </c>
      <c r="I95" s="236">
        <v>-12.8</v>
      </c>
      <c r="J95" s="16">
        <v>33.4</v>
      </c>
      <c r="K95" s="236" t="s">
        <v>38</v>
      </c>
      <c r="L95" s="236" t="s">
        <v>38</v>
      </c>
      <c r="M95" s="275"/>
    </row>
    <row r="96" spans="2:21" ht="15.95" customHeight="1" x14ac:dyDescent="0.2">
      <c r="B96" s="237" t="s">
        <v>371</v>
      </c>
      <c r="C96" s="231" t="s">
        <v>369</v>
      </c>
      <c r="D96" s="232" t="s">
        <v>38</v>
      </c>
      <c r="E96" s="232" t="s">
        <v>38</v>
      </c>
      <c r="F96" s="232" t="s">
        <v>38</v>
      </c>
      <c r="G96" s="264">
        <v>5</v>
      </c>
      <c r="H96" s="241">
        <v>37</v>
      </c>
      <c r="I96" s="241">
        <v>-20.6</v>
      </c>
      <c r="J96" s="16">
        <v>33.4</v>
      </c>
      <c r="K96" s="236" t="s">
        <v>38</v>
      </c>
      <c r="L96" s="236" t="s">
        <v>38</v>
      </c>
      <c r="M96" s="275"/>
    </row>
    <row r="97" spans="2:21" ht="15.95" customHeight="1" x14ac:dyDescent="0.2">
      <c r="B97" s="237" t="s">
        <v>372</v>
      </c>
      <c r="C97" s="258" t="s">
        <v>373</v>
      </c>
      <c r="D97" s="232" t="s">
        <v>38</v>
      </c>
      <c r="E97" s="232" t="s">
        <v>38</v>
      </c>
      <c r="F97" s="232" t="s">
        <v>38</v>
      </c>
      <c r="G97" s="264">
        <v>200</v>
      </c>
      <c r="H97" s="241">
        <v>12</v>
      </c>
      <c r="I97" s="241">
        <v>0</v>
      </c>
      <c r="J97" s="241">
        <v>33.4</v>
      </c>
      <c r="K97" s="236" t="s">
        <v>38</v>
      </c>
      <c r="L97" s="236" t="s">
        <v>38</v>
      </c>
      <c r="M97" s="275"/>
    </row>
    <row r="98" spans="2:21" ht="15.95" customHeight="1" x14ac:dyDescent="0.2">
      <c r="B98" s="243" t="s">
        <v>374</v>
      </c>
      <c r="C98" s="258" t="s">
        <v>375</v>
      </c>
      <c r="D98" s="232" t="s">
        <v>38</v>
      </c>
      <c r="E98" s="232" t="s">
        <v>38</v>
      </c>
      <c r="F98" s="232" t="s">
        <v>38</v>
      </c>
      <c r="G98" s="264">
        <v>20</v>
      </c>
      <c r="H98" s="254">
        <v>10.7</v>
      </c>
      <c r="I98" s="254">
        <v>15.4</v>
      </c>
      <c r="J98" s="241">
        <v>33.4</v>
      </c>
      <c r="K98" s="236" t="s">
        <v>38</v>
      </c>
      <c r="L98" s="236" t="s">
        <v>38</v>
      </c>
      <c r="M98" s="275"/>
    </row>
    <row r="99" spans="2:21" ht="15.95" customHeight="1" thickBot="1" x14ac:dyDescent="0.25">
      <c r="B99" s="255"/>
      <c r="C99" s="252"/>
      <c r="D99" s="278"/>
      <c r="E99" s="256"/>
      <c r="F99" s="272"/>
      <c r="G99" s="253"/>
      <c r="H99" s="250"/>
      <c r="I99" s="250"/>
      <c r="J99" s="250"/>
      <c r="K99" s="250"/>
      <c r="L99" s="250"/>
      <c r="M99" s="276"/>
    </row>
    <row r="100" spans="2:21" ht="15.95" customHeight="1" thickTop="1" x14ac:dyDescent="0.2">
      <c r="B100" s="318"/>
      <c r="C100" s="319"/>
      <c r="D100" s="320"/>
      <c r="E100" s="321"/>
      <c r="F100" s="322" t="s">
        <v>33</v>
      </c>
      <c r="G100" s="323">
        <f>SUBTOTAL(9,G93:G99)</f>
        <v>245</v>
      </c>
      <c r="H100" s="324">
        <f>IF($G100=0,0,SUMPRODUCT($G93:$G99,H93:H99)/$G100)</f>
        <v>13.738775510204082</v>
      </c>
      <c r="I100" s="324">
        <f>IF($G100=0,0,SUMPRODUCT($G93:$G99,I93:I99)/$G100)</f>
        <v>1.4285714285714286</v>
      </c>
      <c r="J100" s="324">
        <f>IF($G100=0,0,SUMPRODUCT($G93:$G99,J93:J99)/$G100)</f>
        <v>33.4</v>
      </c>
      <c r="K100" s="324">
        <f>SUBTOTAL(9,K93:K99)</f>
        <v>0</v>
      </c>
      <c r="L100" s="324">
        <f>SUBTOTAL(9,L93:L99)</f>
        <v>0</v>
      </c>
      <c r="M100" s="444"/>
      <c r="O100" s="445" t="s">
        <v>537</v>
      </c>
      <c r="P100" s="446">
        <f t="shared" ref="P100:U100" si="10">G100</f>
        <v>245</v>
      </c>
      <c r="Q100" s="446">
        <f t="shared" si="10"/>
        <v>13.738775510204082</v>
      </c>
      <c r="R100" s="446">
        <f t="shared" si="10"/>
        <v>1.4285714285714286</v>
      </c>
      <c r="S100" s="446">
        <f t="shared" si="10"/>
        <v>33.4</v>
      </c>
      <c r="T100" s="446">
        <f t="shared" si="10"/>
        <v>0</v>
      </c>
      <c r="U100" s="447">
        <f t="shared" si="10"/>
        <v>0</v>
      </c>
    </row>
    <row r="101" spans="2:21" ht="15.95" customHeight="1" x14ac:dyDescent="0.2">
      <c r="B101" s="485"/>
      <c r="C101" s="452"/>
      <c r="D101" s="452"/>
      <c r="F101" s="452"/>
      <c r="G101" s="383"/>
      <c r="H101" s="452"/>
      <c r="I101" s="452"/>
      <c r="J101" s="452"/>
      <c r="K101" s="452"/>
      <c r="L101" s="452"/>
      <c r="M101" s="486"/>
    </row>
    <row r="102" spans="2:21" ht="15.95" customHeight="1" x14ac:dyDescent="0.2">
      <c r="B102" s="82"/>
      <c r="C102" s="242" t="s">
        <v>422</v>
      </c>
      <c r="D102" s="227"/>
      <c r="E102" s="228"/>
      <c r="F102" s="242"/>
      <c r="G102" s="227"/>
      <c r="H102" s="227"/>
      <c r="I102" s="227"/>
      <c r="J102" s="227"/>
      <c r="K102" s="227"/>
      <c r="L102" s="227"/>
      <c r="M102" s="274"/>
    </row>
    <row r="103" spans="2:21" ht="15.95" customHeight="1" x14ac:dyDescent="0.2">
      <c r="B103" s="230" t="s">
        <v>447</v>
      </c>
      <c r="C103" s="231" t="s">
        <v>445</v>
      </c>
      <c r="D103" s="225"/>
      <c r="E103" s="232">
        <v>10</v>
      </c>
      <c r="F103" s="233">
        <v>1</v>
      </c>
      <c r="G103" s="235">
        <f>+E103*F103</f>
        <v>10</v>
      </c>
      <c r="H103" s="236">
        <v>22</v>
      </c>
      <c r="I103" s="236">
        <v>0</v>
      </c>
      <c r="J103" s="236">
        <v>34</v>
      </c>
      <c r="K103" s="236" t="s">
        <v>38</v>
      </c>
      <c r="L103" s="236" t="s">
        <v>38</v>
      </c>
      <c r="M103" s="275"/>
    </row>
    <row r="104" spans="2:21" ht="15.95" customHeight="1" x14ac:dyDescent="0.2">
      <c r="B104" s="230" t="s">
        <v>448</v>
      </c>
      <c r="C104" s="231" t="s">
        <v>446</v>
      </c>
      <c r="D104" s="225"/>
      <c r="E104" s="238">
        <v>15</v>
      </c>
      <c r="F104" s="239">
        <v>1</v>
      </c>
      <c r="G104" s="235">
        <v>25</v>
      </c>
      <c r="H104" s="241">
        <v>22</v>
      </c>
      <c r="I104" s="241">
        <v>0</v>
      </c>
      <c r="J104" s="236">
        <v>34</v>
      </c>
      <c r="K104" s="236" t="s">
        <v>38</v>
      </c>
      <c r="L104" s="236" t="s">
        <v>38</v>
      </c>
      <c r="M104" s="275"/>
    </row>
    <row r="105" spans="2:21" ht="15.95" customHeight="1" x14ac:dyDescent="0.2">
      <c r="B105" s="315" t="s">
        <v>449</v>
      </c>
      <c r="C105" s="252" t="s">
        <v>39</v>
      </c>
      <c r="D105" s="225"/>
      <c r="E105" s="278">
        <v>10</v>
      </c>
      <c r="F105" s="256">
        <v>1</v>
      </c>
      <c r="G105" s="253">
        <v>15</v>
      </c>
      <c r="H105" s="241">
        <v>22</v>
      </c>
      <c r="I105" s="241">
        <v>0</v>
      </c>
      <c r="J105" s="236">
        <v>34</v>
      </c>
      <c r="K105" s="236" t="s">
        <v>38</v>
      </c>
      <c r="L105" s="236" t="s">
        <v>38</v>
      </c>
      <c r="M105" s="276"/>
    </row>
    <row r="106" spans="2:21" ht="15.95" customHeight="1" thickBot="1" x14ac:dyDescent="0.25">
      <c r="B106" s="255"/>
      <c r="C106" s="252"/>
      <c r="D106" s="278"/>
      <c r="E106" s="256"/>
      <c r="F106" s="272"/>
      <c r="G106" s="253"/>
      <c r="H106" s="250"/>
      <c r="I106" s="250"/>
      <c r="J106" s="250"/>
      <c r="K106" s="250"/>
      <c r="L106" s="250"/>
      <c r="M106" s="276"/>
    </row>
    <row r="107" spans="2:21" ht="15.95" customHeight="1" thickTop="1" x14ac:dyDescent="0.2">
      <c r="B107" s="318"/>
      <c r="C107" s="319"/>
      <c r="D107" s="320"/>
      <c r="E107" s="321"/>
      <c r="F107" s="322" t="s">
        <v>33</v>
      </c>
      <c r="G107" s="323">
        <f>SUBTOTAL(9,G103:G106)</f>
        <v>50</v>
      </c>
      <c r="H107" s="324">
        <f>IF($G107=0,0,SUMPRODUCT($G103:$G106,H103:H106)/$G107)</f>
        <v>22</v>
      </c>
      <c r="I107" s="324">
        <f>IF($G107=0,0,SUMPRODUCT($G103:$G106,I103:I106)/$G107)</f>
        <v>0</v>
      </c>
      <c r="J107" s="324">
        <f>IF($G107=0,0,SUMPRODUCT($G103:$G106,J103:J106)/$G107)</f>
        <v>34</v>
      </c>
      <c r="K107" s="324" t="s">
        <v>38</v>
      </c>
      <c r="L107" s="324" t="s">
        <v>38</v>
      </c>
      <c r="M107" s="444"/>
      <c r="O107" s="445" t="s">
        <v>538</v>
      </c>
      <c r="P107" s="446">
        <f t="shared" ref="P107:U107" si="11">G107</f>
        <v>50</v>
      </c>
      <c r="Q107" s="446">
        <f t="shared" si="11"/>
        <v>22</v>
      </c>
      <c r="R107" s="446">
        <f t="shared" si="11"/>
        <v>0</v>
      </c>
      <c r="S107" s="446">
        <f t="shared" si="11"/>
        <v>34</v>
      </c>
      <c r="T107" s="446" t="str">
        <f t="shared" si="11"/>
        <v>n/a</v>
      </c>
      <c r="U107" s="447" t="str">
        <f t="shared" si="11"/>
        <v>n/a</v>
      </c>
    </row>
    <row r="108" spans="2:21" ht="15.95" customHeight="1" x14ac:dyDescent="0.2">
      <c r="B108" s="485"/>
      <c r="C108" s="452"/>
      <c r="D108" s="452"/>
      <c r="F108" s="452"/>
      <c r="G108" s="383"/>
      <c r="H108" s="452"/>
      <c r="I108" s="452"/>
      <c r="J108" s="452"/>
      <c r="K108" s="452"/>
      <c r="L108" s="452"/>
      <c r="M108" s="486"/>
    </row>
    <row r="109" spans="2:21" ht="15.95" customHeight="1" x14ac:dyDescent="0.2">
      <c r="B109" s="463"/>
      <c r="C109" s="470" t="s">
        <v>531</v>
      </c>
      <c r="D109" s="464"/>
      <c r="E109" s="465"/>
      <c r="F109" s="466"/>
      <c r="G109" s="467"/>
      <c r="H109" s="468"/>
      <c r="I109" s="468"/>
      <c r="J109" s="468"/>
      <c r="K109" s="468"/>
      <c r="L109" s="468"/>
      <c r="M109" s="469"/>
    </row>
    <row r="110" spans="2:21" ht="15.95" customHeight="1" x14ac:dyDescent="0.2">
      <c r="B110" s="243"/>
      <c r="C110" s="244"/>
      <c r="D110" s="245"/>
      <c r="E110" s="246"/>
      <c r="F110" s="279"/>
      <c r="G110" s="280"/>
      <c r="H110" s="281"/>
      <c r="I110" s="281"/>
      <c r="J110" s="281"/>
      <c r="K110" s="281"/>
      <c r="L110" s="281"/>
      <c r="M110" s="282"/>
    </row>
    <row r="111" spans="2:21" ht="15.95" customHeight="1" x14ac:dyDescent="0.2">
      <c r="B111" s="82"/>
      <c r="C111" s="242" t="s">
        <v>486</v>
      </c>
      <c r="D111" s="227"/>
      <c r="E111" s="228"/>
      <c r="F111" s="242"/>
      <c r="G111" s="227"/>
      <c r="H111" s="227"/>
      <c r="I111" s="227"/>
      <c r="J111" s="227"/>
      <c r="K111" s="227"/>
      <c r="L111" s="227"/>
      <c r="M111" s="274"/>
    </row>
    <row r="112" spans="2:21" ht="15.95" customHeight="1" x14ac:dyDescent="0.2">
      <c r="B112" s="230" t="s">
        <v>377</v>
      </c>
      <c r="C112" s="343" t="s">
        <v>378</v>
      </c>
      <c r="D112" s="345"/>
      <c r="E112" s="232">
        <v>26.3</v>
      </c>
      <c r="F112" s="232">
        <v>25000</v>
      </c>
      <c r="G112" s="235">
        <f>+E112*F112/2205</f>
        <v>298.18594104308391</v>
      </c>
      <c r="H112" s="236">
        <v>-2</v>
      </c>
      <c r="I112" s="236">
        <v>0</v>
      </c>
      <c r="J112" s="236">
        <v>37.6</v>
      </c>
      <c r="K112" s="236" t="s">
        <v>38</v>
      </c>
      <c r="L112" s="236" t="s">
        <v>38</v>
      </c>
      <c r="M112" s="273"/>
    </row>
    <row r="113" spans="2:21" ht="15.95" customHeight="1" x14ac:dyDescent="0.2">
      <c r="B113" s="230" t="s">
        <v>379</v>
      </c>
      <c r="C113" s="342" t="s">
        <v>380</v>
      </c>
      <c r="D113" s="346"/>
      <c r="E113" s="232">
        <v>19.5</v>
      </c>
      <c r="F113" s="233">
        <v>5000</v>
      </c>
      <c r="G113" s="235">
        <f>+E113*F113/2205</f>
        <v>44.217687074829932</v>
      </c>
      <c r="H113" s="236">
        <v>-2</v>
      </c>
      <c r="I113" s="236">
        <v>0</v>
      </c>
      <c r="J113" s="236">
        <v>37.6</v>
      </c>
      <c r="K113" s="236" t="s">
        <v>38</v>
      </c>
      <c r="L113" s="236" t="s">
        <v>38</v>
      </c>
      <c r="M113" s="273"/>
    </row>
    <row r="114" spans="2:21" ht="15.95" customHeight="1" x14ac:dyDescent="0.2">
      <c r="B114" s="230" t="s">
        <v>381</v>
      </c>
      <c r="C114" s="343" t="s">
        <v>382</v>
      </c>
      <c r="D114" s="346"/>
      <c r="E114" s="232">
        <v>38.700000000000003</v>
      </c>
      <c r="F114" s="233">
        <v>900</v>
      </c>
      <c r="G114" s="235">
        <f>+E114*F114/2205</f>
        <v>15.795918367346939</v>
      </c>
      <c r="H114" s="236">
        <v>-2</v>
      </c>
      <c r="I114" s="236">
        <v>0</v>
      </c>
      <c r="J114" s="236">
        <v>37.6</v>
      </c>
      <c r="K114" s="236" t="s">
        <v>38</v>
      </c>
      <c r="L114" s="236" t="s">
        <v>38</v>
      </c>
      <c r="M114" s="273"/>
    </row>
    <row r="115" spans="2:21" ht="15.95" customHeight="1" x14ac:dyDescent="0.2">
      <c r="B115" s="230" t="s">
        <v>383</v>
      </c>
      <c r="C115" s="343" t="s">
        <v>384</v>
      </c>
      <c r="D115" s="346"/>
      <c r="E115" s="232">
        <v>148</v>
      </c>
      <c r="F115" s="233">
        <f>31*24</f>
        <v>744</v>
      </c>
      <c r="G115" s="235">
        <f>+E115*F115/2205</f>
        <v>49.937414965986392</v>
      </c>
      <c r="H115" s="236">
        <v>-2</v>
      </c>
      <c r="I115" s="236">
        <v>0</v>
      </c>
      <c r="J115" s="236">
        <v>37.6</v>
      </c>
      <c r="K115" s="236" t="s">
        <v>38</v>
      </c>
      <c r="L115" s="236" t="s">
        <v>38</v>
      </c>
      <c r="M115" s="273"/>
    </row>
    <row r="116" spans="2:21" ht="15.95" customHeight="1" x14ac:dyDescent="0.2">
      <c r="B116" s="230" t="s">
        <v>385</v>
      </c>
      <c r="C116" s="343" t="s">
        <v>386</v>
      </c>
      <c r="D116" s="346"/>
      <c r="E116" s="232">
        <v>100</v>
      </c>
      <c r="F116" s="233">
        <f>31*24</f>
        <v>744</v>
      </c>
      <c r="G116" s="235">
        <f>+E116*F116/2205</f>
        <v>33.741496598639458</v>
      </c>
      <c r="H116" s="236">
        <v>-2</v>
      </c>
      <c r="I116" s="236">
        <v>0</v>
      </c>
      <c r="J116" s="236">
        <v>37.6</v>
      </c>
      <c r="K116" s="236" t="s">
        <v>38</v>
      </c>
      <c r="L116" s="236" t="s">
        <v>38</v>
      </c>
      <c r="M116" s="273"/>
    </row>
    <row r="117" spans="2:21" ht="15.95" customHeight="1" x14ac:dyDescent="0.2">
      <c r="B117" s="315"/>
      <c r="C117" s="344" t="s">
        <v>511</v>
      </c>
      <c r="D117" s="367"/>
      <c r="E117" s="368"/>
      <c r="F117" s="369"/>
      <c r="G117" s="253">
        <v>300</v>
      </c>
      <c r="H117" s="254">
        <v>-10</v>
      </c>
      <c r="I117" s="254">
        <v>0</v>
      </c>
      <c r="J117" s="236">
        <v>37.6</v>
      </c>
      <c r="K117" s="254"/>
      <c r="L117" s="254"/>
      <c r="M117" s="277"/>
    </row>
    <row r="118" spans="2:21" ht="15.95" customHeight="1" thickBot="1" x14ac:dyDescent="0.25">
      <c r="B118" s="255"/>
      <c r="C118" s="344"/>
      <c r="D118" s="347"/>
      <c r="E118" s="256"/>
      <c r="F118" s="272"/>
      <c r="G118" s="253"/>
      <c r="H118" s="250"/>
      <c r="I118" s="250"/>
      <c r="J118" s="250"/>
      <c r="K118" s="250"/>
      <c r="L118" s="250"/>
      <c r="M118" s="276"/>
    </row>
    <row r="119" spans="2:21" ht="15.95" customHeight="1" thickTop="1" x14ac:dyDescent="0.2">
      <c r="B119" s="318"/>
      <c r="C119" s="319"/>
      <c r="D119" s="320"/>
      <c r="E119" s="321"/>
      <c r="F119" s="322" t="s">
        <v>33</v>
      </c>
      <c r="G119" s="323">
        <f>SUBTOTAL(9,G112:G118)</f>
        <v>741.8784580498866</v>
      </c>
      <c r="H119" s="324">
        <f>IF($G119=0,0,SUMPRODUCT($G112:$G118,H112:H118)/$G119)</f>
        <v>-5.2350312560748531</v>
      </c>
      <c r="I119" s="324">
        <f>IF($G119=0,0,SUMPRODUCT($G112:$G118,I112:I118)/$G119)</f>
        <v>0</v>
      </c>
      <c r="J119" s="324">
        <f>IF($G119=0,0,SUMPRODUCT($G112:$G118,J112:J118)/$G119)</f>
        <v>37.6</v>
      </c>
      <c r="K119" s="324">
        <f>SUBTOTAL(9,K112:K118)</f>
        <v>0</v>
      </c>
      <c r="L119" s="324">
        <f>SUBTOTAL(9,L112:L118)</f>
        <v>0</v>
      </c>
      <c r="M119" s="444"/>
      <c r="O119" s="445" t="s">
        <v>542</v>
      </c>
      <c r="P119" s="446">
        <f t="shared" ref="P119:U119" si="12">G119</f>
        <v>741.8784580498866</v>
      </c>
      <c r="Q119" s="446">
        <f t="shared" si="12"/>
        <v>-5.2350312560748531</v>
      </c>
      <c r="R119" s="446">
        <f t="shared" si="12"/>
        <v>0</v>
      </c>
      <c r="S119" s="446">
        <f t="shared" si="12"/>
        <v>37.6</v>
      </c>
      <c r="T119" s="446">
        <f t="shared" si="12"/>
        <v>0</v>
      </c>
      <c r="U119" s="447">
        <f t="shared" si="12"/>
        <v>0</v>
      </c>
    </row>
    <row r="120" spans="2:21" ht="15.95" customHeight="1" x14ac:dyDescent="0.2">
      <c r="B120" s="485"/>
      <c r="C120" s="452"/>
      <c r="D120" s="452"/>
      <c r="F120" s="452"/>
      <c r="G120" s="383"/>
      <c r="H120" s="452"/>
      <c r="I120" s="452"/>
      <c r="J120" s="452"/>
      <c r="K120" s="452"/>
      <c r="L120" s="452"/>
      <c r="M120" s="486"/>
    </row>
    <row r="121" spans="2:21" ht="15.95" customHeight="1" x14ac:dyDescent="0.2">
      <c r="B121" s="82"/>
      <c r="C121" s="242" t="s">
        <v>421</v>
      </c>
      <c r="D121" s="227"/>
      <c r="E121" s="228"/>
      <c r="F121" s="242"/>
      <c r="G121" s="227"/>
      <c r="H121" s="227"/>
      <c r="I121" s="227"/>
      <c r="J121" s="227"/>
      <c r="K121" s="227"/>
      <c r="L121" s="227"/>
      <c r="M121" s="274"/>
    </row>
    <row r="122" spans="2:21" ht="15.95" customHeight="1" x14ac:dyDescent="0.2">
      <c r="B122" s="58"/>
      <c r="C122" s="56" t="s">
        <v>387</v>
      </c>
      <c r="D122" s="55"/>
      <c r="E122" s="218" t="s">
        <v>38</v>
      </c>
      <c r="F122" s="16" t="s">
        <v>38</v>
      </c>
      <c r="G122" s="24">
        <v>0</v>
      </c>
      <c r="H122" s="16">
        <v>4</v>
      </c>
      <c r="I122" s="16">
        <v>0</v>
      </c>
      <c r="J122" s="16">
        <v>73.5</v>
      </c>
      <c r="K122" s="169" t="s">
        <v>38</v>
      </c>
      <c r="L122" s="169" t="s">
        <v>38</v>
      </c>
      <c r="M122" s="273" t="s">
        <v>500</v>
      </c>
    </row>
    <row r="123" spans="2:21" ht="15.95" customHeight="1" thickBot="1" x14ac:dyDescent="0.25">
      <c r="B123" s="255"/>
      <c r="C123" s="252"/>
      <c r="D123" s="278"/>
      <c r="E123" s="256"/>
      <c r="F123" s="272"/>
      <c r="G123" s="253"/>
      <c r="H123" s="250"/>
      <c r="I123" s="250"/>
      <c r="J123" s="250"/>
      <c r="K123" s="250"/>
      <c r="L123" s="250"/>
      <c r="M123" s="276"/>
    </row>
    <row r="124" spans="2:21" ht="15.95" customHeight="1" thickTop="1" x14ac:dyDescent="0.2">
      <c r="B124" s="318"/>
      <c r="C124" s="319"/>
      <c r="D124" s="320"/>
      <c r="E124" s="321"/>
      <c r="F124" s="322" t="s">
        <v>33</v>
      </c>
      <c r="G124" s="323">
        <f>SUBTOTAL(9,G122:G123)</f>
        <v>0</v>
      </c>
      <c r="H124" s="324">
        <f>IF($G124=0,0,SUMPRODUCT($G122:$G123,H122:H123)/$G124)</f>
        <v>0</v>
      </c>
      <c r="I124" s="324">
        <f>IF($G124=0,0,SUMPRODUCT($G122:$G123,I122:I123)/$G124)</f>
        <v>0</v>
      </c>
      <c r="J124" s="324">
        <f>IF($G124=0,0,SUMPRODUCT($G122:$G123,J122:J123)/$G124)</f>
        <v>0</v>
      </c>
      <c r="K124" s="324">
        <f>SUBTOTAL(9,K122:K123)</f>
        <v>0</v>
      </c>
      <c r="L124" s="324">
        <f>SUBTOTAL(9,L122:L123)</f>
        <v>0</v>
      </c>
      <c r="M124" s="444"/>
      <c r="O124" s="445" t="s">
        <v>539</v>
      </c>
      <c r="P124" s="446">
        <f t="shared" ref="P124:U124" si="13">G124</f>
        <v>0</v>
      </c>
      <c r="Q124" s="446">
        <f t="shared" si="13"/>
        <v>0</v>
      </c>
      <c r="R124" s="446">
        <f t="shared" si="13"/>
        <v>0</v>
      </c>
      <c r="S124" s="446">
        <f t="shared" si="13"/>
        <v>0</v>
      </c>
      <c r="T124" s="446">
        <f t="shared" si="13"/>
        <v>0</v>
      </c>
      <c r="U124" s="447">
        <f t="shared" si="13"/>
        <v>0</v>
      </c>
    </row>
    <row r="125" spans="2:21" ht="15.95" customHeight="1" x14ac:dyDescent="0.2">
      <c r="B125" s="485"/>
      <c r="C125" s="452"/>
      <c r="D125" s="452"/>
      <c r="F125" s="452"/>
      <c r="G125" s="383"/>
      <c r="H125" s="452"/>
      <c r="I125" s="452"/>
      <c r="J125" s="452"/>
      <c r="K125" s="452"/>
      <c r="L125" s="452"/>
      <c r="M125" s="486"/>
    </row>
    <row r="126" spans="2:21" ht="15.95" customHeight="1" x14ac:dyDescent="0.2">
      <c r="B126" s="82"/>
      <c r="C126" s="242" t="s">
        <v>483</v>
      </c>
      <c r="D126" s="227"/>
      <c r="E126" s="228"/>
      <c r="F126" s="242"/>
      <c r="G126" s="227"/>
      <c r="H126" s="227"/>
      <c r="I126" s="227"/>
      <c r="J126" s="227"/>
      <c r="K126" s="227"/>
      <c r="L126" s="227"/>
      <c r="M126" s="274"/>
    </row>
    <row r="127" spans="2:21" ht="15.95" customHeight="1" x14ac:dyDescent="0.2">
      <c r="B127" s="58" t="s">
        <v>388</v>
      </c>
      <c r="C127" s="56" t="s">
        <v>484</v>
      </c>
      <c r="D127" s="55"/>
      <c r="E127" s="218" t="s">
        <v>38</v>
      </c>
      <c r="F127" s="16" t="s">
        <v>38</v>
      </c>
      <c r="G127" s="24">
        <v>100</v>
      </c>
      <c r="H127" s="16">
        <v>-6.31</v>
      </c>
      <c r="I127" s="16">
        <v>41.36</v>
      </c>
      <c r="J127" s="16">
        <v>36.6</v>
      </c>
      <c r="K127" s="169"/>
      <c r="L127" s="169"/>
      <c r="M127" s="273"/>
    </row>
    <row r="128" spans="2:21" ht="15.95" customHeight="1" x14ac:dyDescent="0.2">
      <c r="B128" s="58" t="s">
        <v>389</v>
      </c>
      <c r="C128" s="56" t="s">
        <v>485</v>
      </c>
      <c r="D128" s="55"/>
      <c r="E128" s="218" t="s">
        <v>38</v>
      </c>
      <c r="F128" s="16" t="s">
        <v>38</v>
      </c>
      <c r="G128" s="24">
        <v>100</v>
      </c>
      <c r="H128" s="16">
        <v>-6.31</v>
      </c>
      <c r="I128" s="16">
        <v>-41.36</v>
      </c>
      <c r="J128" s="16">
        <v>36.6</v>
      </c>
      <c r="K128" s="169"/>
      <c r="L128" s="169"/>
      <c r="M128" s="273"/>
    </row>
    <row r="129" spans="2:21" ht="15.95" customHeight="1" thickBot="1" x14ac:dyDescent="0.25">
      <c r="B129" s="255"/>
      <c r="C129" s="252"/>
      <c r="D129" s="278"/>
      <c r="E129" s="256"/>
      <c r="F129" s="272"/>
      <c r="G129" s="253"/>
      <c r="H129" s="250"/>
      <c r="I129" s="250"/>
      <c r="J129" s="250"/>
      <c r="K129" s="250"/>
      <c r="L129" s="250"/>
      <c r="M129" s="276"/>
    </row>
    <row r="130" spans="2:21" ht="15.95" customHeight="1" thickTop="1" x14ac:dyDescent="0.2">
      <c r="B130" s="318"/>
      <c r="C130" s="319"/>
      <c r="D130" s="320"/>
      <c r="E130" s="321"/>
      <c r="F130" s="322" t="s">
        <v>33</v>
      </c>
      <c r="G130" s="323">
        <f>SUBTOTAL(9,G127:G129)</f>
        <v>200</v>
      </c>
      <c r="H130" s="324">
        <f>IF($G130=0,0,SUMPRODUCT($G127:$G129,H127:H129)/$G130)</f>
        <v>-6.31</v>
      </c>
      <c r="I130" s="324">
        <f>IF($G130=0,0,SUMPRODUCT($G127:$G129,I127:I129)/$G130)</f>
        <v>0</v>
      </c>
      <c r="J130" s="324">
        <f>IF($G130=0,0,SUMPRODUCT($G127:$G129,J127:J129)/$G130)</f>
        <v>36.6</v>
      </c>
      <c r="K130" s="324">
        <f>SUBTOTAL(9,K127:K129)</f>
        <v>0</v>
      </c>
      <c r="L130" s="324">
        <f>SUBTOTAL(9,L127:L129)</f>
        <v>0</v>
      </c>
      <c r="M130" s="444"/>
      <c r="O130" s="445" t="s">
        <v>540</v>
      </c>
      <c r="P130" s="446">
        <f t="shared" ref="P130:U130" si="14">G130</f>
        <v>200</v>
      </c>
      <c r="Q130" s="446">
        <f t="shared" si="14"/>
        <v>-6.31</v>
      </c>
      <c r="R130" s="446">
        <f t="shared" si="14"/>
        <v>0</v>
      </c>
      <c r="S130" s="446">
        <f t="shared" si="14"/>
        <v>36.6</v>
      </c>
      <c r="T130" s="446">
        <f t="shared" si="14"/>
        <v>0</v>
      </c>
      <c r="U130" s="447">
        <f t="shared" si="14"/>
        <v>0</v>
      </c>
    </row>
    <row r="131" spans="2:21" ht="15.95" customHeight="1" x14ac:dyDescent="0.2">
      <c r="B131" s="485"/>
      <c r="C131" s="452"/>
      <c r="D131" s="452"/>
      <c r="F131" s="452"/>
      <c r="G131" s="383"/>
      <c r="H131" s="452"/>
      <c r="I131" s="452"/>
      <c r="J131" s="452"/>
      <c r="K131" s="452"/>
      <c r="L131" s="452"/>
      <c r="M131" s="486"/>
    </row>
    <row r="132" spans="2:21" ht="15.95" customHeight="1" x14ac:dyDescent="0.2">
      <c r="B132" s="82"/>
      <c r="C132" s="242" t="s">
        <v>492</v>
      </c>
      <c r="D132" s="227"/>
      <c r="E132" s="228"/>
      <c r="F132" s="242"/>
      <c r="G132" s="227"/>
      <c r="H132" s="227"/>
      <c r="I132" s="227"/>
      <c r="J132" s="227"/>
      <c r="K132" s="227"/>
      <c r="L132" s="227"/>
      <c r="M132" s="274"/>
    </row>
    <row r="133" spans="2:21" ht="15.95" customHeight="1" x14ac:dyDescent="0.2">
      <c r="B133" s="230" t="s">
        <v>390</v>
      </c>
      <c r="C133" s="231" t="s">
        <v>391</v>
      </c>
      <c r="D133" s="232">
        <v>50</v>
      </c>
      <c r="E133" s="233">
        <v>1.73</v>
      </c>
      <c r="F133" s="234">
        <v>8</v>
      </c>
      <c r="G133" s="235">
        <f>+E133*F133*D133/100</f>
        <v>6.92</v>
      </c>
      <c r="H133" s="236">
        <v>0</v>
      </c>
      <c r="I133" s="236">
        <v>0</v>
      </c>
      <c r="J133" s="236">
        <v>37</v>
      </c>
      <c r="K133" s="236"/>
      <c r="L133" s="236"/>
      <c r="M133" s="273"/>
    </row>
    <row r="134" spans="2:21" ht="15.95" customHeight="1" x14ac:dyDescent="0.2">
      <c r="B134" s="230" t="s">
        <v>392</v>
      </c>
      <c r="C134" s="231" t="s">
        <v>391</v>
      </c>
      <c r="D134" s="232">
        <v>50</v>
      </c>
      <c r="E134" s="233">
        <v>1.73</v>
      </c>
      <c r="F134" s="234">
        <v>8</v>
      </c>
      <c r="G134" s="235">
        <f t="shared" ref="G134:G140" si="15">+E134*F134*D134/100</f>
        <v>6.92</v>
      </c>
      <c r="H134" s="236">
        <v>0</v>
      </c>
      <c r="I134" s="236">
        <v>0</v>
      </c>
      <c r="J134" s="236">
        <v>37</v>
      </c>
      <c r="K134" s="236"/>
      <c r="L134" s="236"/>
      <c r="M134" s="273"/>
    </row>
    <row r="135" spans="2:21" ht="15.95" customHeight="1" x14ac:dyDescent="0.2">
      <c r="B135" s="230" t="s">
        <v>342</v>
      </c>
      <c r="C135" s="231" t="s">
        <v>393</v>
      </c>
      <c r="D135" s="232">
        <v>50</v>
      </c>
      <c r="E135" s="233">
        <v>1.73</v>
      </c>
      <c r="F135" s="234">
        <v>16</v>
      </c>
      <c r="G135" s="235">
        <f t="shared" si="15"/>
        <v>13.84</v>
      </c>
      <c r="H135" s="236">
        <v>0</v>
      </c>
      <c r="I135" s="236">
        <v>0</v>
      </c>
      <c r="J135" s="236">
        <v>37</v>
      </c>
      <c r="K135" s="236"/>
      <c r="L135" s="236"/>
      <c r="M135" s="273"/>
    </row>
    <row r="136" spans="2:21" ht="15.95" customHeight="1" x14ac:dyDescent="0.2">
      <c r="B136" s="230" t="s">
        <v>344</v>
      </c>
      <c r="C136" s="231" t="s">
        <v>394</v>
      </c>
      <c r="D136" s="232">
        <v>50</v>
      </c>
      <c r="E136" s="233">
        <v>1.73</v>
      </c>
      <c r="F136" s="234">
        <v>12</v>
      </c>
      <c r="G136" s="235">
        <f t="shared" si="15"/>
        <v>10.38</v>
      </c>
      <c r="H136" s="236">
        <v>0</v>
      </c>
      <c r="I136" s="236">
        <v>0</v>
      </c>
      <c r="J136" s="236">
        <v>37</v>
      </c>
      <c r="K136" s="236"/>
      <c r="L136" s="236"/>
      <c r="M136" s="273"/>
    </row>
    <row r="137" spans="2:21" ht="15.95" customHeight="1" x14ac:dyDescent="0.2">
      <c r="B137" s="230" t="s">
        <v>342</v>
      </c>
      <c r="C137" s="231" t="s">
        <v>395</v>
      </c>
      <c r="D137" s="232">
        <v>50</v>
      </c>
      <c r="E137" s="233">
        <v>1.73</v>
      </c>
      <c r="F137" s="234">
        <v>16</v>
      </c>
      <c r="G137" s="235">
        <f t="shared" si="15"/>
        <v>13.84</v>
      </c>
      <c r="H137" s="236">
        <v>0</v>
      </c>
      <c r="I137" s="236">
        <v>0</v>
      </c>
      <c r="J137" s="236">
        <v>37</v>
      </c>
      <c r="K137" s="236"/>
      <c r="L137" s="236"/>
      <c r="M137" s="273"/>
    </row>
    <row r="138" spans="2:21" ht="15.95" customHeight="1" x14ac:dyDescent="0.2">
      <c r="B138" s="230" t="s">
        <v>344</v>
      </c>
      <c r="C138" s="231" t="s">
        <v>396</v>
      </c>
      <c r="D138" s="232">
        <v>50</v>
      </c>
      <c r="E138" s="233">
        <v>1.73</v>
      </c>
      <c r="F138" s="234">
        <v>16</v>
      </c>
      <c r="G138" s="235">
        <f t="shared" si="15"/>
        <v>13.84</v>
      </c>
      <c r="H138" s="236">
        <v>0</v>
      </c>
      <c r="I138" s="236">
        <v>0</v>
      </c>
      <c r="J138" s="236">
        <v>37</v>
      </c>
      <c r="K138" s="236"/>
      <c r="L138" s="236"/>
      <c r="M138" s="273"/>
    </row>
    <row r="139" spans="2:21" ht="15.95" customHeight="1" x14ac:dyDescent="0.2">
      <c r="B139" s="230" t="s">
        <v>344</v>
      </c>
      <c r="C139" s="231" t="s">
        <v>397</v>
      </c>
      <c r="D139" s="232">
        <v>50</v>
      </c>
      <c r="E139" s="233">
        <v>1.73</v>
      </c>
      <c r="F139" s="234">
        <v>2</v>
      </c>
      <c r="G139" s="235">
        <f t="shared" si="15"/>
        <v>1.73</v>
      </c>
      <c r="H139" s="236">
        <v>0</v>
      </c>
      <c r="I139" s="236">
        <v>0</v>
      </c>
      <c r="J139" s="236">
        <v>37</v>
      </c>
      <c r="K139" s="236"/>
      <c r="L139" s="236"/>
      <c r="M139" s="273"/>
    </row>
    <row r="140" spans="2:21" ht="15.95" customHeight="1" x14ac:dyDescent="0.2">
      <c r="B140" s="230" t="s">
        <v>398</v>
      </c>
      <c r="C140" s="231" t="s">
        <v>399</v>
      </c>
      <c r="D140" s="232">
        <v>50</v>
      </c>
      <c r="E140" s="233">
        <v>1.73</v>
      </c>
      <c r="F140" s="234">
        <v>16</v>
      </c>
      <c r="G140" s="235">
        <f t="shared" si="15"/>
        <v>13.84</v>
      </c>
      <c r="H140" s="236">
        <v>0</v>
      </c>
      <c r="I140" s="236">
        <v>0</v>
      </c>
      <c r="J140" s="236">
        <v>37</v>
      </c>
      <c r="K140" s="236"/>
      <c r="L140" s="236"/>
      <c r="M140" s="273"/>
    </row>
    <row r="141" spans="2:21" ht="15.95" customHeight="1" thickBot="1" x14ac:dyDescent="0.25">
      <c r="B141" s="255"/>
      <c r="C141" s="252"/>
      <c r="D141" s="278"/>
      <c r="E141" s="256"/>
      <c r="F141" s="272"/>
      <c r="G141" s="253"/>
      <c r="H141" s="250"/>
      <c r="I141" s="250"/>
      <c r="J141" s="250"/>
      <c r="K141" s="250"/>
      <c r="L141" s="250"/>
      <c r="M141" s="276"/>
    </row>
    <row r="142" spans="2:21" ht="15.95" customHeight="1" thickTop="1" x14ac:dyDescent="0.2">
      <c r="B142" s="318"/>
      <c r="C142" s="319"/>
      <c r="D142" s="320"/>
      <c r="E142" s="321"/>
      <c r="F142" s="322" t="s">
        <v>33</v>
      </c>
      <c r="G142" s="323">
        <f>SUBTOTAL(9,G133:G141)</f>
        <v>81.310000000000016</v>
      </c>
      <c r="H142" s="324">
        <f>IF($G142=0,0,SUMPRODUCT($G133:$G141,H133:H141)/$G142)</f>
        <v>0</v>
      </c>
      <c r="I142" s="324">
        <f>IF($G142=0,0,SUMPRODUCT($G133:$G141,I133:I141)/$G142)</f>
        <v>0</v>
      </c>
      <c r="J142" s="324">
        <f>IF($G142=0,0,SUMPRODUCT($G133:$G141,J133:J141)/$G142)</f>
        <v>36.999999999999993</v>
      </c>
      <c r="K142" s="324" t="s">
        <v>38</v>
      </c>
      <c r="L142" s="324" t="s">
        <v>38</v>
      </c>
      <c r="M142" s="444"/>
      <c r="O142" s="445" t="s">
        <v>541</v>
      </c>
      <c r="P142" s="446">
        <f t="shared" ref="P142:U142" si="16">G142</f>
        <v>81.310000000000016</v>
      </c>
      <c r="Q142" s="446">
        <f t="shared" si="16"/>
        <v>0</v>
      </c>
      <c r="R142" s="446">
        <f t="shared" si="16"/>
        <v>0</v>
      </c>
      <c r="S142" s="446">
        <f t="shared" si="16"/>
        <v>36.999999999999993</v>
      </c>
      <c r="T142" s="446" t="str">
        <f t="shared" si="16"/>
        <v>n/a</v>
      </c>
      <c r="U142" s="447" t="str">
        <f t="shared" si="16"/>
        <v>n/a</v>
      </c>
    </row>
    <row r="143" spans="2:21" ht="15.95" customHeight="1" x14ac:dyDescent="0.2">
      <c r="B143" s="485"/>
      <c r="C143" s="452"/>
      <c r="D143" s="452"/>
      <c r="F143" s="452"/>
      <c r="G143" s="383"/>
      <c r="H143" s="452"/>
      <c r="I143" s="452"/>
      <c r="J143" s="452"/>
      <c r="K143" s="452"/>
      <c r="L143" s="452"/>
      <c r="M143" s="486"/>
    </row>
    <row r="144" spans="2:21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</sheetData>
  <dataConsolidate/>
  <mergeCells count="15"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J7:J8"/>
    <mergeCell ref="K7:K8"/>
    <mergeCell ref="L7:L8"/>
    <mergeCell ref="M7:M9"/>
    <mergeCell ref="I7:I8"/>
  </mergeCells>
  <phoneticPr fontId="59" type="noConversion"/>
  <conditionalFormatting sqref="E142 E133:F141 E14:F16 E127:F129 E130 E122:F123 E110 F113:F118 E124 E118:E119 F103:F106 E106:E107 E93:F93 E99:F99 E100 E88:F89 E85 E81:F81 E90 E70:F71 E73:F77 E78 E53 E56 E58:F66 E50:F52 E47:E48 E39 E42 E44:F46 E35:F38 E32:E33 E24 E27 E29:F31 E20:F23 E17:E18 E12 E67">
    <cfRule type="expression" dxfId="42" priority="1" stopIfTrue="1">
      <formula>#REF!="B"</formula>
    </cfRule>
  </conditionalFormatting>
  <conditionalFormatting sqref="E11 E54:E55 E40:E41 E25:E26 E109">
    <cfRule type="expression" dxfId="41" priority="2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U692"/>
  <sheetViews>
    <sheetView topLeftCell="B1" zoomScale="85" zoomScaleNormal="85" zoomScaleSheetLayoutView="85" workbookViewId="0">
      <pane ySplit="10" topLeftCell="A29" activePane="bottomLeft" state="frozen"/>
      <selection activeCell="C2" sqref="C2:U36"/>
      <selection pane="bottomLeft" activeCell="K48" sqref="K48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558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548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529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54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5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17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6"/>
      <c r="G8" s="611"/>
      <c r="H8" s="611"/>
      <c r="I8" s="611"/>
      <c r="J8" s="611"/>
      <c r="K8" s="611"/>
      <c r="L8" s="611"/>
      <c r="M8" s="618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550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19"/>
      <c r="O9" s="417"/>
    </row>
    <row r="10" spans="2:21" ht="15.95" customHeight="1" thickTop="1" x14ac:dyDescent="0.2">
      <c r="B10" s="418"/>
      <c r="C10" s="419"/>
      <c r="D10" s="477"/>
      <c r="E10" s="419"/>
      <c r="F10" s="551"/>
      <c r="G10" s="419"/>
      <c r="H10" s="419"/>
      <c r="I10" s="419"/>
      <c r="J10" s="419"/>
      <c r="K10" s="419"/>
      <c r="L10" s="419"/>
      <c r="M10" s="420"/>
    </row>
    <row r="11" spans="2:21" s="429" customFormat="1" ht="15.95" customHeight="1" x14ac:dyDescent="0.2">
      <c r="B11" s="463"/>
      <c r="C11" s="470" t="s">
        <v>528</v>
      </c>
      <c r="D11" s="478"/>
      <c r="E11" s="465"/>
      <c r="F11" s="552"/>
      <c r="G11" s="467"/>
      <c r="H11" s="468"/>
      <c r="I11" s="468"/>
      <c r="J11" s="468"/>
      <c r="K11" s="468"/>
      <c r="L11" s="468"/>
      <c r="M11" s="469"/>
      <c r="N11" s="381"/>
      <c r="O11" s="445"/>
      <c r="P11" s="446"/>
      <c r="Q11" s="446"/>
      <c r="R11" s="446"/>
      <c r="S11" s="446"/>
      <c r="T11" s="446"/>
      <c r="U11" s="447"/>
    </row>
    <row r="12" spans="2:21" s="429" customFormat="1" ht="15.95" customHeight="1" x14ac:dyDescent="0.2">
      <c r="B12" s="59" t="s">
        <v>88</v>
      </c>
      <c r="C12" s="29" t="s">
        <v>456</v>
      </c>
      <c r="D12" s="316">
        <v>0.94</v>
      </c>
      <c r="E12" s="218">
        <v>1.0249999999999999</v>
      </c>
      <c r="F12" s="271">
        <f>(0.5*PI()*3.3^2*9+(11.1-3.3)*9*6.6)*$Q$3</f>
        <v>586.41006058970936</v>
      </c>
      <c r="G12" s="24">
        <f>E12*F12*D12</f>
        <v>565.0060933781848</v>
      </c>
      <c r="H12" s="16">
        <v>-27.6</v>
      </c>
      <c r="I12" s="16">
        <v>13.5</v>
      </c>
      <c r="J12" s="16">
        <v>3.3</v>
      </c>
      <c r="K12" s="169">
        <v>0</v>
      </c>
      <c r="L12" s="169">
        <v>0</v>
      </c>
      <c r="M12" s="430"/>
      <c r="N12" s="381"/>
      <c r="O12" s="426"/>
      <c r="P12" s="427"/>
      <c r="Q12" s="427"/>
      <c r="R12" s="427"/>
      <c r="S12" s="427"/>
      <c r="T12" s="427"/>
      <c r="U12" s="428"/>
    </row>
    <row r="13" spans="2:21" s="429" customFormat="1" ht="15.95" customHeight="1" x14ac:dyDescent="0.2">
      <c r="B13" s="59" t="s">
        <v>90</v>
      </c>
      <c r="C13" s="29" t="s">
        <v>468</v>
      </c>
      <c r="D13" s="316">
        <v>0.94</v>
      </c>
      <c r="E13" s="218">
        <v>1.0249999999999999</v>
      </c>
      <c r="F13" s="271">
        <f t="shared" ref="F13:F15" si="0">(0.5*PI()*3.3^2*9+(11.1-3.3)*9*6.6)*$Q$3</f>
        <v>586.41006058970936</v>
      </c>
      <c r="G13" s="24">
        <f t="shared" ref="G13:G19" si="1">E13*F13*D13</f>
        <v>565.0060933781848</v>
      </c>
      <c r="H13" s="16">
        <v>-27.6</v>
      </c>
      <c r="I13" s="16">
        <v>4.5</v>
      </c>
      <c r="J13" s="16">
        <v>3.3</v>
      </c>
      <c r="K13" s="169">
        <v>0</v>
      </c>
      <c r="L13" s="169">
        <v>0</v>
      </c>
      <c r="M13" s="430"/>
      <c r="N13" s="381"/>
      <c r="O13" s="426"/>
      <c r="P13" s="427"/>
      <c r="Q13" s="427"/>
      <c r="R13" s="427"/>
      <c r="S13" s="427"/>
      <c r="T13" s="427"/>
      <c r="U13" s="428"/>
    </row>
    <row r="14" spans="2:21" s="429" customFormat="1" ht="15.95" customHeight="1" x14ac:dyDescent="0.2">
      <c r="B14" s="59" t="s">
        <v>467</v>
      </c>
      <c r="C14" s="29" t="s">
        <v>469</v>
      </c>
      <c r="D14" s="316">
        <v>0.94</v>
      </c>
      <c r="E14" s="218">
        <v>1.0249999999999999</v>
      </c>
      <c r="F14" s="271">
        <f t="shared" si="0"/>
        <v>586.41006058970936</v>
      </c>
      <c r="G14" s="24">
        <f t="shared" si="1"/>
        <v>565.0060933781848</v>
      </c>
      <c r="H14" s="16">
        <v>-27.6</v>
      </c>
      <c r="I14" s="16">
        <v>-4.5</v>
      </c>
      <c r="J14" s="16">
        <v>3.3</v>
      </c>
      <c r="K14" s="169">
        <v>0</v>
      </c>
      <c r="L14" s="169">
        <v>0</v>
      </c>
      <c r="M14" s="430"/>
      <c r="N14" s="381"/>
      <c r="O14" s="426"/>
      <c r="P14" s="427"/>
      <c r="Q14" s="427"/>
      <c r="R14" s="427"/>
      <c r="S14" s="427"/>
      <c r="T14" s="427"/>
      <c r="U14" s="428"/>
    </row>
    <row r="15" spans="2:21" s="429" customFormat="1" ht="15.95" customHeight="1" x14ac:dyDescent="0.2">
      <c r="B15" s="59" t="s">
        <v>114</v>
      </c>
      <c r="C15" s="29" t="s">
        <v>470</v>
      </c>
      <c r="D15" s="316">
        <v>0.94</v>
      </c>
      <c r="E15" s="218">
        <v>1.0249999999999999</v>
      </c>
      <c r="F15" s="271">
        <f t="shared" si="0"/>
        <v>586.41006058970936</v>
      </c>
      <c r="G15" s="24">
        <f t="shared" si="1"/>
        <v>565.0060933781848</v>
      </c>
      <c r="H15" s="16">
        <v>-27.6</v>
      </c>
      <c r="I15" s="16">
        <v>-13.5</v>
      </c>
      <c r="J15" s="16">
        <v>3.3</v>
      </c>
      <c r="K15" s="169">
        <v>0</v>
      </c>
      <c r="L15" s="169">
        <v>0</v>
      </c>
      <c r="M15" s="430"/>
      <c r="N15" s="381"/>
      <c r="O15" s="426"/>
      <c r="P15" s="427"/>
      <c r="Q15" s="427"/>
      <c r="R15" s="427"/>
      <c r="S15" s="427"/>
      <c r="T15" s="427"/>
      <c r="U15" s="428"/>
    </row>
    <row r="16" spans="2:21" s="429" customFormat="1" ht="15.95" customHeight="1" x14ac:dyDescent="0.2">
      <c r="B16" s="59" t="s">
        <v>294</v>
      </c>
      <c r="C16" s="29" t="s">
        <v>474</v>
      </c>
      <c r="D16" s="316">
        <v>0.94</v>
      </c>
      <c r="E16" s="218">
        <v>1.0249999999999999</v>
      </c>
      <c r="F16" s="271">
        <f>((2.1*6.6-(1-1/4*PI())*3.3^2)*15+9*15*2.1)*$Q$3</f>
        <v>433.52755049142451</v>
      </c>
      <c r="G16" s="24">
        <f t="shared" si="1"/>
        <v>417.7037948984875</v>
      </c>
      <c r="H16" s="16">
        <v>-31.6</v>
      </c>
      <c r="I16" s="16">
        <v>33.700000000000003</v>
      </c>
      <c r="J16" s="16">
        <v>2.5</v>
      </c>
      <c r="K16" s="169">
        <v>0</v>
      </c>
      <c r="L16" s="169">
        <v>0</v>
      </c>
      <c r="M16" s="430"/>
      <c r="N16" s="381"/>
      <c r="O16" s="426"/>
      <c r="P16" s="427"/>
      <c r="Q16" s="427"/>
      <c r="R16" s="427"/>
      <c r="S16" s="427"/>
      <c r="T16" s="427"/>
      <c r="U16" s="428"/>
    </row>
    <row r="17" spans="2:21" s="429" customFormat="1" ht="15.95" customHeight="1" x14ac:dyDescent="0.2">
      <c r="B17" s="58" t="s">
        <v>299</v>
      </c>
      <c r="C17" s="56" t="s">
        <v>476</v>
      </c>
      <c r="D17" s="316">
        <v>0.94</v>
      </c>
      <c r="E17" s="218">
        <v>1.0249999999999999</v>
      </c>
      <c r="F17" s="271">
        <f>(0.5*PI()*3.3^2*8.4+(9+1.5-1.8-3.3)*8.4*6.6)*$Q$3</f>
        <v>420.91285655039542</v>
      </c>
      <c r="G17" s="24">
        <f t="shared" si="1"/>
        <v>405.54953728630596</v>
      </c>
      <c r="H17" s="16">
        <v>-16.8</v>
      </c>
      <c r="I17" s="16">
        <v>23.22</v>
      </c>
      <c r="J17" s="16">
        <v>3.3</v>
      </c>
      <c r="K17" s="169">
        <v>0</v>
      </c>
      <c r="L17" s="169">
        <v>0</v>
      </c>
      <c r="M17" s="430"/>
      <c r="N17" s="381"/>
      <c r="O17" s="426"/>
      <c r="P17" s="427"/>
      <c r="Q17" s="427"/>
      <c r="R17" s="427"/>
      <c r="S17" s="427"/>
      <c r="T17" s="427"/>
      <c r="U17" s="428"/>
    </row>
    <row r="18" spans="2:21" s="429" customFormat="1" ht="15.95" customHeight="1" x14ac:dyDescent="0.2">
      <c r="B18" s="59" t="s">
        <v>295</v>
      </c>
      <c r="C18" s="29" t="s">
        <v>475</v>
      </c>
      <c r="D18" s="316">
        <v>0.94</v>
      </c>
      <c r="E18" s="218">
        <v>1.0249999999999999</v>
      </c>
      <c r="F18" s="271">
        <f>((2.1*6.6-(1-1/4*PI())*3.3^2)*15+9*15*2.1)*$Q$3</f>
        <v>433.52755049142451</v>
      </c>
      <c r="G18" s="24">
        <f t="shared" si="1"/>
        <v>417.7037948984875</v>
      </c>
      <c r="H18" s="16">
        <v>-31.6</v>
      </c>
      <c r="I18" s="16">
        <v>-33.700000000000003</v>
      </c>
      <c r="J18" s="16">
        <v>2.5</v>
      </c>
      <c r="K18" s="169">
        <v>0</v>
      </c>
      <c r="L18" s="169">
        <v>0</v>
      </c>
      <c r="M18" s="430"/>
      <c r="N18" s="381"/>
      <c r="O18" s="445"/>
      <c r="P18" s="446"/>
      <c r="Q18" s="446"/>
      <c r="R18" s="446"/>
      <c r="S18" s="446"/>
      <c r="T18" s="446"/>
      <c r="U18" s="447"/>
    </row>
    <row r="19" spans="2:21" s="429" customFormat="1" ht="15.95" customHeight="1" x14ac:dyDescent="0.2">
      <c r="B19" s="59" t="s">
        <v>300</v>
      </c>
      <c r="C19" s="56" t="s">
        <v>477</v>
      </c>
      <c r="D19" s="316">
        <v>0.94</v>
      </c>
      <c r="E19" s="218">
        <v>1.0249999999999999</v>
      </c>
      <c r="F19" s="271">
        <f>(0.5*PI()*3.3^2*8.4+(9+1.5-1.8-3.3)*8.4*6.6)*$Q$3</f>
        <v>420.91285655039542</v>
      </c>
      <c r="G19" s="24">
        <f t="shared" si="1"/>
        <v>405.54953728630596</v>
      </c>
      <c r="H19" s="16">
        <v>-16.8</v>
      </c>
      <c r="I19" s="16">
        <v>-23.22</v>
      </c>
      <c r="J19" s="16">
        <v>3.3</v>
      </c>
      <c r="K19" s="169">
        <v>0</v>
      </c>
      <c r="L19" s="169">
        <v>0</v>
      </c>
      <c r="M19" s="430"/>
      <c r="N19" s="381"/>
      <c r="O19" s="426"/>
      <c r="P19" s="427"/>
      <c r="Q19" s="427"/>
      <c r="R19" s="427"/>
      <c r="S19" s="427"/>
      <c r="T19" s="427"/>
      <c r="U19" s="428"/>
    </row>
    <row r="20" spans="2:21" s="429" customFormat="1" ht="15.95" customHeight="1" thickBot="1" x14ac:dyDescent="0.25">
      <c r="B20" s="431"/>
      <c r="C20" s="432"/>
      <c r="D20" s="316"/>
      <c r="E20" s="433"/>
      <c r="F20" s="434"/>
      <c r="G20" s="435"/>
      <c r="H20" s="436"/>
      <c r="I20" s="436"/>
      <c r="J20" s="436"/>
      <c r="K20" s="436"/>
      <c r="L20" s="436"/>
      <c r="M20" s="437"/>
      <c r="N20" s="454"/>
      <c r="O20" s="426"/>
      <c r="P20" s="427"/>
      <c r="Q20" s="427"/>
      <c r="R20" s="427"/>
      <c r="S20" s="427"/>
      <c r="T20" s="427"/>
      <c r="U20" s="428"/>
    </row>
    <row r="21" spans="2:21" s="429" customFormat="1" ht="15.95" customHeight="1" thickTop="1" x14ac:dyDescent="0.2">
      <c r="B21" s="438"/>
      <c r="C21" s="439"/>
      <c r="D21" s="479"/>
      <c r="E21" s="440"/>
      <c r="F21" s="553" t="s">
        <v>33</v>
      </c>
      <c r="G21" s="442">
        <f>SUBTOTAL(9,G12:G20)</f>
        <v>3906.5310378823265</v>
      </c>
      <c r="H21" s="443">
        <f>IF($G21=0,0,SUMPRODUCT($G12:$G20,H12:H20)/$G21)</f>
        <v>-26.21303043706688</v>
      </c>
      <c r="I21" s="443">
        <f>IF($G21=0,0,SUMPRODUCT($G12:$G20,I12:I20)/$G21)</f>
        <v>0</v>
      </c>
      <c r="J21" s="443">
        <f>IF($G21=0,0,SUMPRODUCT($G12:$G20,J12:J20)/$G21)</f>
        <v>3.1289208340195676</v>
      </c>
      <c r="K21" s="443">
        <f>SUBTOTAL(9,K12:K20)</f>
        <v>0</v>
      </c>
      <c r="L21" s="443">
        <f>SUBTOTAL(9,L12:L20)</f>
        <v>0</v>
      </c>
      <c r="M21" s="444"/>
      <c r="N21" s="454"/>
      <c r="O21" s="445" t="s">
        <v>563</v>
      </c>
      <c r="P21" s="446">
        <f t="shared" ref="P21:U21" si="2">G21</f>
        <v>3906.5310378823265</v>
      </c>
      <c r="Q21" s="446">
        <f t="shared" si="2"/>
        <v>-26.21303043706688</v>
      </c>
      <c r="R21" s="446">
        <f t="shared" si="2"/>
        <v>0</v>
      </c>
      <c r="S21" s="446">
        <f t="shared" si="2"/>
        <v>3.1289208340195676</v>
      </c>
      <c r="T21" s="446">
        <f t="shared" si="2"/>
        <v>0</v>
      </c>
      <c r="U21" s="447">
        <f t="shared" si="2"/>
        <v>0</v>
      </c>
    </row>
    <row r="22" spans="2:21" s="429" customFormat="1" ht="15.95" customHeight="1" x14ac:dyDescent="0.2">
      <c r="B22" s="456"/>
      <c r="C22" s="448"/>
      <c r="D22" s="480"/>
      <c r="E22" s="449"/>
      <c r="F22" s="554"/>
      <c r="G22" s="461"/>
      <c r="H22" s="462"/>
      <c r="I22" s="462"/>
      <c r="J22" s="462"/>
      <c r="K22" s="462"/>
      <c r="L22" s="462"/>
      <c r="M22" s="460"/>
      <c r="N22" s="454"/>
      <c r="O22" s="426"/>
      <c r="P22" s="427"/>
      <c r="Q22" s="427"/>
      <c r="R22" s="427"/>
      <c r="S22" s="427"/>
      <c r="T22" s="427"/>
      <c r="U22" s="428"/>
    </row>
    <row r="23" spans="2:21" s="429" customFormat="1" ht="15.95" customHeight="1" x14ac:dyDescent="0.2">
      <c r="B23" s="463"/>
      <c r="C23" s="470" t="s">
        <v>544</v>
      </c>
      <c r="D23" s="478"/>
      <c r="E23" s="465"/>
      <c r="F23" s="552"/>
      <c r="G23" s="467"/>
      <c r="H23" s="468"/>
      <c r="I23" s="468"/>
      <c r="J23" s="468"/>
      <c r="K23" s="468"/>
      <c r="L23" s="468"/>
      <c r="M23" s="469"/>
      <c r="N23" s="454"/>
      <c r="O23" s="426"/>
      <c r="P23" s="427"/>
      <c r="Q23" s="427"/>
      <c r="R23" s="427"/>
      <c r="S23" s="427"/>
      <c r="T23" s="427"/>
      <c r="U23" s="428"/>
    </row>
    <row r="24" spans="2:21" ht="15.95" customHeight="1" x14ac:dyDescent="0.2">
      <c r="B24" s="59" t="s">
        <v>471</v>
      </c>
      <c r="C24" s="29" t="s">
        <v>288</v>
      </c>
      <c r="D24" s="316">
        <v>0.5</v>
      </c>
      <c r="E24" s="218">
        <v>1.0249999999999999</v>
      </c>
      <c r="F24" s="271">
        <f>9*(0.5*PI()*3.3^2+(12-3.3)*6.6)*$Q$3</f>
        <v>637.19706058970939</v>
      </c>
      <c r="G24" s="24">
        <f>E24*F24*D24</f>
        <v>326.56349355222602</v>
      </c>
      <c r="H24" s="16">
        <v>-2.94</v>
      </c>
      <c r="I24" s="16">
        <v>29.71</v>
      </c>
      <c r="J24" s="16">
        <v>3.3</v>
      </c>
      <c r="K24" s="169">
        <v>0</v>
      </c>
      <c r="L24" s="169">
        <v>0</v>
      </c>
      <c r="M24" s="273" t="s">
        <v>407</v>
      </c>
    </row>
    <row r="25" spans="2:21" ht="15.95" customHeight="1" x14ac:dyDescent="0.2">
      <c r="B25" s="58" t="s">
        <v>472</v>
      </c>
      <c r="C25" s="56" t="s">
        <v>503</v>
      </c>
      <c r="D25" s="316">
        <v>0.5</v>
      </c>
      <c r="E25" s="218">
        <v>1.0249999999999999</v>
      </c>
      <c r="F25" s="271">
        <f>9*(0.5*PI()*3.3^2+(12-3.3)*6.6)*$Q$3</f>
        <v>637.19706058970939</v>
      </c>
      <c r="G25" s="24">
        <f>E25*F25*D25</f>
        <v>326.56349355222602</v>
      </c>
      <c r="H25" s="16">
        <v>5.3</v>
      </c>
      <c r="I25" s="16">
        <v>26.17</v>
      </c>
      <c r="J25" s="16">
        <v>3.3</v>
      </c>
      <c r="K25" s="169">
        <v>0</v>
      </c>
      <c r="L25" s="169">
        <v>0</v>
      </c>
      <c r="M25" s="273" t="s">
        <v>407</v>
      </c>
    </row>
    <row r="26" spans="2:21" ht="15.95" customHeight="1" x14ac:dyDescent="0.2">
      <c r="B26" s="59" t="s">
        <v>94</v>
      </c>
      <c r="C26" s="29" t="s">
        <v>502</v>
      </c>
      <c r="D26" s="316">
        <v>0.5</v>
      </c>
      <c r="E26" s="218">
        <v>1.0249999999999999</v>
      </c>
      <c r="F26" s="271">
        <f>10.8*(0.5*PI()*3.3^2+(12-3.3)*6.6)*$Q$3</f>
        <v>764.63647270765125</v>
      </c>
      <c r="G26" s="24">
        <f>E26*F26*D26</f>
        <v>391.87619226267122</v>
      </c>
      <c r="H26" s="16">
        <v>21.05</v>
      </c>
      <c r="I26" s="16">
        <v>19.434999999999999</v>
      </c>
      <c r="J26" s="16">
        <v>3.3</v>
      </c>
      <c r="K26" s="169">
        <v>0</v>
      </c>
      <c r="L26" s="169">
        <v>0</v>
      </c>
      <c r="M26" s="273" t="s">
        <v>407</v>
      </c>
    </row>
    <row r="27" spans="2:21" ht="15.95" customHeight="1" x14ac:dyDescent="0.2">
      <c r="B27" s="58" t="s">
        <v>292</v>
      </c>
      <c r="C27" s="56" t="s">
        <v>478</v>
      </c>
      <c r="D27" s="316">
        <v>0.5</v>
      </c>
      <c r="E27" s="218">
        <v>1.0249999999999999</v>
      </c>
      <c r="F27" s="271">
        <f>7.2*(0.5*PI()*3.3^2+(12-3.3)*6.6)*$Q$3</f>
        <v>509.75764847176754</v>
      </c>
      <c r="G27" s="24">
        <f>E27*F27*D27</f>
        <v>261.25079484178082</v>
      </c>
      <c r="H27" s="16">
        <v>47</v>
      </c>
      <c r="I27" s="16">
        <v>7</v>
      </c>
      <c r="J27" s="16">
        <v>3.3</v>
      </c>
      <c r="K27" s="169">
        <v>0</v>
      </c>
      <c r="L27" s="169">
        <v>0</v>
      </c>
      <c r="M27" s="273" t="s">
        <v>316</v>
      </c>
    </row>
    <row r="28" spans="2:21" ht="15.95" customHeight="1" thickBot="1" x14ac:dyDescent="0.25">
      <c r="B28" s="255"/>
      <c r="C28" s="252"/>
      <c r="D28" s="316"/>
      <c r="E28" s="256"/>
      <c r="F28" s="272"/>
      <c r="G28" s="253"/>
      <c r="H28" s="250"/>
      <c r="I28" s="250"/>
      <c r="J28" s="250"/>
      <c r="K28" s="250"/>
      <c r="L28" s="250"/>
      <c r="M28" s="276"/>
    </row>
    <row r="29" spans="2:21" ht="15.95" customHeight="1" thickTop="1" x14ac:dyDescent="0.2">
      <c r="B29" s="318"/>
      <c r="C29" s="319"/>
      <c r="D29" s="481"/>
      <c r="E29" s="321"/>
      <c r="F29" s="555" t="s">
        <v>33</v>
      </c>
      <c r="G29" s="323">
        <f>SUBTOTAL(9,G24:G28)</f>
        <v>1306.2539742089041</v>
      </c>
      <c r="H29" s="324">
        <f>IF($G29=0,0,SUMPRODUCT($G24:$G28,H24:H28)/$G29)</f>
        <v>16.305</v>
      </c>
      <c r="I29" s="324">
        <f>IF($G29=0,0,SUMPRODUCT($G24:$G28,I24:I28)/$G29)</f>
        <v>21.200499999999998</v>
      </c>
      <c r="J29" s="324">
        <f>IF($G29=0,0,SUMPRODUCT($G24:$G28,J24:J28)/$G29)</f>
        <v>3.3</v>
      </c>
      <c r="K29" s="324">
        <f>SUBTOTAL(9,K24:K28)</f>
        <v>0</v>
      </c>
      <c r="L29" s="324">
        <f>SUBTOTAL(9,L24:L28)</f>
        <v>0</v>
      </c>
      <c r="M29" s="444"/>
      <c r="N29" s="454"/>
      <c r="O29" s="445" t="s">
        <v>532</v>
      </c>
      <c r="P29" s="446">
        <f t="shared" ref="P29:U29" si="3">G29</f>
        <v>1306.2539742089041</v>
      </c>
      <c r="Q29" s="446">
        <f t="shared" si="3"/>
        <v>16.305</v>
      </c>
      <c r="R29" s="446">
        <f t="shared" si="3"/>
        <v>21.200499999999998</v>
      </c>
      <c r="S29" s="446">
        <f t="shared" si="3"/>
        <v>3.3</v>
      </c>
      <c r="T29" s="446">
        <f t="shared" si="3"/>
        <v>0</v>
      </c>
      <c r="U29" s="447">
        <f t="shared" si="3"/>
        <v>0</v>
      </c>
    </row>
    <row r="30" spans="2:21" ht="15.95" customHeight="1" x14ac:dyDescent="0.2">
      <c r="B30" s="456"/>
      <c r="C30" s="448"/>
      <c r="D30" s="480"/>
      <c r="E30" s="449"/>
      <c r="F30" s="556"/>
      <c r="G30" s="473"/>
      <c r="H30" s="474"/>
      <c r="I30" s="474"/>
      <c r="J30" s="474"/>
      <c r="K30" s="474"/>
      <c r="L30" s="474"/>
      <c r="M30" s="460"/>
    </row>
    <row r="31" spans="2:21" ht="15.95" customHeight="1" x14ac:dyDescent="0.2">
      <c r="B31" s="463"/>
      <c r="C31" s="470" t="s">
        <v>545</v>
      </c>
      <c r="D31" s="478"/>
      <c r="E31" s="465"/>
      <c r="F31" s="552"/>
      <c r="G31" s="467"/>
      <c r="H31" s="468"/>
      <c r="I31" s="468"/>
      <c r="J31" s="468"/>
      <c r="K31" s="468"/>
      <c r="L31" s="468"/>
      <c r="M31" s="469"/>
    </row>
    <row r="32" spans="2:21" ht="15.95" customHeight="1" x14ac:dyDescent="0.2">
      <c r="B32" s="59" t="s">
        <v>108</v>
      </c>
      <c r="C32" s="29" t="s">
        <v>479</v>
      </c>
      <c r="D32" s="317">
        <v>0.5</v>
      </c>
      <c r="E32" s="218">
        <v>1.0249999999999999</v>
      </c>
      <c r="F32" s="271">
        <f>7.2*(0.5*PI()*3.3^2+(12-3.3)*6.6)*$Q$3</f>
        <v>509.75764847176754</v>
      </c>
      <c r="G32" s="24">
        <f>E32*F32*D32</f>
        <v>261.25079484178082</v>
      </c>
      <c r="H32" s="16">
        <v>29.32</v>
      </c>
      <c r="I32" s="16">
        <v>15.9</v>
      </c>
      <c r="J32" s="16">
        <v>3.3</v>
      </c>
      <c r="K32" s="169">
        <v>0</v>
      </c>
      <c r="L32" s="169">
        <v>0</v>
      </c>
      <c r="M32" s="273"/>
    </row>
    <row r="33" spans="2:21" ht="15.95" customHeight="1" x14ac:dyDescent="0.2">
      <c r="B33" s="59" t="s">
        <v>473</v>
      </c>
      <c r="C33" s="29" t="s">
        <v>291</v>
      </c>
      <c r="D33" s="317">
        <v>0.5</v>
      </c>
      <c r="E33" s="218">
        <v>1.0249999999999999</v>
      </c>
      <c r="F33" s="271">
        <f>9*(0.5*PI()*3.3^2+(12-3.3)*6.6)*$Q$3</f>
        <v>637.19706058970939</v>
      </c>
      <c r="G33" s="24">
        <f>E33*F33*D33</f>
        <v>326.56349355222602</v>
      </c>
      <c r="H33" s="16">
        <v>-2.94</v>
      </c>
      <c r="I33" s="16">
        <v>-29.71</v>
      </c>
      <c r="J33" s="16">
        <v>3.3</v>
      </c>
      <c r="K33" s="169">
        <v>0</v>
      </c>
      <c r="L33" s="169">
        <v>0</v>
      </c>
      <c r="M33" s="273"/>
    </row>
    <row r="34" spans="2:21" ht="15.95" customHeight="1" x14ac:dyDescent="0.2">
      <c r="B34" s="58" t="s">
        <v>120</v>
      </c>
      <c r="C34" s="56" t="s">
        <v>290</v>
      </c>
      <c r="D34" s="317">
        <v>0.5</v>
      </c>
      <c r="E34" s="218">
        <v>1.0249999999999999</v>
      </c>
      <c r="F34" s="271">
        <f>9*(0.5*PI()*3.3^2+(12-3.3)*6.6)*$Q$3</f>
        <v>637.19706058970939</v>
      </c>
      <c r="G34" s="24">
        <f>E34*F34*D34</f>
        <v>326.56349355222602</v>
      </c>
      <c r="H34" s="16">
        <v>5.3</v>
      </c>
      <c r="I34" s="16">
        <v>-26.17</v>
      </c>
      <c r="J34" s="16">
        <v>3.3</v>
      </c>
      <c r="K34" s="169">
        <v>0</v>
      </c>
      <c r="L34" s="169">
        <v>0</v>
      </c>
      <c r="M34" s="273"/>
    </row>
    <row r="35" spans="2:21" ht="15.95" customHeight="1" x14ac:dyDescent="0.2">
      <c r="B35" s="59" t="s">
        <v>112</v>
      </c>
      <c r="C35" s="29" t="s">
        <v>289</v>
      </c>
      <c r="D35" s="317">
        <v>0.5</v>
      </c>
      <c r="E35" s="218">
        <v>1.0249999999999999</v>
      </c>
      <c r="F35" s="271">
        <f>10.8*(0.5*PI()*3.3^2+(12-3.3)*6.6)*$Q$3</f>
        <v>764.63647270765125</v>
      </c>
      <c r="G35" s="24">
        <f>E35*F35*D35</f>
        <v>391.87619226267122</v>
      </c>
      <c r="H35" s="16">
        <v>21.05</v>
      </c>
      <c r="I35" s="16">
        <v>-19.434999999999999</v>
      </c>
      <c r="J35" s="16">
        <v>3.3</v>
      </c>
      <c r="K35" s="169">
        <v>0</v>
      </c>
      <c r="L35" s="169">
        <v>0</v>
      </c>
      <c r="M35" s="273"/>
    </row>
    <row r="36" spans="2:21" ht="15.95" customHeight="1" x14ac:dyDescent="0.2">
      <c r="B36" s="58" t="s">
        <v>293</v>
      </c>
      <c r="C36" s="56" t="s">
        <v>478</v>
      </c>
      <c r="D36" s="317">
        <v>0.5</v>
      </c>
      <c r="E36" s="218">
        <v>1.0249999999999999</v>
      </c>
      <c r="F36" s="271">
        <f>((47+33.1)*6.6*0.5+8.1*16.2*2.1)*$Q$3</f>
        <v>512.89740000000006</v>
      </c>
      <c r="G36" s="24">
        <f>E36*F36*D36</f>
        <v>262.85991749999999</v>
      </c>
      <c r="H36" s="16">
        <v>47</v>
      </c>
      <c r="I36" s="16">
        <v>-7</v>
      </c>
      <c r="J36" s="16">
        <v>3.3</v>
      </c>
      <c r="K36" s="169">
        <v>0</v>
      </c>
      <c r="L36" s="169">
        <v>0</v>
      </c>
      <c r="M36" s="273" t="s">
        <v>509</v>
      </c>
    </row>
    <row r="37" spans="2:21" ht="15.95" customHeight="1" thickBot="1" x14ac:dyDescent="0.25">
      <c r="B37" s="255"/>
      <c r="C37" s="252"/>
      <c r="D37" s="316"/>
      <c r="E37" s="256"/>
      <c r="F37" s="272"/>
      <c r="G37" s="253"/>
      <c r="H37" s="250"/>
      <c r="I37" s="250"/>
      <c r="J37" s="250"/>
      <c r="K37" s="250"/>
      <c r="L37" s="250"/>
      <c r="M37" s="276"/>
    </row>
    <row r="38" spans="2:21" ht="15.95" customHeight="1" thickTop="1" x14ac:dyDescent="0.2">
      <c r="B38" s="318"/>
      <c r="C38" s="319"/>
      <c r="D38" s="481"/>
      <c r="E38" s="321"/>
      <c r="F38" s="555" t="s">
        <v>33</v>
      </c>
      <c r="G38" s="323">
        <f>SUBTOTAL(9,G32:G37)</f>
        <v>1569.1138917089038</v>
      </c>
      <c r="H38" s="324">
        <f>IF($G38=0,0,SUMPRODUCT($G32:$G37,H32:H37)/$G38)</f>
        <v>18.503419842617628</v>
      </c>
      <c r="I38" s="324">
        <f>IF($G38=0,0,SUMPRODUCT($G32:$G37,I32:I37)/$G38)</f>
        <v>-15.008861832961273</v>
      </c>
      <c r="J38" s="324">
        <f>IF($G38=0,0,SUMPRODUCT($G32:$G37,J32:J37)/$G38)</f>
        <v>3.3000000000000003</v>
      </c>
      <c r="K38" s="324">
        <f>SUBTOTAL(9,K32:K37)</f>
        <v>0</v>
      </c>
      <c r="L38" s="324">
        <f>SUBTOTAL(9,L32:L37)</f>
        <v>0</v>
      </c>
      <c r="M38" s="444"/>
      <c r="N38" s="454"/>
      <c r="O38" s="445" t="s">
        <v>559</v>
      </c>
      <c r="P38" s="446">
        <f t="shared" ref="P38:U38" si="4">G38</f>
        <v>1569.1138917089038</v>
      </c>
      <c r="Q38" s="446">
        <f t="shared" si="4"/>
        <v>18.503419842617628</v>
      </c>
      <c r="R38" s="446">
        <f t="shared" si="4"/>
        <v>-15.008861832961273</v>
      </c>
      <c r="S38" s="446">
        <f t="shared" si="4"/>
        <v>3.3000000000000003</v>
      </c>
      <c r="T38" s="446">
        <f t="shared" si="4"/>
        <v>0</v>
      </c>
      <c r="U38" s="447">
        <f t="shared" si="4"/>
        <v>0</v>
      </c>
    </row>
    <row r="39" spans="2:21" ht="15.95" customHeight="1" x14ac:dyDescent="0.2">
      <c r="B39" s="243"/>
      <c r="C39" s="244"/>
      <c r="D39" s="482"/>
      <c r="E39" s="246"/>
      <c r="F39" s="557"/>
      <c r="G39" s="247"/>
      <c r="H39" s="248"/>
      <c r="I39" s="248"/>
      <c r="J39" s="248"/>
      <c r="K39" s="248"/>
      <c r="L39" s="248"/>
      <c r="M39" s="282"/>
    </row>
    <row r="40" spans="2:21" ht="15.95" customHeight="1" x14ac:dyDescent="0.2">
      <c r="B40" s="463"/>
      <c r="C40" s="470" t="s">
        <v>548</v>
      </c>
      <c r="D40" s="478"/>
      <c r="E40" s="465"/>
      <c r="F40" s="552"/>
      <c r="G40" s="467"/>
      <c r="H40" s="468"/>
      <c r="I40" s="468"/>
      <c r="J40" s="468"/>
      <c r="K40" s="468"/>
      <c r="L40" s="468"/>
      <c r="M40" s="469"/>
    </row>
    <row r="41" spans="2:21" ht="15.95" customHeight="1" x14ac:dyDescent="0.2">
      <c r="B41" s="58" t="s">
        <v>302</v>
      </c>
      <c r="C41" s="56" t="s">
        <v>451</v>
      </c>
      <c r="D41" s="316">
        <v>0.5</v>
      </c>
      <c r="E41" s="218">
        <v>1.0249999999999999</v>
      </c>
      <c r="F41" s="271">
        <f>(18*(1.8+1.8)+(1.8+1.8)*(15-(3.6+1.8)))*(15-6.6)*$Q$3</f>
        <v>792.89279999999997</v>
      </c>
      <c r="G41" s="24">
        <f>E41*F41*D41</f>
        <v>406.35755999999992</v>
      </c>
      <c r="H41" s="16">
        <v>-15.1</v>
      </c>
      <c r="I41" s="16">
        <v>25.64</v>
      </c>
      <c r="J41" s="16">
        <v>10.8</v>
      </c>
      <c r="K41" s="16">
        <v>4</v>
      </c>
      <c r="L41" s="16">
        <v>5</v>
      </c>
      <c r="M41" s="312"/>
    </row>
    <row r="42" spans="2:21" ht="15.95" customHeight="1" x14ac:dyDescent="0.2">
      <c r="B42" s="59" t="s">
        <v>304</v>
      </c>
      <c r="C42" s="30" t="s">
        <v>452</v>
      </c>
      <c r="D42" s="316">
        <v>0</v>
      </c>
      <c r="E42" s="218">
        <v>1.0249999999999999</v>
      </c>
      <c r="F42" s="271">
        <f>2*2*16.2*8*0.95</f>
        <v>492.47999999999996</v>
      </c>
      <c r="G42" s="24">
        <f t="shared" ref="G42:G43" si="5">E42*F42*D42</f>
        <v>0</v>
      </c>
      <c r="H42" s="16">
        <v>-34</v>
      </c>
      <c r="I42" s="16">
        <v>41.4</v>
      </c>
      <c r="J42" s="16">
        <v>19</v>
      </c>
      <c r="K42" s="9">
        <v>4</v>
      </c>
      <c r="L42" s="9">
        <v>5</v>
      </c>
      <c r="M42" s="313"/>
    </row>
    <row r="43" spans="2:21" ht="15.95" customHeight="1" x14ac:dyDescent="0.2">
      <c r="B43" s="559" t="s">
        <v>576</v>
      </c>
      <c r="C43" s="56" t="s">
        <v>451</v>
      </c>
      <c r="D43" s="316">
        <v>0.5</v>
      </c>
      <c r="E43" s="218">
        <v>1.0249999999999999</v>
      </c>
      <c r="F43" s="271">
        <f>(18*(1.8+1.8)+(1.8+1.8)*(15-(3.6+1.8)))*(23-15)*$Q$3</f>
        <v>755.13599999999997</v>
      </c>
      <c r="G43" s="24">
        <f t="shared" si="5"/>
        <v>387.00719999999995</v>
      </c>
      <c r="H43" s="16">
        <v>-15.1</v>
      </c>
      <c r="I43" s="16">
        <v>25.64</v>
      </c>
      <c r="J43" s="16">
        <v>19</v>
      </c>
      <c r="K43" s="16">
        <v>4</v>
      </c>
      <c r="L43" s="16">
        <v>5</v>
      </c>
      <c r="M43" s="560"/>
    </row>
    <row r="44" spans="2:21" ht="15.95" customHeight="1" thickBot="1" x14ac:dyDescent="0.25">
      <c r="B44" s="255"/>
      <c r="C44" s="252"/>
      <c r="D44" s="316"/>
      <c r="E44" s="256"/>
      <c r="F44" s="272"/>
      <c r="G44" s="253"/>
      <c r="H44" s="250"/>
      <c r="I44" s="250"/>
      <c r="J44" s="250"/>
      <c r="K44" s="250"/>
      <c r="L44" s="250"/>
      <c r="M44" s="276"/>
    </row>
    <row r="45" spans="2:21" ht="15.95" customHeight="1" thickTop="1" x14ac:dyDescent="0.2">
      <c r="B45" s="318"/>
      <c r="C45" s="319"/>
      <c r="D45" s="481"/>
      <c r="E45" s="321"/>
      <c r="F45" s="555" t="s">
        <v>33</v>
      </c>
      <c r="G45" s="323">
        <f>SUBTOTAL(9,G41:G44)</f>
        <v>793.36475999999993</v>
      </c>
      <c r="H45" s="324">
        <f>IF($G45=0,0,SUMPRODUCT($G41:$G44,H41:H44)/$G45)</f>
        <v>-15.1</v>
      </c>
      <c r="I45" s="324">
        <f>IF($G45=0,0,SUMPRODUCT($G41:$G44,I41:I44)/$G45)</f>
        <v>25.639999999999997</v>
      </c>
      <c r="J45" s="324">
        <f>IF($G45=0,0,SUMPRODUCT($G41:$G44,J41:J44)/$G45)</f>
        <v>14.799999999999999</v>
      </c>
      <c r="K45" s="324">
        <f>SUBTOTAL(9,K41:K44)</f>
        <v>12</v>
      </c>
      <c r="L45" s="324">
        <f>SUBTOTAL(9,L41:L44)</f>
        <v>15</v>
      </c>
      <c r="M45" s="444"/>
      <c r="N45" s="454"/>
      <c r="O45" s="445" t="s">
        <v>560</v>
      </c>
      <c r="P45" s="446">
        <f t="shared" ref="P45:U45" si="6">G45</f>
        <v>793.36475999999993</v>
      </c>
      <c r="Q45" s="446">
        <f t="shared" si="6"/>
        <v>-15.1</v>
      </c>
      <c r="R45" s="446">
        <f t="shared" si="6"/>
        <v>25.639999999999997</v>
      </c>
      <c r="S45" s="446">
        <f t="shared" si="6"/>
        <v>14.799999999999999</v>
      </c>
      <c r="T45" s="446">
        <f t="shared" si="6"/>
        <v>12</v>
      </c>
      <c r="U45" s="447">
        <f t="shared" si="6"/>
        <v>15</v>
      </c>
    </row>
    <row r="46" spans="2:21" ht="15.95" customHeight="1" x14ac:dyDescent="0.2">
      <c r="B46" s="456"/>
      <c r="C46" s="448"/>
      <c r="D46" s="480"/>
      <c r="E46" s="449"/>
      <c r="F46" s="556"/>
      <c r="G46" s="473"/>
      <c r="H46" s="474"/>
      <c r="I46" s="474"/>
      <c r="J46" s="474"/>
      <c r="K46" s="474"/>
      <c r="L46" s="474"/>
      <c r="M46" s="460"/>
    </row>
    <row r="47" spans="2:21" ht="15.95" customHeight="1" x14ac:dyDescent="0.2">
      <c r="B47" s="463"/>
      <c r="C47" s="470" t="s">
        <v>549</v>
      </c>
      <c r="D47" s="478"/>
      <c r="E47" s="465"/>
      <c r="F47" s="552"/>
      <c r="G47" s="467"/>
      <c r="H47" s="468"/>
      <c r="I47" s="468"/>
      <c r="J47" s="468"/>
      <c r="K47" s="468"/>
      <c r="L47" s="468"/>
      <c r="M47" s="469"/>
    </row>
    <row r="48" spans="2:21" ht="15.95" customHeight="1" x14ac:dyDescent="0.2">
      <c r="B48" s="59" t="s">
        <v>303</v>
      </c>
      <c r="C48" s="29" t="s">
        <v>453</v>
      </c>
      <c r="D48" s="317">
        <v>0.5</v>
      </c>
      <c r="E48" s="218">
        <v>1.0249999999999999</v>
      </c>
      <c r="F48" s="271">
        <f>(18*(1.8+1.8)+(1.8+1.8)*(15-(3.6+1.8)))*(15-6.6)*$Q$3</f>
        <v>792.89279999999997</v>
      </c>
      <c r="G48" s="24">
        <f>E48*F48*D48</f>
        <v>406.35755999999992</v>
      </c>
      <c r="H48" s="16">
        <v>-15.1</v>
      </c>
      <c r="I48" s="16">
        <v>-25.64</v>
      </c>
      <c r="J48" s="16">
        <v>10.8</v>
      </c>
      <c r="K48" s="16">
        <v>4</v>
      </c>
      <c r="L48" s="16">
        <v>5</v>
      </c>
      <c r="M48" s="273"/>
    </row>
    <row r="49" spans="2:21" ht="15.95" customHeight="1" x14ac:dyDescent="0.2">
      <c r="B49" s="59" t="s">
        <v>305</v>
      </c>
      <c r="C49" s="30" t="s">
        <v>454</v>
      </c>
      <c r="D49" s="316">
        <v>0</v>
      </c>
      <c r="E49" s="218">
        <v>1.0249999999999999</v>
      </c>
      <c r="F49" s="271">
        <f>2*2*16.2*8*0.95</f>
        <v>492.47999999999996</v>
      </c>
      <c r="G49" s="24">
        <f>E49*F49*D49</f>
        <v>0</v>
      </c>
      <c r="H49" s="16">
        <v>-34</v>
      </c>
      <c r="I49" s="16">
        <v>-41.4</v>
      </c>
      <c r="J49" s="16">
        <v>19</v>
      </c>
      <c r="K49" s="9">
        <v>4</v>
      </c>
      <c r="L49" s="9">
        <v>5</v>
      </c>
      <c r="M49" s="273"/>
    </row>
    <row r="50" spans="2:21" ht="15.95" customHeight="1" x14ac:dyDescent="0.2">
      <c r="B50" s="559" t="s">
        <v>577</v>
      </c>
      <c r="C50" s="56" t="s">
        <v>451</v>
      </c>
      <c r="D50" s="316">
        <v>0.5</v>
      </c>
      <c r="E50" s="218">
        <v>1.0249999999999999</v>
      </c>
      <c r="F50" s="271">
        <f>(18*(1.8+1.8)+(1.8+1.8)*(15-(3.6+1.8)))*(23-15)*$Q$3</f>
        <v>755.13599999999997</v>
      </c>
      <c r="G50" s="24">
        <f t="shared" ref="G50" si="7">E50*F50*D50</f>
        <v>387.00719999999995</v>
      </c>
      <c r="H50" s="16">
        <v>-15.1</v>
      </c>
      <c r="I50" s="16">
        <v>-25.64</v>
      </c>
      <c r="J50" s="16">
        <v>19</v>
      </c>
      <c r="K50" s="16">
        <v>4</v>
      </c>
      <c r="L50" s="16">
        <v>5</v>
      </c>
      <c r="M50" s="560"/>
    </row>
    <row r="51" spans="2:21" ht="15.95" customHeight="1" thickBot="1" x14ac:dyDescent="0.25">
      <c r="B51" s="255"/>
      <c r="C51" s="252"/>
      <c r="D51" s="316"/>
      <c r="E51" s="256"/>
      <c r="F51" s="272"/>
      <c r="G51" s="253"/>
      <c r="H51" s="250"/>
      <c r="I51" s="250"/>
      <c r="J51" s="250"/>
      <c r="K51" s="250"/>
      <c r="L51" s="250"/>
      <c r="M51" s="276"/>
    </row>
    <row r="52" spans="2:21" ht="15.95" customHeight="1" thickTop="1" x14ac:dyDescent="0.2">
      <c r="B52" s="318"/>
      <c r="C52" s="319"/>
      <c r="D52" s="481"/>
      <c r="E52" s="321"/>
      <c r="F52" s="555" t="s">
        <v>33</v>
      </c>
      <c r="G52" s="323">
        <f>SUBTOTAL(9,G48:G51)</f>
        <v>793.36475999999993</v>
      </c>
      <c r="H52" s="324">
        <f>IF($G52=0,0,SUMPRODUCT($G48:$G51,H48:H51)/$G52)</f>
        <v>-15.1</v>
      </c>
      <c r="I52" s="324">
        <f>IF($G52=0,0,SUMPRODUCT($G48:$G51,I48:I51)/$G52)</f>
        <v>-25.639999999999997</v>
      </c>
      <c r="J52" s="324">
        <f>IF($G52=0,0,SUMPRODUCT($G48:$G51,J48:J51)/$G52)</f>
        <v>14.799999999999999</v>
      </c>
      <c r="K52" s="324">
        <f>SUBTOTAL(9,K48:K51)</f>
        <v>12</v>
      </c>
      <c r="L52" s="324">
        <f>SUBTOTAL(9,L48:L51)</f>
        <v>15</v>
      </c>
      <c r="M52" s="444"/>
      <c r="N52" s="454"/>
      <c r="O52" s="445" t="s">
        <v>561</v>
      </c>
      <c r="P52" s="446">
        <f t="shared" ref="P52:U52" si="8">G52</f>
        <v>793.36475999999993</v>
      </c>
      <c r="Q52" s="446">
        <f t="shared" si="8"/>
        <v>-15.1</v>
      </c>
      <c r="R52" s="446">
        <f t="shared" si="8"/>
        <v>-25.639999999999997</v>
      </c>
      <c r="S52" s="446">
        <f t="shared" si="8"/>
        <v>14.799999999999999</v>
      </c>
      <c r="T52" s="446">
        <f t="shared" si="8"/>
        <v>12</v>
      </c>
      <c r="U52" s="447">
        <f t="shared" si="8"/>
        <v>15</v>
      </c>
    </row>
    <row r="53" spans="2:21" ht="15.95" customHeight="1" x14ac:dyDescent="0.2">
      <c r="B53" s="456"/>
      <c r="C53" s="448"/>
      <c r="D53" s="480"/>
      <c r="E53" s="449"/>
      <c r="F53" s="556"/>
      <c r="G53" s="473"/>
      <c r="H53" s="474"/>
      <c r="I53" s="474"/>
      <c r="J53" s="474"/>
      <c r="K53" s="474"/>
      <c r="L53" s="474"/>
      <c r="M53" s="460"/>
    </row>
    <row r="54" spans="2:21" ht="15.95" customHeight="1" x14ac:dyDescent="0.2">
      <c r="B54" s="463"/>
      <c r="C54" s="470" t="s">
        <v>550</v>
      </c>
      <c r="D54" s="478"/>
      <c r="E54" s="465"/>
      <c r="F54" s="552"/>
      <c r="G54" s="467"/>
      <c r="H54" s="468"/>
      <c r="I54" s="468"/>
      <c r="J54" s="468"/>
      <c r="K54" s="468"/>
      <c r="L54" s="468"/>
      <c r="M54" s="469"/>
    </row>
    <row r="55" spans="2:21" ht="15.95" customHeight="1" x14ac:dyDescent="0.2">
      <c r="B55" s="59" t="s">
        <v>301</v>
      </c>
      <c r="C55" s="29" t="s">
        <v>450</v>
      </c>
      <c r="D55" s="317">
        <v>0.5</v>
      </c>
      <c r="E55" s="218">
        <v>1.0249999999999999</v>
      </c>
      <c r="F55" s="271">
        <f>(15*(2.7*2)+1.8*(18-(2.7*2)))*(15-6.6)*$Q$3</f>
        <v>827.36640000000011</v>
      </c>
      <c r="G55" s="24">
        <f>E55*F55*D55</f>
        <v>424.02528000000001</v>
      </c>
      <c r="H55" s="16">
        <v>40.9</v>
      </c>
      <c r="I55" s="16">
        <v>0</v>
      </c>
      <c r="J55" s="16">
        <v>10.8</v>
      </c>
      <c r="K55" s="16">
        <v>4</v>
      </c>
      <c r="L55" s="16">
        <v>5</v>
      </c>
      <c r="M55" s="275"/>
    </row>
    <row r="56" spans="2:21" ht="15.95" customHeight="1" x14ac:dyDescent="0.2">
      <c r="B56" s="559" t="s">
        <v>578</v>
      </c>
      <c r="C56" s="56" t="s">
        <v>575</v>
      </c>
      <c r="D56" s="316">
        <v>0.5</v>
      </c>
      <c r="E56" s="218">
        <v>1.0249999999999999</v>
      </c>
      <c r="F56" s="271">
        <f>(15*(2.7*2)+1.8*(18-(2.7*2)))*(23-15)*$Q$3</f>
        <v>787.96799999999996</v>
      </c>
      <c r="G56" s="24">
        <f t="shared" ref="G56" si="9">E56*F56*D56</f>
        <v>403.83359999999993</v>
      </c>
      <c r="H56" s="16">
        <v>40.9</v>
      </c>
      <c r="I56" s="16">
        <v>0</v>
      </c>
      <c r="J56" s="16">
        <f>15+4</f>
        <v>19</v>
      </c>
      <c r="K56" s="16">
        <v>4</v>
      </c>
      <c r="L56" s="16">
        <v>5</v>
      </c>
      <c r="M56" s="276"/>
    </row>
    <row r="57" spans="2:21" ht="15.95" customHeight="1" thickBot="1" x14ac:dyDescent="0.25">
      <c r="B57" s="255"/>
      <c r="C57" s="252"/>
      <c r="D57" s="316"/>
      <c r="E57" s="256"/>
      <c r="F57" s="272"/>
      <c r="G57" s="253"/>
      <c r="H57" s="250"/>
      <c r="I57" s="250"/>
      <c r="J57" s="250"/>
      <c r="K57" s="250"/>
      <c r="L57" s="250"/>
      <c r="M57" s="276"/>
    </row>
    <row r="58" spans="2:21" ht="15.95" customHeight="1" thickTop="1" x14ac:dyDescent="0.2">
      <c r="B58" s="318"/>
      <c r="C58" s="319"/>
      <c r="D58" s="481"/>
      <c r="E58" s="321"/>
      <c r="F58" s="555" t="s">
        <v>33</v>
      </c>
      <c r="G58" s="323">
        <f>SUBTOTAL(9,G55:G57)</f>
        <v>827.85888</v>
      </c>
      <c r="H58" s="324">
        <f>IF($G58=0,0,SUMPRODUCT($G55:$G57,H55:H57)/$G58)</f>
        <v>40.899999999999991</v>
      </c>
      <c r="I58" s="324">
        <f>IF($G58=0,0,SUMPRODUCT($G55:$G57,I55:I57)/$G58)</f>
        <v>0</v>
      </c>
      <c r="J58" s="324">
        <v>3.5</v>
      </c>
      <c r="K58" s="324">
        <f>SUBTOTAL(9,K55:K57)</f>
        <v>8</v>
      </c>
      <c r="L58" s="324">
        <f>SUBTOTAL(9,L55:L57)</f>
        <v>10</v>
      </c>
      <c r="M58" s="444"/>
      <c r="N58" s="454"/>
      <c r="O58" s="445" t="s">
        <v>562</v>
      </c>
      <c r="P58" s="446">
        <f t="shared" ref="P58:U58" si="10">G58</f>
        <v>827.85888</v>
      </c>
      <c r="Q58" s="446">
        <f t="shared" si="10"/>
        <v>40.899999999999991</v>
      </c>
      <c r="R58" s="446">
        <f t="shared" si="10"/>
        <v>0</v>
      </c>
      <c r="S58" s="446">
        <f t="shared" si="10"/>
        <v>3.5</v>
      </c>
      <c r="T58" s="446">
        <f t="shared" si="10"/>
        <v>8</v>
      </c>
      <c r="U58" s="447">
        <f t="shared" si="10"/>
        <v>10</v>
      </c>
    </row>
    <row r="59" spans="2:21" ht="15.95" customHeight="1" x14ac:dyDescent="0.2">
      <c r="E59" s="452"/>
      <c r="G59" s="451"/>
      <c r="M59" s="453"/>
    </row>
    <row r="60" spans="2:21" ht="15.95" customHeight="1" x14ac:dyDescent="0.2">
      <c r="E60" s="452"/>
      <c r="G60" s="451"/>
      <c r="M60" s="453"/>
    </row>
    <row r="61" spans="2:21" ht="15.95" customHeight="1" x14ac:dyDescent="0.2">
      <c r="E61" s="452"/>
      <c r="G61" s="451"/>
      <c r="M61" s="453"/>
    </row>
    <row r="62" spans="2:21" ht="15.95" customHeight="1" x14ac:dyDescent="0.2">
      <c r="E62" s="452"/>
      <c r="G62" s="451"/>
      <c r="M62" s="453"/>
    </row>
    <row r="63" spans="2:21" ht="15.95" customHeight="1" x14ac:dyDescent="0.2">
      <c r="E63" s="452"/>
      <c r="G63" s="451"/>
      <c r="M63" s="453"/>
    </row>
    <row r="64" spans="2:21" ht="15.95" customHeight="1" x14ac:dyDescent="0.2">
      <c r="E64" s="452"/>
      <c r="G64" s="451"/>
      <c r="M64" s="453"/>
    </row>
    <row r="65" spans="5:13" ht="15.95" customHeight="1" x14ac:dyDescent="0.2">
      <c r="E65" s="452"/>
      <c r="G65" s="451"/>
      <c r="M65" s="453"/>
    </row>
    <row r="66" spans="5:13" ht="15.95" customHeight="1" x14ac:dyDescent="0.2">
      <c r="E66" s="452"/>
      <c r="G66" s="451"/>
      <c r="M66" s="453"/>
    </row>
    <row r="67" spans="5:13" ht="15.95" customHeight="1" x14ac:dyDescent="0.2">
      <c r="E67" s="452"/>
      <c r="G67" s="451"/>
      <c r="M67" s="453"/>
    </row>
    <row r="68" spans="5:13" ht="15.95" customHeight="1" x14ac:dyDescent="0.2">
      <c r="E68" s="452"/>
      <c r="G68" s="451"/>
      <c r="M68" s="453"/>
    </row>
    <row r="69" spans="5:13" ht="15.95" customHeight="1" x14ac:dyDescent="0.2">
      <c r="E69" s="452"/>
      <c r="G69" s="451"/>
      <c r="M69" s="453"/>
    </row>
    <row r="70" spans="5:13" ht="15.95" customHeight="1" x14ac:dyDescent="0.2">
      <c r="E70" s="452"/>
      <c r="G70" s="451"/>
      <c r="M70" s="453"/>
    </row>
    <row r="71" spans="5:13" ht="15.95" customHeight="1" x14ac:dyDescent="0.2">
      <c r="E71" s="452"/>
      <c r="G71" s="451"/>
      <c r="M71" s="453"/>
    </row>
    <row r="72" spans="5:13" ht="15.95" customHeight="1" x14ac:dyDescent="0.2">
      <c r="E72" s="452"/>
      <c r="G72" s="451"/>
      <c r="M72" s="453"/>
    </row>
    <row r="73" spans="5:13" ht="15.95" customHeight="1" x14ac:dyDescent="0.2">
      <c r="E73" s="452"/>
      <c r="G73" s="451"/>
      <c r="M73" s="453"/>
    </row>
    <row r="74" spans="5:13" ht="15.95" customHeight="1" x14ac:dyDescent="0.2">
      <c r="E74" s="452"/>
      <c r="G74" s="451"/>
      <c r="M74" s="453"/>
    </row>
    <row r="75" spans="5:13" ht="15.95" customHeight="1" x14ac:dyDescent="0.2">
      <c r="E75" s="452"/>
      <c r="G75" s="451"/>
      <c r="M75" s="453"/>
    </row>
    <row r="76" spans="5:13" ht="15.95" customHeight="1" x14ac:dyDescent="0.2">
      <c r="E76" s="452"/>
      <c r="G76" s="451"/>
      <c r="M76" s="453"/>
    </row>
    <row r="77" spans="5:13" ht="15.95" customHeight="1" x14ac:dyDescent="0.2">
      <c r="E77" s="452"/>
      <c r="G77" s="451"/>
      <c r="M77" s="453"/>
    </row>
    <row r="78" spans="5:13" ht="15.95" customHeight="1" x14ac:dyDescent="0.2">
      <c r="E78" s="452"/>
      <c r="G78" s="451"/>
      <c r="M78" s="453"/>
    </row>
    <row r="79" spans="5:13" ht="15.95" customHeight="1" x14ac:dyDescent="0.2">
      <c r="E79" s="452"/>
      <c r="G79" s="451"/>
      <c r="M79" s="453"/>
    </row>
    <row r="80" spans="5:13" ht="15.95" customHeight="1" x14ac:dyDescent="0.2">
      <c r="E80" s="452"/>
      <c r="G80" s="451"/>
      <c r="M80" s="453"/>
    </row>
    <row r="81" spans="5:13" ht="15.95" customHeight="1" x14ac:dyDescent="0.2">
      <c r="E81" s="452"/>
      <c r="G81" s="451"/>
      <c r="M81" s="453"/>
    </row>
    <row r="82" spans="5:13" ht="15.95" customHeight="1" x14ac:dyDescent="0.2">
      <c r="E82" s="452"/>
      <c r="G82" s="451"/>
      <c r="M82" s="453"/>
    </row>
    <row r="83" spans="5:13" ht="15.95" customHeight="1" x14ac:dyDescent="0.2">
      <c r="E83" s="452"/>
      <c r="G83" s="451"/>
      <c r="M83" s="453"/>
    </row>
    <row r="84" spans="5:13" ht="15.95" customHeight="1" x14ac:dyDescent="0.2">
      <c r="E84" s="452"/>
      <c r="G84" s="451"/>
      <c r="M84" s="453"/>
    </row>
    <row r="85" spans="5:13" ht="15.95" customHeight="1" x14ac:dyDescent="0.2">
      <c r="E85" s="452"/>
      <c r="G85" s="451"/>
      <c r="M85" s="453"/>
    </row>
    <row r="86" spans="5:13" ht="15.95" customHeight="1" x14ac:dyDescent="0.2">
      <c r="E86" s="452"/>
      <c r="G86" s="451"/>
      <c r="M86" s="453"/>
    </row>
    <row r="87" spans="5:13" ht="15.95" customHeight="1" x14ac:dyDescent="0.2">
      <c r="E87" s="452"/>
      <c r="G87" s="451"/>
      <c r="M87" s="453"/>
    </row>
    <row r="88" spans="5:13" ht="15.95" customHeight="1" x14ac:dyDescent="0.2">
      <c r="E88" s="452"/>
      <c r="G88" s="451"/>
      <c r="M88" s="453"/>
    </row>
    <row r="89" spans="5:13" ht="15.95" customHeight="1" x14ac:dyDescent="0.2">
      <c r="E89" s="452"/>
      <c r="G89" s="451"/>
      <c r="M89" s="453"/>
    </row>
    <row r="90" spans="5:13" ht="15.95" customHeight="1" x14ac:dyDescent="0.2">
      <c r="E90" s="452"/>
      <c r="G90" s="451"/>
      <c r="M90" s="453"/>
    </row>
    <row r="91" spans="5:13" ht="15.95" customHeight="1" x14ac:dyDescent="0.2">
      <c r="E91" s="452"/>
      <c r="G91" s="451"/>
      <c r="M91" s="453"/>
    </row>
    <row r="92" spans="5:13" ht="15.95" customHeight="1" x14ac:dyDescent="0.2">
      <c r="E92" s="452"/>
      <c r="G92" s="451"/>
      <c r="M92" s="453"/>
    </row>
    <row r="93" spans="5:13" ht="15.95" customHeight="1" x14ac:dyDescent="0.2">
      <c r="E93" s="452"/>
      <c r="G93" s="451"/>
      <c r="M93" s="453"/>
    </row>
    <row r="94" spans="5:13" ht="15.95" customHeight="1" x14ac:dyDescent="0.2">
      <c r="E94" s="452"/>
      <c r="G94" s="451"/>
      <c r="M94" s="453"/>
    </row>
    <row r="95" spans="5:13" ht="15.95" customHeight="1" x14ac:dyDescent="0.2">
      <c r="E95" s="452"/>
      <c r="G95" s="451"/>
      <c r="M95" s="453"/>
    </row>
    <row r="96" spans="5:13" ht="15.95" customHeight="1" x14ac:dyDescent="0.2">
      <c r="E96" s="452"/>
      <c r="G96" s="451"/>
      <c r="M96" s="453"/>
    </row>
    <row r="97" spans="5:13" ht="15.95" customHeight="1" x14ac:dyDescent="0.2">
      <c r="E97" s="452"/>
      <c r="G97" s="451"/>
      <c r="M97" s="453"/>
    </row>
    <row r="98" spans="5:13" ht="15.95" customHeight="1" x14ac:dyDescent="0.2">
      <c r="E98" s="452"/>
      <c r="G98" s="451"/>
      <c r="M98" s="453"/>
    </row>
    <row r="99" spans="5:13" ht="15.95" customHeight="1" x14ac:dyDescent="0.2">
      <c r="E99" s="452"/>
      <c r="G99" s="451"/>
      <c r="M99" s="453"/>
    </row>
    <row r="100" spans="5:13" ht="15.95" customHeight="1" x14ac:dyDescent="0.2">
      <c r="E100" s="452"/>
      <c r="G100" s="451"/>
      <c r="M100" s="453"/>
    </row>
    <row r="101" spans="5:13" ht="15.95" customHeight="1" x14ac:dyDescent="0.2">
      <c r="E101" s="452"/>
      <c r="G101" s="451"/>
      <c r="M101" s="453"/>
    </row>
    <row r="102" spans="5:13" ht="15.95" customHeight="1" x14ac:dyDescent="0.2">
      <c r="E102" s="452"/>
      <c r="G102" s="451"/>
      <c r="M102" s="453"/>
    </row>
    <row r="103" spans="5:13" ht="15.95" customHeight="1" x14ac:dyDescent="0.2">
      <c r="E103" s="452"/>
      <c r="G103" s="451"/>
      <c r="M103" s="453"/>
    </row>
    <row r="104" spans="5:13" ht="15.95" customHeight="1" x14ac:dyDescent="0.2">
      <c r="E104" s="452"/>
      <c r="G104" s="451"/>
      <c r="M104" s="453"/>
    </row>
    <row r="105" spans="5:13" ht="15.95" customHeight="1" x14ac:dyDescent="0.2">
      <c r="E105" s="452"/>
      <c r="G105" s="451"/>
      <c r="M105" s="453"/>
    </row>
    <row r="106" spans="5:13" ht="15.95" customHeight="1" x14ac:dyDescent="0.2">
      <c r="E106" s="452"/>
      <c r="G106" s="451"/>
      <c r="M106" s="453"/>
    </row>
    <row r="107" spans="5:13" ht="15.95" customHeight="1" x14ac:dyDescent="0.2">
      <c r="E107" s="452"/>
      <c r="G107" s="451"/>
      <c r="M107" s="453"/>
    </row>
    <row r="108" spans="5:13" ht="15.95" customHeight="1" x14ac:dyDescent="0.2">
      <c r="E108" s="452"/>
      <c r="G108" s="451"/>
      <c r="M108" s="453"/>
    </row>
    <row r="109" spans="5:13" ht="15.95" customHeight="1" x14ac:dyDescent="0.2">
      <c r="E109" s="452"/>
      <c r="G109" s="451"/>
      <c r="M109" s="453"/>
    </row>
    <row r="110" spans="5:13" ht="15.95" customHeight="1" x14ac:dyDescent="0.2">
      <c r="E110" s="452"/>
      <c r="G110" s="451"/>
      <c r="M110" s="453"/>
    </row>
    <row r="111" spans="5:13" ht="15.95" customHeight="1" x14ac:dyDescent="0.2">
      <c r="E111" s="452"/>
      <c r="G111" s="451"/>
      <c r="M111" s="453"/>
    </row>
    <row r="112" spans="5:13" ht="15.95" customHeight="1" x14ac:dyDescent="0.2">
      <c r="E112" s="452"/>
      <c r="G112" s="451"/>
      <c r="M112" s="453"/>
    </row>
    <row r="113" spans="5:13" ht="15.95" customHeight="1" x14ac:dyDescent="0.2">
      <c r="E113" s="452"/>
      <c r="G113" s="451"/>
      <c r="M113" s="453"/>
    </row>
    <row r="114" spans="5:13" ht="15.95" customHeight="1" x14ac:dyDescent="0.2"/>
    <row r="115" spans="5:13" ht="15.95" customHeight="1" x14ac:dyDescent="0.2"/>
    <row r="116" spans="5:13" ht="15.95" customHeight="1" x14ac:dyDescent="0.2"/>
    <row r="117" spans="5:13" ht="15.95" customHeight="1" x14ac:dyDescent="0.2"/>
    <row r="118" spans="5:13" ht="15.95" customHeight="1" x14ac:dyDescent="0.2"/>
    <row r="119" spans="5:13" ht="15.95" customHeight="1" x14ac:dyDescent="0.2"/>
    <row r="120" spans="5:13" ht="15.95" customHeight="1" x14ac:dyDescent="0.2"/>
    <row r="121" spans="5:13" ht="15.95" customHeight="1" x14ac:dyDescent="0.2"/>
    <row r="122" spans="5:13" ht="15.95" customHeight="1" x14ac:dyDescent="0.2"/>
    <row r="123" spans="5:13" ht="15.95" customHeight="1" x14ac:dyDescent="0.2"/>
    <row r="124" spans="5:13" ht="15.95" customHeight="1" x14ac:dyDescent="0.2"/>
    <row r="125" spans="5:13" ht="15.95" customHeight="1" x14ac:dyDescent="0.2"/>
    <row r="126" spans="5:13" ht="15.95" customHeight="1" x14ac:dyDescent="0.2"/>
    <row r="127" spans="5:13" ht="15.95" customHeight="1" x14ac:dyDescent="0.2"/>
    <row r="128" spans="5:13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</sheetData>
  <dataConsolidate/>
  <mergeCells count="15">
    <mergeCell ref="J7:J8"/>
    <mergeCell ref="K7:K8"/>
    <mergeCell ref="L7:L8"/>
    <mergeCell ref="M7:M9"/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I7:I8"/>
  </mergeCells>
  <conditionalFormatting sqref="E58 E52 E45 E38:E39 E29 E24:F28 E32:F37 E51:F51 E55:F55 E57:F57 E48:F49 E41:F44">
    <cfRule type="expression" dxfId="30" priority="5" stopIfTrue="1">
      <formula>#REF!="B"</formula>
    </cfRule>
  </conditionalFormatting>
  <conditionalFormatting sqref="E53:E54 E46:E47 E40 E30:E31 E21:E23 E11 E12:F20">
    <cfRule type="expression" dxfId="29" priority="6" stopIfTrue="1">
      <formula>#REF!="B"</formula>
    </cfRule>
  </conditionalFormatting>
  <conditionalFormatting sqref="E50">
    <cfRule type="expression" dxfId="28" priority="4" stopIfTrue="1">
      <formula>#REF!="B"</formula>
    </cfRule>
  </conditionalFormatting>
  <conditionalFormatting sqref="E56">
    <cfRule type="expression" dxfId="27" priority="3" stopIfTrue="1">
      <formula>#REF!="B"</formula>
    </cfRule>
  </conditionalFormatting>
  <conditionalFormatting sqref="F50">
    <cfRule type="expression" dxfId="26" priority="2" stopIfTrue="1">
      <formula>#REF!="B"</formula>
    </cfRule>
  </conditionalFormatting>
  <conditionalFormatting sqref="F56">
    <cfRule type="expression" dxfId="25" priority="1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B1:U700"/>
  <sheetViews>
    <sheetView topLeftCell="B1" zoomScale="85" zoomScaleNormal="85" zoomScaleSheetLayoutView="85" workbookViewId="0">
      <pane ySplit="10" topLeftCell="A20" activePane="bottomLeft" state="frozen"/>
      <selection activeCell="F41" sqref="F41:F43"/>
      <selection pane="bottomLeft" activeCell="K34" sqref="K34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451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379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527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40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0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17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1"/>
      <c r="G8" s="611"/>
      <c r="H8" s="611"/>
      <c r="I8" s="611"/>
      <c r="J8" s="611"/>
      <c r="K8" s="611"/>
      <c r="L8" s="611"/>
      <c r="M8" s="618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416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19"/>
      <c r="O9" s="417"/>
    </row>
    <row r="10" spans="2:21" ht="15.95" customHeight="1" thickTop="1" x14ac:dyDescent="0.2">
      <c r="B10" s="418"/>
      <c r="C10" s="419"/>
      <c r="D10" s="477"/>
      <c r="E10" s="419"/>
      <c r="F10" s="419"/>
      <c r="G10" s="419"/>
      <c r="H10" s="419"/>
      <c r="I10" s="419"/>
      <c r="J10" s="419"/>
      <c r="K10" s="419"/>
      <c r="L10" s="419"/>
      <c r="M10" s="420"/>
    </row>
    <row r="11" spans="2:21" s="429" customFormat="1" ht="15.95" customHeight="1" x14ac:dyDescent="0.2">
      <c r="B11" s="463"/>
      <c r="C11" s="470" t="s">
        <v>528</v>
      </c>
      <c r="D11" s="478"/>
      <c r="E11" s="465"/>
      <c r="F11" s="466"/>
      <c r="G11" s="467"/>
      <c r="H11" s="468"/>
      <c r="I11" s="468"/>
      <c r="J11" s="468"/>
      <c r="K11" s="468"/>
      <c r="L11" s="468"/>
      <c r="M11" s="469"/>
      <c r="N11" s="381"/>
      <c r="O11" s="445"/>
      <c r="P11" s="446"/>
      <c r="Q11" s="446"/>
      <c r="R11" s="446"/>
      <c r="S11" s="446"/>
      <c r="T11" s="446"/>
      <c r="U11" s="447"/>
    </row>
    <row r="12" spans="2:21" s="429" customFormat="1" ht="15.95" customHeight="1" x14ac:dyDescent="0.2">
      <c r="B12" s="456"/>
      <c r="C12" s="448"/>
      <c r="D12" s="480"/>
      <c r="E12" s="449"/>
      <c r="F12" s="457"/>
      <c r="G12" s="458"/>
      <c r="H12" s="459"/>
      <c r="I12" s="459"/>
      <c r="J12" s="459"/>
      <c r="K12" s="459"/>
      <c r="L12" s="459"/>
      <c r="M12" s="460"/>
      <c r="N12" s="381"/>
      <c r="O12" s="445"/>
      <c r="P12" s="446"/>
      <c r="Q12" s="446"/>
      <c r="R12" s="446"/>
      <c r="S12" s="446"/>
      <c r="T12" s="446"/>
      <c r="U12" s="447"/>
    </row>
    <row r="13" spans="2:21" s="429" customFormat="1" ht="15.95" customHeight="1" x14ac:dyDescent="0.2">
      <c r="B13" s="421"/>
      <c r="C13" s="422" t="s">
        <v>459</v>
      </c>
      <c r="D13" s="483"/>
      <c r="E13" s="424"/>
      <c r="F13" s="422"/>
      <c r="G13" s="423"/>
      <c r="H13" s="423"/>
      <c r="I13" s="423"/>
      <c r="J13" s="423"/>
      <c r="K13" s="423"/>
      <c r="L13" s="423"/>
      <c r="M13" s="425"/>
      <c r="N13" s="381"/>
      <c r="O13" s="426"/>
      <c r="P13" s="427"/>
      <c r="Q13" s="427"/>
      <c r="R13" s="427"/>
      <c r="S13" s="427"/>
      <c r="T13" s="427"/>
      <c r="U13" s="428"/>
    </row>
    <row r="14" spans="2:21" s="429" customFormat="1" ht="15.95" customHeight="1" x14ac:dyDescent="0.2">
      <c r="B14" s="58" t="s">
        <v>308</v>
      </c>
      <c r="C14" s="56" t="s">
        <v>400</v>
      </c>
      <c r="D14" s="316">
        <v>0.5</v>
      </c>
      <c r="E14" s="218">
        <v>0.83</v>
      </c>
      <c r="F14" s="271">
        <f>(0.5*PI()*3.3^2*9+(9-1.8+1.5-3.3)*9*6.6)*$Q$3</f>
        <v>450.97806058970929</v>
      </c>
      <c r="G14" s="24">
        <f>E14*F14*D14</f>
        <v>187.15589514472936</v>
      </c>
      <c r="H14" s="16">
        <v>-16.8</v>
      </c>
      <c r="I14" s="16">
        <v>4.5</v>
      </c>
      <c r="J14" s="16">
        <v>3.3</v>
      </c>
      <c r="K14" s="169">
        <v>1000</v>
      </c>
      <c r="L14" s="169">
        <v>1000</v>
      </c>
      <c r="M14" s="430"/>
      <c r="N14" s="381"/>
      <c r="O14" s="426"/>
      <c r="P14" s="427"/>
      <c r="Q14" s="427"/>
      <c r="R14" s="427"/>
      <c r="S14" s="427"/>
      <c r="T14" s="427"/>
      <c r="U14" s="428"/>
    </row>
    <row r="15" spans="2:21" s="429" customFormat="1" ht="15.95" customHeight="1" x14ac:dyDescent="0.2">
      <c r="B15" s="59" t="s">
        <v>309</v>
      </c>
      <c r="C15" s="29" t="s">
        <v>400</v>
      </c>
      <c r="D15" s="316">
        <v>0.5</v>
      </c>
      <c r="E15" s="218">
        <v>0.83</v>
      </c>
      <c r="F15" s="271">
        <f>(0.5*PI()*3.3^2*9+5.4*9*6.6)*$Q$3</f>
        <v>450.97806058970934</v>
      </c>
      <c r="G15" s="24">
        <f>E15*F15*D15</f>
        <v>187.15589514472936</v>
      </c>
      <c r="H15" s="16">
        <v>-16.8</v>
      </c>
      <c r="I15" s="16">
        <v>13.5</v>
      </c>
      <c r="J15" s="16">
        <v>3.3</v>
      </c>
      <c r="K15" s="169">
        <v>1000</v>
      </c>
      <c r="L15" s="169">
        <v>1000</v>
      </c>
      <c r="M15" s="430"/>
      <c r="N15" s="381"/>
      <c r="O15" s="426"/>
      <c r="P15" s="427"/>
      <c r="Q15" s="427"/>
      <c r="R15" s="427"/>
      <c r="S15" s="427"/>
      <c r="T15" s="427"/>
      <c r="U15" s="428"/>
    </row>
    <row r="16" spans="2:21" s="429" customFormat="1" ht="15.95" customHeight="1" x14ac:dyDescent="0.2">
      <c r="B16" s="58" t="s">
        <v>310</v>
      </c>
      <c r="C16" s="56" t="s">
        <v>401</v>
      </c>
      <c r="D16" s="316">
        <v>0.5</v>
      </c>
      <c r="E16" s="218">
        <v>0.83</v>
      </c>
      <c r="F16" s="271">
        <f>(0.5*PI()*3.3^2*9+5.4*9*6.6)*$Q$3</f>
        <v>450.97806058970934</v>
      </c>
      <c r="G16" s="24">
        <f>E16*F16*D16</f>
        <v>187.15589514472936</v>
      </c>
      <c r="H16" s="16">
        <v>-16.8</v>
      </c>
      <c r="I16" s="16">
        <v>-4.5</v>
      </c>
      <c r="J16" s="16">
        <v>3.3</v>
      </c>
      <c r="K16" s="169">
        <v>1000</v>
      </c>
      <c r="L16" s="169">
        <v>1000</v>
      </c>
      <c r="M16" s="430"/>
      <c r="N16" s="381"/>
      <c r="O16" s="426"/>
      <c r="P16" s="427"/>
      <c r="Q16" s="427"/>
      <c r="R16" s="427"/>
      <c r="S16" s="427"/>
      <c r="T16" s="427"/>
      <c r="U16" s="428"/>
    </row>
    <row r="17" spans="2:21" s="429" customFormat="1" ht="15.95" customHeight="1" x14ac:dyDescent="0.2">
      <c r="B17" s="59" t="s">
        <v>311</v>
      </c>
      <c r="C17" s="29" t="s">
        <v>401</v>
      </c>
      <c r="D17" s="316">
        <v>0.5</v>
      </c>
      <c r="E17" s="218">
        <v>0.83</v>
      </c>
      <c r="F17" s="271">
        <f>(0.5*PI()*3.3^2*9+5.4*9*6.6)*$Q$3</f>
        <v>450.97806058970934</v>
      </c>
      <c r="G17" s="24">
        <f>E17*F17*D17</f>
        <v>187.15589514472936</v>
      </c>
      <c r="H17" s="16">
        <v>-16.8</v>
      </c>
      <c r="I17" s="16">
        <v>-13.5</v>
      </c>
      <c r="J17" s="16">
        <v>3.3</v>
      </c>
      <c r="K17" s="169">
        <v>1000</v>
      </c>
      <c r="L17" s="169">
        <v>1000</v>
      </c>
      <c r="M17" s="430"/>
      <c r="N17" s="381"/>
      <c r="O17" s="426"/>
      <c r="P17" s="427"/>
      <c r="Q17" s="427"/>
      <c r="R17" s="427"/>
      <c r="S17" s="427"/>
      <c r="T17" s="427"/>
      <c r="U17" s="428"/>
    </row>
    <row r="18" spans="2:21" s="429" customFormat="1" ht="15.95" customHeight="1" thickBot="1" x14ac:dyDescent="0.25">
      <c r="B18" s="431"/>
      <c r="C18" s="432"/>
      <c r="D18" s="316"/>
      <c r="E18" s="433"/>
      <c r="F18" s="434"/>
      <c r="G18" s="435"/>
      <c r="H18" s="436"/>
      <c r="I18" s="436"/>
      <c r="J18" s="436"/>
      <c r="K18" s="436"/>
      <c r="L18" s="436"/>
      <c r="M18" s="437"/>
      <c r="N18" s="381"/>
      <c r="O18" s="426"/>
      <c r="P18" s="427"/>
      <c r="Q18" s="427"/>
      <c r="R18" s="427"/>
      <c r="S18" s="427"/>
      <c r="T18" s="427"/>
      <c r="U18" s="428"/>
    </row>
    <row r="19" spans="2:21" s="429" customFormat="1" ht="15.95" customHeight="1" thickTop="1" x14ac:dyDescent="0.2">
      <c r="B19" s="438"/>
      <c r="C19" s="439"/>
      <c r="D19" s="479"/>
      <c r="E19" s="440"/>
      <c r="F19" s="441" t="s">
        <v>33</v>
      </c>
      <c r="G19" s="442">
        <f>SUBTOTAL(9,G14:G18)</f>
        <v>748.62358057891743</v>
      </c>
      <c r="H19" s="443">
        <f>IF($G19=0,0,SUMPRODUCT($G14:$G18,H14:H18)/$G19)</f>
        <v>-16.8</v>
      </c>
      <c r="I19" s="443">
        <f>IF($G19=0,0,SUMPRODUCT($G14:$G18,I14:I18)/$G19)</f>
        <v>0</v>
      </c>
      <c r="J19" s="443">
        <f>IF($G19=0,0,SUMPRODUCT($G14:$G18,J14:J18)/$G19)</f>
        <v>3.3000000000000003</v>
      </c>
      <c r="K19" s="450">
        <f>SUBTOTAL(9,K14:K18)</f>
        <v>4000</v>
      </c>
      <c r="L19" s="450">
        <f>SUBTOTAL(9,L14:L18)</f>
        <v>4000</v>
      </c>
      <c r="M19" s="444"/>
      <c r="N19" s="381"/>
      <c r="O19" s="445" t="s">
        <v>546</v>
      </c>
      <c r="P19" s="446">
        <f t="shared" ref="P19:U19" si="0">G19</f>
        <v>748.62358057891743</v>
      </c>
      <c r="Q19" s="446">
        <f t="shared" si="0"/>
        <v>-16.8</v>
      </c>
      <c r="R19" s="446">
        <f t="shared" si="0"/>
        <v>0</v>
      </c>
      <c r="S19" s="446">
        <f t="shared" si="0"/>
        <v>3.3000000000000003</v>
      </c>
      <c r="T19" s="446">
        <f t="shared" si="0"/>
        <v>4000</v>
      </c>
      <c r="U19" s="447">
        <f t="shared" si="0"/>
        <v>4000</v>
      </c>
    </row>
    <row r="20" spans="2:21" s="429" customFormat="1" ht="15.95" customHeight="1" x14ac:dyDescent="0.2">
      <c r="B20" s="475"/>
      <c r="C20" s="419"/>
      <c r="D20" s="477"/>
      <c r="E20" s="419"/>
      <c r="F20" s="419"/>
      <c r="G20" s="419"/>
      <c r="H20" s="419"/>
      <c r="I20" s="419"/>
      <c r="J20" s="419"/>
      <c r="K20" s="419"/>
      <c r="L20" s="419"/>
      <c r="M20" s="476"/>
      <c r="N20" s="381"/>
      <c r="O20" s="426"/>
      <c r="P20" s="427"/>
      <c r="Q20" s="427"/>
      <c r="R20" s="427"/>
      <c r="S20" s="427"/>
      <c r="T20" s="427"/>
      <c r="U20" s="428"/>
    </row>
    <row r="21" spans="2:21" s="429" customFormat="1" ht="15.95" customHeight="1" x14ac:dyDescent="0.2">
      <c r="B21" s="463"/>
      <c r="C21" s="470" t="s">
        <v>544</v>
      </c>
      <c r="D21" s="478"/>
      <c r="E21" s="465"/>
      <c r="F21" s="466"/>
      <c r="G21" s="467"/>
      <c r="H21" s="468"/>
      <c r="I21" s="468"/>
      <c r="J21" s="468"/>
      <c r="K21" s="468"/>
      <c r="L21" s="468"/>
      <c r="M21" s="469"/>
      <c r="N21" s="454"/>
      <c r="O21" s="426"/>
      <c r="P21" s="427"/>
      <c r="Q21" s="427"/>
      <c r="R21" s="427"/>
      <c r="S21" s="427"/>
      <c r="T21" s="427"/>
      <c r="U21" s="428"/>
    </row>
    <row r="22" spans="2:21" s="429" customFormat="1" ht="15.95" customHeight="1" x14ac:dyDescent="0.2">
      <c r="B22" s="456"/>
      <c r="C22" s="448"/>
      <c r="D22" s="480"/>
      <c r="E22" s="449"/>
      <c r="F22" s="457"/>
      <c r="G22" s="458"/>
      <c r="H22" s="459"/>
      <c r="I22" s="459"/>
      <c r="J22" s="459"/>
      <c r="K22" s="459"/>
      <c r="L22" s="459"/>
      <c r="M22" s="460"/>
      <c r="N22" s="454"/>
      <c r="O22" s="426"/>
      <c r="P22" s="427"/>
      <c r="Q22" s="427"/>
      <c r="R22" s="427"/>
      <c r="S22" s="427"/>
      <c r="T22" s="427"/>
      <c r="U22" s="428"/>
    </row>
    <row r="23" spans="2:21" s="429" customFormat="1" ht="15.95" customHeight="1" x14ac:dyDescent="0.2">
      <c r="B23" s="82"/>
      <c r="C23" s="242" t="s">
        <v>458</v>
      </c>
      <c r="D23" s="484"/>
      <c r="E23" s="228"/>
      <c r="F23" s="242"/>
      <c r="G23" s="227"/>
      <c r="H23" s="227"/>
      <c r="I23" s="227"/>
      <c r="J23" s="227"/>
      <c r="K23" s="227"/>
      <c r="L23" s="227"/>
      <c r="M23" s="274"/>
      <c r="N23" s="454"/>
      <c r="O23" s="426"/>
      <c r="P23" s="427"/>
      <c r="Q23" s="427"/>
      <c r="R23" s="427"/>
      <c r="S23" s="427"/>
      <c r="T23" s="427"/>
      <c r="U23" s="428"/>
    </row>
    <row r="24" spans="2:21" s="429" customFormat="1" ht="15.95" customHeight="1" x14ac:dyDescent="0.2">
      <c r="B24" s="58" t="s">
        <v>306</v>
      </c>
      <c r="C24" s="56" t="s">
        <v>403</v>
      </c>
      <c r="D24" s="316">
        <v>0.5</v>
      </c>
      <c r="E24" s="218">
        <v>1</v>
      </c>
      <c r="F24" s="271">
        <f>7.2*(0.5*PI()*3.3^2+(12-3.3)*6.6)*$Q$3</f>
        <v>509.75764847176754</v>
      </c>
      <c r="G24" s="24">
        <f>E24*F24*D24</f>
        <v>254.87882423588377</v>
      </c>
      <c r="H24" s="16">
        <v>12.78</v>
      </c>
      <c r="I24" s="16">
        <v>23</v>
      </c>
      <c r="J24" s="16">
        <v>3.3</v>
      </c>
      <c r="K24" s="169">
        <v>1000</v>
      </c>
      <c r="L24" s="169">
        <v>1000</v>
      </c>
      <c r="M24" s="273" t="s">
        <v>407</v>
      </c>
      <c r="N24" s="454"/>
      <c r="O24" s="426"/>
      <c r="P24" s="427"/>
      <c r="Q24" s="427"/>
      <c r="R24" s="427"/>
      <c r="S24" s="427"/>
      <c r="T24" s="427"/>
      <c r="U24" s="428"/>
    </row>
    <row r="25" spans="2:21" s="429" customFormat="1" ht="15.95" customHeight="1" x14ac:dyDescent="0.2">
      <c r="B25" s="59"/>
      <c r="C25" s="56" t="s">
        <v>457</v>
      </c>
      <c r="D25" s="317"/>
      <c r="E25" s="310"/>
      <c r="F25" s="311"/>
      <c r="G25" s="24">
        <f>E25*F25*D25</f>
        <v>0</v>
      </c>
      <c r="H25" s="9"/>
      <c r="I25" s="9"/>
      <c r="J25" s="9"/>
      <c r="K25" s="311"/>
      <c r="L25" s="311"/>
      <c r="M25" s="276"/>
      <c r="N25" s="454"/>
      <c r="O25" s="426"/>
      <c r="P25" s="427"/>
      <c r="Q25" s="427"/>
      <c r="R25" s="427"/>
      <c r="S25" s="427"/>
      <c r="T25" s="427"/>
      <c r="U25" s="428"/>
    </row>
    <row r="26" spans="2:21" s="429" customFormat="1" ht="15.95" customHeight="1" thickBot="1" x14ac:dyDescent="0.25">
      <c r="B26" s="255"/>
      <c r="C26" s="252"/>
      <c r="D26" s="316"/>
      <c r="E26" s="256"/>
      <c r="F26" s="272"/>
      <c r="G26" s="253"/>
      <c r="H26" s="250"/>
      <c r="I26" s="250"/>
      <c r="J26" s="250"/>
      <c r="K26" s="250"/>
      <c r="L26" s="250"/>
      <c r="M26" s="276"/>
      <c r="N26" s="454"/>
      <c r="O26" s="426"/>
      <c r="P26" s="427"/>
      <c r="Q26" s="427"/>
      <c r="R26" s="427"/>
      <c r="S26" s="427"/>
      <c r="T26" s="427"/>
      <c r="U26" s="428"/>
    </row>
    <row r="27" spans="2:21" s="429" customFormat="1" ht="15.95" customHeight="1" thickTop="1" x14ac:dyDescent="0.2">
      <c r="B27" s="318"/>
      <c r="C27" s="319"/>
      <c r="D27" s="481"/>
      <c r="E27" s="321"/>
      <c r="F27" s="322" t="s">
        <v>33</v>
      </c>
      <c r="G27" s="323">
        <f>SUBTOTAL(9,G24:G26)</f>
        <v>254.87882423588377</v>
      </c>
      <c r="H27" s="324">
        <f>IF($G27=0,0,SUMPRODUCT($G24:$G26,H24:H26)/$G27)</f>
        <v>12.78</v>
      </c>
      <c r="I27" s="324">
        <f>IF($G27=0,0,SUMPRODUCT($G24:$G26,I24:I26)/$G27)</f>
        <v>23</v>
      </c>
      <c r="J27" s="324">
        <f>IF($G27=0,0,SUMPRODUCT($G24:$G26,J24:J26)/$G27)</f>
        <v>3.3</v>
      </c>
      <c r="K27" s="324">
        <f>SUBTOTAL(9,K24:K26)</f>
        <v>1000</v>
      </c>
      <c r="L27" s="324">
        <f>SUBTOTAL(9,L24:L26)</f>
        <v>1000</v>
      </c>
      <c r="M27" s="444"/>
      <c r="N27" s="381"/>
      <c r="O27" s="445" t="s">
        <v>533</v>
      </c>
      <c r="P27" s="446">
        <f t="shared" ref="P27:U27" si="1">G27</f>
        <v>254.87882423588377</v>
      </c>
      <c r="Q27" s="446">
        <f t="shared" si="1"/>
        <v>12.78</v>
      </c>
      <c r="R27" s="446">
        <f t="shared" si="1"/>
        <v>23</v>
      </c>
      <c r="S27" s="446">
        <f t="shared" si="1"/>
        <v>3.3</v>
      </c>
      <c r="T27" s="446">
        <f t="shared" si="1"/>
        <v>1000</v>
      </c>
      <c r="U27" s="447">
        <f t="shared" si="1"/>
        <v>1000</v>
      </c>
    </row>
    <row r="28" spans="2:21" ht="15.95" customHeight="1" x14ac:dyDescent="0.2">
      <c r="B28" s="243"/>
      <c r="C28" s="244"/>
      <c r="D28" s="482"/>
      <c r="E28" s="246"/>
      <c r="F28" s="279"/>
      <c r="G28" s="280"/>
      <c r="H28" s="281"/>
      <c r="I28" s="281"/>
      <c r="J28" s="281"/>
      <c r="K28" s="281"/>
      <c r="L28" s="281"/>
      <c r="M28" s="282"/>
    </row>
    <row r="29" spans="2:21" ht="15.95" customHeight="1" x14ac:dyDescent="0.2">
      <c r="B29" s="82"/>
      <c r="C29" s="242" t="s">
        <v>83</v>
      </c>
      <c r="D29" s="484"/>
      <c r="E29" s="228"/>
      <c r="F29" s="242"/>
      <c r="G29" s="227"/>
      <c r="H29" s="227"/>
      <c r="I29" s="227"/>
      <c r="J29" s="227"/>
      <c r="K29" s="227"/>
      <c r="L29" s="227"/>
      <c r="M29" s="274"/>
    </row>
    <row r="30" spans="2:21" ht="15.95" customHeight="1" x14ac:dyDescent="0.2">
      <c r="B30" s="58" t="s">
        <v>84</v>
      </c>
      <c r="C30" s="56" t="s">
        <v>466</v>
      </c>
      <c r="D30" s="316">
        <v>0.5</v>
      </c>
      <c r="E30" s="218">
        <v>0.8</v>
      </c>
      <c r="F30" s="271">
        <f>7.2*(0.5*PI()*3.3^2+(12-3.3)*6.6)*$Q$3</f>
        <v>509.75764847176754</v>
      </c>
      <c r="G30" s="24">
        <f>E30*F30*D30</f>
        <v>203.90305938870702</v>
      </c>
      <c r="H30" s="16">
        <v>29.32</v>
      </c>
      <c r="I30" s="16">
        <v>15.9</v>
      </c>
      <c r="J30" s="16">
        <v>3.3</v>
      </c>
      <c r="K30" s="169">
        <v>1000</v>
      </c>
      <c r="L30" s="169">
        <v>1000</v>
      </c>
      <c r="M30" s="273" t="s">
        <v>501</v>
      </c>
    </row>
    <row r="31" spans="2:21" ht="15.95" customHeight="1" x14ac:dyDescent="0.2">
      <c r="B31" s="59"/>
      <c r="C31" s="56" t="s">
        <v>457</v>
      </c>
      <c r="D31" s="317"/>
      <c r="E31" s="218"/>
      <c r="F31" s="271"/>
      <c r="G31" s="24">
        <f>E31*F31*D31</f>
        <v>0</v>
      </c>
      <c r="H31" s="16"/>
      <c r="I31" s="16"/>
      <c r="J31" s="16"/>
      <c r="K31" s="169"/>
      <c r="L31" s="169"/>
      <c r="M31" s="273"/>
    </row>
    <row r="32" spans="2:21" ht="15.95" customHeight="1" thickBot="1" x14ac:dyDescent="0.25">
      <c r="B32" s="255"/>
      <c r="C32" s="252"/>
      <c r="D32" s="316"/>
      <c r="E32" s="256"/>
      <c r="F32" s="272"/>
      <c r="G32" s="253"/>
      <c r="H32" s="250"/>
      <c r="I32" s="250"/>
      <c r="J32" s="250"/>
      <c r="K32" s="250"/>
      <c r="L32" s="272"/>
      <c r="M32" s="276"/>
    </row>
    <row r="33" spans="2:21" ht="15.95" customHeight="1" thickTop="1" x14ac:dyDescent="0.2">
      <c r="B33" s="318"/>
      <c r="C33" s="319"/>
      <c r="D33" s="481"/>
      <c r="E33" s="321"/>
      <c r="F33" s="322" t="s">
        <v>33</v>
      </c>
      <c r="G33" s="323">
        <f>SUBTOTAL(9,G30:G32)</f>
        <v>203.90305938870702</v>
      </c>
      <c r="H33" s="324">
        <f>IF($G33=0,0,SUMPRODUCT($G30:$G32,H30:H32)/$G33)</f>
        <v>29.32</v>
      </c>
      <c r="I33" s="324">
        <f>IF($G33=0,0,SUMPRODUCT($G30:$G32,I30:I32)/$G33)</f>
        <v>15.899999999999999</v>
      </c>
      <c r="J33" s="324">
        <f>IF($G33=0,0,SUMPRODUCT($G30:$G32,J30:J32)/$G33)</f>
        <v>3.3</v>
      </c>
      <c r="K33" s="324">
        <f>SUBTOTAL(9,K30:K32)</f>
        <v>1000</v>
      </c>
      <c r="L33" s="324">
        <f>SUBTOTAL(9,L30:L32)</f>
        <v>1000</v>
      </c>
      <c r="M33" s="444"/>
      <c r="O33" s="445" t="s">
        <v>543</v>
      </c>
      <c r="P33" s="446">
        <f t="shared" ref="P33:U33" si="2">G33</f>
        <v>203.90305938870702</v>
      </c>
      <c r="Q33" s="446">
        <f t="shared" si="2"/>
        <v>29.32</v>
      </c>
      <c r="R33" s="446">
        <f t="shared" si="2"/>
        <v>15.899999999999999</v>
      </c>
      <c r="S33" s="446">
        <f t="shared" si="2"/>
        <v>3.3</v>
      </c>
      <c r="T33" s="446">
        <f t="shared" si="2"/>
        <v>1000</v>
      </c>
      <c r="U33" s="447">
        <f t="shared" si="2"/>
        <v>1000</v>
      </c>
    </row>
    <row r="34" spans="2:21" ht="15.95" customHeight="1" x14ac:dyDescent="0.2">
      <c r="B34" s="475"/>
      <c r="C34" s="419"/>
      <c r="D34" s="477"/>
      <c r="E34" s="419"/>
      <c r="F34" s="419"/>
      <c r="G34" s="419"/>
      <c r="H34" s="419"/>
      <c r="I34" s="419"/>
      <c r="J34" s="419"/>
      <c r="K34" s="419"/>
      <c r="L34" s="419"/>
      <c r="M34" s="476"/>
    </row>
    <row r="35" spans="2:21" ht="15.95" customHeight="1" x14ac:dyDescent="0.2">
      <c r="B35" s="463"/>
      <c r="C35" s="470" t="s">
        <v>545</v>
      </c>
      <c r="D35" s="478"/>
      <c r="E35" s="465"/>
      <c r="F35" s="466"/>
      <c r="G35" s="467"/>
      <c r="H35" s="468"/>
      <c r="I35" s="468"/>
      <c r="J35" s="468"/>
      <c r="K35" s="468"/>
      <c r="L35" s="468"/>
      <c r="M35" s="469"/>
    </row>
    <row r="36" spans="2:21" ht="15.95" customHeight="1" x14ac:dyDescent="0.2">
      <c r="B36" s="456"/>
      <c r="C36" s="448"/>
      <c r="D36" s="480"/>
      <c r="E36" s="449"/>
      <c r="F36" s="457"/>
      <c r="G36" s="458"/>
      <c r="H36" s="459"/>
      <c r="I36" s="459"/>
      <c r="J36" s="459"/>
      <c r="K36" s="459"/>
      <c r="L36" s="459"/>
      <c r="M36" s="460"/>
    </row>
    <row r="37" spans="2:21" ht="15.95" customHeight="1" x14ac:dyDescent="0.2">
      <c r="B37" s="82"/>
      <c r="C37" s="242" t="s">
        <v>458</v>
      </c>
      <c r="D37" s="484"/>
      <c r="E37" s="228"/>
      <c r="F37" s="242"/>
      <c r="G37" s="227"/>
      <c r="H37" s="227"/>
      <c r="I37" s="227"/>
      <c r="J37" s="227"/>
      <c r="K37" s="227"/>
      <c r="L37" s="227"/>
      <c r="M37" s="274"/>
    </row>
    <row r="38" spans="2:21" ht="15.95" customHeight="1" x14ac:dyDescent="0.2">
      <c r="B38" s="59" t="s">
        <v>307</v>
      </c>
      <c r="C38" s="29" t="s">
        <v>402</v>
      </c>
      <c r="D38" s="317">
        <v>0.5</v>
      </c>
      <c r="E38" s="218">
        <v>1</v>
      </c>
      <c r="F38" s="271">
        <f>7.2*(0.5*PI()*3.3^2+(12-3.3)*6.6)*$Q$3</f>
        <v>509.75764847176754</v>
      </c>
      <c r="G38" s="24">
        <f>E38*F38*D38</f>
        <v>254.87882423588377</v>
      </c>
      <c r="H38" s="16">
        <v>12.78</v>
      </c>
      <c r="I38" s="16">
        <v>-23</v>
      </c>
      <c r="J38" s="16">
        <v>3.3</v>
      </c>
      <c r="K38" s="169">
        <v>1000</v>
      </c>
      <c r="L38" s="169">
        <v>1000</v>
      </c>
      <c r="M38" s="273" t="s">
        <v>407</v>
      </c>
    </row>
    <row r="39" spans="2:21" ht="15.95" customHeight="1" x14ac:dyDescent="0.2">
      <c r="B39" s="59"/>
      <c r="C39" s="56" t="s">
        <v>457</v>
      </c>
      <c r="D39" s="317"/>
      <c r="E39" s="310"/>
      <c r="F39" s="311"/>
      <c r="G39" s="24">
        <f>E39*F39*D39</f>
        <v>0</v>
      </c>
      <c r="H39" s="9"/>
      <c r="I39" s="9"/>
      <c r="J39" s="9"/>
      <c r="K39" s="311"/>
      <c r="L39" s="311"/>
      <c r="M39" s="276"/>
    </row>
    <row r="40" spans="2:21" ht="15.95" customHeight="1" thickBot="1" x14ac:dyDescent="0.25">
      <c r="B40" s="255"/>
      <c r="C40" s="252"/>
      <c r="D40" s="316"/>
      <c r="E40" s="256"/>
      <c r="F40" s="272"/>
      <c r="G40" s="253"/>
      <c r="H40" s="250"/>
      <c r="I40" s="250"/>
      <c r="J40" s="250"/>
      <c r="K40" s="250"/>
      <c r="L40" s="250"/>
      <c r="M40" s="276"/>
    </row>
    <row r="41" spans="2:21" ht="15.95" customHeight="1" thickTop="1" x14ac:dyDescent="0.2">
      <c r="B41" s="318"/>
      <c r="C41" s="319"/>
      <c r="D41" s="481"/>
      <c r="E41" s="321"/>
      <c r="F41" s="322" t="s">
        <v>33</v>
      </c>
      <c r="G41" s="323">
        <f>SUBTOTAL(9,G38:G40)</f>
        <v>254.87882423588377</v>
      </c>
      <c r="H41" s="324">
        <f>IF($G41=0,0,SUMPRODUCT($G38:$G40,H38:H40)/$G41)</f>
        <v>12.78</v>
      </c>
      <c r="I41" s="324">
        <f>IF($G41=0,0,SUMPRODUCT($G38:$G40,I38:I40)/$G41)</f>
        <v>-23</v>
      </c>
      <c r="J41" s="324">
        <f>IF($G41=0,0,SUMPRODUCT($G38:$G40,J38:J40)/$G41)</f>
        <v>3.3</v>
      </c>
      <c r="K41" s="324">
        <f>SUBTOTAL(9,K38:K40)</f>
        <v>1000</v>
      </c>
      <c r="L41" s="324">
        <f>SUBTOTAL(9,L38:L40)</f>
        <v>1000</v>
      </c>
      <c r="M41" s="444"/>
      <c r="O41" s="445" t="s">
        <v>547</v>
      </c>
      <c r="P41" s="446">
        <f t="shared" ref="P41:U41" si="3">G41</f>
        <v>254.87882423588377</v>
      </c>
      <c r="Q41" s="446">
        <f t="shared" si="3"/>
        <v>12.78</v>
      </c>
      <c r="R41" s="446">
        <f t="shared" si="3"/>
        <v>-23</v>
      </c>
      <c r="S41" s="446">
        <f t="shared" si="3"/>
        <v>3.3</v>
      </c>
      <c r="T41" s="446">
        <f t="shared" si="3"/>
        <v>1000</v>
      </c>
      <c r="U41" s="447">
        <f t="shared" si="3"/>
        <v>1000</v>
      </c>
    </row>
    <row r="42" spans="2:21" ht="15.95" customHeight="1" x14ac:dyDescent="0.2">
      <c r="E42" s="452"/>
      <c r="G42" s="451"/>
      <c r="M42" s="453"/>
    </row>
    <row r="43" spans="2:21" ht="15.95" customHeight="1" x14ac:dyDescent="0.2">
      <c r="E43" s="452"/>
      <c r="G43" s="451"/>
      <c r="M43" s="453"/>
    </row>
    <row r="44" spans="2:21" ht="15.95" customHeight="1" x14ac:dyDescent="0.2">
      <c r="E44" s="452"/>
      <c r="G44" s="451"/>
      <c r="M44" s="453"/>
    </row>
    <row r="45" spans="2:21" ht="15.95" customHeight="1" x14ac:dyDescent="0.2">
      <c r="E45" s="452"/>
      <c r="G45" s="451"/>
      <c r="M45" s="453"/>
    </row>
    <row r="46" spans="2:21" ht="15.95" customHeight="1" x14ac:dyDescent="0.2">
      <c r="E46" s="452"/>
      <c r="G46" s="451"/>
      <c r="M46" s="453"/>
    </row>
    <row r="47" spans="2:21" ht="15.95" customHeight="1" x14ac:dyDescent="0.2">
      <c r="E47" s="452"/>
      <c r="G47" s="451"/>
      <c r="M47" s="453"/>
    </row>
    <row r="48" spans="2:21" ht="15.95" customHeight="1" x14ac:dyDescent="0.2">
      <c r="E48" s="452"/>
      <c r="G48" s="451"/>
      <c r="M48" s="453"/>
    </row>
    <row r="49" spans="5:13" ht="15.95" customHeight="1" x14ac:dyDescent="0.2">
      <c r="E49" s="452"/>
      <c r="G49" s="451"/>
      <c r="M49" s="453"/>
    </row>
    <row r="50" spans="5:13" ht="15.95" customHeight="1" x14ac:dyDescent="0.2">
      <c r="E50" s="452"/>
      <c r="G50" s="451"/>
      <c r="M50" s="453"/>
    </row>
    <row r="51" spans="5:13" ht="15.95" customHeight="1" x14ac:dyDescent="0.2">
      <c r="E51" s="452"/>
      <c r="G51" s="451"/>
      <c r="M51" s="453"/>
    </row>
    <row r="52" spans="5:13" ht="15.95" customHeight="1" x14ac:dyDescent="0.2">
      <c r="E52" s="452"/>
      <c r="G52" s="451"/>
      <c r="M52" s="453"/>
    </row>
    <row r="53" spans="5:13" ht="15.95" customHeight="1" x14ac:dyDescent="0.2">
      <c r="E53" s="452"/>
      <c r="G53" s="451"/>
      <c r="M53" s="453"/>
    </row>
    <row r="54" spans="5:13" ht="15.95" customHeight="1" x14ac:dyDescent="0.2">
      <c r="E54" s="452"/>
      <c r="G54" s="451"/>
      <c r="M54" s="453"/>
    </row>
    <row r="55" spans="5:13" ht="15.95" customHeight="1" x14ac:dyDescent="0.2">
      <c r="E55" s="452"/>
      <c r="G55" s="451"/>
      <c r="M55" s="453"/>
    </row>
    <row r="56" spans="5:13" ht="15.95" customHeight="1" x14ac:dyDescent="0.2">
      <c r="E56" s="452"/>
      <c r="G56" s="451"/>
      <c r="M56" s="453"/>
    </row>
    <row r="57" spans="5:13" ht="15.95" customHeight="1" x14ac:dyDescent="0.2">
      <c r="E57" s="452"/>
      <c r="G57" s="451"/>
      <c r="M57" s="453"/>
    </row>
    <row r="58" spans="5:13" ht="15.95" customHeight="1" x14ac:dyDescent="0.2">
      <c r="E58" s="452"/>
      <c r="G58" s="451"/>
      <c r="M58" s="453"/>
    </row>
    <row r="59" spans="5:13" ht="15.95" customHeight="1" x14ac:dyDescent="0.2">
      <c r="E59" s="452"/>
      <c r="G59" s="451"/>
      <c r="M59" s="453"/>
    </row>
    <row r="60" spans="5:13" ht="15.95" customHeight="1" x14ac:dyDescent="0.2">
      <c r="E60" s="452"/>
      <c r="G60" s="451"/>
      <c r="M60" s="453"/>
    </row>
    <row r="61" spans="5:13" ht="15.95" customHeight="1" x14ac:dyDescent="0.2">
      <c r="E61" s="452"/>
      <c r="G61" s="451"/>
      <c r="M61" s="453"/>
    </row>
    <row r="62" spans="5:13" ht="15.95" customHeight="1" x14ac:dyDescent="0.2">
      <c r="E62" s="452"/>
      <c r="G62" s="451"/>
      <c r="M62" s="453"/>
    </row>
    <row r="63" spans="5:13" ht="15.95" customHeight="1" x14ac:dyDescent="0.2">
      <c r="E63" s="452"/>
      <c r="G63" s="451"/>
      <c r="M63" s="453"/>
    </row>
    <row r="64" spans="5:13" ht="15.95" customHeight="1" x14ac:dyDescent="0.2">
      <c r="E64" s="452"/>
      <c r="G64" s="451"/>
      <c r="M64" s="453"/>
    </row>
    <row r="65" spans="5:13" ht="15.95" customHeight="1" x14ac:dyDescent="0.2">
      <c r="E65" s="452"/>
      <c r="G65" s="451"/>
      <c r="M65" s="453"/>
    </row>
    <row r="66" spans="5:13" ht="15.95" customHeight="1" x14ac:dyDescent="0.2">
      <c r="E66" s="452"/>
      <c r="G66" s="451"/>
      <c r="M66" s="453"/>
    </row>
    <row r="67" spans="5:13" ht="15.95" customHeight="1" x14ac:dyDescent="0.2">
      <c r="E67" s="452"/>
      <c r="G67" s="451"/>
      <c r="M67" s="453"/>
    </row>
    <row r="68" spans="5:13" ht="15.95" customHeight="1" x14ac:dyDescent="0.2">
      <c r="E68" s="452"/>
      <c r="G68" s="451"/>
      <c r="M68" s="453"/>
    </row>
    <row r="69" spans="5:13" ht="15.95" customHeight="1" x14ac:dyDescent="0.2">
      <c r="E69" s="452"/>
      <c r="G69" s="451"/>
      <c r="M69" s="453"/>
    </row>
    <row r="70" spans="5:13" ht="15.95" customHeight="1" x14ac:dyDescent="0.2">
      <c r="E70" s="452"/>
      <c r="G70" s="451"/>
      <c r="M70" s="453"/>
    </row>
    <row r="71" spans="5:13" ht="15.95" customHeight="1" x14ac:dyDescent="0.2">
      <c r="E71" s="452"/>
      <c r="G71" s="451"/>
      <c r="M71" s="453"/>
    </row>
    <row r="72" spans="5:13" ht="15.95" customHeight="1" x14ac:dyDescent="0.2">
      <c r="E72" s="452"/>
      <c r="G72" s="451"/>
      <c r="M72" s="453"/>
    </row>
    <row r="73" spans="5:13" ht="15.95" customHeight="1" x14ac:dyDescent="0.2">
      <c r="E73" s="452"/>
      <c r="G73" s="451"/>
      <c r="M73" s="453"/>
    </row>
    <row r="74" spans="5:13" ht="15.95" customHeight="1" x14ac:dyDescent="0.2">
      <c r="E74" s="452"/>
      <c r="G74" s="451"/>
      <c r="M74" s="453"/>
    </row>
    <row r="75" spans="5:13" ht="15.95" customHeight="1" x14ac:dyDescent="0.2">
      <c r="E75" s="452"/>
      <c r="G75" s="451"/>
      <c r="M75" s="453"/>
    </row>
    <row r="76" spans="5:13" ht="15.95" customHeight="1" x14ac:dyDescent="0.2">
      <c r="E76" s="452"/>
      <c r="G76" s="451"/>
      <c r="M76" s="453"/>
    </row>
    <row r="77" spans="5:13" ht="15.95" customHeight="1" x14ac:dyDescent="0.2">
      <c r="E77" s="452"/>
      <c r="G77" s="451"/>
      <c r="M77" s="453"/>
    </row>
    <row r="78" spans="5:13" ht="15.95" customHeight="1" x14ac:dyDescent="0.2">
      <c r="E78" s="452"/>
      <c r="G78" s="451"/>
      <c r="M78" s="453"/>
    </row>
    <row r="79" spans="5:13" ht="15.95" customHeight="1" x14ac:dyDescent="0.2">
      <c r="E79" s="452"/>
      <c r="G79" s="451"/>
      <c r="M79" s="453"/>
    </row>
    <row r="80" spans="5:13" ht="15.95" customHeight="1" x14ac:dyDescent="0.2">
      <c r="E80" s="452"/>
      <c r="G80" s="451"/>
      <c r="M80" s="453"/>
    </row>
    <row r="81" spans="5:13" ht="15.95" customHeight="1" x14ac:dyDescent="0.2">
      <c r="E81" s="452"/>
      <c r="G81" s="451"/>
      <c r="M81" s="453"/>
    </row>
    <row r="82" spans="5:13" ht="15.95" customHeight="1" x14ac:dyDescent="0.2">
      <c r="E82" s="452"/>
      <c r="G82" s="451"/>
      <c r="M82" s="453"/>
    </row>
    <row r="83" spans="5:13" ht="15.95" customHeight="1" x14ac:dyDescent="0.2">
      <c r="E83" s="452"/>
      <c r="G83" s="451"/>
      <c r="M83" s="453"/>
    </row>
    <row r="84" spans="5:13" ht="15.95" customHeight="1" x14ac:dyDescent="0.2">
      <c r="E84" s="452"/>
      <c r="G84" s="451"/>
      <c r="M84" s="453"/>
    </row>
    <row r="85" spans="5:13" ht="15.95" customHeight="1" x14ac:dyDescent="0.2">
      <c r="E85" s="452"/>
      <c r="G85" s="451"/>
      <c r="M85" s="453"/>
    </row>
    <row r="86" spans="5:13" ht="15.95" customHeight="1" x14ac:dyDescent="0.2">
      <c r="E86" s="452"/>
      <c r="G86" s="451"/>
      <c r="M86" s="453"/>
    </row>
    <row r="87" spans="5:13" ht="15.95" customHeight="1" x14ac:dyDescent="0.2">
      <c r="E87" s="452"/>
      <c r="G87" s="451"/>
      <c r="M87" s="453"/>
    </row>
    <row r="88" spans="5:13" ht="15.95" customHeight="1" x14ac:dyDescent="0.2">
      <c r="E88" s="452"/>
      <c r="G88" s="451"/>
      <c r="M88" s="453"/>
    </row>
    <row r="89" spans="5:13" ht="15.95" customHeight="1" x14ac:dyDescent="0.2">
      <c r="E89" s="452"/>
      <c r="G89" s="451"/>
      <c r="M89" s="453"/>
    </row>
    <row r="90" spans="5:13" ht="15.95" customHeight="1" x14ac:dyDescent="0.2">
      <c r="E90" s="452"/>
      <c r="G90" s="451"/>
      <c r="M90" s="453"/>
    </row>
    <row r="91" spans="5:13" ht="15.95" customHeight="1" x14ac:dyDescent="0.2">
      <c r="E91" s="452"/>
      <c r="G91" s="451"/>
      <c r="M91" s="453"/>
    </row>
    <row r="92" spans="5:13" ht="15.95" customHeight="1" x14ac:dyDescent="0.2">
      <c r="E92" s="452"/>
      <c r="G92" s="451"/>
      <c r="M92" s="453"/>
    </row>
    <row r="93" spans="5:13" ht="15.95" customHeight="1" x14ac:dyDescent="0.2">
      <c r="E93" s="452"/>
      <c r="G93" s="451"/>
      <c r="M93" s="453"/>
    </row>
    <row r="94" spans="5:13" ht="15.95" customHeight="1" x14ac:dyDescent="0.2">
      <c r="E94" s="452"/>
      <c r="G94" s="451"/>
      <c r="M94" s="453"/>
    </row>
    <row r="95" spans="5:13" ht="15.95" customHeight="1" x14ac:dyDescent="0.2">
      <c r="E95" s="452"/>
      <c r="G95" s="451"/>
      <c r="M95" s="453"/>
    </row>
    <row r="96" spans="5:13" ht="15.95" customHeight="1" x14ac:dyDescent="0.2">
      <c r="E96" s="452"/>
      <c r="G96" s="451"/>
      <c r="M96" s="453"/>
    </row>
    <row r="97" spans="5:13" ht="15.95" customHeight="1" x14ac:dyDescent="0.2">
      <c r="E97" s="452"/>
      <c r="G97" s="451"/>
      <c r="M97" s="453"/>
    </row>
    <row r="98" spans="5:13" ht="15.95" customHeight="1" x14ac:dyDescent="0.2">
      <c r="E98" s="452"/>
      <c r="G98" s="451"/>
      <c r="M98" s="453"/>
    </row>
    <row r="99" spans="5:13" ht="15.95" customHeight="1" x14ac:dyDescent="0.2">
      <c r="E99" s="452"/>
      <c r="G99" s="451"/>
      <c r="M99" s="453"/>
    </row>
    <row r="100" spans="5:13" ht="15.95" customHeight="1" x14ac:dyDescent="0.2">
      <c r="E100" s="452"/>
      <c r="G100" s="451"/>
      <c r="M100" s="453"/>
    </row>
    <row r="101" spans="5:13" ht="15.95" customHeight="1" x14ac:dyDescent="0.2">
      <c r="E101" s="452"/>
      <c r="G101" s="451"/>
      <c r="M101" s="453"/>
    </row>
    <row r="102" spans="5:13" ht="15.95" customHeight="1" x14ac:dyDescent="0.2">
      <c r="E102" s="452"/>
      <c r="G102" s="451"/>
      <c r="M102" s="453"/>
    </row>
    <row r="103" spans="5:13" ht="15.95" customHeight="1" x14ac:dyDescent="0.2">
      <c r="E103" s="452"/>
      <c r="G103" s="451"/>
      <c r="M103" s="453"/>
    </row>
    <row r="104" spans="5:13" ht="15.95" customHeight="1" x14ac:dyDescent="0.2">
      <c r="E104" s="452"/>
      <c r="G104" s="451"/>
      <c r="M104" s="453"/>
    </row>
    <row r="105" spans="5:13" ht="15.95" customHeight="1" x14ac:dyDescent="0.2">
      <c r="E105" s="452"/>
      <c r="G105" s="451"/>
      <c r="M105" s="453"/>
    </row>
    <row r="106" spans="5:13" ht="15.95" customHeight="1" x14ac:dyDescent="0.2">
      <c r="E106" s="452"/>
      <c r="G106" s="451"/>
      <c r="M106" s="453"/>
    </row>
    <row r="107" spans="5:13" ht="15.95" customHeight="1" x14ac:dyDescent="0.2">
      <c r="E107" s="452"/>
      <c r="G107" s="451"/>
      <c r="M107" s="453"/>
    </row>
    <row r="108" spans="5:13" ht="15.95" customHeight="1" x14ac:dyDescent="0.2">
      <c r="E108" s="452"/>
      <c r="G108" s="451"/>
      <c r="M108" s="453"/>
    </row>
    <row r="109" spans="5:13" ht="15.95" customHeight="1" x14ac:dyDescent="0.2">
      <c r="E109" s="452"/>
      <c r="G109" s="451"/>
      <c r="M109" s="453"/>
    </row>
    <row r="110" spans="5:13" ht="15.95" customHeight="1" x14ac:dyDescent="0.2">
      <c r="E110" s="452"/>
      <c r="G110" s="451"/>
      <c r="M110" s="453"/>
    </row>
    <row r="111" spans="5:13" ht="15.95" customHeight="1" x14ac:dyDescent="0.2">
      <c r="E111" s="452"/>
      <c r="G111" s="451"/>
      <c r="M111" s="453"/>
    </row>
    <row r="112" spans="5:13" ht="15.95" customHeight="1" x14ac:dyDescent="0.2"/>
    <row r="113" ht="15.95" customHeight="1" x14ac:dyDescent="0.2"/>
    <row r="114" ht="15.95" customHeight="1" x14ac:dyDescent="0.2"/>
    <row r="115" ht="15.95" customHeight="1" x14ac:dyDescent="0.2"/>
    <row r="116" ht="15.95" customHeight="1" x14ac:dyDescent="0.2"/>
    <row r="117" ht="15.95" customHeight="1" x14ac:dyDescent="0.2"/>
    <row r="118" ht="15.95" customHeight="1" x14ac:dyDescent="0.2"/>
    <row r="119" ht="15.95" customHeight="1" x14ac:dyDescent="0.2"/>
    <row r="120" ht="15.95" customHeight="1" x14ac:dyDescent="0.2"/>
    <row r="121" ht="15.95" customHeight="1" x14ac:dyDescent="0.2"/>
    <row r="122" ht="15.95" customHeight="1" x14ac:dyDescent="0.2"/>
    <row r="123" ht="15.95" customHeight="1" x14ac:dyDescent="0.2"/>
    <row r="124" ht="15.95" customHeight="1" x14ac:dyDescent="0.2"/>
    <row r="125" ht="15.95" customHeight="1" x14ac:dyDescent="0.2"/>
    <row r="126" ht="15.95" customHeight="1" x14ac:dyDescent="0.2"/>
    <row r="127" ht="15.95" customHeight="1" x14ac:dyDescent="0.2"/>
    <row r="128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  <row r="693" ht="15.95" customHeight="1" x14ac:dyDescent="0.2"/>
    <row r="694" ht="15.95" customHeight="1" x14ac:dyDescent="0.2"/>
    <row r="695" ht="15.95" customHeight="1" x14ac:dyDescent="0.2"/>
    <row r="696" ht="15.95" customHeight="1" x14ac:dyDescent="0.2"/>
    <row r="697" ht="15.95" customHeight="1" x14ac:dyDescent="0.2"/>
    <row r="698" ht="15.95" customHeight="1" x14ac:dyDescent="0.2"/>
    <row r="699" ht="15.95" customHeight="1" x14ac:dyDescent="0.2"/>
    <row r="700" ht="15.95" customHeight="1" x14ac:dyDescent="0.2"/>
  </sheetData>
  <dataConsolidate/>
  <mergeCells count="15">
    <mergeCell ref="J7:J8"/>
    <mergeCell ref="K7:K8"/>
    <mergeCell ref="L7:L8"/>
    <mergeCell ref="M7:M9"/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I7:I8"/>
  </mergeCells>
  <conditionalFormatting sqref="E41 E33 E27:E28 E24:F26 E30:F32 E38:F40">
    <cfRule type="expression" dxfId="6" priority="1" stopIfTrue="1">
      <formula>#REF!="B"</formula>
    </cfRule>
  </conditionalFormatting>
  <conditionalFormatting sqref="E35:E36 E19 E21:E22 E11:E12 E14:F18">
    <cfRule type="expression" dxfId="5" priority="2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B1:U624"/>
  <sheetViews>
    <sheetView topLeftCell="B1" zoomScale="85" zoomScaleNormal="85" zoomScaleSheetLayoutView="85" workbookViewId="0">
      <pane ySplit="10" topLeftCell="A29" activePane="bottomLeft" state="frozen"/>
      <selection activeCell="K48" sqref="K48"/>
      <selection pane="bottomLeft" activeCell="M53" sqref="M53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451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379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529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40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0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38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1"/>
      <c r="G8" s="611"/>
      <c r="H8" s="611"/>
      <c r="I8" s="611"/>
      <c r="J8" s="611"/>
      <c r="K8" s="611"/>
      <c r="L8" s="611"/>
      <c r="M8" s="639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416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40"/>
      <c r="O9" s="417"/>
    </row>
    <row r="10" spans="2:21" ht="15.95" customHeight="1" thickTop="1" x14ac:dyDescent="0.2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20"/>
    </row>
    <row r="11" spans="2:21" ht="15.95" customHeight="1" x14ac:dyDescent="0.2">
      <c r="B11" s="463"/>
      <c r="C11" s="470" t="s">
        <v>548</v>
      </c>
      <c r="D11" s="464"/>
      <c r="E11" s="465"/>
      <c r="F11" s="466"/>
      <c r="G11" s="467"/>
      <c r="H11" s="468"/>
      <c r="I11" s="468"/>
      <c r="J11" s="468"/>
      <c r="K11" s="468"/>
      <c r="L11" s="468"/>
      <c r="M11" s="469"/>
    </row>
    <row r="12" spans="2:21" ht="15.95" customHeight="1" x14ac:dyDescent="0.2">
      <c r="B12" s="243"/>
      <c r="C12" s="244"/>
      <c r="D12" s="245"/>
      <c r="E12" s="246"/>
      <c r="F12" s="279"/>
      <c r="G12" s="280"/>
      <c r="H12" s="281"/>
      <c r="I12" s="281"/>
      <c r="J12" s="281"/>
      <c r="K12" s="281"/>
      <c r="L12" s="281"/>
      <c r="M12" s="282"/>
    </row>
    <row r="13" spans="2:21" ht="15.95" customHeight="1" x14ac:dyDescent="0.2">
      <c r="B13" s="82"/>
      <c r="C13" s="242" t="s">
        <v>460</v>
      </c>
      <c r="D13" s="227"/>
      <c r="E13" s="228"/>
      <c r="F13" s="242"/>
      <c r="G13" s="227"/>
      <c r="H13" s="227"/>
      <c r="I13" s="227"/>
      <c r="J13" s="227"/>
      <c r="K13" s="227"/>
      <c r="L13" s="227"/>
      <c r="M13" s="274"/>
    </row>
    <row r="14" spans="2:21" ht="15.95" customHeight="1" x14ac:dyDescent="0.2">
      <c r="B14" s="58" t="s">
        <v>321</v>
      </c>
      <c r="C14" s="56" t="s">
        <v>429</v>
      </c>
      <c r="D14" s="316">
        <v>0.5</v>
      </c>
      <c r="E14" s="309">
        <v>1.73</v>
      </c>
      <c r="F14" s="271">
        <f>8.1*7.2*4.5*$Q$3</f>
        <v>249.31799999999998</v>
      </c>
      <c r="G14" s="24">
        <f>+E14*F14*D14</f>
        <v>215.66006999999999</v>
      </c>
      <c r="H14" s="16">
        <v>-26.55</v>
      </c>
      <c r="I14" s="16">
        <v>28.2</v>
      </c>
      <c r="J14" s="16">
        <v>3.3</v>
      </c>
      <c r="K14" s="16">
        <v>4</v>
      </c>
      <c r="L14" s="16">
        <v>5</v>
      </c>
      <c r="M14" s="312"/>
    </row>
    <row r="15" spans="2:21" ht="15.95" customHeight="1" x14ac:dyDescent="0.2">
      <c r="B15" s="59" t="s">
        <v>322</v>
      </c>
      <c r="C15" s="56" t="s">
        <v>429</v>
      </c>
      <c r="D15" s="317">
        <v>0.5</v>
      </c>
      <c r="E15" s="310">
        <v>1.73</v>
      </c>
      <c r="F15" s="271">
        <f>8.1*5.4*4.5*$Q$3</f>
        <v>186.98850000000002</v>
      </c>
      <c r="G15" s="24">
        <f>+E15*F15*D15</f>
        <v>161.74505250000001</v>
      </c>
      <c r="H15" s="9">
        <v>-26.55</v>
      </c>
      <c r="I15" s="9">
        <v>36.6</v>
      </c>
      <c r="J15" s="9">
        <v>3.3</v>
      </c>
      <c r="K15" s="9">
        <v>4</v>
      </c>
      <c r="L15" s="9">
        <v>5</v>
      </c>
      <c r="M15" s="313"/>
    </row>
    <row r="16" spans="2:21" ht="15.95" customHeight="1" thickBot="1" x14ac:dyDescent="0.25">
      <c r="B16" s="255"/>
      <c r="C16" s="252"/>
      <c r="D16" s="316"/>
      <c r="E16" s="256"/>
      <c r="F16" s="272"/>
      <c r="G16" s="253"/>
      <c r="H16" s="250"/>
      <c r="I16" s="250"/>
      <c r="J16" s="250"/>
      <c r="K16" s="250"/>
      <c r="L16" s="250"/>
      <c r="M16" s="276"/>
    </row>
    <row r="17" spans="2:21" ht="15.95" customHeight="1" thickTop="1" x14ac:dyDescent="0.2">
      <c r="B17" s="318"/>
      <c r="C17" s="319"/>
      <c r="D17" s="320"/>
      <c r="E17" s="321"/>
      <c r="F17" s="322" t="s">
        <v>33</v>
      </c>
      <c r="G17" s="323">
        <f>SUBTOTAL(9,G14:G16)</f>
        <v>377.4051225</v>
      </c>
      <c r="H17" s="324">
        <f>IF($G17=0,0,SUMPRODUCT($G14:$G16,H14:H16)/$G17)</f>
        <v>-26.549999999999997</v>
      </c>
      <c r="I17" s="324">
        <f>IF($G17=0,0,SUMPRODUCT($G14:$G16,I14:I16)/$G17)</f>
        <v>31.800000000000004</v>
      </c>
      <c r="J17" s="324">
        <f>IF($G17=0,0,SUMPRODUCT($G14:$G16,J14:J16)/$G17)</f>
        <v>3.3</v>
      </c>
      <c r="K17" s="324">
        <f>SUBTOTAL(9,K14:K16)</f>
        <v>8</v>
      </c>
      <c r="L17" s="324">
        <f>SUBTOTAL(9,L14:L16)</f>
        <v>10</v>
      </c>
      <c r="M17" s="444"/>
      <c r="O17" s="445" t="s">
        <v>551</v>
      </c>
      <c r="P17" s="446">
        <f t="shared" ref="P17:U17" si="0">G17</f>
        <v>377.4051225</v>
      </c>
      <c r="Q17" s="446">
        <f t="shared" si="0"/>
        <v>-26.549999999999997</v>
      </c>
      <c r="R17" s="446">
        <f t="shared" si="0"/>
        <v>31.800000000000004</v>
      </c>
      <c r="S17" s="446">
        <f t="shared" si="0"/>
        <v>3.3</v>
      </c>
      <c r="T17" s="446">
        <f t="shared" si="0"/>
        <v>8</v>
      </c>
      <c r="U17" s="447">
        <f t="shared" si="0"/>
        <v>10</v>
      </c>
    </row>
    <row r="18" spans="2:21" ht="15.95" customHeight="1" x14ac:dyDescent="0.2">
      <c r="B18" s="243"/>
      <c r="C18" s="244"/>
      <c r="D18" s="245"/>
      <c r="E18" s="246"/>
      <c r="F18" s="257"/>
      <c r="G18" s="247"/>
      <c r="H18" s="248"/>
      <c r="I18" s="248"/>
      <c r="J18" s="248"/>
      <c r="K18" s="248"/>
      <c r="L18" s="248"/>
      <c r="M18" s="282"/>
    </row>
    <row r="19" spans="2:21" ht="15.95" customHeight="1" x14ac:dyDescent="0.2">
      <c r="B19" s="82"/>
      <c r="C19" s="242" t="s">
        <v>462</v>
      </c>
      <c r="D19" s="227"/>
      <c r="E19" s="228"/>
      <c r="F19" s="242"/>
      <c r="G19" s="227"/>
      <c r="H19" s="227"/>
      <c r="I19" s="227"/>
      <c r="J19" s="227"/>
      <c r="K19" s="227"/>
      <c r="L19" s="227"/>
      <c r="M19" s="274"/>
    </row>
    <row r="20" spans="2:21" ht="15.95" customHeight="1" x14ac:dyDescent="0.2">
      <c r="B20" s="314" t="s">
        <v>430</v>
      </c>
      <c r="C20" s="56" t="s">
        <v>431</v>
      </c>
      <c r="D20" s="316">
        <v>0.8</v>
      </c>
      <c r="E20" s="310">
        <v>1.73</v>
      </c>
      <c r="F20" s="311">
        <v>61</v>
      </c>
      <c r="G20" s="24">
        <f>+E20*F20*D20</f>
        <v>84.424000000000007</v>
      </c>
      <c r="H20" s="9">
        <v>-26.5</v>
      </c>
      <c r="I20" s="9">
        <v>37.15</v>
      </c>
      <c r="J20" s="9">
        <v>10.5</v>
      </c>
      <c r="K20" s="9">
        <v>1000</v>
      </c>
      <c r="L20" s="9">
        <v>1000</v>
      </c>
      <c r="M20" s="313"/>
    </row>
    <row r="21" spans="2:21" ht="15.95" customHeight="1" x14ac:dyDescent="0.2">
      <c r="B21" s="314" t="s">
        <v>432</v>
      </c>
      <c r="C21" s="56" t="s">
        <v>433</v>
      </c>
      <c r="D21" s="316">
        <v>0.8</v>
      </c>
      <c r="E21" s="310">
        <v>1.73</v>
      </c>
      <c r="F21" s="311">
        <v>61</v>
      </c>
      <c r="G21" s="24">
        <f>+E21*F21*D21</f>
        <v>84.424000000000007</v>
      </c>
      <c r="H21" s="9">
        <v>-26.5</v>
      </c>
      <c r="I21" s="9">
        <v>33</v>
      </c>
      <c r="J21" s="9">
        <v>10.5</v>
      </c>
      <c r="K21" s="9">
        <v>1000</v>
      </c>
      <c r="L21" s="9">
        <v>1000</v>
      </c>
      <c r="M21" s="313"/>
    </row>
    <row r="22" spans="2:21" ht="15.95" customHeight="1" x14ac:dyDescent="0.2">
      <c r="B22" s="314" t="s">
        <v>434</v>
      </c>
      <c r="C22" s="56" t="s">
        <v>435</v>
      </c>
      <c r="D22" s="317">
        <v>0.8</v>
      </c>
      <c r="E22" s="309">
        <v>1.73</v>
      </c>
      <c r="F22" s="311">
        <v>61</v>
      </c>
      <c r="G22" s="24">
        <f>+E22*F22*D22</f>
        <v>84.424000000000007</v>
      </c>
      <c r="H22" s="16">
        <v>-26.5</v>
      </c>
      <c r="I22" s="16">
        <v>29.2</v>
      </c>
      <c r="J22" s="16">
        <v>10.5</v>
      </c>
      <c r="K22" s="16">
        <v>1000</v>
      </c>
      <c r="L22" s="16">
        <v>1000</v>
      </c>
      <c r="M22" s="313"/>
    </row>
    <row r="23" spans="2:21" ht="15.95" customHeight="1" thickBot="1" x14ac:dyDescent="0.25">
      <c r="B23" s="255"/>
      <c r="C23" s="252"/>
      <c r="D23" s="316"/>
      <c r="E23" s="256"/>
      <c r="F23" s="272"/>
      <c r="G23" s="253"/>
      <c r="H23" s="250"/>
      <c r="I23" s="250"/>
      <c r="J23" s="250"/>
      <c r="K23" s="250"/>
      <c r="L23" s="250"/>
      <c r="M23" s="276"/>
    </row>
    <row r="24" spans="2:21" ht="15.95" customHeight="1" thickTop="1" x14ac:dyDescent="0.2">
      <c r="B24" s="318"/>
      <c r="C24" s="319"/>
      <c r="D24" s="320"/>
      <c r="E24" s="321"/>
      <c r="F24" s="322" t="s">
        <v>33</v>
      </c>
      <c r="G24" s="323">
        <f>SUBTOTAL(9,G20:G23)</f>
        <v>253.27200000000002</v>
      </c>
      <c r="H24" s="324">
        <f>IF($G24=0,0,SUMPRODUCT($G20:$G23,H20:H23)/$G24)</f>
        <v>-26.5</v>
      </c>
      <c r="I24" s="324">
        <f>IF($G24=0,0,SUMPRODUCT($G20:$G23,I20:I23)/$G24)</f>
        <v>33.116666666666667</v>
      </c>
      <c r="J24" s="324">
        <f>IF($G24=0,0,SUMPRODUCT($G20:$G23,J20:J23)/$G24)</f>
        <v>10.5</v>
      </c>
      <c r="K24" s="324">
        <f>SUBTOTAL(9,K20:K23)</f>
        <v>3000</v>
      </c>
      <c r="L24" s="324">
        <f>SUBTOTAL(9,L20:L23)</f>
        <v>3000</v>
      </c>
      <c r="M24" s="444"/>
      <c r="O24" s="445" t="s">
        <v>552</v>
      </c>
      <c r="P24" s="446">
        <f t="shared" ref="P24:U24" si="1">G24</f>
        <v>253.27200000000002</v>
      </c>
      <c r="Q24" s="446">
        <f t="shared" si="1"/>
        <v>-26.5</v>
      </c>
      <c r="R24" s="446">
        <f t="shared" si="1"/>
        <v>33.116666666666667</v>
      </c>
      <c r="S24" s="446">
        <f t="shared" si="1"/>
        <v>10.5</v>
      </c>
      <c r="T24" s="446">
        <f t="shared" si="1"/>
        <v>3000</v>
      </c>
      <c r="U24" s="447">
        <f t="shared" si="1"/>
        <v>3000</v>
      </c>
    </row>
    <row r="25" spans="2:21" ht="15.95" customHeight="1" x14ac:dyDescent="0.2">
      <c r="B25" s="456"/>
      <c r="C25" s="448"/>
      <c r="D25" s="471"/>
      <c r="E25" s="449"/>
      <c r="F25" s="472"/>
      <c r="G25" s="473"/>
      <c r="H25" s="474"/>
      <c r="I25" s="474"/>
      <c r="J25" s="474"/>
      <c r="K25" s="474"/>
      <c r="L25" s="474"/>
      <c r="M25" s="460"/>
    </row>
    <row r="26" spans="2:21" ht="15.95" customHeight="1" x14ac:dyDescent="0.2">
      <c r="B26" s="463"/>
      <c r="C26" s="470" t="s">
        <v>549</v>
      </c>
      <c r="D26" s="464"/>
      <c r="E26" s="465"/>
      <c r="F26" s="466"/>
      <c r="G26" s="467"/>
      <c r="H26" s="468"/>
      <c r="I26" s="468"/>
      <c r="J26" s="468"/>
      <c r="K26" s="468"/>
      <c r="L26" s="468"/>
      <c r="M26" s="469"/>
    </row>
    <row r="27" spans="2:21" ht="15.95" customHeight="1" x14ac:dyDescent="0.2">
      <c r="B27" s="243"/>
      <c r="C27" s="244"/>
      <c r="D27" s="245"/>
      <c r="E27" s="246"/>
      <c r="F27" s="279"/>
      <c r="G27" s="280"/>
      <c r="H27" s="281"/>
      <c r="I27" s="281"/>
      <c r="J27" s="281"/>
      <c r="K27" s="281"/>
      <c r="L27" s="281"/>
      <c r="M27" s="282"/>
    </row>
    <row r="28" spans="2:21" ht="15.95" customHeight="1" x14ac:dyDescent="0.2">
      <c r="B28" s="82"/>
      <c r="C28" s="242" t="s">
        <v>460</v>
      </c>
      <c r="D28" s="227"/>
      <c r="E28" s="228"/>
      <c r="F28" s="242"/>
      <c r="G28" s="227"/>
      <c r="H28" s="227"/>
      <c r="I28" s="227"/>
      <c r="J28" s="227"/>
      <c r="K28" s="227"/>
      <c r="L28" s="227"/>
      <c r="M28" s="274"/>
    </row>
    <row r="29" spans="2:21" ht="15.95" customHeight="1" x14ac:dyDescent="0.2">
      <c r="B29" s="58" t="s">
        <v>436</v>
      </c>
      <c r="C29" s="56" t="s">
        <v>437</v>
      </c>
      <c r="D29" s="316">
        <v>0.5</v>
      </c>
      <c r="E29" s="309">
        <v>1.73</v>
      </c>
      <c r="F29" s="271">
        <f>8.1*5.4*4.5*$Q$3</f>
        <v>186.98850000000002</v>
      </c>
      <c r="G29" s="24">
        <f>+E29*F29*D29</f>
        <v>161.74505250000001</v>
      </c>
      <c r="H29" s="16">
        <v>-26.55</v>
      </c>
      <c r="I29" s="16">
        <v>-28.2</v>
      </c>
      <c r="J29" s="16">
        <v>3.3</v>
      </c>
      <c r="K29" s="16">
        <v>4</v>
      </c>
      <c r="L29" s="16">
        <v>5</v>
      </c>
      <c r="M29" s="273"/>
    </row>
    <row r="30" spans="2:21" ht="15.95" customHeight="1" x14ac:dyDescent="0.2">
      <c r="B30" s="59" t="s">
        <v>438</v>
      </c>
      <c r="C30" s="56" t="s">
        <v>437</v>
      </c>
      <c r="D30" s="317">
        <v>0.5</v>
      </c>
      <c r="E30" s="310">
        <v>1.73</v>
      </c>
      <c r="F30" s="271">
        <f>8.1*7.2*4.5*$Q$3</f>
        <v>249.31799999999998</v>
      </c>
      <c r="G30" s="24">
        <f>+E30*F30*D30</f>
        <v>215.66006999999999</v>
      </c>
      <c r="H30" s="9">
        <v>-26.55</v>
      </c>
      <c r="I30" s="9">
        <v>-36.6</v>
      </c>
      <c r="J30" s="9">
        <v>3.3</v>
      </c>
      <c r="K30" s="9">
        <v>4</v>
      </c>
      <c r="L30" s="9">
        <v>5</v>
      </c>
      <c r="M30" s="273"/>
    </row>
    <row r="31" spans="2:21" ht="15.95" customHeight="1" thickBot="1" x14ac:dyDescent="0.25">
      <c r="B31" s="255"/>
      <c r="C31" s="252"/>
      <c r="D31" s="316"/>
      <c r="E31" s="256"/>
      <c r="F31" s="272"/>
      <c r="G31" s="253"/>
      <c r="H31" s="250"/>
      <c r="I31" s="250"/>
      <c r="J31" s="250"/>
      <c r="K31" s="250"/>
      <c r="L31" s="250"/>
      <c r="M31" s="276"/>
    </row>
    <row r="32" spans="2:21" ht="15.95" customHeight="1" thickTop="1" x14ac:dyDescent="0.2">
      <c r="B32" s="318"/>
      <c r="C32" s="319"/>
      <c r="D32" s="320"/>
      <c r="E32" s="321"/>
      <c r="F32" s="322" t="s">
        <v>33</v>
      </c>
      <c r="G32" s="323">
        <f>SUBTOTAL(9,G29:G31)</f>
        <v>377.4051225</v>
      </c>
      <c r="H32" s="324">
        <f>IF($G32=0,0,SUMPRODUCT($G29:$G31,H29:H31)/$G32)</f>
        <v>-26.549999999999997</v>
      </c>
      <c r="I32" s="324">
        <f>IF($G32=0,0,SUMPRODUCT($G29:$G31,I29:I31)/$G32)</f>
        <v>-32.999999999999993</v>
      </c>
      <c r="J32" s="324">
        <f>IF($G32=0,0,SUMPRODUCT($G29:$G31,J29:J31)/$G32)</f>
        <v>3.3</v>
      </c>
      <c r="K32" s="324">
        <f>SUBTOTAL(9,K29:K31)</f>
        <v>8</v>
      </c>
      <c r="L32" s="324">
        <f>SUBTOTAL(9,L29:L31)</f>
        <v>10</v>
      </c>
      <c r="M32" s="444"/>
      <c r="O32" s="445" t="s">
        <v>553</v>
      </c>
      <c r="P32" s="446">
        <f t="shared" ref="P32:U32" si="2">G32</f>
        <v>377.4051225</v>
      </c>
      <c r="Q32" s="446">
        <f t="shared" si="2"/>
        <v>-26.549999999999997</v>
      </c>
      <c r="R32" s="446">
        <f t="shared" si="2"/>
        <v>-32.999999999999993</v>
      </c>
      <c r="S32" s="446">
        <f t="shared" si="2"/>
        <v>3.3</v>
      </c>
      <c r="T32" s="446">
        <f t="shared" si="2"/>
        <v>8</v>
      </c>
      <c r="U32" s="447">
        <f t="shared" si="2"/>
        <v>10</v>
      </c>
    </row>
    <row r="33" spans="2:21" ht="15.95" customHeight="1" x14ac:dyDescent="0.2">
      <c r="B33" s="243"/>
      <c r="C33" s="244"/>
      <c r="D33" s="245"/>
      <c r="E33" s="246"/>
      <c r="F33" s="257"/>
      <c r="G33" s="247"/>
      <c r="H33" s="248"/>
      <c r="I33" s="248"/>
      <c r="J33" s="248"/>
      <c r="K33" s="248"/>
      <c r="L33" s="248"/>
      <c r="M33" s="282"/>
    </row>
    <row r="34" spans="2:21" ht="15.95" customHeight="1" x14ac:dyDescent="0.2">
      <c r="B34" s="82"/>
      <c r="C34" s="242" t="s">
        <v>462</v>
      </c>
      <c r="D34" s="227"/>
      <c r="E34" s="228"/>
      <c r="F34" s="242"/>
      <c r="G34" s="227"/>
      <c r="H34" s="227"/>
      <c r="I34" s="227"/>
      <c r="J34" s="227"/>
      <c r="K34" s="227"/>
      <c r="L34" s="227"/>
      <c r="M34" s="274"/>
    </row>
    <row r="35" spans="2:21" ht="15.95" customHeight="1" x14ac:dyDescent="0.2">
      <c r="B35" s="58" t="s">
        <v>439</v>
      </c>
      <c r="C35" s="56" t="s">
        <v>440</v>
      </c>
      <c r="D35" s="316">
        <v>0.9</v>
      </c>
      <c r="E35" s="309">
        <v>1.506</v>
      </c>
      <c r="F35" s="271">
        <v>61</v>
      </c>
      <c r="G35" s="24">
        <f>+E35*F35*D35</f>
        <v>82.679400000000001</v>
      </c>
      <c r="H35" s="9">
        <v>-26.5</v>
      </c>
      <c r="I35" s="9">
        <v>-37.15</v>
      </c>
      <c r="J35" s="16">
        <v>10.5</v>
      </c>
      <c r="K35" s="16">
        <v>4</v>
      </c>
      <c r="L35" s="16">
        <v>5</v>
      </c>
      <c r="M35" s="273"/>
    </row>
    <row r="36" spans="2:21" ht="15.95" customHeight="1" x14ac:dyDescent="0.2">
      <c r="B36" s="58" t="s">
        <v>441</v>
      </c>
      <c r="C36" s="56" t="s">
        <v>442</v>
      </c>
      <c r="D36" s="316">
        <v>0.9</v>
      </c>
      <c r="E36" s="310">
        <v>1.51</v>
      </c>
      <c r="F36" s="271">
        <v>61</v>
      </c>
      <c r="G36" s="24">
        <f>+E36*F36*D36</f>
        <v>82.899000000000001</v>
      </c>
      <c r="H36" s="9">
        <v>-26.5</v>
      </c>
      <c r="I36" s="9">
        <v>-33</v>
      </c>
      <c r="J36" s="9">
        <v>10.5</v>
      </c>
      <c r="K36" s="9">
        <v>4</v>
      </c>
      <c r="L36" s="9">
        <v>5</v>
      </c>
      <c r="M36" s="275"/>
    </row>
    <row r="37" spans="2:21" ht="15.95" customHeight="1" x14ac:dyDescent="0.2">
      <c r="B37" s="58" t="s">
        <v>443</v>
      </c>
      <c r="C37" s="56" t="s">
        <v>444</v>
      </c>
      <c r="D37" s="317">
        <v>0.9</v>
      </c>
      <c r="E37" s="310">
        <v>1.51</v>
      </c>
      <c r="F37" s="271">
        <v>61</v>
      </c>
      <c r="G37" s="24">
        <f>+E37*F37*D37</f>
        <v>82.899000000000001</v>
      </c>
      <c r="H37" s="16">
        <v>-26.5</v>
      </c>
      <c r="I37" s="16">
        <v>-29.2</v>
      </c>
      <c r="J37" s="9">
        <v>10.5</v>
      </c>
      <c r="K37" s="9">
        <v>4</v>
      </c>
      <c r="L37" s="9">
        <v>5</v>
      </c>
      <c r="M37" s="276"/>
    </row>
    <row r="38" spans="2:21" ht="15.95" customHeight="1" thickBot="1" x14ac:dyDescent="0.25">
      <c r="B38" s="255"/>
      <c r="C38" s="252"/>
      <c r="D38" s="316"/>
      <c r="E38" s="256"/>
      <c r="F38" s="272"/>
      <c r="G38" s="253"/>
      <c r="H38" s="250"/>
      <c r="I38" s="250"/>
      <c r="J38" s="250"/>
      <c r="K38" s="250"/>
      <c r="L38" s="250"/>
      <c r="M38" s="276"/>
    </row>
    <row r="39" spans="2:21" ht="15.95" customHeight="1" thickTop="1" x14ac:dyDescent="0.2">
      <c r="B39" s="318"/>
      <c r="C39" s="319"/>
      <c r="D39" s="320"/>
      <c r="E39" s="321"/>
      <c r="F39" s="322" t="s">
        <v>33</v>
      </c>
      <c r="G39" s="323">
        <f>SUBTOTAL(9,G35:G38)</f>
        <v>248.47739999999999</v>
      </c>
      <c r="H39" s="324">
        <f>IF($G39=0,0,SUMPRODUCT($G35:$G38,H35:H38)/$G39)</f>
        <v>-26.500000000000004</v>
      </c>
      <c r="I39" s="324">
        <f>IF($G39=0,0,SUMPRODUCT($G35:$G38,I35:I38)/$G39)</f>
        <v>-33.113102076889085</v>
      </c>
      <c r="J39" s="324">
        <f>IF($G39=0,0,SUMPRODUCT($G35:$G38,J35:J38)/$G39)</f>
        <v>10.5</v>
      </c>
      <c r="K39" s="324">
        <f>SUBTOTAL(9,K35:K38)</f>
        <v>12</v>
      </c>
      <c r="L39" s="324">
        <f>SUBTOTAL(9,L35:L38)</f>
        <v>15</v>
      </c>
      <c r="M39" s="444"/>
      <c r="O39" s="445" t="s">
        <v>554</v>
      </c>
      <c r="P39" s="446">
        <f t="shared" ref="P39:U39" si="3">G39</f>
        <v>248.47739999999999</v>
      </c>
      <c r="Q39" s="446">
        <f t="shared" si="3"/>
        <v>-26.500000000000004</v>
      </c>
      <c r="R39" s="446">
        <f t="shared" si="3"/>
        <v>-33.113102076889085</v>
      </c>
      <c r="S39" s="446">
        <f t="shared" si="3"/>
        <v>10.5</v>
      </c>
      <c r="T39" s="446">
        <f t="shared" si="3"/>
        <v>12</v>
      </c>
      <c r="U39" s="447">
        <f t="shared" si="3"/>
        <v>15</v>
      </c>
    </row>
    <row r="40" spans="2:21" ht="15.95" customHeight="1" x14ac:dyDescent="0.2">
      <c r="B40" s="456"/>
      <c r="C40" s="448"/>
      <c r="D40" s="471"/>
      <c r="E40" s="449"/>
      <c r="F40" s="472"/>
      <c r="G40" s="473"/>
      <c r="H40" s="474"/>
      <c r="I40" s="474"/>
      <c r="J40" s="474"/>
      <c r="K40" s="474"/>
      <c r="L40" s="474"/>
      <c r="M40" s="460"/>
    </row>
    <row r="41" spans="2:21" ht="15.95" customHeight="1" x14ac:dyDescent="0.2">
      <c r="B41" s="463"/>
      <c r="C41" s="470" t="s">
        <v>550</v>
      </c>
      <c r="D41" s="464"/>
      <c r="E41" s="465"/>
      <c r="F41" s="466"/>
      <c r="G41" s="467"/>
      <c r="H41" s="468"/>
      <c r="I41" s="468"/>
      <c r="J41" s="468"/>
      <c r="K41" s="468"/>
      <c r="L41" s="468"/>
      <c r="M41" s="469"/>
    </row>
    <row r="42" spans="2:21" ht="15.95" customHeight="1" x14ac:dyDescent="0.2">
      <c r="B42" s="243"/>
      <c r="C42" s="244"/>
      <c r="D42" s="245"/>
      <c r="E42" s="246"/>
      <c r="F42" s="279"/>
      <c r="G42" s="280"/>
      <c r="H42" s="281"/>
      <c r="I42" s="281"/>
      <c r="J42" s="281"/>
      <c r="K42" s="281"/>
      <c r="L42" s="281"/>
      <c r="M42" s="282"/>
    </row>
    <row r="43" spans="2:21" ht="15.95" customHeight="1" x14ac:dyDescent="0.2">
      <c r="B43" s="82"/>
      <c r="C43" s="242" t="s">
        <v>460</v>
      </c>
      <c r="D43" s="227"/>
      <c r="E43" s="228"/>
      <c r="F43" s="242"/>
      <c r="G43" s="227"/>
      <c r="H43" s="227"/>
      <c r="I43" s="227"/>
      <c r="J43" s="227"/>
      <c r="K43" s="227"/>
      <c r="L43" s="227"/>
      <c r="M43" s="274"/>
    </row>
    <row r="44" spans="2:21" ht="15.95" customHeight="1" x14ac:dyDescent="0.2">
      <c r="B44" s="58" t="s">
        <v>319</v>
      </c>
      <c r="C44" s="56" t="s">
        <v>424</v>
      </c>
      <c r="D44" s="316">
        <v>0.5</v>
      </c>
      <c r="E44" s="218">
        <v>1.0249999999999999</v>
      </c>
      <c r="F44" s="271">
        <v>240</v>
      </c>
      <c r="G44" s="24">
        <f>+E44*F44*D44</f>
        <v>122.99999999999999</v>
      </c>
      <c r="H44" s="16">
        <v>43.35</v>
      </c>
      <c r="I44" s="16">
        <v>3.45</v>
      </c>
      <c r="J44" s="16">
        <v>3.5</v>
      </c>
      <c r="K44" s="271">
        <v>4</v>
      </c>
      <c r="L44" s="271">
        <v>5</v>
      </c>
      <c r="M44" s="275" t="s">
        <v>408</v>
      </c>
    </row>
    <row r="45" spans="2:21" ht="15.95" customHeight="1" x14ac:dyDescent="0.2">
      <c r="B45" s="59" t="s">
        <v>425</v>
      </c>
      <c r="C45" s="56" t="s">
        <v>424</v>
      </c>
      <c r="D45" s="317">
        <v>0.5</v>
      </c>
      <c r="E45" s="218">
        <v>1.0249999999999999</v>
      </c>
      <c r="F45" s="311">
        <v>240</v>
      </c>
      <c r="G45" s="24">
        <f>+E45*F45*D45</f>
        <v>122.99999999999999</v>
      </c>
      <c r="H45" s="9">
        <v>43.35</v>
      </c>
      <c r="I45" s="9">
        <v>-3.45</v>
      </c>
      <c r="J45" s="9">
        <v>3.5</v>
      </c>
      <c r="K45" s="311">
        <v>4</v>
      </c>
      <c r="L45" s="311">
        <v>5</v>
      </c>
      <c r="M45" s="276"/>
    </row>
    <row r="46" spans="2:21" ht="15.95" customHeight="1" thickBot="1" x14ac:dyDescent="0.25">
      <c r="B46" s="255"/>
      <c r="C46" s="252"/>
      <c r="D46" s="316"/>
      <c r="E46" s="256"/>
      <c r="F46" s="272"/>
      <c r="G46" s="253"/>
      <c r="H46" s="250"/>
      <c r="I46" s="250"/>
      <c r="J46" s="250"/>
      <c r="K46" s="250"/>
      <c r="L46" s="250"/>
      <c r="M46" s="276"/>
    </row>
    <row r="47" spans="2:21" ht="15.95" customHeight="1" thickTop="1" x14ac:dyDescent="0.2">
      <c r="B47" s="318"/>
      <c r="C47" s="319"/>
      <c r="D47" s="320"/>
      <c r="E47" s="321"/>
      <c r="F47" s="322" t="s">
        <v>33</v>
      </c>
      <c r="G47" s="323">
        <f>SUBTOTAL(9,G44:G46)</f>
        <v>245.99999999999997</v>
      </c>
      <c r="H47" s="324">
        <f>IF($G47=0,0,SUMPRODUCT($G44:$G46,H44:H46)/$G47)</f>
        <v>43.35</v>
      </c>
      <c r="I47" s="324">
        <f>IF($G47=0,0,SUMPRODUCT($G44:$G46,I44:I46)/$G47)</f>
        <v>0</v>
      </c>
      <c r="J47" s="324">
        <f>IF($G47=0,0,SUMPRODUCT($G44:$G46,J44:J46)/$G47)</f>
        <v>3.5</v>
      </c>
      <c r="K47" s="324">
        <f>SUBTOTAL(9,K44:K46)</f>
        <v>8</v>
      </c>
      <c r="L47" s="324">
        <f>SUBTOTAL(9,L44:L46)</f>
        <v>10</v>
      </c>
      <c r="M47" s="444"/>
      <c r="O47" s="445" t="s">
        <v>555</v>
      </c>
      <c r="P47" s="446">
        <f t="shared" ref="P47:U47" si="4">G47</f>
        <v>245.99999999999997</v>
      </c>
      <c r="Q47" s="446">
        <f t="shared" si="4"/>
        <v>43.35</v>
      </c>
      <c r="R47" s="446">
        <f t="shared" si="4"/>
        <v>0</v>
      </c>
      <c r="S47" s="446">
        <f t="shared" si="4"/>
        <v>3.5</v>
      </c>
      <c r="T47" s="446">
        <f t="shared" si="4"/>
        <v>8</v>
      </c>
      <c r="U47" s="447">
        <f t="shared" si="4"/>
        <v>10</v>
      </c>
    </row>
    <row r="48" spans="2:21" ht="15.95" customHeight="1" x14ac:dyDescent="0.2">
      <c r="B48" s="243"/>
      <c r="C48" s="244"/>
      <c r="D48" s="245"/>
      <c r="E48" s="246"/>
      <c r="F48" s="257"/>
      <c r="G48" s="247"/>
      <c r="H48" s="248"/>
      <c r="I48" s="248"/>
      <c r="J48" s="248"/>
      <c r="K48" s="248"/>
      <c r="L48" s="248"/>
      <c r="M48" s="282"/>
    </row>
    <row r="49" spans="2:21" ht="15.95" customHeight="1" x14ac:dyDescent="0.2">
      <c r="B49" s="82"/>
      <c r="C49" s="242" t="s">
        <v>461</v>
      </c>
      <c r="D49" s="227"/>
      <c r="E49" s="228"/>
      <c r="F49" s="242"/>
      <c r="G49" s="227"/>
      <c r="H49" s="227"/>
      <c r="I49" s="227"/>
      <c r="J49" s="227"/>
      <c r="K49" s="227"/>
      <c r="L49" s="227"/>
      <c r="M49" s="274"/>
    </row>
    <row r="50" spans="2:21" ht="15.95" customHeight="1" x14ac:dyDescent="0.2">
      <c r="B50" s="58" t="s">
        <v>426</v>
      </c>
      <c r="C50" s="56" t="s">
        <v>428</v>
      </c>
      <c r="D50" s="316">
        <v>0.8</v>
      </c>
      <c r="E50" s="218">
        <v>1</v>
      </c>
      <c r="F50" s="271">
        <v>144</v>
      </c>
      <c r="G50" s="24">
        <f>+E50*F50*D50</f>
        <v>115.2</v>
      </c>
      <c r="H50" s="16">
        <v>43.35</v>
      </c>
      <c r="I50" s="16">
        <v>3.45</v>
      </c>
      <c r="J50" s="16">
        <v>10.5</v>
      </c>
      <c r="K50" s="271">
        <v>4</v>
      </c>
      <c r="L50" s="271">
        <v>5</v>
      </c>
      <c r="M50" s="276"/>
    </row>
    <row r="51" spans="2:21" ht="15.95" customHeight="1" x14ac:dyDescent="0.2">
      <c r="B51" s="59" t="s">
        <v>427</v>
      </c>
      <c r="C51" s="56" t="s">
        <v>428</v>
      </c>
      <c r="D51" s="316">
        <v>0.8</v>
      </c>
      <c r="E51" s="218">
        <v>1</v>
      </c>
      <c r="F51" s="311">
        <v>144</v>
      </c>
      <c r="G51" s="24">
        <f>+E51*F51*D51</f>
        <v>115.2</v>
      </c>
      <c r="H51" s="9">
        <v>43.35</v>
      </c>
      <c r="I51" s="9">
        <v>-3.45</v>
      </c>
      <c r="J51" s="9">
        <v>10.5</v>
      </c>
      <c r="K51" s="311">
        <v>4</v>
      </c>
      <c r="L51" s="311">
        <v>5</v>
      </c>
      <c r="M51" s="276"/>
    </row>
    <row r="52" spans="2:21" ht="15.95" customHeight="1" thickBot="1" x14ac:dyDescent="0.25">
      <c r="B52" s="255"/>
      <c r="C52" s="252"/>
      <c r="D52" s="316"/>
      <c r="E52" s="256"/>
      <c r="F52" s="272"/>
      <c r="G52" s="253"/>
      <c r="H52" s="250"/>
      <c r="I52" s="250"/>
      <c r="J52" s="250"/>
      <c r="K52" s="250"/>
      <c r="L52" s="250"/>
      <c r="M52" s="276"/>
    </row>
    <row r="53" spans="2:21" ht="15.95" customHeight="1" thickTop="1" x14ac:dyDescent="0.2">
      <c r="B53" s="318"/>
      <c r="C53" s="319"/>
      <c r="D53" s="320"/>
      <c r="E53" s="321"/>
      <c r="F53" s="322" t="s">
        <v>33</v>
      </c>
      <c r="G53" s="323">
        <f>SUBTOTAL(9,G50:G52)</f>
        <v>230.4</v>
      </c>
      <c r="H53" s="324">
        <f>IF($G53=0,0,SUMPRODUCT($G50:$G52,H50:H52)/$G53)</f>
        <v>43.35</v>
      </c>
      <c r="I53" s="324">
        <f>IF($G53=0,0,SUMPRODUCT($G50:$G52,I50:I52)/$G53)</f>
        <v>0</v>
      </c>
      <c r="J53" s="324">
        <f>IF($G53=0,0,SUMPRODUCT($G50:$G52,J50:J52)/$G53)</f>
        <v>10.500000000000002</v>
      </c>
      <c r="K53" s="324">
        <f>SUBTOTAL(9,K50:K52)</f>
        <v>8</v>
      </c>
      <c r="L53" s="324">
        <f>SUBTOTAL(9,L50:L52)</f>
        <v>10</v>
      </c>
      <c r="M53" s="444"/>
      <c r="O53" s="445" t="s">
        <v>556</v>
      </c>
      <c r="P53" s="446">
        <f t="shared" ref="P53:U53" si="5">G53</f>
        <v>230.4</v>
      </c>
      <c r="Q53" s="446">
        <f t="shared" si="5"/>
        <v>43.35</v>
      </c>
      <c r="R53" s="446">
        <f t="shared" si="5"/>
        <v>0</v>
      </c>
      <c r="S53" s="446">
        <f t="shared" si="5"/>
        <v>10.500000000000002</v>
      </c>
      <c r="T53" s="446">
        <f t="shared" si="5"/>
        <v>8</v>
      </c>
      <c r="U53" s="447">
        <f t="shared" si="5"/>
        <v>10</v>
      </c>
    </row>
    <row r="54" spans="2:21" ht="15.95" customHeight="1" x14ac:dyDescent="0.2">
      <c r="B54" s="456"/>
      <c r="C54" s="448"/>
      <c r="D54" s="471"/>
      <c r="E54" s="449"/>
      <c r="F54" s="472"/>
      <c r="G54" s="473"/>
      <c r="H54" s="474"/>
      <c r="I54" s="474"/>
      <c r="J54" s="474"/>
      <c r="K54" s="474"/>
      <c r="L54" s="474"/>
      <c r="M54" s="460"/>
    </row>
    <row r="55" spans="2:21" ht="15.95" customHeight="1" x14ac:dyDescent="0.2">
      <c r="B55" s="463"/>
      <c r="C55" s="470" t="s">
        <v>530</v>
      </c>
      <c r="D55" s="464"/>
      <c r="E55" s="465"/>
      <c r="F55" s="466"/>
      <c r="G55" s="467"/>
      <c r="H55" s="468"/>
      <c r="I55" s="468"/>
      <c r="J55" s="468"/>
      <c r="K55" s="468"/>
      <c r="L55" s="468"/>
      <c r="M55" s="469"/>
    </row>
    <row r="56" spans="2:21" ht="15.95" customHeight="1" x14ac:dyDescent="0.2">
      <c r="B56" s="243"/>
      <c r="C56" s="244"/>
      <c r="D56" s="245"/>
      <c r="E56" s="246"/>
      <c r="F56" s="279"/>
      <c r="G56" s="280"/>
      <c r="H56" s="281"/>
      <c r="I56" s="281"/>
      <c r="J56" s="281"/>
      <c r="K56" s="281"/>
      <c r="L56" s="281"/>
      <c r="M56" s="282"/>
    </row>
    <row r="57" spans="2:21" ht="15.95" customHeight="1" x14ac:dyDescent="0.2">
      <c r="B57" s="82"/>
      <c r="C57" s="242" t="s">
        <v>460</v>
      </c>
      <c r="D57" s="227"/>
      <c r="E57" s="228"/>
      <c r="F57" s="229"/>
      <c r="G57" s="227"/>
      <c r="H57" s="227"/>
      <c r="I57" s="227"/>
      <c r="J57" s="227"/>
      <c r="K57" s="227"/>
      <c r="L57" s="227"/>
      <c r="M57" s="274"/>
    </row>
    <row r="58" spans="2:21" ht="15.95" customHeight="1" x14ac:dyDescent="0.2">
      <c r="B58" s="230" t="s">
        <v>319</v>
      </c>
      <c r="C58" s="231" t="s">
        <v>324</v>
      </c>
      <c r="D58" s="232">
        <v>50</v>
      </c>
      <c r="E58" s="233">
        <v>1.73</v>
      </c>
      <c r="F58" s="234">
        <v>60</v>
      </c>
      <c r="G58" s="235">
        <f>+E58*F58*D58/100</f>
        <v>51.9</v>
      </c>
      <c r="H58" s="236">
        <v>-16.425000000000001</v>
      </c>
      <c r="I58" s="236">
        <v>18.45</v>
      </c>
      <c r="J58" s="236">
        <v>32.200000000000003</v>
      </c>
      <c r="K58" s="236">
        <v>4</v>
      </c>
      <c r="L58" s="236">
        <v>5</v>
      </c>
      <c r="M58" s="275"/>
    </row>
    <row r="59" spans="2:21" ht="15.95" customHeight="1" x14ac:dyDescent="0.2">
      <c r="B59" s="230" t="s">
        <v>321</v>
      </c>
      <c r="C59" s="231" t="s">
        <v>325</v>
      </c>
      <c r="D59" s="238">
        <v>50</v>
      </c>
      <c r="E59" s="239">
        <v>1.73</v>
      </c>
      <c r="F59" s="240">
        <v>60</v>
      </c>
      <c r="G59" s="235">
        <f t="shared" ref="G59:G65" si="6">+E59*F59*D59/100</f>
        <v>51.9</v>
      </c>
      <c r="H59" s="241">
        <f>H58-4.2</f>
        <v>-20.625</v>
      </c>
      <c r="I59" s="241">
        <v>18.45</v>
      </c>
      <c r="J59" s="236">
        <v>32.200000000000003</v>
      </c>
      <c r="K59" s="236">
        <v>4</v>
      </c>
      <c r="L59" s="236">
        <v>5</v>
      </c>
      <c r="M59" s="275"/>
    </row>
    <row r="60" spans="2:21" ht="15.95" customHeight="1" x14ac:dyDescent="0.2">
      <c r="B60" s="230" t="s">
        <v>322</v>
      </c>
      <c r="C60" s="231" t="s">
        <v>326</v>
      </c>
      <c r="D60" s="238">
        <v>50</v>
      </c>
      <c r="E60" s="239">
        <v>1.73</v>
      </c>
      <c r="F60" s="240">
        <v>60</v>
      </c>
      <c r="G60" s="235">
        <f t="shared" si="6"/>
        <v>51.9</v>
      </c>
      <c r="H60" s="241">
        <f>H59-4.2</f>
        <v>-24.824999999999999</v>
      </c>
      <c r="I60" s="241">
        <v>18.45</v>
      </c>
      <c r="J60" s="236">
        <v>32.200000000000003</v>
      </c>
      <c r="K60" s="236">
        <v>4</v>
      </c>
      <c r="L60" s="236">
        <v>5</v>
      </c>
      <c r="M60" s="275"/>
    </row>
    <row r="61" spans="2:21" ht="15.95" customHeight="1" x14ac:dyDescent="0.2">
      <c r="B61" s="230" t="s">
        <v>327</v>
      </c>
      <c r="C61" s="231" t="s">
        <v>328</v>
      </c>
      <c r="D61" s="238">
        <v>50</v>
      </c>
      <c r="E61" s="239">
        <v>1.73</v>
      </c>
      <c r="F61" s="240">
        <v>60</v>
      </c>
      <c r="G61" s="235">
        <f t="shared" si="6"/>
        <v>51.9</v>
      </c>
      <c r="H61" s="241">
        <f>H60-4.2</f>
        <v>-29.024999999999999</v>
      </c>
      <c r="I61" s="241">
        <v>18.45</v>
      </c>
      <c r="J61" s="236">
        <v>32.200000000000003</v>
      </c>
      <c r="K61" s="236">
        <v>4</v>
      </c>
      <c r="L61" s="236">
        <v>5</v>
      </c>
      <c r="M61" s="275"/>
    </row>
    <row r="62" spans="2:21" ht="15.95" customHeight="1" x14ac:dyDescent="0.2">
      <c r="B62" s="230" t="s">
        <v>329</v>
      </c>
      <c r="C62" s="231" t="s">
        <v>330</v>
      </c>
      <c r="D62" s="238">
        <v>50</v>
      </c>
      <c r="E62" s="239">
        <v>1.73</v>
      </c>
      <c r="F62" s="240">
        <v>60</v>
      </c>
      <c r="G62" s="235">
        <f t="shared" si="6"/>
        <v>51.9</v>
      </c>
      <c r="H62" s="236">
        <v>-16.425000000000001</v>
      </c>
      <c r="I62" s="241">
        <v>20.7</v>
      </c>
      <c r="J62" s="236">
        <v>32.200000000000003</v>
      </c>
      <c r="K62" s="236">
        <v>4</v>
      </c>
      <c r="L62" s="236">
        <v>5</v>
      </c>
      <c r="M62" s="275"/>
    </row>
    <row r="63" spans="2:21" ht="15.95" customHeight="1" x14ac:dyDescent="0.2">
      <c r="B63" s="230" t="s">
        <v>331</v>
      </c>
      <c r="C63" s="231" t="s">
        <v>332</v>
      </c>
      <c r="D63" s="238">
        <v>50</v>
      </c>
      <c r="E63" s="239">
        <v>1.73</v>
      </c>
      <c r="F63" s="240">
        <v>60</v>
      </c>
      <c r="G63" s="235">
        <f t="shared" si="6"/>
        <v>51.9</v>
      </c>
      <c r="H63" s="241">
        <f>H62-4.2</f>
        <v>-20.625</v>
      </c>
      <c r="I63" s="241">
        <v>22.95</v>
      </c>
      <c r="J63" s="236">
        <v>32.200000000000003</v>
      </c>
      <c r="K63" s="236">
        <v>4</v>
      </c>
      <c r="L63" s="236">
        <v>5</v>
      </c>
      <c r="M63" s="275"/>
    </row>
    <row r="64" spans="2:21" ht="15.95" customHeight="1" x14ac:dyDescent="0.2">
      <c r="B64" s="230" t="s">
        <v>333</v>
      </c>
      <c r="C64" s="231" t="s">
        <v>334</v>
      </c>
      <c r="D64" s="238">
        <v>50</v>
      </c>
      <c r="E64" s="239">
        <v>1.73</v>
      </c>
      <c r="F64" s="240">
        <v>60</v>
      </c>
      <c r="G64" s="235">
        <f t="shared" si="6"/>
        <v>51.9</v>
      </c>
      <c r="H64" s="241">
        <f>H63-4.2</f>
        <v>-24.824999999999999</v>
      </c>
      <c r="I64" s="241">
        <v>22.95</v>
      </c>
      <c r="J64" s="236">
        <v>32.200000000000003</v>
      </c>
      <c r="K64" s="236">
        <v>4</v>
      </c>
      <c r="L64" s="236">
        <v>5</v>
      </c>
      <c r="M64" s="275"/>
    </row>
    <row r="65" spans="2:21" ht="15.95" customHeight="1" x14ac:dyDescent="0.2">
      <c r="B65" s="230" t="s">
        <v>335</v>
      </c>
      <c r="C65" s="231" t="s">
        <v>336</v>
      </c>
      <c r="D65" s="238">
        <v>50</v>
      </c>
      <c r="E65" s="239">
        <v>1.73</v>
      </c>
      <c r="F65" s="240">
        <v>60</v>
      </c>
      <c r="G65" s="235">
        <f t="shared" si="6"/>
        <v>51.9</v>
      </c>
      <c r="H65" s="241">
        <f>H64-4.2</f>
        <v>-29.024999999999999</v>
      </c>
      <c r="I65" s="241">
        <v>22.95</v>
      </c>
      <c r="J65" s="236">
        <v>32.200000000000003</v>
      </c>
      <c r="K65" s="236">
        <v>4</v>
      </c>
      <c r="L65" s="236">
        <v>5</v>
      </c>
      <c r="M65" s="275"/>
    </row>
    <row r="66" spans="2:21" ht="15.95" customHeight="1" thickBot="1" x14ac:dyDescent="0.25">
      <c r="B66" s="255"/>
      <c r="C66" s="252"/>
      <c r="D66" s="278"/>
      <c r="E66" s="256"/>
      <c r="F66" s="272"/>
      <c r="G66" s="253"/>
      <c r="H66" s="250"/>
      <c r="I66" s="250"/>
      <c r="J66" s="250"/>
      <c r="K66" s="250"/>
      <c r="L66" s="250"/>
      <c r="M66" s="276"/>
    </row>
    <row r="67" spans="2:21" ht="15.95" customHeight="1" thickTop="1" x14ac:dyDescent="0.2">
      <c r="B67" s="318"/>
      <c r="C67" s="319"/>
      <c r="D67" s="320"/>
      <c r="E67" s="321"/>
      <c r="F67" s="322" t="s">
        <v>33</v>
      </c>
      <c r="G67" s="323">
        <f>SUBTOTAL(9,G58:G66)</f>
        <v>415.19999999999993</v>
      </c>
      <c r="H67" s="324">
        <f>IF($G67=0,0,SUMPRODUCT($G58:$G66,H58:H66)/$G67)</f>
        <v>-22.724999999999998</v>
      </c>
      <c r="I67" s="324">
        <f>IF($G67=0,0,SUMPRODUCT($G58:$G66,I58:I66)/$G67)</f>
        <v>20.418749999999999</v>
      </c>
      <c r="J67" s="324">
        <f>IF($G67=0,0,SUMPRODUCT($G58:$G66,J58:J66)/$G67)</f>
        <v>32.20000000000001</v>
      </c>
      <c r="K67" s="324">
        <f>SUBTOTAL(9,K58:K66)</f>
        <v>32</v>
      </c>
      <c r="L67" s="324">
        <f>SUBTOTAL(9,L58:L66)</f>
        <v>40</v>
      </c>
      <c r="M67" s="444"/>
      <c r="O67" s="445" t="s">
        <v>534</v>
      </c>
      <c r="P67" s="446">
        <f t="shared" ref="P67:U67" si="7">G67</f>
        <v>415.19999999999993</v>
      </c>
      <c r="Q67" s="446">
        <f t="shared" si="7"/>
        <v>-22.724999999999998</v>
      </c>
      <c r="R67" s="446">
        <f t="shared" si="7"/>
        <v>20.418749999999999</v>
      </c>
      <c r="S67" s="446">
        <f t="shared" si="7"/>
        <v>32.20000000000001</v>
      </c>
      <c r="T67" s="446">
        <f t="shared" si="7"/>
        <v>32</v>
      </c>
      <c r="U67" s="447">
        <f t="shared" si="7"/>
        <v>40</v>
      </c>
    </row>
    <row r="68" spans="2:21" ht="15.95" customHeight="1" x14ac:dyDescent="0.2">
      <c r="B68" s="485"/>
      <c r="C68" s="452"/>
      <c r="D68" s="452"/>
      <c r="F68" s="452"/>
      <c r="G68" s="383"/>
      <c r="H68" s="452"/>
      <c r="I68" s="452"/>
      <c r="J68" s="452"/>
      <c r="K68" s="452"/>
      <c r="L68" s="452"/>
      <c r="M68" s="486"/>
    </row>
    <row r="69" spans="2:21" ht="15.95" customHeight="1" x14ac:dyDescent="0.2">
      <c r="B69" s="82"/>
      <c r="C69" s="242" t="s">
        <v>480</v>
      </c>
      <c r="D69" s="227"/>
      <c r="E69" s="228"/>
      <c r="F69" s="242"/>
      <c r="G69" s="227"/>
      <c r="H69" s="227"/>
      <c r="I69" s="227"/>
      <c r="J69" s="227"/>
      <c r="K69" s="227"/>
      <c r="L69" s="227"/>
      <c r="M69" s="274"/>
    </row>
    <row r="70" spans="2:21" ht="15.95" customHeight="1" x14ac:dyDescent="0.2">
      <c r="B70" s="58" t="s">
        <v>337</v>
      </c>
      <c r="C70" s="56" t="s">
        <v>343</v>
      </c>
      <c r="D70" s="55" t="s">
        <v>38</v>
      </c>
      <c r="E70" s="218" t="s">
        <v>38</v>
      </c>
      <c r="F70" s="16" t="s">
        <v>38</v>
      </c>
      <c r="G70" s="24">
        <v>10</v>
      </c>
      <c r="H70" s="16">
        <v>-24.34</v>
      </c>
      <c r="I70" s="16">
        <v>-1.4</v>
      </c>
      <c r="J70" s="16">
        <v>33</v>
      </c>
      <c r="K70" s="169" t="s">
        <v>38</v>
      </c>
      <c r="L70" s="169" t="s">
        <v>38</v>
      </c>
      <c r="M70" s="273"/>
    </row>
    <row r="71" spans="2:21" ht="15.95" customHeight="1" x14ac:dyDescent="0.2">
      <c r="B71" s="259" t="s">
        <v>338</v>
      </c>
      <c r="C71" s="260" t="s">
        <v>339</v>
      </c>
      <c r="D71" s="261" t="s">
        <v>38</v>
      </c>
      <c r="E71" s="262" t="s">
        <v>38</v>
      </c>
      <c r="F71" s="263" t="s">
        <v>38</v>
      </c>
      <c r="G71" s="264">
        <v>10</v>
      </c>
      <c r="H71" s="265">
        <v>-24.34</v>
      </c>
      <c r="I71" s="265">
        <v>-15.8</v>
      </c>
      <c r="J71" s="265">
        <v>33</v>
      </c>
      <c r="K71" s="265" t="s">
        <v>38</v>
      </c>
      <c r="L71" s="265" t="s">
        <v>38</v>
      </c>
      <c r="M71" s="275"/>
    </row>
    <row r="72" spans="2:21" ht="15.95" customHeight="1" x14ac:dyDescent="0.2">
      <c r="B72" s="237" t="s">
        <v>340</v>
      </c>
      <c r="C72" s="231" t="s">
        <v>341</v>
      </c>
      <c r="D72" s="232">
        <v>3</v>
      </c>
      <c r="E72" s="232">
        <v>0.88</v>
      </c>
      <c r="F72" s="232">
        <v>192</v>
      </c>
      <c r="G72" s="264">
        <v>5</v>
      </c>
      <c r="H72" s="241">
        <v>-16.7</v>
      </c>
      <c r="I72" s="241">
        <v>-20.100000000000001</v>
      </c>
      <c r="J72" s="241">
        <v>33</v>
      </c>
      <c r="K72" s="241">
        <v>4</v>
      </c>
      <c r="L72" s="241">
        <v>5</v>
      </c>
      <c r="M72" s="275"/>
    </row>
    <row r="73" spans="2:21" ht="15.95" customHeight="1" x14ac:dyDescent="0.2">
      <c r="B73" s="237" t="s">
        <v>342</v>
      </c>
      <c r="C73" s="231" t="s">
        <v>343</v>
      </c>
      <c r="D73" s="238">
        <v>3</v>
      </c>
      <c r="E73" s="239">
        <v>1.506</v>
      </c>
      <c r="F73" s="266">
        <v>10</v>
      </c>
      <c r="G73" s="235">
        <v>10</v>
      </c>
      <c r="H73" s="241">
        <v>-22.3</v>
      </c>
      <c r="I73" s="241">
        <v>25.8</v>
      </c>
      <c r="J73" s="241">
        <v>31</v>
      </c>
      <c r="K73" s="241">
        <v>4</v>
      </c>
      <c r="L73" s="241">
        <v>5</v>
      </c>
      <c r="M73" s="275"/>
    </row>
    <row r="74" spans="2:21" ht="15.95" customHeight="1" x14ac:dyDescent="0.2">
      <c r="B74" s="237" t="s">
        <v>344</v>
      </c>
      <c r="C74" s="258" t="s">
        <v>345</v>
      </c>
      <c r="D74" s="238">
        <v>3</v>
      </c>
      <c r="E74" s="239">
        <v>1.506</v>
      </c>
      <c r="F74" s="241">
        <v>2</v>
      </c>
      <c r="G74" s="235">
        <v>10</v>
      </c>
      <c r="H74" s="241">
        <v>-23.31</v>
      </c>
      <c r="I74" s="241">
        <v>40.18</v>
      </c>
      <c r="J74" s="241">
        <v>31</v>
      </c>
      <c r="K74" s="241">
        <v>4</v>
      </c>
      <c r="L74" s="241">
        <v>5</v>
      </c>
      <c r="M74" s="275"/>
    </row>
    <row r="75" spans="2:21" ht="15.95" customHeight="1" x14ac:dyDescent="0.2">
      <c r="B75" s="237" t="s">
        <v>346</v>
      </c>
      <c r="C75" s="249" t="s">
        <v>347</v>
      </c>
      <c r="D75" s="238">
        <v>3</v>
      </c>
      <c r="E75" s="239">
        <v>1.506</v>
      </c>
      <c r="F75" s="267">
        <v>10</v>
      </c>
      <c r="G75" s="235">
        <v>10</v>
      </c>
      <c r="H75" s="250">
        <v>-29.5</v>
      </c>
      <c r="I75" s="250">
        <v>39.049999999999997</v>
      </c>
      <c r="J75" s="250">
        <v>31</v>
      </c>
      <c r="K75" s="241">
        <v>4</v>
      </c>
      <c r="L75" s="241">
        <v>5</v>
      </c>
      <c r="M75" s="275"/>
    </row>
    <row r="76" spans="2:21" ht="15.95" customHeight="1" x14ac:dyDescent="0.2">
      <c r="B76" s="230" t="s">
        <v>348</v>
      </c>
      <c r="C76" s="244" t="s">
        <v>349</v>
      </c>
      <c r="D76" s="232" t="s">
        <v>38</v>
      </c>
      <c r="E76" s="233" t="s">
        <v>38</v>
      </c>
      <c r="F76" s="234" t="s">
        <v>38</v>
      </c>
      <c r="G76" s="264">
        <v>20</v>
      </c>
      <c r="H76" s="236">
        <v>-26.6</v>
      </c>
      <c r="I76" s="236">
        <v>29.3</v>
      </c>
      <c r="J76" s="236">
        <v>31</v>
      </c>
      <c r="K76" s="236" t="s">
        <v>38</v>
      </c>
      <c r="L76" s="236" t="s">
        <v>38</v>
      </c>
      <c r="M76" s="275"/>
    </row>
    <row r="77" spans="2:21" ht="15.95" customHeight="1" thickBot="1" x14ac:dyDescent="0.25">
      <c r="B77" s="255"/>
      <c r="C77" s="252"/>
      <c r="D77" s="278"/>
      <c r="E77" s="256"/>
      <c r="F77" s="272"/>
      <c r="G77" s="253"/>
      <c r="H77" s="250"/>
      <c r="I77" s="250"/>
      <c r="J77" s="250"/>
      <c r="K77" s="250"/>
      <c r="L77" s="250"/>
      <c r="M77" s="276"/>
    </row>
    <row r="78" spans="2:21" ht="15.95" customHeight="1" thickTop="1" x14ac:dyDescent="0.2">
      <c r="B78" s="318"/>
      <c r="C78" s="319"/>
      <c r="D78" s="320"/>
      <c r="E78" s="321"/>
      <c r="F78" s="322" t="s">
        <v>33</v>
      </c>
      <c r="G78" s="323">
        <f>SUBTOTAL(9,G70:G77)</f>
        <v>75</v>
      </c>
      <c r="H78" s="324">
        <f>IF($G78=0,0,SUMPRODUCT($G70:$G77,H70:H77)/$G78)</f>
        <v>-24.712</v>
      </c>
      <c r="I78" s="324">
        <f>IF($G78=0,0,SUMPRODUCT($G70:$G77,I70:I77)/$G78)</f>
        <v>18.184000000000001</v>
      </c>
      <c r="J78" s="324">
        <f>IF($G78=0,0,SUMPRODUCT($G70:$G77,J70:J77)/$G78)</f>
        <v>31.666666666666668</v>
      </c>
      <c r="K78" s="324">
        <f>SUBTOTAL(9,K70:K77)</f>
        <v>16</v>
      </c>
      <c r="L78" s="324">
        <f>SUBTOTAL(9,L70:L77)</f>
        <v>20</v>
      </c>
      <c r="M78" s="444"/>
      <c r="O78" s="445" t="s">
        <v>535</v>
      </c>
      <c r="P78" s="446">
        <f t="shared" ref="P78:U78" si="8">G78</f>
        <v>75</v>
      </c>
      <c r="Q78" s="446">
        <f t="shared" si="8"/>
        <v>-24.712</v>
      </c>
      <c r="R78" s="446">
        <f t="shared" si="8"/>
        <v>18.184000000000001</v>
      </c>
      <c r="S78" s="446">
        <f t="shared" si="8"/>
        <v>31.666666666666668</v>
      </c>
      <c r="T78" s="446">
        <f t="shared" si="8"/>
        <v>16</v>
      </c>
      <c r="U78" s="447">
        <f t="shared" si="8"/>
        <v>20</v>
      </c>
    </row>
    <row r="79" spans="2:21" ht="15.95" customHeight="1" x14ac:dyDescent="0.2">
      <c r="B79" s="485"/>
      <c r="C79" s="452"/>
      <c r="D79" s="452"/>
      <c r="F79" s="452"/>
      <c r="G79" s="383"/>
      <c r="H79" s="452"/>
      <c r="I79" s="452"/>
      <c r="J79" s="452"/>
      <c r="K79" s="452"/>
      <c r="L79" s="452"/>
      <c r="M79" s="486"/>
    </row>
    <row r="80" spans="2:21" ht="15.95" customHeight="1" x14ac:dyDescent="0.2">
      <c r="B80" s="82"/>
      <c r="C80" s="242" t="s">
        <v>481</v>
      </c>
      <c r="D80" s="227"/>
      <c r="E80" s="228"/>
      <c r="F80" s="242"/>
      <c r="G80" s="227"/>
      <c r="H80" s="227"/>
      <c r="I80" s="227"/>
      <c r="J80" s="227"/>
      <c r="K80" s="227"/>
      <c r="L80" s="227"/>
      <c r="M80" s="274"/>
    </row>
    <row r="81" spans="2:21" ht="15.95" customHeight="1" x14ac:dyDescent="0.2">
      <c r="B81" s="58" t="s">
        <v>350</v>
      </c>
      <c r="C81" s="56" t="s">
        <v>351</v>
      </c>
      <c r="D81" s="55" t="s">
        <v>38</v>
      </c>
      <c r="E81" s="218" t="s">
        <v>38</v>
      </c>
      <c r="F81" s="16" t="s">
        <v>38</v>
      </c>
      <c r="G81" s="24">
        <v>200</v>
      </c>
      <c r="H81" s="16">
        <v>-6</v>
      </c>
      <c r="I81" s="16">
        <v>33</v>
      </c>
      <c r="J81" s="16">
        <v>33.4</v>
      </c>
      <c r="K81" s="169" t="s">
        <v>38</v>
      </c>
      <c r="L81" s="169" t="s">
        <v>38</v>
      </c>
      <c r="M81" s="273"/>
    </row>
    <row r="82" spans="2:21" ht="15.95" customHeight="1" x14ac:dyDescent="0.2">
      <c r="B82" s="259" t="s">
        <v>352</v>
      </c>
      <c r="C82" s="260" t="s">
        <v>353</v>
      </c>
      <c r="D82" s="261" t="s">
        <v>38</v>
      </c>
      <c r="E82" s="261" t="s">
        <v>38</v>
      </c>
      <c r="F82" s="261" t="s">
        <v>38</v>
      </c>
      <c r="G82" s="264">
        <v>10</v>
      </c>
      <c r="H82" s="265">
        <v>-8</v>
      </c>
      <c r="I82" s="265">
        <v>-36</v>
      </c>
      <c r="J82" s="16">
        <v>33.4</v>
      </c>
      <c r="K82" s="265" t="s">
        <v>38</v>
      </c>
      <c r="L82" s="265" t="s">
        <v>38</v>
      </c>
      <c r="M82" s="275"/>
    </row>
    <row r="83" spans="2:21" ht="15.95" customHeight="1" x14ac:dyDescent="0.2">
      <c r="B83" s="268" t="s">
        <v>354</v>
      </c>
      <c r="C83" s="260" t="s">
        <v>355</v>
      </c>
      <c r="D83" s="261" t="s">
        <v>38</v>
      </c>
      <c r="E83" s="261" t="s">
        <v>38</v>
      </c>
      <c r="F83" s="261" t="s">
        <v>38</v>
      </c>
      <c r="G83" s="264">
        <v>10</v>
      </c>
      <c r="H83" s="269">
        <v>-8</v>
      </c>
      <c r="I83" s="269">
        <v>-36.200000000000003</v>
      </c>
      <c r="J83" s="16">
        <v>33.4</v>
      </c>
      <c r="K83" s="265" t="s">
        <v>38</v>
      </c>
      <c r="L83" s="265" t="s">
        <v>38</v>
      </c>
      <c r="M83" s="275"/>
    </row>
    <row r="84" spans="2:21" ht="15.95" customHeight="1" x14ac:dyDescent="0.2">
      <c r="B84" s="243" t="s">
        <v>356</v>
      </c>
      <c r="C84" s="231" t="s">
        <v>357</v>
      </c>
      <c r="D84" s="232" t="s">
        <v>38</v>
      </c>
      <c r="E84" s="232" t="s">
        <v>38</v>
      </c>
      <c r="F84" s="232" t="s">
        <v>38</v>
      </c>
      <c r="G84" s="264">
        <v>20</v>
      </c>
      <c r="H84" s="254">
        <v>16.350000000000001</v>
      </c>
      <c r="I84" s="254">
        <v>-15.2</v>
      </c>
      <c r="J84" s="16">
        <v>33.4</v>
      </c>
      <c r="K84" s="236" t="s">
        <v>38</v>
      </c>
      <c r="L84" s="236" t="s">
        <v>38</v>
      </c>
      <c r="M84" s="275"/>
    </row>
    <row r="85" spans="2:21" ht="15.95" customHeight="1" x14ac:dyDescent="0.2">
      <c r="B85" s="237" t="s">
        <v>358</v>
      </c>
      <c r="C85" s="249" t="s">
        <v>359</v>
      </c>
      <c r="D85" s="238">
        <v>3</v>
      </c>
      <c r="E85" s="239">
        <v>1.506</v>
      </c>
      <c r="F85" s="232">
        <f>2*2</f>
        <v>4</v>
      </c>
      <c r="G85" s="235">
        <v>5</v>
      </c>
      <c r="H85" s="250">
        <v>-12.4</v>
      </c>
      <c r="I85" s="250">
        <v>19.899999999999999</v>
      </c>
      <c r="J85" s="16">
        <v>33.4</v>
      </c>
      <c r="K85" s="241">
        <v>4</v>
      </c>
      <c r="L85" s="241">
        <v>5</v>
      </c>
      <c r="M85" s="275"/>
    </row>
    <row r="86" spans="2:21" ht="15.95" customHeight="1" x14ac:dyDescent="0.2">
      <c r="B86" s="270" t="s">
        <v>360</v>
      </c>
      <c r="C86" s="260" t="s">
        <v>361</v>
      </c>
      <c r="D86" s="261" t="s">
        <v>38</v>
      </c>
      <c r="E86" s="261" t="s">
        <v>38</v>
      </c>
      <c r="F86" s="261" t="s">
        <v>38</v>
      </c>
      <c r="G86" s="264">
        <v>2</v>
      </c>
      <c r="H86" s="267">
        <v>-2</v>
      </c>
      <c r="I86" s="267">
        <v>-14.25</v>
      </c>
      <c r="J86" s="16">
        <v>33.4</v>
      </c>
      <c r="K86" s="265" t="s">
        <v>38</v>
      </c>
      <c r="L86" s="265" t="s">
        <v>38</v>
      </c>
      <c r="M86" s="275"/>
    </row>
    <row r="87" spans="2:21" ht="15.95" customHeight="1" x14ac:dyDescent="0.2">
      <c r="B87" s="270" t="s">
        <v>362</v>
      </c>
      <c r="C87" s="260" t="s">
        <v>363</v>
      </c>
      <c r="D87" s="261" t="s">
        <v>38</v>
      </c>
      <c r="E87" s="261" t="s">
        <v>38</v>
      </c>
      <c r="F87" s="261" t="s">
        <v>38</v>
      </c>
      <c r="G87" s="264">
        <v>2</v>
      </c>
      <c r="H87" s="267">
        <v>-2</v>
      </c>
      <c r="I87" s="267">
        <v>-14.25</v>
      </c>
      <c r="J87" s="16">
        <v>33.4</v>
      </c>
      <c r="K87" s="265" t="s">
        <v>38</v>
      </c>
      <c r="L87" s="265" t="s">
        <v>38</v>
      </c>
      <c r="M87" s="275"/>
    </row>
    <row r="88" spans="2:21" ht="15.95" customHeight="1" x14ac:dyDescent="0.2">
      <c r="B88" s="237" t="s">
        <v>364</v>
      </c>
      <c r="C88" s="249" t="s">
        <v>365</v>
      </c>
      <c r="D88" s="238" t="s">
        <v>38</v>
      </c>
      <c r="E88" s="239" t="s">
        <v>38</v>
      </c>
      <c r="F88" s="250" t="s">
        <v>38</v>
      </c>
      <c r="G88" s="251">
        <v>5</v>
      </c>
      <c r="H88" s="250">
        <v>0</v>
      </c>
      <c r="I88" s="250">
        <v>-31.8</v>
      </c>
      <c r="J88" s="16">
        <v>33.4</v>
      </c>
      <c r="K88" s="250" t="s">
        <v>38</v>
      </c>
      <c r="L88" s="250" t="s">
        <v>38</v>
      </c>
      <c r="M88" s="276"/>
    </row>
    <row r="89" spans="2:21" ht="15.95" customHeight="1" thickBot="1" x14ac:dyDescent="0.25">
      <c r="B89" s="255"/>
      <c r="C89" s="252"/>
      <c r="D89" s="278"/>
      <c r="E89" s="256"/>
      <c r="F89" s="272"/>
      <c r="G89" s="253"/>
      <c r="H89" s="250"/>
      <c r="I89" s="250"/>
      <c r="J89" s="250"/>
      <c r="K89" s="250"/>
      <c r="L89" s="250"/>
      <c r="M89" s="276"/>
    </row>
    <row r="90" spans="2:21" ht="15.95" customHeight="1" thickTop="1" x14ac:dyDescent="0.2">
      <c r="B90" s="318"/>
      <c r="C90" s="319"/>
      <c r="D90" s="320"/>
      <c r="E90" s="321"/>
      <c r="F90" s="322" t="s">
        <v>33</v>
      </c>
      <c r="G90" s="323">
        <f>SUBTOTAL(9,G81:G89)</f>
        <v>254</v>
      </c>
      <c r="H90" s="324">
        <f>IF($G90=0,0,SUMPRODUCT($G82:$G89,H82:H89)/$G90)</f>
        <v>0.38188976377952755</v>
      </c>
      <c r="I90" s="324">
        <f>IF($G90=0,0,SUMPRODUCT($G82:$G89,I82:I89)/$G90)</f>
        <v>-4.4980314960629917</v>
      </c>
      <c r="J90" s="324">
        <f>IF($G90=0,0,SUMPRODUCT($G82:$G89,J82:J89)/$G90)</f>
        <v>7.1007874015748031</v>
      </c>
      <c r="K90" s="324">
        <f>SUBTOTAL(9,K82:K89)</f>
        <v>4</v>
      </c>
      <c r="L90" s="324">
        <f>SUBTOTAL(9,L82:L89)</f>
        <v>5</v>
      </c>
      <c r="M90" s="444"/>
      <c r="O90" s="445" t="s">
        <v>536</v>
      </c>
      <c r="P90" s="446">
        <f t="shared" ref="P90:U90" si="9">G90</f>
        <v>254</v>
      </c>
      <c r="Q90" s="446">
        <f t="shared" si="9"/>
        <v>0.38188976377952755</v>
      </c>
      <c r="R90" s="446">
        <f t="shared" si="9"/>
        <v>-4.4980314960629917</v>
      </c>
      <c r="S90" s="446">
        <f t="shared" si="9"/>
        <v>7.1007874015748031</v>
      </c>
      <c r="T90" s="446">
        <f t="shared" si="9"/>
        <v>4</v>
      </c>
      <c r="U90" s="447">
        <f t="shared" si="9"/>
        <v>5</v>
      </c>
    </row>
    <row r="91" spans="2:21" ht="15.95" customHeight="1" x14ac:dyDescent="0.2">
      <c r="B91" s="485"/>
      <c r="C91" s="452"/>
      <c r="D91" s="452"/>
      <c r="F91" s="452"/>
      <c r="G91" s="383"/>
      <c r="H91" s="452"/>
      <c r="I91" s="452"/>
      <c r="J91" s="452"/>
      <c r="K91" s="452"/>
      <c r="L91" s="452"/>
      <c r="M91" s="486"/>
    </row>
    <row r="92" spans="2:21" ht="15.95" customHeight="1" x14ac:dyDescent="0.2">
      <c r="B92" s="82"/>
      <c r="C92" s="242" t="s">
        <v>482</v>
      </c>
      <c r="D92" s="227"/>
      <c r="E92" s="228"/>
      <c r="F92" s="242"/>
      <c r="G92" s="227"/>
      <c r="H92" s="227"/>
      <c r="I92" s="227"/>
      <c r="J92" s="227"/>
      <c r="K92" s="227"/>
      <c r="L92" s="227"/>
      <c r="M92" s="274"/>
    </row>
    <row r="93" spans="2:21" ht="15.95" customHeight="1" x14ac:dyDescent="0.2">
      <c r="B93" s="58" t="s">
        <v>366</v>
      </c>
      <c r="C93" s="56" t="s">
        <v>367</v>
      </c>
      <c r="D93" s="55" t="s">
        <v>38</v>
      </c>
      <c r="E93" s="218" t="s">
        <v>38</v>
      </c>
      <c r="F93" s="16" t="s">
        <v>38</v>
      </c>
      <c r="G93" s="24">
        <v>5</v>
      </c>
      <c r="H93" s="16">
        <v>26.7</v>
      </c>
      <c r="I93" s="16">
        <v>12.8</v>
      </c>
      <c r="J93" s="16">
        <v>33.4</v>
      </c>
      <c r="K93" s="169" t="s">
        <v>38</v>
      </c>
      <c r="L93" s="169" t="s">
        <v>38</v>
      </c>
      <c r="M93" s="273"/>
    </row>
    <row r="94" spans="2:21" ht="15.95" customHeight="1" x14ac:dyDescent="0.2">
      <c r="B94" s="237" t="s">
        <v>368</v>
      </c>
      <c r="C94" s="231" t="s">
        <v>369</v>
      </c>
      <c r="D94" s="232" t="s">
        <v>38</v>
      </c>
      <c r="E94" s="232" t="s">
        <v>38</v>
      </c>
      <c r="F94" s="232" t="s">
        <v>38</v>
      </c>
      <c r="G94" s="264">
        <v>10</v>
      </c>
      <c r="H94" s="241">
        <v>30</v>
      </c>
      <c r="I94" s="241">
        <v>14.5</v>
      </c>
      <c r="J94" s="16">
        <v>33.4</v>
      </c>
      <c r="K94" s="236" t="s">
        <v>38</v>
      </c>
      <c r="L94" s="236" t="s">
        <v>38</v>
      </c>
      <c r="M94" s="275"/>
    </row>
    <row r="95" spans="2:21" ht="15.95" customHeight="1" x14ac:dyDescent="0.2">
      <c r="B95" s="230" t="s">
        <v>370</v>
      </c>
      <c r="C95" s="231" t="s">
        <v>367</v>
      </c>
      <c r="D95" s="232" t="s">
        <v>38</v>
      </c>
      <c r="E95" s="232" t="s">
        <v>38</v>
      </c>
      <c r="F95" s="232" t="s">
        <v>38</v>
      </c>
      <c r="G95" s="264">
        <v>5</v>
      </c>
      <c r="H95" s="236">
        <v>26.7</v>
      </c>
      <c r="I95" s="236">
        <v>-12.8</v>
      </c>
      <c r="J95" s="16">
        <v>33.4</v>
      </c>
      <c r="K95" s="236" t="s">
        <v>38</v>
      </c>
      <c r="L95" s="236" t="s">
        <v>38</v>
      </c>
      <c r="M95" s="275"/>
    </row>
    <row r="96" spans="2:21" ht="15.95" customHeight="1" x14ac:dyDescent="0.2">
      <c r="B96" s="237" t="s">
        <v>371</v>
      </c>
      <c r="C96" s="231" t="s">
        <v>369</v>
      </c>
      <c r="D96" s="232" t="s">
        <v>38</v>
      </c>
      <c r="E96" s="232" t="s">
        <v>38</v>
      </c>
      <c r="F96" s="232" t="s">
        <v>38</v>
      </c>
      <c r="G96" s="264">
        <v>5</v>
      </c>
      <c r="H96" s="241">
        <v>37</v>
      </c>
      <c r="I96" s="241">
        <v>-20.6</v>
      </c>
      <c r="J96" s="16">
        <v>33.4</v>
      </c>
      <c r="K96" s="236" t="s">
        <v>38</v>
      </c>
      <c r="L96" s="236" t="s">
        <v>38</v>
      </c>
      <c r="M96" s="275"/>
    </row>
    <row r="97" spans="2:21" ht="15.95" customHeight="1" x14ac:dyDescent="0.2">
      <c r="B97" s="237" t="s">
        <v>372</v>
      </c>
      <c r="C97" s="258" t="s">
        <v>373</v>
      </c>
      <c r="D97" s="232" t="s">
        <v>38</v>
      </c>
      <c r="E97" s="232" t="s">
        <v>38</v>
      </c>
      <c r="F97" s="232" t="s">
        <v>38</v>
      </c>
      <c r="G97" s="264">
        <v>200</v>
      </c>
      <c r="H97" s="241">
        <v>12</v>
      </c>
      <c r="I97" s="241">
        <v>0</v>
      </c>
      <c r="J97" s="241">
        <v>33.4</v>
      </c>
      <c r="K97" s="236" t="s">
        <v>38</v>
      </c>
      <c r="L97" s="236" t="s">
        <v>38</v>
      </c>
      <c r="M97" s="275"/>
    </row>
    <row r="98" spans="2:21" ht="15.95" customHeight="1" x14ac:dyDescent="0.2">
      <c r="B98" s="243" t="s">
        <v>374</v>
      </c>
      <c r="C98" s="258" t="s">
        <v>375</v>
      </c>
      <c r="D98" s="232" t="s">
        <v>38</v>
      </c>
      <c r="E98" s="232" t="s">
        <v>38</v>
      </c>
      <c r="F98" s="232" t="s">
        <v>38</v>
      </c>
      <c r="G98" s="264">
        <v>20</v>
      </c>
      <c r="H98" s="254">
        <v>10.7</v>
      </c>
      <c r="I98" s="254">
        <v>15.4</v>
      </c>
      <c r="J98" s="241">
        <v>33.4</v>
      </c>
      <c r="K98" s="236" t="s">
        <v>38</v>
      </c>
      <c r="L98" s="236" t="s">
        <v>38</v>
      </c>
      <c r="M98" s="275"/>
    </row>
    <row r="99" spans="2:21" ht="15.95" customHeight="1" thickBot="1" x14ac:dyDescent="0.25">
      <c r="B99" s="255"/>
      <c r="C99" s="252"/>
      <c r="D99" s="278"/>
      <c r="E99" s="256"/>
      <c r="F99" s="272"/>
      <c r="G99" s="253"/>
      <c r="H99" s="250"/>
      <c r="I99" s="250"/>
      <c r="J99" s="250"/>
      <c r="K99" s="250"/>
      <c r="L99" s="250"/>
      <c r="M99" s="276"/>
    </row>
    <row r="100" spans="2:21" ht="15.95" customHeight="1" thickTop="1" x14ac:dyDescent="0.2">
      <c r="B100" s="318"/>
      <c r="C100" s="319"/>
      <c r="D100" s="320"/>
      <c r="E100" s="321"/>
      <c r="F100" s="322" t="s">
        <v>33</v>
      </c>
      <c r="G100" s="323">
        <f>SUBTOTAL(9,G93:G99)</f>
        <v>245</v>
      </c>
      <c r="H100" s="324">
        <f>IF($G100=0,0,SUMPRODUCT($G93:$G99,H93:H99)/$G100)</f>
        <v>13.738775510204082</v>
      </c>
      <c r="I100" s="324">
        <f>IF($G100=0,0,SUMPRODUCT($G93:$G99,I93:I99)/$G100)</f>
        <v>1.4285714285714286</v>
      </c>
      <c r="J100" s="324">
        <f>IF($G100=0,0,SUMPRODUCT($G93:$G99,J93:J99)/$G100)</f>
        <v>33.4</v>
      </c>
      <c r="K100" s="324">
        <f>SUBTOTAL(9,K93:K99)</f>
        <v>0</v>
      </c>
      <c r="L100" s="324">
        <f>SUBTOTAL(9,L93:L99)</f>
        <v>0</v>
      </c>
      <c r="M100" s="444"/>
      <c r="O100" s="445" t="s">
        <v>537</v>
      </c>
      <c r="P100" s="446">
        <f t="shared" ref="P100:U100" si="10">G100</f>
        <v>245</v>
      </c>
      <c r="Q100" s="446">
        <f t="shared" si="10"/>
        <v>13.738775510204082</v>
      </c>
      <c r="R100" s="446">
        <f t="shared" si="10"/>
        <v>1.4285714285714286</v>
      </c>
      <c r="S100" s="446">
        <f t="shared" si="10"/>
        <v>33.4</v>
      </c>
      <c r="T100" s="446">
        <f t="shared" si="10"/>
        <v>0</v>
      </c>
      <c r="U100" s="447">
        <f t="shared" si="10"/>
        <v>0</v>
      </c>
    </row>
    <row r="101" spans="2:21" ht="15.95" customHeight="1" x14ac:dyDescent="0.2">
      <c r="B101" s="485"/>
      <c r="C101" s="452"/>
      <c r="D101" s="452"/>
      <c r="F101" s="452"/>
      <c r="G101" s="383"/>
      <c r="H101" s="452"/>
      <c r="I101" s="452"/>
      <c r="J101" s="452"/>
      <c r="K101" s="452"/>
      <c r="L101" s="452"/>
      <c r="M101" s="486"/>
    </row>
    <row r="102" spans="2:21" ht="15.95" customHeight="1" x14ac:dyDescent="0.2">
      <c r="B102" s="82"/>
      <c r="C102" s="242" t="s">
        <v>422</v>
      </c>
      <c r="D102" s="227"/>
      <c r="E102" s="228"/>
      <c r="F102" s="242"/>
      <c r="G102" s="227"/>
      <c r="H102" s="227"/>
      <c r="I102" s="227"/>
      <c r="J102" s="227"/>
      <c r="K102" s="227"/>
      <c r="L102" s="227"/>
      <c r="M102" s="274"/>
    </row>
    <row r="103" spans="2:21" ht="15.95" customHeight="1" x14ac:dyDescent="0.2">
      <c r="B103" s="230" t="s">
        <v>447</v>
      </c>
      <c r="C103" s="231" t="s">
        <v>445</v>
      </c>
      <c r="D103" s="225"/>
      <c r="E103" s="232">
        <v>10</v>
      </c>
      <c r="F103" s="233">
        <v>1</v>
      </c>
      <c r="G103" s="235">
        <f>+E103*F103</f>
        <v>10</v>
      </c>
      <c r="H103" s="236">
        <v>22</v>
      </c>
      <c r="I103" s="236">
        <v>0</v>
      </c>
      <c r="J103" s="236">
        <v>34</v>
      </c>
      <c r="K103" s="236" t="s">
        <v>38</v>
      </c>
      <c r="L103" s="236" t="s">
        <v>38</v>
      </c>
      <c r="M103" s="275"/>
    </row>
    <row r="104" spans="2:21" ht="15.95" customHeight="1" x14ac:dyDescent="0.2">
      <c r="B104" s="230" t="s">
        <v>448</v>
      </c>
      <c r="C104" s="231" t="s">
        <v>446</v>
      </c>
      <c r="D104" s="225"/>
      <c r="E104" s="238">
        <v>15</v>
      </c>
      <c r="F104" s="239">
        <v>1</v>
      </c>
      <c r="G104" s="235">
        <v>25</v>
      </c>
      <c r="H104" s="241">
        <v>22</v>
      </c>
      <c r="I104" s="241">
        <v>0</v>
      </c>
      <c r="J104" s="236">
        <v>34</v>
      </c>
      <c r="K104" s="236" t="s">
        <v>38</v>
      </c>
      <c r="L104" s="236" t="s">
        <v>38</v>
      </c>
      <c r="M104" s="275"/>
    </row>
    <row r="105" spans="2:21" ht="15.95" customHeight="1" x14ac:dyDescent="0.2">
      <c r="B105" s="315" t="s">
        <v>449</v>
      </c>
      <c r="C105" s="252" t="s">
        <v>39</v>
      </c>
      <c r="D105" s="225"/>
      <c r="E105" s="278">
        <v>10</v>
      </c>
      <c r="F105" s="256">
        <v>1</v>
      </c>
      <c r="G105" s="253">
        <v>15</v>
      </c>
      <c r="H105" s="241">
        <v>22</v>
      </c>
      <c r="I105" s="241">
        <v>0</v>
      </c>
      <c r="J105" s="236">
        <v>34</v>
      </c>
      <c r="K105" s="236" t="s">
        <v>38</v>
      </c>
      <c r="L105" s="236" t="s">
        <v>38</v>
      </c>
      <c r="M105" s="276"/>
    </row>
    <row r="106" spans="2:21" ht="15.95" customHeight="1" thickBot="1" x14ac:dyDescent="0.25">
      <c r="B106" s="255"/>
      <c r="C106" s="252"/>
      <c r="D106" s="278"/>
      <c r="E106" s="256"/>
      <c r="F106" s="272"/>
      <c r="G106" s="253"/>
      <c r="H106" s="250"/>
      <c r="I106" s="250"/>
      <c r="J106" s="250"/>
      <c r="K106" s="250"/>
      <c r="L106" s="250"/>
      <c r="M106" s="276"/>
    </row>
    <row r="107" spans="2:21" ht="15.95" customHeight="1" thickTop="1" x14ac:dyDescent="0.2">
      <c r="B107" s="318"/>
      <c r="C107" s="319"/>
      <c r="D107" s="320"/>
      <c r="E107" s="321"/>
      <c r="F107" s="322" t="s">
        <v>33</v>
      </c>
      <c r="G107" s="323">
        <f>SUBTOTAL(9,G103:G106)</f>
        <v>50</v>
      </c>
      <c r="H107" s="324">
        <f>IF($G107=0,0,SUMPRODUCT($G103:$G106,H103:H106)/$G107)</f>
        <v>22</v>
      </c>
      <c r="I107" s="324">
        <f>IF($G107=0,0,SUMPRODUCT($G103:$G106,I103:I106)/$G107)</f>
        <v>0</v>
      </c>
      <c r="J107" s="324">
        <f>IF($G107=0,0,SUMPRODUCT($G103:$G106,J103:J106)/$G107)</f>
        <v>34</v>
      </c>
      <c r="K107" s="324" t="s">
        <v>38</v>
      </c>
      <c r="L107" s="324" t="s">
        <v>38</v>
      </c>
      <c r="M107" s="444"/>
      <c r="O107" s="445" t="s">
        <v>538</v>
      </c>
      <c r="P107" s="446">
        <f t="shared" ref="P107:U107" si="11">G107</f>
        <v>50</v>
      </c>
      <c r="Q107" s="446">
        <f t="shared" si="11"/>
        <v>22</v>
      </c>
      <c r="R107" s="446">
        <f t="shared" si="11"/>
        <v>0</v>
      </c>
      <c r="S107" s="446">
        <f t="shared" si="11"/>
        <v>34</v>
      </c>
      <c r="T107" s="446" t="str">
        <f t="shared" si="11"/>
        <v>n/a</v>
      </c>
      <c r="U107" s="447" t="str">
        <f t="shared" si="11"/>
        <v>n/a</v>
      </c>
    </row>
    <row r="108" spans="2:21" ht="15.95" customHeight="1" x14ac:dyDescent="0.2">
      <c r="B108" s="485"/>
      <c r="C108" s="452"/>
      <c r="D108" s="452"/>
      <c r="F108" s="452"/>
      <c r="G108" s="383"/>
      <c r="H108" s="452"/>
      <c r="I108" s="452"/>
      <c r="J108" s="452"/>
      <c r="K108" s="452"/>
      <c r="L108" s="452"/>
      <c r="M108" s="486"/>
    </row>
    <row r="109" spans="2:21" ht="15.95" customHeight="1" x14ac:dyDescent="0.2">
      <c r="B109" s="463"/>
      <c r="C109" s="470" t="s">
        <v>531</v>
      </c>
      <c r="D109" s="464"/>
      <c r="E109" s="465"/>
      <c r="F109" s="466"/>
      <c r="G109" s="467"/>
      <c r="H109" s="468"/>
      <c r="I109" s="468"/>
      <c r="J109" s="468"/>
      <c r="K109" s="468"/>
      <c r="L109" s="468"/>
      <c r="M109" s="469"/>
    </row>
    <row r="110" spans="2:21" ht="15.95" customHeight="1" x14ac:dyDescent="0.2">
      <c r="B110" s="243"/>
      <c r="C110" s="244"/>
      <c r="D110" s="245"/>
      <c r="E110" s="246"/>
      <c r="F110" s="279"/>
      <c r="G110" s="280"/>
      <c r="H110" s="281"/>
      <c r="I110" s="281"/>
      <c r="J110" s="281"/>
      <c r="K110" s="281"/>
      <c r="L110" s="281"/>
      <c r="M110" s="282"/>
    </row>
    <row r="111" spans="2:21" ht="15.95" customHeight="1" x14ac:dyDescent="0.2">
      <c r="B111" s="82"/>
      <c r="C111" s="242" t="s">
        <v>486</v>
      </c>
      <c r="D111" s="227"/>
      <c r="E111" s="228"/>
      <c r="F111" s="242"/>
      <c r="G111" s="227"/>
      <c r="H111" s="227"/>
      <c r="I111" s="227"/>
      <c r="J111" s="227"/>
      <c r="K111" s="227"/>
      <c r="L111" s="227"/>
      <c r="M111" s="274"/>
    </row>
    <row r="112" spans="2:21" ht="15.95" customHeight="1" x14ac:dyDescent="0.2">
      <c r="B112" s="230" t="s">
        <v>377</v>
      </c>
      <c r="C112" s="343" t="s">
        <v>378</v>
      </c>
      <c r="D112" s="345"/>
      <c r="E112" s="232">
        <v>26.3</v>
      </c>
      <c r="F112" s="232">
        <v>25000</v>
      </c>
      <c r="G112" s="235">
        <f>+E112*F112/2205</f>
        <v>298.18594104308391</v>
      </c>
      <c r="H112" s="236">
        <v>-2</v>
      </c>
      <c r="I112" s="236">
        <v>0</v>
      </c>
      <c r="J112" s="236">
        <v>37.6</v>
      </c>
      <c r="K112" s="236" t="s">
        <v>38</v>
      </c>
      <c r="L112" s="236" t="s">
        <v>38</v>
      </c>
      <c r="M112" s="273"/>
    </row>
    <row r="113" spans="2:21" ht="15.95" customHeight="1" x14ac:dyDescent="0.2">
      <c r="B113" s="230" t="s">
        <v>379</v>
      </c>
      <c r="C113" s="342" t="s">
        <v>380</v>
      </c>
      <c r="D113" s="346"/>
      <c r="E113" s="232">
        <v>19.5</v>
      </c>
      <c r="F113" s="233">
        <v>5000</v>
      </c>
      <c r="G113" s="235">
        <f>+E113*F113/2205</f>
        <v>44.217687074829932</v>
      </c>
      <c r="H113" s="236">
        <v>-2</v>
      </c>
      <c r="I113" s="236">
        <v>0</v>
      </c>
      <c r="J113" s="236">
        <v>37.6</v>
      </c>
      <c r="K113" s="236" t="s">
        <v>38</v>
      </c>
      <c r="L113" s="236" t="s">
        <v>38</v>
      </c>
      <c r="M113" s="273"/>
    </row>
    <row r="114" spans="2:21" ht="15.95" customHeight="1" x14ac:dyDescent="0.2">
      <c r="B114" s="230" t="s">
        <v>381</v>
      </c>
      <c r="C114" s="343" t="s">
        <v>382</v>
      </c>
      <c r="D114" s="346"/>
      <c r="E114" s="232">
        <v>38.700000000000003</v>
      </c>
      <c r="F114" s="233">
        <v>900</v>
      </c>
      <c r="G114" s="235">
        <f>+E114*F114/2205</f>
        <v>15.795918367346939</v>
      </c>
      <c r="H114" s="236">
        <v>-2</v>
      </c>
      <c r="I114" s="236">
        <v>0</v>
      </c>
      <c r="J114" s="236">
        <v>37.6</v>
      </c>
      <c r="K114" s="236" t="s">
        <v>38</v>
      </c>
      <c r="L114" s="236" t="s">
        <v>38</v>
      </c>
      <c r="M114" s="273"/>
    </row>
    <row r="115" spans="2:21" ht="15.95" customHeight="1" x14ac:dyDescent="0.2">
      <c r="B115" s="230" t="s">
        <v>383</v>
      </c>
      <c r="C115" s="343" t="s">
        <v>384</v>
      </c>
      <c r="D115" s="346"/>
      <c r="E115" s="232">
        <v>148</v>
      </c>
      <c r="F115" s="233">
        <f>31*24</f>
        <v>744</v>
      </c>
      <c r="G115" s="235">
        <f>+E115*F115/2205</f>
        <v>49.937414965986392</v>
      </c>
      <c r="H115" s="236">
        <v>-2</v>
      </c>
      <c r="I115" s="236">
        <v>0</v>
      </c>
      <c r="J115" s="236">
        <v>37.6</v>
      </c>
      <c r="K115" s="236" t="s">
        <v>38</v>
      </c>
      <c r="L115" s="236" t="s">
        <v>38</v>
      </c>
      <c r="M115" s="273"/>
    </row>
    <row r="116" spans="2:21" ht="15.95" customHeight="1" x14ac:dyDescent="0.2">
      <c r="B116" s="230" t="s">
        <v>385</v>
      </c>
      <c r="C116" s="343" t="s">
        <v>386</v>
      </c>
      <c r="D116" s="346"/>
      <c r="E116" s="232">
        <v>100</v>
      </c>
      <c r="F116" s="233">
        <f>31*24</f>
        <v>744</v>
      </c>
      <c r="G116" s="235">
        <f>+E116*F116/2205</f>
        <v>33.741496598639458</v>
      </c>
      <c r="H116" s="236">
        <v>-2</v>
      </c>
      <c r="I116" s="236">
        <v>0</v>
      </c>
      <c r="J116" s="236">
        <v>37.6</v>
      </c>
      <c r="K116" s="236" t="s">
        <v>38</v>
      </c>
      <c r="L116" s="236" t="s">
        <v>38</v>
      </c>
      <c r="M116" s="273"/>
    </row>
    <row r="117" spans="2:21" ht="15.95" customHeight="1" x14ac:dyDescent="0.2">
      <c r="B117" s="315"/>
      <c r="C117" s="344" t="s">
        <v>511</v>
      </c>
      <c r="D117" s="367"/>
      <c r="E117" s="368"/>
      <c r="F117" s="369"/>
      <c r="G117" s="253">
        <v>300</v>
      </c>
      <c r="H117" s="254">
        <v>-10</v>
      </c>
      <c r="I117" s="254">
        <v>0</v>
      </c>
      <c r="J117" s="236">
        <v>37.6</v>
      </c>
      <c r="K117" s="254"/>
      <c r="L117" s="254"/>
      <c r="M117" s="277"/>
    </row>
    <row r="118" spans="2:21" ht="15.95" customHeight="1" thickBot="1" x14ac:dyDescent="0.25">
      <c r="B118" s="255"/>
      <c r="C118" s="344"/>
      <c r="D118" s="347"/>
      <c r="E118" s="256"/>
      <c r="F118" s="272"/>
      <c r="G118" s="253"/>
      <c r="H118" s="250"/>
      <c r="I118" s="250"/>
      <c r="J118" s="250"/>
      <c r="K118" s="250"/>
      <c r="L118" s="250"/>
      <c r="M118" s="276"/>
    </row>
    <row r="119" spans="2:21" ht="15.95" customHeight="1" thickTop="1" x14ac:dyDescent="0.2">
      <c r="B119" s="318"/>
      <c r="C119" s="319"/>
      <c r="D119" s="320"/>
      <c r="E119" s="321"/>
      <c r="F119" s="322" t="s">
        <v>33</v>
      </c>
      <c r="G119" s="323">
        <f>SUBTOTAL(9,G112:G118)</f>
        <v>741.8784580498866</v>
      </c>
      <c r="H119" s="324">
        <f>IF($G119=0,0,SUMPRODUCT($G112:$G118,H112:H118)/$G119)</f>
        <v>-5.2350312560748531</v>
      </c>
      <c r="I119" s="324">
        <f>IF($G119=0,0,SUMPRODUCT($G112:$G118,I112:I118)/$G119)</f>
        <v>0</v>
      </c>
      <c r="J119" s="324">
        <f>IF($G119=0,0,SUMPRODUCT($G112:$G118,J112:J118)/$G119)</f>
        <v>37.6</v>
      </c>
      <c r="K119" s="324">
        <f>SUBTOTAL(9,K112:K118)</f>
        <v>0</v>
      </c>
      <c r="L119" s="324">
        <f>SUBTOTAL(9,L112:L118)</f>
        <v>0</v>
      </c>
      <c r="M119" s="444"/>
      <c r="O119" s="445" t="s">
        <v>542</v>
      </c>
      <c r="P119" s="446">
        <f t="shared" ref="P119:U119" si="12">G119</f>
        <v>741.8784580498866</v>
      </c>
      <c r="Q119" s="446">
        <f t="shared" si="12"/>
        <v>-5.2350312560748531</v>
      </c>
      <c r="R119" s="446">
        <f t="shared" si="12"/>
        <v>0</v>
      </c>
      <c r="S119" s="446">
        <f t="shared" si="12"/>
        <v>37.6</v>
      </c>
      <c r="T119" s="446">
        <f t="shared" si="12"/>
        <v>0</v>
      </c>
      <c r="U119" s="447">
        <f t="shared" si="12"/>
        <v>0</v>
      </c>
    </row>
    <row r="120" spans="2:21" ht="15.95" customHeight="1" x14ac:dyDescent="0.2">
      <c r="B120" s="485"/>
      <c r="C120" s="452"/>
      <c r="D120" s="452"/>
      <c r="F120" s="452"/>
      <c r="G120" s="383"/>
      <c r="H120" s="452"/>
      <c r="I120" s="452"/>
      <c r="J120" s="452"/>
      <c r="K120" s="452"/>
      <c r="L120" s="452"/>
      <c r="M120" s="486"/>
    </row>
    <row r="121" spans="2:21" ht="15.95" customHeight="1" x14ac:dyDescent="0.2">
      <c r="B121" s="82"/>
      <c r="C121" s="242" t="s">
        <v>421</v>
      </c>
      <c r="D121" s="227"/>
      <c r="E121" s="228"/>
      <c r="F121" s="242"/>
      <c r="G121" s="227"/>
      <c r="H121" s="227"/>
      <c r="I121" s="227"/>
      <c r="J121" s="227"/>
      <c r="K121" s="227"/>
      <c r="L121" s="227"/>
      <c r="M121" s="274"/>
    </row>
    <row r="122" spans="2:21" ht="15.95" customHeight="1" x14ac:dyDescent="0.2">
      <c r="B122" s="58"/>
      <c r="C122" s="56" t="s">
        <v>387</v>
      </c>
      <c r="D122" s="55"/>
      <c r="E122" s="218" t="s">
        <v>38</v>
      </c>
      <c r="F122" s="16" t="s">
        <v>38</v>
      </c>
      <c r="G122" s="24">
        <v>0</v>
      </c>
      <c r="H122" s="16">
        <v>4</v>
      </c>
      <c r="I122" s="16">
        <v>0</v>
      </c>
      <c r="J122" s="16">
        <v>73.5</v>
      </c>
      <c r="K122" s="169" t="s">
        <v>38</v>
      </c>
      <c r="L122" s="169" t="s">
        <v>38</v>
      </c>
      <c r="M122" s="273" t="s">
        <v>500</v>
      </c>
    </row>
    <row r="123" spans="2:21" ht="15.95" customHeight="1" thickBot="1" x14ac:dyDescent="0.25">
      <c r="B123" s="255"/>
      <c r="C123" s="252"/>
      <c r="D123" s="278"/>
      <c r="E123" s="256"/>
      <c r="F123" s="272"/>
      <c r="G123" s="253"/>
      <c r="H123" s="250"/>
      <c r="I123" s="250"/>
      <c r="J123" s="250"/>
      <c r="K123" s="250"/>
      <c r="L123" s="250"/>
      <c r="M123" s="276"/>
    </row>
    <row r="124" spans="2:21" ht="15.95" customHeight="1" thickTop="1" x14ac:dyDescent="0.2">
      <c r="B124" s="318"/>
      <c r="C124" s="319"/>
      <c r="D124" s="320"/>
      <c r="E124" s="321"/>
      <c r="F124" s="322" t="s">
        <v>33</v>
      </c>
      <c r="G124" s="323">
        <f>SUBTOTAL(9,G122:G123)</f>
        <v>0</v>
      </c>
      <c r="H124" s="324">
        <f>IF($G124=0,0,SUMPRODUCT($G122:$G123,H122:H123)/$G124)</f>
        <v>0</v>
      </c>
      <c r="I124" s="324">
        <f>IF($G124=0,0,SUMPRODUCT($G122:$G123,I122:I123)/$G124)</f>
        <v>0</v>
      </c>
      <c r="J124" s="324">
        <f>IF($G124=0,0,SUMPRODUCT($G122:$G123,J122:J123)/$G124)</f>
        <v>0</v>
      </c>
      <c r="K124" s="324">
        <f>SUBTOTAL(9,K122:K123)</f>
        <v>0</v>
      </c>
      <c r="L124" s="324">
        <f>SUBTOTAL(9,L122:L123)</f>
        <v>0</v>
      </c>
      <c r="M124" s="444"/>
      <c r="O124" s="445" t="s">
        <v>539</v>
      </c>
      <c r="P124" s="446">
        <f t="shared" ref="P124:U124" si="13">G124</f>
        <v>0</v>
      </c>
      <c r="Q124" s="446">
        <f t="shared" si="13"/>
        <v>0</v>
      </c>
      <c r="R124" s="446">
        <f t="shared" si="13"/>
        <v>0</v>
      </c>
      <c r="S124" s="446">
        <f t="shared" si="13"/>
        <v>0</v>
      </c>
      <c r="T124" s="446">
        <f t="shared" si="13"/>
        <v>0</v>
      </c>
      <c r="U124" s="447">
        <f t="shared" si="13"/>
        <v>0</v>
      </c>
    </row>
    <row r="125" spans="2:21" ht="15.95" customHeight="1" x14ac:dyDescent="0.2">
      <c r="B125" s="485"/>
      <c r="C125" s="452"/>
      <c r="D125" s="452"/>
      <c r="F125" s="452"/>
      <c r="G125" s="383"/>
      <c r="H125" s="452"/>
      <c r="I125" s="452"/>
      <c r="J125" s="452"/>
      <c r="K125" s="452"/>
      <c r="L125" s="452"/>
      <c r="M125" s="486"/>
    </row>
    <row r="126" spans="2:21" ht="15.95" customHeight="1" x14ac:dyDescent="0.2">
      <c r="B126" s="82"/>
      <c r="C126" s="242" t="s">
        <v>483</v>
      </c>
      <c r="D126" s="227"/>
      <c r="E126" s="228"/>
      <c r="F126" s="242"/>
      <c r="G126" s="227"/>
      <c r="H126" s="227"/>
      <c r="I126" s="227"/>
      <c r="J126" s="227"/>
      <c r="K126" s="227"/>
      <c r="L126" s="227"/>
      <c r="M126" s="274"/>
    </row>
    <row r="127" spans="2:21" ht="15.95" customHeight="1" x14ac:dyDescent="0.2">
      <c r="B127" s="58" t="s">
        <v>388</v>
      </c>
      <c r="C127" s="56" t="s">
        <v>484</v>
      </c>
      <c r="D127" s="55"/>
      <c r="E127" s="218" t="s">
        <v>38</v>
      </c>
      <c r="F127" s="16" t="s">
        <v>38</v>
      </c>
      <c r="G127" s="24">
        <v>100</v>
      </c>
      <c r="H127" s="16">
        <v>-6.31</v>
      </c>
      <c r="I127" s="16">
        <v>41.36</v>
      </c>
      <c r="J127" s="16">
        <v>36.6</v>
      </c>
      <c r="K127" s="169"/>
      <c r="L127" s="169"/>
      <c r="M127" s="273"/>
    </row>
    <row r="128" spans="2:21" ht="15.95" customHeight="1" x14ac:dyDescent="0.2">
      <c r="B128" s="58" t="s">
        <v>389</v>
      </c>
      <c r="C128" s="56" t="s">
        <v>485</v>
      </c>
      <c r="D128" s="55"/>
      <c r="E128" s="218" t="s">
        <v>38</v>
      </c>
      <c r="F128" s="16" t="s">
        <v>38</v>
      </c>
      <c r="G128" s="24">
        <v>100</v>
      </c>
      <c r="H128" s="16">
        <v>-6.31</v>
      </c>
      <c r="I128" s="16">
        <v>-41.36</v>
      </c>
      <c r="J128" s="16">
        <v>36.6</v>
      </c>
      <c r="K128" s="169"/>
      <c r="L128" s="169"/>
      <c r="M128" s="273"/>
    </row>
    <row r="129" spans="2:21" ht="15.95" customHeight="1" thickBot="1" x14ac:dyDescent="0.25">
      <c r="B129" s="255"/>
      <c r="C129" s="252"/>
      <c r="D129" s="278"/>
      <c r="E129" s="256"/>
      <c r="F129" s="272"/>
      <c r="G129" s="253"/>
      <c r="H129" s="250"/>
      <c r="I129" s="250"/>
      <c r="J129" s="250"/>
      <c r="K129" s="250"/>
      <c r="L129" s="250"/>
      <c r="M129" s="276"/>
    </row>
    <row r="130" spans="2:21" ht="15.95" customHeight="1" thickTop="1" x14ac:dyDescent="0.2">
      <c r="B130" s="318"/>
      <c r="C130" s="319"/>
      <c r="D130" s="320"/>
      <c r="E130" s="321"/>
      <c r="F130" s="322" t="s">
        <v>33</v>
      </c>
      <c r="G130" s="323">
        <f>SUBTOTAL(9,G127:G129)</f>
        <v>200</v>
      </c>
      <c r="H130" s="324">
        <f>IF($G130=0,0,SUMPRODUCT($G127:$G129,H127:H129)/$G130)</f>
        <v>-6.31</v>
      </c>
      <c r="I130" s="324">
        <f>IF($G130=0,0,SUMPRODUCT($G127:$G129,I127:I129)/$G130)</f>
        <v>0</v>
      </c>
      <c r="J130" s="324">
        <f>IF($G130=0,0,SUMPRODUCT($G127:$G129,J127:J129)/$G130)</f>
        <v>36.6</v>
      </c>
      <c r="K130" s="324">
        <f>SUBTOTAL(9,K127:K129)</f>
        <v>0</v>
      </c>
      <c r="L130" s="324">
        <f>SUBTOTAL(9,L127:L129)</f>
        <v>0</v>
      </c>
      <c r="M130" s="444"/>
      <c r="O130" s="445" t="s">
        <v>540</v>
      </c>
      <c r="P130" s="446">
        <f t="shared" ref="P130:U130" si="14">G130</f>
        <v>200</v>
      </c>
      <c r="Q130" s="446">
        <f t="shared" si="14"/>
        <v>-6.31</v>
      </c>
      <c r="R130" s="446">
        <f t="shared" si="14"/>
        <v>0</v>
      </c>
      <c r="S130" s="446">
        <f t="shared" si="14"/>
        <v>36.6</v>
      </c>
      <c r="T130" s="446">
        <f t="shared" si="14"/>
        <v>0</v>
      </c>
      <c r="U130" s="447">
        <f t="shared" si="14"/>
        <v>0</v>
      </c>
    </row>
    <row r="131" spans="2:21" ht="15.95" customHeight="1" x14ac:dyDescent="0.2">
      <c r="B131" s="485"/>
      <c r="C131" s="452"/>
      <c r="D131" s="452"/>
      <c r="F131" s="452"/>
      <c r="G131" s="383"/>
      <c r="H131" s="452"/>
      <c r="I131" s="452"/>
      <c r="J131" s="452"/>
      <c r="K131" s="452"/>
      <c r="L131" s="452"/>
      <c r="M131" s="486"/>
    </row>
    <row r="132" spans="2:21" ht="15.95" customHeight="1" x14ac:dyDescent="0.2">
      <c r="B132" s="82"/>
      <c r="C132" s="242" t="s">
        <v>492</v>
      </c>
      <c r="D132" s="227"/>
      <c r="E132" s="228"/>
      <c r="F132" s="242"/>
      <c r="G132" s="227"/>
      <c r="H132" s="227"/>
      <c r="I132" s="227"/>
      <c r="J132" s="227"/>
      <c r="K132" s="227"/>
      <c r="L132" s="227"/>
      <c r="M132" s="274"/>
    </row>
    <row r="133" spans="2:21" ht="15.95" customHeight="1" x14ac:dyDescent="0.2">
      <c r="B133" s="230" t="s">
        <v>390</v>
      </c>
      <c r="C133" s="231" t="s">
        <v>391</v>
      </c>
      <c r="D133" s="232">
        <v>50</v>
      </c>
      <c r="E133" s="233">
        <v>1.73</v>
      </c>
      <c r="F133" s="234">
        <v>8</v>
      </c>
      <c r="G133" s="235">
        <f>+E133*F133*D133/100</f>
        <v>6.92</v>
      </c>
      <c r="H133" s="236">
        <v>0</v>
      </c>
      <c r="I133" s="236">
        <v>0</v>
      </c>
      <c r="J133" s="236">
        <v>37</v>
      </c>
      <c r="K133" s="236"/>
      <c r="L133" s="236"/>
      <c r="M133" s="273"/>
    </row>
    <row r="134" spans="2:21" ht="15.95" customHeight="1" x14ac:dyDescent="0.2">
      <c r="B134" s="230" t="s">
        <v>392</v>
      </c>
      <c r="C134" s="231" t="s">
        <v>391</v>
      </c>
      <c r="D134" s="232">
        <v>50</v>
      </c>
      <c r="E134" s="233">
        <v>1.73</v>
      </c>
      <c r="F134" s="234">
        <v>8</v>
      </c>
      <c r="G134" s="235">
        <f t="shared" ref="G134:G140" si="15">+E134*F134*D134/100</f>
        <v>6.92</v>
      </c>
      <c r="H134" s="236">
        <v>0</v>
      </c>
      <c r="I134" s="236">
        <v>0</v>
      </c>
      <c r="J134" s="236">
        <v>37</v>
      </c>
      <c r="K134" s="236"/>
      <c r="L134" s="236"/>
      <c r="M134" s="273"/>
    </row>
    <row r="135" spans="2:21" ht="15.95" customHeight="1" x14ac:dyDescent="0.2">
      <c r="B135" s="230" t="s">
        <v>342</v>
      </c>
      <c r="C135" s="231" t="s">
        <v>393</v>
      </c>
      <c r="D135" s="232">
        <v>50</v>
      </c>
      <c r="E135" s="233">
        <v>1.73</v>
      </c>
      <c r="F135" s="234">
        <v>16</v>
      </c>
      <c r="G135" s="235">
        <f t="shared" si="15"/>
        <v>13.84</v>
      </c>
      <c r="H135" s="236">
        <v>0</v>
      </c>
      <c r="I135" s="236">
        <v>0</v>
      </c>
      <c r="J135" s="236">
        <v>37</v>
      </c>
      <c r="K135" s="236"/>
      <c r="L135" s="236"/>
      <c r="M135" s="273"/>
    </row>
    <row r="136" spans="2:21" ht="15.95" customHeight="1" x14ac:dyDescent="0.2">
      <c r="B136" s="230" t="s">
        <v>344</v>
      </c>
      <c r="C136" s="231" t="s">
        <v>394</v>
      </c>
      <c r="D136" s="232">
        <v>50</v>
      </c>
      <c r="E136" s="233">
        <v>1.73</v>
      </c>
      <c r="F136" s="234">
        <v>12</v>
      </c>
      <c r="G136" s="235">
        <f t="shared" si="15"/>
        <v>10.38</v>
      </c>
      <c r="H136" s="236">
        <v>0</v>
      </c>
      <c r="I136" s="236">
        <v>0</v>
      </c>
      <c r="J136" s="236">
        <v>37</v>
      </c>
      <c r="K136" s="236"/>
      <c r="L136" s="236"/>
      <c r="M136" s="273"/>
    </row>
    <row r="137" spans="2:21" ht="15.95" customHeight="1" x14ac:dyDescent="0.2">
      <c r="B137" s="230" t="s">
        <v>342</v>
      </c>
      <c r="C137" s="231" t="s">
        <v>395</v>
      </c>
      <c r="D137" s="232">
        <v>50</v>
      </c>
      <c r="E137" s="233">
        <v>1.73</v>
      </c>
      <c r="F137" s="234">
        <v>16</v>
      </c>
      <c r="G137" s="235">
        <f t="shared" si="15"/>
        <v>13.84</v>
      </c>
      <c r="H137" s="236">
        <v>0</v>
      </c>
      <c r="I137" s="236">
        <v>0</v>
      </c>
      <c r="J137" s="236">
        <v>37</v>
      </c>
      <c r="K137" s="236"/>
      <c r="L137" s="236"/>
      <c r="M137" s="273"/>
    </row>
    <row r="138" spans="2:21" ht="15.95" customHeight="1" x14ac:dyDescent="0.2">
      <c r="B138" s="230" t="s">
        <v>344</v>
      </c>
      <c r="C138" s="231" t="s">
        <v>396</v>
      </c>
      <c r="D138" s="232">
        <v>50</v>
      </c>
      <c r="E138" s="233">
        <v>1.73</v>
      </c>
      <c r="F138" s="234">
        <v>16</v>
      </c>
      <c r="G138" s="235">
        <f t="shared" si="15"/>
        <v>13.84</v>
      </c>
      <c r="H138" s="236">
        <v>0</v>
      </c>
      <c r="I138" s="236">
        <v>0</v>
      </c>
      <c r="J138" s="236">
        <v>37</v>
      </c>
      <c r="K138" s="236"/>
      <c r="L138" s="236"/>
      <c r="M138" s="273"/>
    </row>
    <row r="139" spans="2:21" ht="15.95" customHeight="1" x14ac:dyDescent="0.2">
      <c r="B139" s="230" t="s">
        <v>344</v>
      </c>
      <c r="C139" s="231" t="s">
        <v>397</v>
      </c>
      <c r="D139" s="232">
        <v>50</v>
      </c>
      <c r="E139" s="233">
        <v>1.73</v>
      </c>
      <c r="F139" s="234">
        <v>2</v>
      </c>
      <c r="G139" s="235">
        <f t="shared" si="15"/>
        <v>1.73</v>
      </c>
      <c r="H139" s="236">
        <v>0</v>
      </c>
      <c r="I139" s="236">
        <v>0</v>
      </c>
      <c r="J139" s="236">
        <v>37</v>
      </c>
      <c r="K139" s="236"/>
      <c r="L139" s="236"/>
      <c r="M139" s="273"/>
    </row>
    <row r="140" spans="2:21" ht="15.95" customHeight="1" x14ac:dyDescent="0.2">
      <c r="B140" s="230" t="s">
        <v>398</v>
      </c>
      <c r="C140" s="231" t="s">
        <v>399</v>
      </c>
      <c r="D140" s="232">
        <v>50</v>
      </c>
      <c r="E140" s="233">
        <v>1.73</v>
      </c>
      <c r="F140" s="234">
        <v>16</v>
      </c>
      <c r="G140" s="235">
        <f t="shared" si="15"/>
        <v>13.84</v>
      </c>
      <c r="H140" s="236">
        <v>0</v>
      </c>
      <c r="I140" s="236">
        <v>0</v>
      </c>
      <c r="J140" s="236">
        <v>37</v>
      </c>
      <c r="K140" s="236"/>
      <c r="L140" s="236"/>
      <c r="M140" s="273"/>
    </row>
    <row r="141" spans="2:21" ht="15.95" customHeight="1" thickBot="1" x14ac:dyDescent="0.25">
      <c r="B141" s="255"/>
      <c r="C141" s="252"/>
      <c r="D141" s="278"/>
      <c r="E141" s="256"/>
      <c r="F141" s="272"/>
      <c r="G141" s="253"/>
      <c r="H141" s="250"/>
      <c r="I141" s="250"/>
      <c r="J141" s="250"/>
      <c r="K141" s="250"/>
      <c r="L141" s="250"/>
      <c r="M141" s="276"/>
    </row>
    <row r="142" spans="2:21" ht="15.95" customHeight="1" thickTop="1" x14ac:dyDescent="0.2">
      <c r="B142" s="318"/>
      <c r="C142" s="319"/>
      <c r="D142" s="320"/>
      <c r="E142" s="321"/>
      <c r="F142" s="322" t="s">
        <v>33</v>
      </c>
      <c r="G142" s="323">
        <f>SUBTOTAL(9,G133:G141)</f>
        <v>81.310000000000016</v>
      </c>
      <c r="H142" s="324">
        <f>IF($G142=0,0,SUMPRODUCT($G133:$G141,H133:H141)/$G142)</f>
        <v>0</v>
      </c>
      <c r="I142" s="324">
        <f>IF($G142=0,0,SUMPRODUCT($G133:$G141,I133:I141)/$G142)</f>
        <v>0</v>
      </c>
      <c r="J142" s="324">
        <f>IF($G142=0,0,SUMPRODUCT($G133:$G141,J133:J141)/$G142)</f>
        <v>36.999999999999993</v>
      </c>
      <c r="K142" s="324" t="s">
        <v>38</v>
      </c>
      <c r="L142" s="324" t="s">
        <v>38</v>
      </c>
      <c r="M142" s="444"/>
      <c r="O142" s="445" t="s">
        <v>541</v>
      </c>
      <c r="P142" s="446">
        <f t="shared" ref="P142:U142" si="16">G142</f>
        <v>81.310000000000016</v>
      </c>
      <c r="Q142" s="446">
        <f t="shared" si="16"/>
        <v>0</v>
      </c>
      <c r="R142" s="446">
        <f t="shared" si="16"/>
        <v>0</v>
      </c>
      <c r="S142" s="446">
        <f t="shared" si="16"/>
        <v>36.999999999999993</v>
      </c>
      <c r="T142" s="446" t="str">
        <f t="shared" si="16"/>
        <v>n/a</v>
      </c>
      <c r="U142" s="447" t="str">
        <f t="shared" si="16"/>
        <v>n/a</v>
      </c>
    </row>
    <row r="143" spans="2:21" ht="15.95" customHeight="1" x14ac:dyDescent="0.2">
      <c r="B143" s="485"/>
      <c r="C143" s="452"/>
      <c r="D143" s="452"/>
      <c r="F143" s="452"/>
      <c r="G143" s="383"/>
      <c r="H143" s="452"/>
      <c r="I143" s="452"/>
      <c r="J143" s="452"/>
      <c r="K143" s="452"/>
      <c r="L143" s="452"/>
      <c r="M143" s="486"/>
    </row>
    <row r="144" spans="2:21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</sheetData>
  <dataConsolidate/>
  <mergeCells count="15"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J7:J8"/>
    <mergeCell ref="K7:K8"/>
    <mergeCell ref="L7:L8"/>
    <mergeCell ref="M7:M9"/>
    <mergeCell ref="I7:I8"/>
  </mergeCells>
  <phoneticPr fontId="59" type="noConversion"/>
  <conditionalFormatting sqref="E142 E133:F141 E14:F16 E127:F129 E130 E122:F123 E110 F113:F118 E124 E118:E119 F103:F106 E106:E107 E93:F93 E99:F99 E100 E88:F89 E85 E81:F81 E90 E70:F71 E73:F77 E78 E53 E56 E58:F66 E50:F52 E47:E48 E39 E42 E44:F46 E35:F38 E32:E33 E24 E27 E29:F31 E20:F23 E17:E18 E12 E67">
    <cfRule type="expression" dxfId="40" priority="1" stopIfTrue="1">
      <formula>#REF!="B"</formula>
    </cfRule>
  </conditionalFormatting>
  <conditionalFormatting sqref="E11 E54:E55 E40:E41 E25:E26 E109">
    <cfRule type="expression" dxfId="39" priority="2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AF273"/>
  <sheetViews>
    <sheetView workbookViewId="0">
      <pane ySplit="2" topLeftCell="A3" activePane="bottomLeft" state="frozen"/>
      <selection activeCell="Q2" sqref="C2:U36"/>
      <selection pane="bottomLeft" activeCell="B16" sqref="B16"/>
    </sheetView>
  </sheetViews>
  <sheetFormatPr defaultRowHeight="12.75" x14ac:dyDescent="0.2"/>
  <cols>
    <col min="1" max="1" width="6.7109375" style="99" customWidth="1"/>
    <col min="2" max="2" width="7.7109375" style="98" customWidth="1"/>
    <col min="3" max="3" width="8.7109375" style="99" customWidth="1"/>
    <col min="4" max="4" width="6.7109375" style="99" customWidth="1"/>
    <col min="5" max="5" width="5.42578125" style="99" bestFit="1" customWidth="1"/>
    <col min="6" max="6" width="12" style="100" bestFit="1" customWidth="1"/>
    <col min="7" max="7" width="6.7109375" style="97" customWidth="1"/>
    <col min="8" max="8" width="5.7109375" style="97" bestFit="1" customWidth="1"/>
    <col min="9" max="9" width="9.7109375" style="97" customWidth="1"/>
    <col min="10" max="10" width="6.7109375" style="97" customWidth="1"/>
    <col min="11" max="13" width="6.7109375" style="93" customWidth="1"/>
    <col min="14" max="16384" width="9.140625" style="96"/>
  </cols>
  <sheetData>
    <row r="1" spans="1:32" s="94" customFormat="1" ht="30" customHeight="1" x14ac:dyDescent="0.2">
      <c r="A1" s="544" t="s">
        <v>574</v>
      </c>
      <c r="B1" s="541"/>
      <c r="C1" s="540"/>
      <c r="D1" s="540"/>
      <c r="E1" s="540"/>
      <c r="F1" s="542"/>
      <c r="G1" s="543"/>
      <c r="H1" s="543"/>
      <c r="I1" s="543"/>
      <c r="J1" s="543"/>
      <c r="L1" s="544" t="s">
        <v>579</v>
      </c>
      <c r="M1" s="93"/>
    </row>
    <row r="2" spans="1:32" s="94" customFormat="1" x14ac:dyDescent="0.2">
      <c r="A2" t="s">
        <v>197</v>
      </c>
      <c r="B2" t="s">
        <v>129</v>
      </c>
      <c r="C2" t="s">
        <v>159</v>
      </c>
      <c r="D2" t="s">
        <v>504</v>
      </c>
      <c r="E2" t="s">
        <v>505</v>
      </c>
      <c r="F2" t="s">
        <v>506</v>
      </c>
      <c r="G2" t="s">
        <v>169</v>
      </c>
      <c r="H2" t="s">
        <v>154</v>
      </c>
      <c r="I2" t="s">
        <v>507</v>
      </c>
      <c r="J2" t="s">
        <v>508</v>
      </c>
      <c r="K2" s="93"/>
      <c r="L2" t="s">
        <v>197</v>
      </c>
      <c r="M2" t="s">
        <v>129</v>
      </c>
      <c r="N2" t="s">
        <v>159</v>
      </c>
      <c r="O2" t="s">
        <v>504</v>
      </c>
      <c r="P2" t="s">
        <v>505</v>
      </c>
      <c r="Q2" t="s">
        <v>506</v>
      </c>
      <c r="R2" t="s">
        <v>169</v>
      </c>
      <c r="S2" t="s">
        <v>154</v>
      </c>
      <c r="T2" t="s">
        <v>507</v>
      </c>
      <c r="U2" t="s">
        <v>508</v>
      </c>
      <c r="X2" s="545" t="s">
        <v>573</v>
      </c>
    </row>
    <row r="3" spans="1:32" s="94" customFormat="1" x14ac:dyDescent="0.2">
      <c r="A3">
        <v>5</v>
      </c>
      <c r="B3">
        <v>18197.71</v>
      </c>
      <c r="C3">
        <v>-2.33</v>
      </c>
      <c r="D3">
        <v>2.56</v>
      </c>
      <c r="E3">
        <v>-1.72</v>
      </c>
      <c r="F3">
        <v>3612.89</v>
      </c>
      <c r="G3">
        <v>102.63</v>
      </c>
      <c r="H3">
        <v>134.85</v>
      </c>
      <c r="I3">
        <v>100.06</v>
      </c>
      <c r="J3">
        <v>132.29</v>
      </c>
      <c r="K3" s="95"/>
      <c r="L3">
        <v>5</v>
      </c>
      <c r="M3">
        <v>17911.57</v>
      </c>
      <c r="N3">
        <v>-1.92</v>
      </c>
      <c r="O3">
        <v>2.59</v>
      </c>
      <c r="P3">
        <v>-1.36</v>
      </c>
      <c r="Q3">
        <v>3565.45</v>
      </c>
      <c r="R3">
        <v>102.86</v>
      </c>
      <c r="S3">
        <v>134.65</v>
      </c>
      <c r="T3">
        <v>100.27</v>
      </c>
      <c r="U3">
        <v>132.06</v>
      </c>
      <c r="V3" s="94">
        <f t="shared" ref="V3:V15" si="0">M3/B3</f>
        <v>0.98427604352415776</v>
      </c>
      <c r="W3" s="546">
        <v>5</v>
      </c>
      <c r="X3" s="546">
        <v>17726.96</v>
      </c>
      <c r="Y3" s="546">
        <v>-0.57999999999999996</v>
      </c>
      <c r="Z3" s="546">
        <v>2.5499999999999998</v>
      </c>
      <c r="AA3" s="546">
        <v>-0.13</v>
      </c>
      <c r="AB3" s="546">
        <v>3525.4</v>
      </c>
      <c r="AC3" s="546">
        <v>94.58</v>
      </c>
      <c r="AD3" s="546">
        <v>126.84</v>
      </c>
      <c r="AE3" s="546">
        <v>92.04</v>
      </c>
      <c r="AF3" s="546">
        <v>124.29</v>
      </c>
    </row>
    <row r="4" spans="1:32" s="94" customFormat="1" x14ac:dyDescent="0.2">
      <c r="A4">
        <v>5.0999999999999996</v>
      </c>
      <c r="B4">
        <v>18566.97</v>
      </c>
      <c r="C4">
        <v>-2.3199999999999998</v>
      </c>
      <c r="D4">
        <v>2.61</v>
      </c>
      <c r="E4">
        <v>-1.74</v>
      </c>
      <c r="F4">
        <v>3592.07</v>
      </c>
      <c r="G4">
        <v>100.06</v>
      </c>
      <c r="H4">
        <v>132.13999999999999</v>
      </c>
      <c r="I4">
        <v>97.44</v>
      </c>
      <c r="J4">
        <v>129.53</v>
      </c>
      <c r="K4" s="95"/>
      <c r="L4">
        <v>5.0999999999999996</v>
      </c>
      <c r="M4">
        <v>18275.740000000002</v>
      </c>
      <c r="N4">
        <v>-1.91</v>
      </c>
      <c r="O4">
        <v>2.64</v>
      </c>
      <c r="P4">
        <v>-1.32</v>
      </c>
      <c r="Q4">
        <v>3540.35</v>
      </c>
      <c r="R4">
        <v>100.1</v>
      </c>
      <c r="S4">
        <v>131.6</v>
      </c>
      <c r="T4">
        <v>97.46</v>
      </c>
      <c r="U4">
        <v>128.96</v>
      </c>
      <c r="V4" s="94">
        <f t="shared" si="0"/>
        <v>0.98431461891735705</v>
      </c>
      <c r="W4" s="546">
        <v>5.0999999999999996</v>
      </c>
      <c r="X4" s="546">
        <v>18087.919999999998</v>
      </c>
      <c r="Y4" s="546">
        <v>-0.56999999999999995</v>
      </c>
      <c r="Z4" s="546">
        <v>2.6</v>
      </c>
      <c r="AA4" s="546">
        <v>-0.03</v>
      </c>
      <c r="AB4" s="546">
        <v>3517.62</v>
      </c>
      <c r="AC4" s="546">
        <v>92.57</v>
      </c>
      <c r="AD4" s="546">
        <v>124.26</v>
      </c>
      <c r="AE4" s="546">
        <v>89.97</v>
      </c>
      <c r="AF4" s="546">
        <v>121.66</v>
      </c>
    </row>
    <row r="5" spans="1:32" s="94" customFormat="1" x14ac:dyDescent="0.2">
      <c r="A5">
        <v>5.2</v>
      </c>
      <c r="B5">
        <v>18934.11</v>
      </c>
      <c r="C5">
        <v>-2.31</v>
      </c>
      <c r="D5">
        <v>2.66</v>
      </c>
      <c r="E5">
        <v>-1.76</v>
      </c>
      <c r="F5">
        <v>3571.51</v>
      </c>
      <c r="G5">
        <v>97.61</v>
      </c>
      <c r="H5">
        <v>129.58000000000001</v>
      </c>
      <c r="I5">
        <v>94.94</v>
      </c>
      <c r="J5">
        <v>126.92</v>
      </c>
      <c r="K5" s="95"/>
      <c r="L5">
        <v>5.2</v>
      </c>
      <c r="M5">
        <v>18637.349999999999</v>
      </c>
      <c r="N5">
        <v>-1.89</v>
      </c>
      <c r="O5">
        <v>2.69</v>
      </c>
      <c r="P5">
        <v>-1.27</v>
      </c>
      <c r="Q5">
        <v>3515.52</v>
      </c>
      <c r="R5">
        <v>97.46</v>
      </c>
      <c r="S5">
        <v>128.71</v>
      </c>
      <c r="T5">
        <v>94.78</v>
      </c>
      <c r="U5">
        <v>126.03</v>
      </c>
      <c r="V5" s="94">
        <f t="shared" si="0"/>
        <v>0.98432669927448391</v>
      </c>
      <c r="W5" s="546">
        <v>5.2</v>
      </c>
      <c r="X5" s="546">
        <v>18448.09</v>
      </c>
      <c r="Y5" s="546">
        <v>-0.56000000000000005</v>
      </c>
      <c r="Z5" s="546">
        <v>2.65</v>
      </c>
      <c r="AA5" s="546">
        <v>7.0000000000000007E-2</v>
      </c>
      <c r="AB5" s="546">
        <v>3510.02</v>
      </c>
      <c r="AC5" s="546">
        <v>90.65</v>
      </c>
      <c r="AD5" s="546">
        <v>121.81</v>
      </c>
      <c r="AE5" s="546">
        <v>88</v>
      </c>
      <c r="AF5" s="546">
        <v>119.16</v>
      </c>
    </row>
    <row r="6" spans="1:32" s="94" customFormat="1" x14ac:dyDescent="0.2">
      <c r="A6">
        <v>5.3</v>
      </c>
      <c r="B6">
        <v>19299.150000000001</v>
      </c>
      <c r="C6">
        <v>-2.2999999999999998</v>
      </c>
      <c r="D6">
        <v>2.71</v>
      </c>
      <c r="E6">
        <v>-1.77</v>
      </c>
      <c r="F6">
        <v>3551.18</v>
      </c>
      <c r="G6">
        <v>95.26</v>
      </c>
      <c r="H6">
        <v>127.16</v>
      </c>
      <c r="I6">
        <v>92.55</v>
      </c>
      <c r="J6">
        <v>124.45</v>
      </c>
      <c r="K6" s="95"/>
      <c r="L6">
        <v>5.3</v>
      </c>
      <c r="M6">
        <v>18996.419999999998</v>
      </c>
      <c r="N6">
        <v>-1.88</v>
      </c>
      <c r="O6">
        <v>2.74</v>
      </c>
      <c r="P6">
        <v>-1.21</v>
      </c>
      <c r="Q6">
        <v>3490.92</v>
      </c>
      <c r="R6">
        <v>94.95</v>
      </c>
      <c r="S6">
        <v>125.98</v>
      </c>
      <c r="T6">
        <v>92.22</v>
      </c>
      <c r="U6">
        <v>123.25</v>
      </c>
      <c r="V6" s="94">
        <f t="shared" si="0"/>
        <v>0.98431381692976094</v>
      </c>
      <c r="W6" s="546">
        <v>5.3</v>
      </c>
      <c r="X6" s="546">
        <v>18807.48</v>
      </c>
      <c r="Y6" s="546">
        <v>-0.54</v>
      </c>
      <c r="Z6" s="546">
        <v>2.7</v>
      </c>
      <c r="AA6" s="546">
        <v>0.17</v>
      </c>
      <c r="AB6" s="546">
        <v>3502.54</v>
      </c>
      <c r="AC6" s="546">
        <v>88.8</v>
      </c>
      <c r="AD6" s="546">
        <v>119.47</v>
      </c>
      <c r="AE6" s="546">
        <v>86.1</v>
      </c>
      <c r="AF6" s="546">
        <v>116.77</v>
      </c>
    </row>
    <row r="7" spans="1:32" s="94" customFormat="1" x14ac:dyDescent="0.2">
      <c r="A7">
        <v>5.4</v>
      </c>
      <c r="B7">
        <v>19662.09</v>
      </c>
      <c r="C7">
        <v>-2.29</v>
      </c>
      <c r="D7">
        <v>2.76</v>
      </c>
      <c r="E7">
        <v>-1.79</v>
      </c>
      <c r="F7">
        <v>3530.95</v>
      </c>
      <c r="G7">
        <v>93.02</v>
      </c>
      <c r="H7">
        <v>124.85</v>
      </c>
      <c r="I7">
        <v>90.26</v>
      </c>
      <c r="J7">
        <v>122.09</v>
      </c>
      <c r="K7" s="95"/>
      <c r="L7">
        <v>5.4</v>
      </c>
      <c r="M7">
        <v>19352.97</v>
      </c>
      <c r="N7">
        <v>-1.87</v>
      </c>
      <c r="O7">
        <v>2.78</v>
      </c>
      <c r="P7">
        <v>-1.1599999999999999</v>
      </c>
      <c r="Q7">
        <v>3466.45</v>
      </c>
      <c r="R7">
        <v>92.55</v>
      </c>
      <c r="S7">
        <v>123.38</v>
      </c>
      <c r="T7">
        <v>89.77</v>
      </c>
      <c r="U7">
        <v>120.6</v>
      </c>
      <c r="V7" s="94">
        <f t="shared" si="0"/>
        <v>0.9842783752897073</v>
      </c>
      <c r="W7" s="546">
        <v>5.4</v>
      </c>
      <c r="X7" s="546">
        <v>19166.099999999999</v>
      </c>
      <c r="Y7" s="546">
        <v>-0.53</v>
      </c>
      <c r="Z7" s="546">
        <v>2.75</v>
      </c>
      <c r="AA7" s="546">
        <v>0.28000000000000003</v>
      </c>
      <c r="AB7" s="546">
        <v>3493.74</v>
      </c>
      <c r="AC7" s="546">
        <v>86.96</v>
      </c>
      <c r="AD7" s="546">
        <v>117.22</v>
      </c>
      <c r="AE7" s="546">
        <v>84.21</v>
      </c>
      <c r="AF7" s="546">
        <v>114.47</v>
      </c>
    </row>
    <row r="8" spans="1:32" s="94" customFormat="1" x14ac:dyDescent="0.2">
      <c r="A8">
        <v>5.5</v>
      </c>
      <c r="B8">
        <v>20022.98</v>
      </c>
      <c r="C8">
        <v>-2.2799999999999998</v>
      </c>
      <c r="D8">
        <v>2.81</v>
      </c>
      <c r="E8">
        <v>-1.8</v>
      </c>
      <c r="F8">
        <v>3510.78</v>
      </c>
      <c r="G8">
        <v>90.87</v>
      </c>
      <c r="H8">
        <v>122.66</v>
      </c>
      <c r="I8">
        <v>88.06</v>
      </c>
      <c r="J8">
        <v>119.85</v>
      </c>
      <c r="K8" s="95"/>
      <c r="L8">
        <v>5.5</v>
      </c>
      <c r="M8">
        <v>19707.03</v>
      </c>
      <c r="N8">
        <v>-1.86</v>
      </c>
      <c r="O8">
        <v>2.83</v>
      </c>
      <c r="P8">
        <v>-1.1000000000000001</v>
      </c>
      <c r="Q8">
        <v>3442.07</v>
      </c>
      <c r="R8">
        <v>90.25</v>
      </c>
      <c r="S8">
        <v>120.9</v>
      </c>
      <c r="T8">
        <v>87.42</v>
      </c>
      <c r="U8">
        <v>118.07</v>
      </c>
      <c r="V8" s="94">
        <f t="shared" si="0"/>
        <v>0.98422063049556052</v>
      </c>
      <c r="W8" s="546">
        <v>5.5</v>
      </c>
      <c r="X8" s="546">
        <v>19522.84</v>
      </c>
      <c r="Y8" s="546">
        <v>-0.51</v>
      </c>
      <c r="Z8" s="546">
        <v>2.8</v>
      </c>
      <c r="AA8" s="546">
        <v>0.33</v>
      </c>
      <c r="AB8" s="546">
        <v>3466.91</v>
      </c>
      <c r="AC8" s="546">
        <v>84.72</v>
      </c>
      <c r="AD8" s="546">
        <v>114.83</v>
      </c>
      <c r="AE8" s="546">
        <v>81.92</v>
      </c>
      <c r="AF8" s="546">
        <v>112.03</v>
      </c>
    </row>
    <row r="9" spans="1:32" s="94" customFormat="1" x14ac:dyDescent="0.2">
      <c r="A9">
        <v>5.6</v>
      </c>
      <c r="B9">
        <v>20381.810000000001</v>
      </c>
      <c r="C9">
        <v>-2.27</v>
      </c>
      <c r="D9">
        <v>2.86</v>
      </c>
      <c r="E9">
        <v>-1.81</v>
      </c>
      <c r="F9">
        <v>3490.63</v>
      </c>
      <c r="G9">
        <v>88.81</v>
      </c>
      <c r="H9">
        <v>120.56</v>
      </c>
      <c r="I9">
        <v>85.95</v>
      </c>
      <c r="J9">
        <v>117.7</v>
      </c>
      <c r="K9" s="95"/>
      <c r="L9">
        <v>5.6</v>
      </c>
      <c r="M9">
        <v>20058.57</v>
      </c>
      <c r="N9">
        <v>-1.84</v>
      </c>
      <c r="O9">
        <v>2.88</v>
      </c>
      <c r="P9">
        <v>-1.04</v>
      </c>
      <c r="Q9">
        <v>3417.76</v>
      </c>
      <c r="R9">
        <v>88.05</v>
      </c>
      <c r="S9">
        <v>118.53</v>
      </c>
      <c r="T9">
        <v>85.17</v>
      </c>
      <c r="U9">
        <v>115.65</v>
      </c>
      <c r="V9" s="94">
        <f t="shared" si="0"/>
        <v>0.98414076080583612</v>
      </c>
      <c r="W9" s="546">
        <v>5.6</v>
      </c>
      <c r="X9" s="546">
        <v>19876.82</v>
      </c>
      <c r="Y9" s="546">
        <v>-0.5</v>
      </c>
      <c r="Z9" s="546">
        <v>2.85</v>
      </c>
      <c r="AA9" s="546">
        <v>0.39</v>
      </c>
      <c r="AB9" s="546">
        <v>3440.15</v>
      </c>
      <c r="AC9" s="546">
        <v>82.57</v>
      </c>
      <c r="AD9" s="546">
        <v>112.55</v>
      </c>
      <c r="AE9" s="546">
        <v>79.73</v>
      </c>
      <c r="AF9" s="546">
        <v>109.7</v>
      </c>
    </row>
    <row r="10" spans="1:32" s="94" customFormat="1" x14ac:dyDescent="0.2">
      <c r="A10">
        <v>5.7</v>
      </c>
      <c r="B10">
        <v>20738.28</v>
      </c>
      <c r="C10">
        <v>-2.2599999999999998</v>
      </c>
      <c r="D10">
        <v>2.91</v>
      </c>
      <c r="E10">
        <v>-1.83</v>
      </c>
      <c r="F10">
        <v>3463.51</v>
      </c>
      <c r="G10">
        <v>86.58</v>
      </c>
      <c r="H10">
        <v>118.45</v>
      </c>
      <c r="I10">
        <v>83.67</v>
      </c>
      <c r="J10">
        <v>115.55</v>
      </c>
      <c r="K10" s="95"/>
      <c r="L10">
        <v>5.7</v>
      </c>
      <c r="M10">
        <v>20407.28</v>
      </c>
      <c r="N10">
        <v>-1.83</v>
      </c>
      <c r="O10">
        <v>2.93</v>
      </c>
      <c r="P10">
        <v>-0.96</v>
      </c>
      <c r="Q10">
        <v>3382.44</v>
      </c>
      <c r="R10">
        <v>85.62</v>
      </c>
      <c r="S10">
        <v>116</v>
      </c>
      <c r="T10">
        <v>82.7</v>
      </c>
      <c r="U10">
        <v>113.07</v>
      </c>
      <c r="V10" s="94">
        <f t="shared" si="0"/>
        <v>0.98403917779102223</v>
      </c>
      <c r="W10" s="546">
        <v>5.7</v>
      </c>
      <c r="X10" s="546">
        <v>20227.919999999998</v>
      </c>
      <c r="Y10" s="546">
        <v>-0.48</v>
      </c>
      <c r="Z10" s="546">
        <v>2.9</v>
      </c>
      <c r="AA10" s="546">
        <v>0.49</v>
      </c>
      <c r="AB10" s="546">
        <v>3408.72</v>
      </c>
      <c r="AC10" s="546">
        <v>80.42</v>
      </c>
      <c r="AD10" s="546">
        <v>110.21</v>
      </c>
      <c r="AE10" s="546">
        <v>77.52</v>
      </c>
      <c r="AF10" s="546">
        <v>107.31</v>
      </c>
    </row>
    <row r="11" spans="1:32" s="94" customFormat="1" x14ac:dyDescent="0.2">
      <c r="A11">
        <v>5.8</v>
      </c>
      <c r="B11">
        <v>21091.81</v>
      </c>
      <c r="C11">
        <v>-2.2599999999999998</v>
      </c>
      <c r="D11">
        <v>2.95</v>
      </c>
      <c r="E11">
        <v>-1.85</v>
      </c>
      <c r="F11">
        <v>3435.17</v>
      </c>
      <c r="G11">
        <v>84.42</v>
      </c>
      <c r="H11">
        <v>116.43</v>
      </c>
      <c r="I11">
        <v>81.459999999999994</v>
      </c>
      <c r="J11">
        <v>113.48</v>
      </c>
      <c r="K11" s="95"/>
      <c r="L11">
        <v>5.8</v>
      </c>
      <c r="M11">
        <v>20751.810000000001</v>
      </c>
      <c r="N11">
        <v>-1.81</v>
      </c>
      <c r="O11">
        <v>2.97</v>
      </c>
      <c r="P11">
        <v>-0.88</v>
      </c>
      <c r="Q11">
        <v>3340.47</v>
      </c>
      <c r="R11">
        <v>83.13</v>
      </c>
      <c r="S11">
        <v>113.44</v>
      </c>
      <c r="T11">
        <v>80.16</v>
      </c>
      <c r="U11">
        <v>110.46</v>
      </c>
      <c r="V11" s="94">
        <f t="shared" si="0"/>
        <v>0.98387999891901168</v>
      </c>
      <c r="W11" s="546">
        <v>5.8</v>
      </c>
      <c r="X11" s="546">
        <v>20575.59</v>
      </c>
      <c r="Y11" s="546">
        <v>-0.46</v>
      </c>
      <c r="Z11" s="546">
        <v>2.94</v>
      </c>
      <c r="AA11" s="546">
        <v>0.6</v>
      </c>
      <c r="AB11" s="546">
        <v>3375.06</v>
      </c>
      <c r="AC11" s="546">
        <v>78.3</v>
      </c>
      <c r="AD11" s="546">
        <v>107.88</v>
      </c>
      <c r="AE11" s="546">
        <v>75.349999999999994</v>
      </c>
      <c r="AF11" s="546">
        <v>104.94</v>
      </c>
    </row>
    <row r="12" spans="1:32" s="94" customFormat="1" x14ac:dyDescent="0.2">
      <c r="A12">
        <v>5.9</v>
      </c>
      <c r="B12">
        <v>21442.48</v>
      </c>
      <c r="C12">
        <v>-2.25</v>
      </c>
      <c r="D12">
        <v>3</v>
      </c>
      <c r="E12">
        <v>-1.86</v>
      </c>
      <c r="F12">
        <v>3407.03</v>
      </c>
      <c r="G12">
        <v>82.35</v>
      </c>
      <c r="H12">
        <v>114.5</v>
      </c>
      <c r="I12">
        <v>79.349999999999994</v>
      </c>
      <c r="J12">
        <v>111.5</v>
      </c>
      <c r="K12" s="95"/>
      <c r="L12">
        <v>5.9</v>
      </c>
      <c r="M12">
        <v>21092.06</v>
      </c>
      <c r="N12">
        <v>-1.8</v>
      </c>
      <c r="O12">
        <v>3.02</v>
      </c>
      <c r="P12">
        <v>-0.79</v>
      </c>
      <c r="Q12">
        <v>3298.72</v>
      </c>
      <c r="R12">
        <v>80.739999999999995</v>
      </c>
      <c r="S12">
        <v>111</v>
      </c>
      <c r="T12">
        <v>77.72</v>
      </c>
      <c r="U12">
        <v>107.98</v>
      </c>
      <c r="V12" s="94">
        <f t="shared" si="0"/>
        <v>0.9836576739257773</v>
      </c>
      <c r="W12" s="546">
        <v>5.9</v>
      </c>
      <c r="X12" s="546">
        <v>20919.830000000002</v>
      </c>
      <c r="Y12" s="546">
        <v>-0.45</v>
      </c>
      <c r="Z12" s="546">
        <v>2.99</v>
      </c>
      <c r="AA12" s="546">
        <v>0.72</v>
      </c>
      <c r="AB12" s="546">
        <v>3341.39</v>
      </c>
      <c r="AC12" s="546">
        <v>76.260000000000005</v>
      </c>
      <c r="AD12" s="546">
        <v>105.66</v>
      </c>
      <c r="AE12" s="546">
        <v>73.27</v>
      </c>
      <c r="AF12" s="546">
        <v>102.67</v>
      </c>
    </row>
    <row r="13" spans="1:32" s="94" customFormat="1" x14ac:dyDescent="0.2">
      <c r="A13">
        <v>6</v>
      </c>
      <c r="B13">
        <v>21790.28</v>
      </c>
      <c r="C13">
        <v>-2.2400000000000002</v>
      </c>
      <c r="D13">
        <v>3.05</v>
      </c>
      <c r="E13">
        <v>-1.87</v>
      </c>
      <c r="F13">
        <v>3379.07</v>
      </c>
      <c r="G13">
        <v>80.36</v>
      </c>
      <c r="H13">
        <v>112.66</v>
      </c>
      <c r="I13">
        <v>77.31</v>
      </c>
      <c r="J13">
        <v>109.61</v>
      </c>
      <c r="K13" s="95"/>
      <c r="L13">
        <v>6</v>
      </c>
      <c r="M13">
        <v>21428.07</v>
      </c>
      <c r="N13">
        <v>-1.78</v>
      </c>
      <c r="O13">
        <v>3.07</v>
      </c>
      <c r="P13">
        <v>-0.69</v>
      </c>
      <c r="Q13">
        <v>3257.16</v>
      </c>
      <c r="R13">
        <v>78.45</v>
      </c>
      <c r="S13">
        <v>108.66</v>
      </c>
      <c r="T13">
        <v>75.38</v>
      </c>
      <c r="U13">
        <v>105.6</v>
      </c>
      <c r="V13" s="94">
        <f t="shared" si="0"/>
        <v>0.98337745086341255</v>
      </c>
      <c r="W13" s="546">
        <v>6</v>
      </c>
      <c r="X13" s="546">
        <v>21260.59</v>
      </c>
      <c r="Y13" s="546">
        <v>-0.43</v>
      </c>
      <c r="Z13" s="546">
        <v>3.04</v>
      </c>
      <c r="AA13" s="546">
        <v>0.79</v>
      </c>
      <c r="AB13" s="546">
        <v>3303.29</v>
      </c>
      <c r="AC13" s="546">
        <v>74.28</v>
      </c>
      <c r="AD13" s="546">
        <v>103.21</v>
      </c>
      <c r="AE13" s="546">
        <v>71.239999999999995</v>
      </c>
      <c r="AF13" s="546">
        <v>100.17</v>
      </c>
    </row>
    <row r="14" spans="1:32" s="94" customFormat="1" x14ac:dyDescent="0.2">
      <c r="A14">
        <v>6.1</v>
      </c>
      <c r="B14">
        <v>22135.22</v>
      </c>
      <c r="C14">
        <v>-2.2400000000000002</v>
      </c>
      <c r="D14">
        <v>3.09</v>
      </c>
      <c r="E14">
        <v>-1.89</v>
      </c>
      <c r="F14">
        <v>3351.07</v>
      </c>
      <c r="G14">
        <v>78.45</v>
      </c>
      <c r="H14">
        <v>110.89</v>
      </c>
      <c r="I14">
        <v>75.36</v>
      </c>
      <c r="J14">
        <v>107.8</v>
      </c>
      <c r="K14" s="95"/>
      <c r="L14">
        <v>6.1</v>
      </c>
      <c r="M14">
        <v>21759.82</v>
      </c>
      <c r="N14">
        <v>-1.76</v>
      </c>
      <c r="O14">
        <v>3.11</v>
      </c>
      <c r="P14">
        <v>-0.6</v>
      </c>
      <c r="Q14">
        <v>3215.56</v>
      </c>
      <c r="R14">
        <v>76.239999999999995</v>
      </c>
      <c r="S14">
        <v>106.42</v>
      </c>
      <c r="T14">
        <v>73.13</v>
      </c>
      <c r="U14">
        <v>103.31</v>
      </c>
      <c r="V14" s="94">
        <f t="shared" si="0"/>
        <v>0.98304060226191559</v>
      </c>
      <c r="W14" s="546">
        <v>6.1</v>
      </c>
      <c r="X14" s="546">
        <v>21597.26</v>
      </c>
      <c r="Y14" s="546">
        <v>-0.41</v>
      </c>
      <c r="Z14" s="546">
        <v>3.09</v>
      </c>
      <c r="AA14" s="546">
        <v>0.9</v>
      </c>
      <c r="AB14" s="546">
        <v>3267.7</v>
      </c>
      <c r="AC14" s="546">
        <v>72.400000000000006</v>
      </c>
      <c r="AD14" s="546">
        <v>101.1</v>
      </c>
      <c r="AE14" s="546">
        <v>69.31</v>
      </c>
      <c r="AF14" s="546">
        <v>98.02</v>
      </c>
    </row>
    <row r="15" spans="1:32" s="94" customFormat="1" x14ac:dyDescent="0.2">
      <c r="A15">
        <v>6.2</v>
      </c>
      <c r="B15">
        <v>22476.92</v>
      </c>
      <c r="C15">
        <v>-2.23</v>
      </c>
      <c r="D15">
        <v>3.14</v>
      </c>
      <c r="E15">
        <v>-1.91</v>
      </c>
      <c r="F15">
        <v>3312.88</v>
      </c>
      <c r="G15">
        <v>76.290000000000006</v>
      </c>
      <c r="H15">
        <v>109.07</v>
      </c>
      <c r="I15">
        <v>73.150000000000006</v>
      </c>
      <c r="J15">
        <v>105.92</v>
      </c>
      <c r="K15" s="95"/>
      <c r="L15">
        <v>6.2</v>
      </c>
      <c r="M15">
        <v>22086.99</v>
      </c>
      <c r="N15">
        <v>-1.74</v>
      </c>
      <c r="O15">
        <v>3.16</v>
      </c>
      <c r="P15">
        <v>-0.48</v>
      </c>
      <c r="Q15">
        <v>3159.47</v>
      </c>
      <c r="R15">
        <v>73.75</v>
      </c>
      <c r="S15">
        <v>103.97</v>
      </c>
      <c r="T15">
        <v>70.599999999999994</v>
      </c>
      <c r="U15">
        <v>100.81</v>
      </c>
      <c r="V15" s="94">
        <f t="shared" si="0"/>
        <v>0.9826519825670067</v>
      </c>
      <c r="W15" s="546">
        <v>6.2</v>
      </c>
      <c r="X15" s="546">
        <v>21930.37</v>
      </c>
      <c r="Y15" s="546">
        <v>-0.39</v>
      </c>
      <c r="Z15" s="546">
        <v>3.13</v>
      </c>
      <c r="AA15" s="546">
        <v>1.08</v>
      </c>
      <c r="AB15" s="546">
        <v>3228.07</v>
      </c>
      <c r="AC15" s="546">
        <v>70.47</v>
      </c>
      <c r="AD15" s="546">
        <v>98.98</v>
      </c>
      <c r="AE15" s="546">
        <v>67.33</v>
      </c>
      <c r="AF15" s="546">
        <v>95.84</v>
      </c>
    </row>
    <row r="16" spans="1:32" s="94" customFormat="1" x14ac:dyDescent="0.2">
      <c r="A16">
        <v>6.3</v>
      </c>
      <c r="B16">
        <v>22814.17</v>
      </c>
      <c r="C16">
        <v>-2.23</v>
      </c>
      <c r="D16">
        <v>3.19</v>
      </c>
      <c r="E16">
        <v>-1.95</v>
      </c>
      <c r="F16">
        <v>3267.66</v>
      </c>
      <c r="G16">
        <v>74.05</v>
      </c>
      <c r="H16">
        <v>107.23</v>
      </c>
      <c r="I16">
        <v>70.86</v>
      </c>
      <c r="J16">
        <v>104.04</v>
      </c>
      <c r="K16" s="366"/>
      <c r="L16">
        <v>6.3</v>
      </c>
      <c r="M16">
        <v>22406.76</v>
      </c>
      <c r="N16">
        <v>-1.73</v>
      </c>
      <c r="O16">
        <v>3.2</v>
      </c>
      <c r="P16">
        <v>-0.33</v>
      </c>
      <c r="Q16">
        <v>3079.88</v>
      </c>
      <c r="R16">
        <v>70.81</v>
      </c>
      <c r="S16">
        <v>101.14</v>
      </c>
      <c r="T16">
        <v>67.61</v>
      </c>
      <c r="U16">
        <v>97.94</v>
      </c>
      <c r="V16" s="94">
        <f>M16/B16</f>
        <v>0.98214223879282048</v>
      </c>
      <c r="W16" s="546">
        <v>6.3</v>
      </c>
      <c r="X16" s="546">
        <v>22258.799999999999</v>
      </c>
      <c r="Y16" s="546">
        <v>-0.36</v>
      </c>
      <c r="Z16" s="546">
        <v>3.18</v>
      </c>
      <c r="AA16" s="546">
        <v>1.34</v>
      </c>
      <c r="AB16" s="546">
        <v>3180.08</v>
      </c>
      <c r="AC16" s="546">
        <v>68.44</v>
      </c>
      <c r="AD16" s="546">
        <v>96.65</v>
      </c>
      <c r="AE16" s="546">
        <v>65.260000000000005</v>
      </c>
      <c r="AF16" s="546">
        <v>93.47</v>
      </c>
    </row>
    <row r="17" spans="1:32" s="94" customFormat="1" x14ac:dyDescent="0.2">
      <c r="A17">
        <v>6.4</v>
      </c>
      <c r="B17">
        <v>23146.79</v>
      </c>
      <c r="C17">
        <v>-2.2200000000000002</v>
      </c>
      <c r="D17">
        <v>3.23</v>
      </c>
      <c r="E17">
        <v>-1.98</v>
      </c>
      <c r="F17">
        <v>3222.43</v>
      </c>
      <c r="G17">
        <v>71.900000000000006</v>
      </c>
      <c r="H17">
        <v>105.46</v>
      </c>
      <c r="I17">
        <v>68.67</v>
      </c>
      <c r="J17">
        <v>102.23</v>
      </c>
      <c r="K17" s="95"/>
      <c r="L17">
        <v>6.4</v>
      </c>
      <c r="M17">
        <v>22718.5</v>
      </c>
      <c r="N17">
        <v>-1.71</v>
      </c>
      <c r="O17">
        <v>3.24</v>
      </c>
      <c r="P17">
        <v>-0.2</v>
      </c>
      <c r="Q17">
        <v>3003.65</v>
      </c>
      <c r="R17">
        <v>68.150000000000006</v>
      </c>
      <c r="S17">
        <v>98.58</v>
      </c>
      <c r="T17">
        <v>64.91</v>
      </c>
      <c r="U17">
        <v>95.33</v>
      </c>
      <c r="V17" s="94">
        <f t="shared" ref="V17:V80" si="1">M17/B17</f>
        <v>0.98149678637945037</v>
      </c>
      <c r="W17" s="546">
        <v>6.4</v>
      </c>
      <c r="X17" s="546">
        <v>22582.43</v>
      </c>
      <c r="Y17" s="546">
        <v>-0.34</v>
      </c>
      <c r="Z17" s="546">
        <v>3.22</v>
      </c>
      <c r="AA17" s="546">
        <v>1.56</v>
      </c>
      <c r="AB17" s="546">
        <v>3135.74</v>
      </c>
      <c r="AC17" s="546">
        <v>66.680000000000007</v>
      </c>
      <c r="AD17" s="546">
        <v>94.57</v>
      </c>
      <c r="AE17" s="546">
        <v>63.46</v>
      </c>
      <c r="AF17" s="546">
        <v>91.35</v>
      </c>
    </row>
    <row r="18" spans="1:32" s="94" customFormat="1" x14ac:dyDescent="0.2">
      <c r="A18">
        <v>6.5</v>
      </c>
      <c r="B18">
        <v>23474.5</v>
      </c>
      <c r="C18">
        <v>-2.2200000000000002</v>
      </c>
      <c r="D18">
        <v>3.28</v>
      </c>
      <c r="E18">
        <v>-2.04</v>
      </c>
      <c r="F18">
        <v>3158.42</v>
      </c>
      <c r="G18">
        <v>69.3</v>
      </c>
      <c r="H18">
        <v>103.53</v>
      </c>
      <c r="I18">
        <v>66.02</v>
      </c>
      <c r="J18">
        <v>100.25</v>
      </c>
      <c r="K18" s="95"/>
      <c r="L18">
        <v>6.5</v>
      </c>
      <c r="M18">
        <v>23022.53</v>
      </c>
      <c r="N18">
        <v>-1.68</v>
      </c>
      <c r="O18">
        <v>3.29</v>
      </c>
      <c r="P18">
        <v>-0.06</v>
      </c>
      <c r="Q18">
        <v>2919.77</v>
      </c>
      <c r="R18">
        <v>65.56</v>
      </c>
      <c r="S18">
        <v>95.99</v>
      </c>
      <c r="T18">
        <v>62.27</v>
      </c>
      <c r="U18">
        <v>92.7</v>
      </c>
      <c r="V18" s="94">
        <f t="shared" si="1"/>
        <v>0.98074634177511766</v>
      </c>
      <c r="W18" s="546">
        <v>6.5</v>
      </c>
      <c r="X18" s="546">
        <v>22901.88</v>
      </c>
      <c r="Y18" s="546">
        <v>-0.31</v>
      </c>
      <c r="Z18" s="546">
        <v>3.27</v>
      </c>
      <c r="AA18" s="546">
        <v>1.74</v>
      </c>
      <c r="AB18" s="546">
        <v>3077.81</v>
      </c>
      <c r="AC18" s="546">
        <v>64.930000000000007</v>
      </c>
      <c r="AD18" s="546">
        <v>92.18</v>
      </c>
      <c r="AE18" s="546">
        <v>61.67</v>
      </c>
      <c r="AF18" s="546">
        <v>88.91</v>
      </c>
    </row>
    <row r="19" spans="1:32" s="94" customFormat="1" x14ac:dyDescent="0.2">
      <c r="A19">
        <v>6.6</v>
      </c>
      <c r="B19">
        <v>23774.46</v>
      </c>
      <c r="C19">
        <v>-2.23</v>
      </c>
      <c r="D19">
        <v>3.32</v>
      </c>
      <c r="E19">
        <v>10.6</v>
      </c>
      <c r="F19">
        <v>1115.77</v>
      </c>
      <c r="G19">
        <v>32.04</v>
      </c>
      <c r="H19">
        <v>54.4</v>
      </c>
      <c r="I19">
        <v>28.73</v>
      </c>
      <c r="J19">
        <v>51.09</v>
      </c>
      <c r="K19" s="95"/>
      <c r="L19">
        <v>6.6</v>
      </c>
      <c r="M19">
        <v>23309.5</v>
      </c>
      <c r="N19">
        <v>-1.66</v>
      </c>
      <c r="O19">
        <v>3.33</v>
      </c>
      <c r="P19">
        <v>0.09</v>
      </c>
      <c r="Q19">
        <v>2679.16</v>
      </c>
      <c r="R19">
        <v>59.98</v>
      </c>
      <c r="S19">
        <v>90.66</v>
      </c>
      <c r="T19">
        <v>56.65</v>
      </c>
      <c r="U19">
        <v>87.34</v>
      </c>
      <c r="V19" s="94">
        <f t="shared" si="1"/>
        <v>0.98044287861848389</v>
      </c>
      <c r="W19" s="546">
        <v>6.6</v>
      </c>
      <c r="X19" s="546">
        <v>23191.360000000001</v>
      </c>
      <c r="Y19" s="546">
        <v>-0.28999999999999998</v>
      </c>
      <c r="Z19" s="546">
        <v>3.31</v>
      </c>
      <c r="AA19" s="546">
        <v>-1.83</v>
      </c>
      <c r="AB19" s="546">
        <v>780.04</v>
      </c>
      <c r="AC19" s="546">
        <v>29.49</v>
      </c>
      <c r="AD19" s="546">
        <v>33.33</v>
      </c>
      <c r="AE19" s="546">
        <v>26.18</v>
      </c>
      <c r="AF19" s="546">
        <v>30.02</v>
      </c>
    </row>
    <row r="20" spans="1:32" s="94" customFormat="1" x14ac:dyDescent="0.2">
      <c r="A20">
        <v>6.7</v>
      </c>
      <c r="B20">
        <v>23876.82</v>
      </c>
      <c r="C20">
        <v>-2.19</v>
      </c>
      <c r="D20">
        <v>3.33</v>
      </c>
      <c r="E20">
        <v>-2.5</v>
      </c>
      <c r="F20">
        <v>790.78</v>
      </c>
      <c r="G20">
        <v>30.04</v>
      </c>
      <c r="H20">
        <v>33.770000000000003</v>
      </c>
      <c r="I20">
        <v>26.71</v>
      </c>
      <c r="J20">
        <v>30.44</v>
      </c>
      <c r="K20" s="95"/>
      <c r="L20">
        <v>6.7</v>
      </c>
      <c r="M20">
        <v>23405.69</v>
      </c>
      <c r="N20">
        <v>-1.66</v>
      </c>
      <c r="O20">
        <v>3.34</v>
      </c>
      <c r="P20">
        <v>-2.52</v>
      </c>
      <c r="Q20">
        <v>790.14</v>
      </c>
      <c r="R20">
        <v>30.58</v>
      </c>
      <c r="S20">
        <v>34.36</v>
      </c>
      <c r="T20">
        <v>27.24</v>
      </c>
      <c r="U20">
        <v>31.02</v>
      </c>
      <c r="V20" s="94">
        <f t="shared" si="1"/>
        <v>0.98026831043664941</v>
      </c>
      <c r="W20" s="546">
        <v>6.7</v>
      </c>
      <c r="X20" s="546">
        <v>23271.33</v>
      </c>
      <c r="Y20" s="546">
        <v>-0.28999999999999998</v>
      </c>
      <c r="Z20" s="546">
        <v>3.32</v>
      </c>
      <c r="AA20" s="546">
        <v>-1.83</v>
      </c>
      <c r="AB20" s="546">
        <v>780.04</v>
      </c>
      <c r="AC20" s="546">
        <v>29.41</v>
      </c>
      <c r="AD20" s="546">
        <v>33.24</v>
      </c>
      <c r="AE20" s="546">
        <v>26.09</v>
      </c>
      <c r="AF20" s="546">
        <v>29.92</v>
      </c>
    </row>
    <row r="21" spans="1:32" s="94" customFormat="1" x14ac:dyDescent="0.2">
      <c r="A21">
        <v>6.8</v>
      </c>
      <c r="B21">
        <v>23957.88</v>
      </c>
      <c r="C21">
        <v>-2.19</v>
      </c>
      <c r="D21">
        <v>3.34</v>
      </c>
      <c r="E21">
        <v>-2.5</v>
      </c>
      <c r="F21">
        <v>790.78</v>
      </c>
      <c r="G21">
        <v>29.96</v>
      </c>
      <c r="H21">
        <v>33.68</v>
      </c>
      <c r="I21">
        <v>26.62</v>
      </c>
      <c r="J21">
        <v>30.34</v>
      </c>
      <c r="K21" s="95"/>
      <c r="L21">
        <v>6.8</v>
      </c>
      <c r="M21">
        <v>23486.66</v>
      </c>
      <c r="N21">
        <v>-1.66</v>
      </c>
      <c r="O21">
        <v>3.35</v>
      </c>
      <c r="P21">
        <v>-2.52</v>
      </c>
      <c r="Q21">
        <v>790.15</v>
      </c>
      <c r="R21">
        <v>30.5</v>
      </c>
      <c r="S21">
        <v>34.26</v>
      </c>
      <c r="T21">
        <v>27.15</v>
      </c>
      <c r="U21">
        <v>30.91</v>
      </c>
      <c r="V21" s="94">
        <f t="shared" si="1"/>
        <v>0.98033131479079116</v>
      </c>
      <c r="W21" s="546">
        <v>6.8</v>
      </c>
      <c r="X21" s="546">
        <v>23351.26</v>
      </c>
      <c r="Y21" s="546">
        <v>-0.3</v>
      </c>
      <c r="Z21" s="546">
        <v>3.33</v>
      </c>
      <c r="AA21" s="546">
        <v>-1.83</v>
      </c>
      <c r="AB21" s="546">
        <v>780.04</v>
      </c>
      <c r="AC21" s="546">
        <v>29.33</v>
      </c>
      <c r="AD21" s="546">
        <v>33.15</v>
      </c>
      <c r="AE21" s="546">
        <v>26</v>
      </c>
      <c r="AF21" s="546">
        <v>29.82</v>
      </c>
    </row>
    <row r="22" spans="1:32" s="94" customFormat="1" x14ac:dyDescent="0.2">
      <c r="A22">
        <v>6.9</v>
      </c>
      <c r="B22">
        <v>24038.959999999999</v>
      </c>
      <c r="C22">
        <v>-2.19</v>
      </c>
      <c r="D22">
        <v>3.36</v>
      </c>
      <c r="E22">
        <v>-2.5</v>
      </c>
      <c r="F22">
        <v>790.78</v>
      </c>
      <c r="G22">
        <v>29.88</v>
      </c>
      <c r="H22">
        <v>33.590000000000003</v>
      </c>
      <c r="I22">
        <v>26.53</v>
      </c>
      <c r="J22">
        <v>30.24</v>
      </c>
      <c r="K22" s="95"/>
      <c r="L22">
        <v>6.9</v>
      </c>
      <c r="M22">
        <v>23567.65</v>
      </c>
      <c r="N22">
        <v>-1.67</v>
      </c>
      <c r="O22">
        <v>3.36</v>
      </c>
      <c r="P22">
        <v>-2.52</v>
      </c>
      <c r="Q22">
        <v>790.16</v>
      </c>
      <c r="R22">
        <v>30.42</v>
      </c>
      <c r="S22">
        <v>34.17</v>
      </c>
      <c r="T22">
        <v>27.05</v>
      </c>
      <c r="U22">
        <v>30.8</v>
      </c>
      <c r="V22" s="94">
        <f t="shared" si="1"/>
        <v>0.98039391055187086</v>
      </c>
      <c r="W22" s="546">
        <v>6.9</v>
      </c>
      <c r="X22" s="546">
        <v>23431.23</v>
      </c>
      <c r="Y22" s="546">
        <v>-0.3</v>
      </c>
      <c r="Z22" s="546">
        <v>3.34</v>
      </c>
      <c r="AA22" s="546">
        <v>-1.83</v>
      </c>
      <c r="AB22" s="546">
        <v>780.04</v>
      </c>
      <c r="AC22" s="546">
        <v>29.25</v>
      </c>
      <c r="AD22" s="546">
        <v>33.06</v>
      </c>
      <c r="AE22" s="546">
        <v>25.91</v>
      </c>
      <c r="AF22" s="546">
        <v>29.71</v>
      </c>
    </row>
    <row r="23" spans="1:32" s="94" customFormat="1" x14ac:dyDescent="0.2">
      <c r="A23">
        <v>7</v>
      </c>
      <c r="B23">
        <v>24119.99</v>
      </c>
      <c r="C23">
        <v>-2.19</v>
      </c>
      <c r="D23">
        <v>3.37</v>
      </c>
      <c r="E23">
        <v>-2.5</v>
      </c>
      <c r="F23">
        <v>790.77</v>
      </c>
      <c r="G23">
        <v>29.81</v>
      </c>
      <c r="H23">
        <v>33.5</v>
      </c>
      <c r="I23">
        <v>26.44</v>
      </c>
      <c r="J23">
        <v>30.13</v>
      </c>
      <c r="K23" s="95"/>
      <c r="L23">
        <v>7</v>
      </c>
      <c r="M23">
        <v>23648.65</v>
      </c>
      <c r="N23">
        <v>-1.67</v>
      </c>
      <c r="O23">
        <v>3.38</v>
      </c>
      <c r="P23">
        <v>-2.52</v>
      </c>
      <c r="Q23">
        <v>790.16</v>
      </c>
      <c r="R23">
        <v>30.34</v>
      </c>
      <c r="S23">
        <v>34.08</v>
      </c>
      <c r="T23">
        <v>26.96</v>
      </c>
      <c r="U23">
        <v>30.7</v>
      </c>
      <c r="V23" s="94">
        <f t="shared" si="1"/>
        <v>0.9804585325284132</v>
      </c>
      <c r="W23" s="546">
        <v>7</v>
      </c>
      <c r="X23" s="546">
        <v>23511.19</v>
      </c>
      <c r="Y23" s="546">
        <v>-0.31</v>
      </c>
      <c r="Z23" s="546">
        <v>3.36</v>
      </c>
      <c r="AA23" s="546">
        <v>-1.83</v>
      </c>
      <c r="AB23" s="546">
        <v>780.04</v>
      </c>
      <c r="AC23" s="546">
        <v>29.18</v>
      </c>
      <c r="AD23" s="546">
        <v>32.97</v>
      </c>
      <c r="AE23" s="546">
        <v>25.82</v>
      </c>
      <c r="AF23" s="546">
        <v>29.61</v>
      </c>
    </row>
    <row r="24" spans="1:32" s="94" customFormat="1" x14ac:dyDescent="0.2">
      <c r="A24">
        <v>7.1</v>
      </c>
      <c r="B24">
        <v>24201.06</v>
      </c>
      <c r="C24">
        <v>-2.19</v>
      </c>
      <c r="D24">
        <v>3.38</v>
      </c>
      <c r="E24">
        <v>-2.5</v>
      </c>
      <c r="F24">
        <v>790.77</v>
      </c>
      <c r="G24">
        <v>29.73</v>
      </c>
      <c r="H24">
        <v>33.409999999999997</v>
      </c>
      <c r="I24">
        <v>26.35</v>
      </c>
      <c r="J24">
        <v>30.03</v>
      </c>
      <c r="K24" s="95"/>
      <c r="L24">
        <v>7.1</v>
      </c>
      <c r="M24">
        <v>23729.63</v>
      </c>
      <c r="N24">
        <v>-1.67</v>
      </c>
      <c r="O24">
        <v>3.39</v>
      </c>
      <c r="P24">
        <v>-2.52</v>
      </c>
      <c r="Q24">
        <v>790.17</v>
      </c>
      <c r="R24">
        <v>30.26</v>
      </c>
      <c r="S24">
        <v>33.979999999999997</v>
      </c>
      <c r="T24">
        <v>26.87</v>
      </c>
      <c r="U24">
        <v>30.6</v>
      </c>
      <c r="V24" s="94">
        <f t="shared" si="1"/>
        <v>0.98052027473176795</v>
      </c>
      <c r="W24" s="546">
        <v>7.1</v>
      </c>
      <c r="X24" s="546">
        <v>23591.14</v>
      </c>
      <c r="Y24" s="546">
        <v>-0.31</v>
      </c>
      <c r="Z24" s="546">
        <v>3.37</v>
      </c>
      <c r="AA24" s="546">
        <v>-1.83</v>
      </c>
      <c r="AB24" s="546">
        <v>780.04</v>
      </c>
      <c r="AC24" s="546">
        <v>29.1</v>
      </c>
      <c r="AD24" s="546">
        <v>32.880000000000003</v>
      </c>
      <c r="AE24" s="546">
        <v>25.73</v>
      </c>
      <c r="AF24" s="546">
        <v>29.51</v>
      </c>
    </row>
    <row r="25" spans="1:32" s="94" customFormat="1" x14ac:dyDescent="0.2">
      <c r="A25">
        <v>7.2</v>
      </c>
      <c r="B25">
        <v>24282.09</v>
      </c>
      <c r="C25">
        <v>-2.19</v>
      </c>
      <c r="D25">
        <v>3.39</v>
      </c>
      <c r="E25">
        <v>-2.5</v>
      </c>
      <c r="F25">
        <v>790.77</v>
      </c>
      <c r="G25">
        <v>29.65</v>
      </c>
      <c r="H25">
        <v>33.33</v>
      </c>
      <c r="I25">
        <v>26.26</v>
      </c>
      <c r="J25">
        <v>29.93</v>
      </c>
      <c r="K25" s="95"/>
      <c r="L25">
        <v>7.2</v>
      </c>
      <c r="M25">
        <v>23810.639999999999</v>
      </c>
      <c r="N25">
        <v>-1.68</v>
      </c>
      <c r="O25">
        <v>3.4</v>
      </c>
      <c r="P25">
        <v>-2.52</v>
      </c>
      <c r="Q25">
        <v>790.18</v>
      </c>
      <c r="R25">
        <v>30.18</v>
      </c>
      <c r="S25">
        <v>33.89</v>
      </c>
      <c r="T25">
        <v>26.78</v>
      </c>
      <c r="U25">
        <v>30.49</v>
      </c>
      <c r="V25" s="94">
        <f t="shared" si="1"/>
        <v>0.98058445545667605</v>
      </c>
      <c r="W25" s="546">
        <v>7.2</v>
      </c>
      <c r="X25" s="546">
        <v>23671.1</v>
      </c>
      <c r="Y25" s="546">
        <v>-0.32</v>
      </c>
      <c r="Z25" s="546">
        <v>3.38</v>
      </c>
      <c r="AA25" s="546">
        <v>-1.83</v>
      </c>
      <c r="AB25" s="546">
        <v>780.04</v>
      </c>
      <c r="AC25" s="546">
        <v>29.03</v>
      </c>
      <c r="AD25" s="546">
        <v>32.799999999999997</v>
      </c>
      <c r="AE25" s="546">
        <v>25.65</v>
      </c>
      <c r="AF25" s="546">
        <v>29.41</v>
      </c>
    </row>
    <row r="26" spans="1:32" s="94" customFormat="1" x14ac:dyDescent="0.2">
      <c r="A26">
        <v>7.3</v>
      </c>
      <c r="B26">
        <v>24363.15</v>
      </c>
      <c r="C26">
        <v>-2.19</v>
      </c>
      <c r="D26">
        <v>3.41</v>
      </c>
      <c r="E26">
        <v>-2.5</v>
      </c>
      <c r="F26">
        <v>790.77</v>
      </c>
      <c r="G26">
        <v>29.58</v>
      </c>
      <c r="H26">
        <v>33.24</v>
      </c>
      <c r="I26">
        <v>26.17</v>
      </c>
      <c r="J26">
        <v>29.83</v>
      </c>
      <c r="K26" s="95"/>
      <c r="L26">
        <v>7.3</v>
      </c>
      <c r="M26">
        <v>23891.62</v>
      </c>
      <c r="N26">
        <v>-1.68</v>
      </c>
      <c r="O26">
        <v>3.41</v>
      </c>
      <c r="P26">
        <v>-2.52</v>
      </c>
      <c r="Q26">
        <v>790.18</v>
      </c>
      <c r="R26">
        <v>30.1</v>
      </c>
      <c r="S26">
        <v>33.799999999999997</v>
      </c>
      <c r="T26">
        <v>26.69</v>
      </c>
      <c r="U26">
        <v>30.39</v>
      </c>
      <c r="V26" s="94">
        <f t="shared" si="1"/>
        <v>0.98064577035399769</v>
      </c>
      <c r="W26" s="546">
        <v>7.3</v>
      </c>
      <c r="X26" s="546">
        <v>23751.05</v>
      </c>
      <c r="Y26" s="546">
        <v>-0.32</v>
      </c>
      <c r="Z26" s="546">
        <v>3.4</v>
      </c>
      <c r="AA26" s="546">
        <v>-1.83</v>
      </c>
      <c r="AB26" s="546">
        <v>780.04</v>
      </c>
      <c r="AC26" s="546">
        <v>28.96</v>
      </c>
      <c r="AD26" s="546">
        <v>32.71</v>
      </c>
      <c r="AE26" s="546">
        <v>25.56</v>
      </c>
      <c r="AF26" s="546">
        <v>29.31</v>
      </c>
    </row>
    <row r="27" spans="1:32" s="94" customFormat="1" x14ac:dyDescent="0.2">
      <c r="A27">
        <v>7.4</v>
      </c>
      <c r="B27">
        <v>24444.22</v>
      </c>
      <c r="C27">
        <v>-2.19</v>
      </c>
      <c r="D27">
        <v>3.42</v>
      </c>
      <c r="E27">
        <v>-2.5</v>
      </c>
      <c r="F27">
        <v>790.77</v>
      </c>
      <c r="G27">
        <v>29.51</v>
      </c>
      <c r="H27">
        <v>33.15</v>
      </c>
      <c r="I27">
        <v>26.09</v>
      </c>
      <c r="J27">
        <v>29.73</v>
      </c>
      <c r="K27" s="95"/>
      <c r="L27">
        <v>7.4</v>
      </c>
      <c r="M27">
        <v>23972.62</v>
      </c>
      <c r="N27">
        <v>-1.68</v>
      </c>
      <c r="O27">
        <v>3.43</v>
      </c>
      <c r="P27">
        <v>-2.52</v>
      </c>
      <c r="Q27">
        <v>790.19</v>
      </c>
      <c r="R27">
        <v>30.02</v>
      </c>
      <c r="S27">
        <v>33.71</v>
      </c>
      <c r="T27">
        <v>26.6</v>
      </c>
      <c r="U27">
        <v>30.29</v>
      </c>
      <c r="V27" s="94">
        <f t="shared" si="1"/>
        <v>0.98070709558333213</v>
      </c>
      <c r="W27" s="546">
        <v>7.4</v>
      </c>
      <c r="X27" s="546">
        <v>23831.01</v>
      </c>
      <c r="Y27" s="546">
        <v>-0.33</v>
      </c>
      <c r="Z27" s="546">
        <v>3.41</v>
      </c>
      <c r="AA27" s="546">
        <v>-1.83</v>
      </c>
      <c r="AB27" s="546">
        <v>780.04</v>
      </c>
      <c r="AC27" s="546">
        <v>28.88</v>
      </c>
      <c r="AD27" s="546">
        <v>32.619999999999997</v>
      </c>
      <c r="AE27" s="546">
        <v>25.47</v>
      </c>
      <c r="AF27" s="546">
        <v>29.22</v>
      </c>
    </row>
    <row r="28" spans="1:32" s="94" customFormat="1" x14ac:dyDescent="0.2">
      <c r="A28">
        <v>7.5</v>
      </c>
      <c r="B28">
        <v>24525.26</v>
      </c>
      <c r="C28">
        <v>-2.2000000000000002</v>
      </c>
      <c r="D28">
        <v>3.43</v>
      </c>
      <c r="E28">
        <v>-2.5</v>
      </c>
      <c r="F28">
        <v>790.76</v>
      </c>
      <c r="G28">
        <v>29.43</v>
      </c>
      <c r="H28">
        <v>33.07</v>
      </c>
      <c r="I28">
        <v>26</v>
      </c>
      <c r="J28">
        <v>29.64</v>
      </c>
      <c r="K28" s="95"/>
      <c r="L28">
        <v>7.5</v>
      </c>
      <c r="M28">
        <v>24053.61</v>
      </c>
      <c r="N28">
        <v>-1.68</v>
      </c>
      <c r="O28">
        <v>3.44</v>
      </c>
      <c r="P28">
        <v>-2.52</v>
      </c>
      <c r="Q28">
        <v>790.2</v>
      </c>
      <c r="R28">
        <v>29.95</v>
      </c>
      <c r="S28">
        <v>33.630000000000003</v>
      </c>
      <c r="T28">
        <v>26.51</v>
      </c>
      <c r="U28">
        <v>30.19</v>
      </c>
      <c r="V28" s="94">
        <f t="shared" si="1"/>
        <v>0.98076880734393856</v>
      </c>
      <c r="W28" s="546">
        <v>7.5</v>
      </c>
      <c r="X28" s="546">
        <v>23910.959999999999</v>
      </c>
      <c r="Y28" s="546">
        <v>-0.33</v>
      </c>
      <c r="Z28" s="546">
        <v>3.42</v>
      </c>
      <c r="AA28" s="546">
        <v>-1.83</v>
      </c>
      <c r="AB28" s="546">
        <v>780.04</v>
      </c>
      <c r="AC28" s="546">
        <v>28.81</v>
      </c>
      <c r="AD28" s="546">
        <v>32.54</v>
      </c>
      <c r="AE28" s="546">
        <v>25.39</v>
      </c>
      <c r="AF28" s="546">
        <v>29.12</v>
      </c>
    </row>
    <row r="29" spans="1:32" s="94" customFormat="1" x14ac:dyDescent="0.2">
      <c r="A29">
        <v>7.6</v>
      </c>
      <c r="B29">
        <v>24606.3</v>
      </c>
      <c r="C29">
        <v>-2.2000000000000002</v>
      </c>
      <c r="D29">
        <v>3.45</v>
      </c>
      <c r="E29">
        <v>-2.5</v>
      </c>
      <c r="F29">
        <v>790.76</v>
      </c>
      <c r="G29">
        <v>29.36</v>
      </c>
      <c r="H29">
        <v>32.979999999999997</v>
      </c>
      <c r="I29">
        <v>25.91</v>
      </c>
      <c r="J29">
        <v>29.54</v>
      </c>
      <c r="K29" s="95"/>
      <c r="L29">
        <v>7.6</v>
      </c>
      <c r="M29">
        <v>24134.6</v>
      </c>
      <c r="N29">
        <v>-1.69</v>
      </c>
      <c r="O29">
        <v>3.45</v>
      </c>
      <c r="P29">
        <v>-2.52</v>
      </c>
      <c r="Q29">
        <v>790.2</v>
      </c>
      <c r="R29">
        <v>29.87</v>
      </c>
      <c r="S29">
        <v>33.54</v>
      </c>
      <c r="T29">
        <v>26.42</v>
      </c>
      <c r="U29">
        <v>30.08</v>
      </c>
      <c r="V29" s="94">
        <f t="shared" si="1"/>
        <v>0.98083011261343633</v>
      </c>
      <c r="W29" s="546">
        <v>7.6</v>
      </c>
      <c r="X29" s="546">
        <v>23990.91</v>
      </c>
      <c r="Y29" s="546">
        <v>-0.34</v>
      </c>
      <c r="Z29" s="546">
        <v>3.44</v>
      </c>
      <c r="AA29" s="546">
        <v>-1.83</v>
      </c>
      <c r="AB29" s="546">
        <v>780.04</v>
      </c>
      <c r="AC29" s="546">
        <v>28.74</v>
      </c>
      <c r="AD29" s="546">
        <v>32.46</v>
      </c>
      <c r="AE29" s="546">
        <v>25.3</v>
      </c>
      <c r="AF29" s="546">
        <v>29.02</v>
      </c>
    </row>
    <row r="30" spans="1:32" s="94" customFormat="1" x14ac:dyDescent="0.2">
      <c r="A30">
        <v>7.7</v>
      </c>
      <c r="B30">
        <v>24687.360000000001</v>
      </c>
      <c r="C30">
        <v>-2.2000000000000002</v>
      </c>
      <c r="D30">
        <v>3.46</v>
      </c>
      <c r="E30">
        <v>-2.5</v>
      </c>
      <c r="F30">
        <v>790.76</v>
      </c>
      <c r="G30">
        <v>29.29</v>
      </c>
      <c r="H30">
        <v>32.9</v>
      </c>
      <c r="I30">
        <v>25.83</v>
      </c>
      <c r="J30">
        <v>29.44</v>
      </c>
      <c r="K30" s="95"/>
      <c r="L30">
        <v>7.7</v>
      </c>
      <c r="M30">
        <v>24215.599999999999</v>
      </c>
      <c r="N30">
        <v>-1.69</v>
      </c>
      <c r="O30">
        <v>3.47</v>
      </c>
      <c r="P30">
        <v>-2.52</v>
      </c>
      <c r="Q30">
        <v>790.21</v>
      </c>
      <c r="R30">
        <v>29.8</v>
      </c>
      <c r="S30">
        <v>33.450000000000003</v>
      </c>
      <c r="T30">
        <v>26.33</v>
      </c>
      <c r="U30">
        <v>29.98</v>
      </c>
      <c r="V30" s="94">
        <f t="shared" si="1"/>
        <v>0.98089062581013109</v>
      </c>
      <c r="W30" s="546">
        <v>7.7</v>
      </c>
      <c r="X30" s="546">
        <v>24070.84</v>
      </c>
      <c r="Y30" s="546">
        <v>-0.34</v>
      </c>
      <c r="Z30" s="546">
        <v>3.45</v>
      </c>
      <c r="AA30" s="546">
        <v>-1.83</v>
      </c>
      <c r="AB30" s="546">
        <v>780.04</v>
      </c>
      <c r="AC30" s="546">
        <v>28.67</v>
      </c>
      <c r="AD30" s="546">
        <v>32.380000000000003</v>
      </c>
      <c r="AE30" s="546">
        <v>25.22</v>
      </c>
      <c r="AF30" s="546">
        <v>28.93</v>
      </c>
    </row>
    <row r="31" spans="1:32" s="94" customFormat="1" x14ac:dyDescent="0.2">
      <c r="A31">
        <v>7.8</v>
      </c>
      <c r="B31">
        <v>24768.43</v>
      </c>
      <c r="C31">
        <v>-2.2000000000000002</v>
      </c>
      <c r="D31">
        <v>3.47</v>
      </c>
      <c r="E31">
        <v>-2.5</v>
      </c>
      <c r="F31">
        <v>790.76</v>
      </c>
      <c r="G31">
        <v>29.22</v>
      </c>
      <c r="H31">
        <v>32.82</v>
      </c>
      <c r="I31">
        <v>25.74</v>
      </c>
      <c r="J31">
        <v>29.34</v>
      </c>
      <c r="K31" s="95"/>
      <c r="L31">
        <v>7.8</v>
      </c>
      <c r="M31">
        <v>24296.59</v>
      </c>
      <c r="N31">
        <v>-1.69</v>
      </c>
      <c r="O31">
        <v>3.48</v>
      </c>
      <c r="P31">
        <v>-2.52</v>
      </c>
      <c r="Q31">
        <v>790.21</v>
      </c>
      <c r="R31">
        <v>29.72</v>
      </c>
      <c r="S31">
        <v>33.369999999999997</v>
      </c>
      <c r="T31">
        <v>26.24</v>
      </c>
      <c r="U31">
        <v>29.88</v>
      </c>
      <c r="V31" s="94">
        <f t="shared" si="1"/>
        <v>0.98094994313325468</v>
      </c>
      <c r="W31" s="546">
        <v>7.8</v>
      </c>
      <c r="X31" s="546">
        <v>24150.81</v>
      </c>
      <c r="Y31" s="546">
        <v>-0.35</v>
      </c>
      <c r="Z31" s="546">
        <v>3.46</v>
      </c>
      <c r="AA31" s="546">
        <v>-1.83</v>
      </c>
      <c r="AB31" s="546">
        <v>780.04</v>
      </c>
      <c r="AC31" s="546">
        <v>28.6</v>
      </c>
      <c r="AD31" s="546">
        <v>32.29</v>
      </c>
      <c r="AE31" s="546">
        <v>25.14</v>
      </c>
      <c r="AF31" s="546">
        <v>28.83</v>
      </c>
    </row>
    <row r="32" spans="1:32" s="94" customFormat="1" x14ac:dyDescent="0.2">
      <c r="A32">
        <v>7.9</v>
      </c>
      <c r="B32">
        <v>24849.47</v>
      </c>
      <c r="C32">
        <v>-2.2000000000000002</v>
      </c>
      <c r="D32">
        <v>3.49</v>
      </c>
      <c r="E32">
        <v>-2.5</v>
      </c>
      <c r="F32">
        <v>790.76</v>
      </c>
      <c r="G32">
        <v>29.15</v>
      </c>
      <c r="H32">
        <v>32.74</v>
      </c>
      <c r="I32">
        <v>25.66</v>
      </c>
      <c r="J32">
        <v>29.25</v>
      </c>
      <c r="K32" s="95"/>
      <c r="L32">
        <v>7.9</v>
      </c>
      <c r="M32">
        <v>24377.599999999999</v>
      </c>
      <c r="N32">
        <v>-1.7</v>
      </c>
      <c r="O32">
        <v>3.5</v>
      </c>
      <c r="P32">
        <v>-2.52</v>
      </c>
      <c r="Q32">
        <v>790.22</v>
      </c>
      <c r="R32">
        <v>29.65</v>
      </c>
      <c r="S32">
        <v>33.28</v>
      </c>
      <c r="T32">
        <v>26.15</v>
      </c>
      <c r="U32">
        <v>29.79</v>
      </c>
      <c r="V32" s="94">
        <f t="shared" si="1"/>
        <v>0.98101086260592263</v>
      </c>
      <c r="W32" s="546">
        <v>7.9</v>
      </c>
      <c r="X32" s="546">
        <v>24230.77</v>
      </c>
      <c r="Y32" s="546">
        <v>-0.35</v>
      </c>
      <c r="Z32" s="546">
        <v>3.48</v>
      </c>
      <c r="AA32" s="546">
        <v>-1.83</v>
      </c>
      <c r="AB32" s="546">
        <v>780.04</v>
      </c>
      <c r="AC32" s="546">
        <v>28.53</v>
      </c>
      <c r="AD32" s="546">
        <v>32.21</v>
      </c>
      <c r="AE32" s="546">
        <v>25.05</v>
      </c>
      <c r="AF32" s="546">
        <v>28.73</v>
      </c>
    </row>
    <row r="33" spans="1:32" s="94" customFormat="1" x14ac:dyDescent="0.2">
      <c r="A33">
        <v>8</v>
      </c>
      <c r="B33">
        <v>24930.53</v>
      </c>
      <c r="C33">
        <v>-2.2000000000000002</v>
      </c>
      <c r="D33">
        <v>3.5</v>
      </c>
      <c r="E33">
        <v>-2.5</v>
      </c>
      <c r="F33">
        <v>790.75</v>
      </c>
      <c r="G33">
        <v>29.08</v>
      </c>
      <c r="H33">
        <v>32.659999999999997</v>
      </c>
      <c r="I33">
        <v>25.58</v>
      </c>
      <c r="J33">
        <v>29.15</v>
      </c>
      <c r="K33" s="95"/>
      <c r="L33">
        <v>8</v>
      </c>
      <c r="M33">
        <v>24458.61</v>
      </c>
      <c r="N33">
        <v>-1.7</v>
      </c>
      <c r="O33">
        <v>3.51</v>
      </c>
      <c r="P33">
        <v>-2.52</v>
      </c>
      <c r="Q33">
        <v>790.23</v>
      </c>
      <c r="R33">
        <v>29.58</v>
      </c>
      <c r="S33">
        <v>33.200000000000003</v>
      </c>
      <c r="T33">
        <v>26.07</v>
      </c>
      <c r="U33">
        <v>29.69</v>
      </c>
      <c r="V33" s="94">
        <f t="shared" si="1"/>
        <v>0.98107059898044691</v>
      </c>
      <c r="W33" s="546">
        <v>8</v>
      </c>
      <c r="X33" s="546">
        <v>24310.73</v>
      </c>
      <c r="Y33" s="546">
        <v>-0.36</v>
      </c>
      <c r="Z33" s="546">
        <v>3.49</v>
      </c>
      <c r="AA33" s="546">
        <v>-1.83</v>
      </c>
      <c r="AB33" s="546">
        <v>780.04</v>
      </c>
      <c r="AC33" s="546">
        <v>28.46</v>
      </c>
      <c r="AD33" s="546">
        <v>32.130000000000003</v>
      </c>
      <c r="AE33" s="546">
        <v>24.97</v>
      </c>
      <c r="AF33" s="546">
        <v>28.64</v>
      </c>
    </row>
    <row r="34" spans="1:32" s="94" customFormat="1" x14ac:dyDescent="0.2">
      <c r="A34">
        <v>8.1</v>
      </c>
      <c r="B34">
        <v>25011.58</v>
      </c>
      <c r="C34">
        <v>-2.2000000000000002</v>
      </c>
      <c r="D34">
        <v>3.52</v>
      </c>
      <c r="E34">
        <v>-2.5</v>
      </c>
      <c r="F34">
        <v>790.75</v>
      </c>
      <c r="G34">
        <v>29.01</v>
      </c>
      <c r="H34">
        <v>32.58</v>
      </c>
      <c r="I34">
        <v>25.49</v>
      </c>
      <c r="J34">
        <v>29.06</v>
      </c>
      <c r="K34" s="95"/>
      <c r="L34">
        <v>8.1</v>
      </c>
      <c r="M34">
        <v>24539.59</v>
      </c>
      <c r="N34">
        <v>-1.7</v>
      </c>
      <c r="O34">
        <v>3.53</v>
      </c>
      <c r="P34">
        <v>-2.52</v>
      </c>
      <c r="Q34">
        <v>790.23</v>
      </c>
      <c r="R34">
        <v>29.51</v>
      </c>
      <c r="S34">
        <v>33.119999999999997</v>
      </c>
      <c r="T34">
        <v>25.98</v>
      </c>
      <c r="U34">
        <v>29.59</v>
      </c>
      <c r="V34" s="94">
        <f t="shared" si="1"/>
        <v>0.98112914098189707</v>
      </c>
      <c r="W34" s="546">
        <v>8.1</v>
      </c>
      <c r="X34" s="546">
        <v>24390.68</v>
      </c>
      <c r="Y34" s="546">
        <v>-0.36</v>
      </c>
      <c r="Z34" s="546">
        <v>3.51</v>
      </c>
      <c r="AA34" s="546">
        <v>-1.83</v>
      </c>
      <c r="AB34" s="546">
        <v>780.04</v>
      </c>
      <c r="AC34" s="546">
        <v>28.4</v>
      </c>
      <c r="AD34" s="546">
        <v>32.049999999999997</v>
      </c>
      <c r="AE34" s="546">
        <v>24.89</v>
      </c>
      <c r="AF34" s="546">
        <v>28.55</v>
      </c>
    </row>
    <row r="35" spans="1:32" s="94" customFormat="1" x14ac:dyDescent="0.2">
      <c r="A35">
        <v>8.1999999999999993</v>
      </c>
      <c r="B35">
        <v>25092.62</v>
      </c>
      <c r="C35">
        <v>-2.2000000000000002</v>
      </c>
      <c r="D35">
        <v>3.53</v>
      </c>
      <c r="E35">
        <v>-2.5</v>
      </c>
      <c r="F35">
        <v>790.75</v>
      </c>
      <c r="G35">
        <v>28.94</v>
      </c>
      <c r="H35">
        <v>32.5</v>
      </c>
      <c r="I35">
        <v>25.41</v>
      </c>
      <c r="J35">
        <v>28.97</v>
      </c>
      <c r="K35" s="95"/>
      <c r="L35">
        <v>8.1999999999999993</v>
      </c>
      <c r="M35">
        <v>24620.6</v>
      </c>
      <c r="N35">
        <v>-1.7</v>
      </c>
      <c r="O35">
        <v>3.54</v>
      </c>
      <c r="P35">
        <v>-2.52</v>
      </c>
      <c r="Q35">
        <v>790.24</v>
      </c>
      <c r="R35">
        <v>29.44</v>
      </c>
      <c r="S35">
        <v>33.04</v>
      </c>
      <c r="T35">
        <v>25.9</v>
      </c>
      <c r="U35">
        <v>29.49</v>
      </c>
      <c r="V35" s="94">
        <f t="shared" si="1"/>
        <v>0.98118889139515919</v>
      </c>
      <c r="W35" s="546">
        <v>8.1999999999999993</v>
      </c>
      <c r="X35" s="546">
        <v>24470.639999999999</v>
      </c>
      <c r="Y35" s="546">
        <v>-0.37</v>
      </c>
      <c r="Z35" s="546">
        <v>3.52</v>
      </c>
      <c r="AA35" s="546">
        <v>-1.83</v>
      </c>
      <c r="AB35" s="546">
        <v>780.04</v>
      </c>
      <c r="AC35" s="546">
        <v>28.33</v>
      </c>
      <c r="AD35" s="546">
        <v>31.98</v>
      </c>
      <c r="AE35" s="546">
        <v>24.81</v>
      </c>
      <c r="AF35" s="546">
        <v>28.45</v>
      </c>
    </row>
    <row r="36" spans="1:32" s="94" customFormat="1" x14ac:dyDescent="0.2">
      <c r="A36">
        <v>8.3000000000000007</v>
      </c>
      <c r="B36">
        <v>25173.69</v>
      </c>
      <c r="C36">
        <v>-2.2000000000000002</v>
      </c>
      <c r="D36">
        <v>3.55</v>
      </c>
      <c r="E36">
        <v>-2.5</v>
      </c>
      <c r="F36">
        <v>790.75</v>
      </c>
      <c r="G36">
        <v>28.88</v>
      </c>
      <c r="H36">
        <v>32.42</v>
      </c>
      <c r="I36">
        <v>25.33</v>
      </c>
      <c r="J36">
        <v>28.87</v>
      </c>
      <c r="K36" s="95"/>
      <c r="L36">
        <v>8.3000000000000007</v>
      </c>
      <c r="M36">
        <v>24701.59</v>
      </c>
      <c r="N36">
        <v>-1.71</v>
      </c>
      <c r="O36">
        <v>3.56</v>
      </c>
      <c r="P36">
        <v>-2.52</v>
      </c>
      <c r="Q36">
        <v>790.24</v>
      </c>
      <c r="R36">
        <v>29.37</v>
      </c>
      <c r="S36">
        <v>32.950000000000003</v>
      </c>
      <c r="T36">
        <v>25.81</v>
      </c>
      <c r="U36">
        <v>29.4</v>
      </c>
      <c r="V36" s="94">
        <f t="shared" si="1"/>
        <v>0.98124629325299551</v>
      </c>
      <c r="W36" s="546">
        <v>8.3000000000000007</v>
      </c>
      <c r="X36" s="546">
        <v>24550.59</v>
      </c>
      <c r="Y36" s="546">
        <v>-0.37</v>
      </c>
      <c r="Z36" s="546">
        <v>3.54</v>
      </c>
      <c r="AA36" s="546">
        <v>-1.83</v>
      </c>
      <c r="AB36" s="546">
        <v>780.04</v>
      </c>
      <c r="AC36" s="546">
        <v>28.27</v>
      </c>
      <c r="AD36" s="546">
        <v>31.9</v>
      </c>
      <c r="AE36" s="546">
        <v>24.73</v>
      </c>
      <c r="AF36" s="546">
        <v>28.36</v>
      </c>
    </row>
    <row r="37" spans="1:32" s="94" customFormat="1" x14ac:dyDescent="0.2">
      <c r="A37">
        <v>8.4</v>
      </c>
      <c r="B37">
        <v>25254.71</v>
      </c>
      <c r="C37">
        <v>-2.2000000000000002</v>
      </c>
      <c r="D37">
        <v>3.56</v>
      </c>
      <c r="E37">
        <v>-2.5</v>
      </c>
      <c r="F37">
        <v>790.75</v>
      </c>
      <c r="G37">
        <v>28.81</v>
      </c>
      <c r="H37">
        <v>32.340000000000003</v>
      </c>
      <c r="I37">
        <v>25.25</v>
      </c>
      <c r="J37">
        <v>28.78</v>
      </c>
      <c r="K37" s="95"/>
      <c r="L37">
        <v>8.4</v>
      </c>
      <c r="M37">
        <v>24782.59</v>
      </c>
      <c r="N37">
        <v>-1.71</v>
      </c>
      <c r="O37">
        <v>3.57</v>
      </c>
      <c r="P37">
        <v>-2.5099999999999998</v>
      </c>
      <c r="Q37">
        <v>790.25</v>
      </c>
      <c r="R37">
        <v>29.3</v>
      </c>
      <c r="S37">
        <v>32.869999999999997</v>
      </c>
      <c r="T37">
        <v>25.73</v>
      </c>
      <c r="U37">
        <v>29.3</v>
      </c>
      <c r="V37" s="94">
        <f t="shared" si="1"/>
        <v>0.98130566535905583</v>
      </c>
      <c r="W37" s="546">
        <v>8.4</v>
      </c>
      <c r="X37" s="546">
        <v>24630.55</v>
      </c>
      <c r="Y37" s="546">
        <v>-0.38</v>
      </c>
      <c r="Z37" s="546">
        <v>3.55</v>
      </c>
      <c r="AA37" s="546">
        <v>-1.83</v>
      </c>
      <c r="AB37" s="546">
        <v>780.04</v>
      </c>
      <c r="AC37" s="546">
        <v>28.2</v>
      </c>
      <c r="AD37" s="546">
        <v>31.82</v>
      </c>
      <c r="AE37" s="546">
        <v>24.65</v>
      </c>
      <c r="AF37" s="546">
        <v>28.27</v>
      </c>
    </row>
    <row r="38" spans="1:32" s="94" customFormat="1" x14ac:dyDescent="0.2">
      <c r="A38">
        <v>8.5</v>
      </c>
      <c r="B38">
        <v>25335.79</v>
      </c>
      <c r="C38">
        <v>-2.21</v>
      </c>
      <c r="D38">
        <v>3.58</v>
      </c>
      <c r="E38">
        <v>-2.5</v>
      </c>
      <c r="F38">
        <v>790.74</v>
      </c>
      <c r="G38">
        <v>28.75</v>
      </c>
      <c r="H38">
        <v>32.270000000000003</v>
      </c>
      <c r="I38">
        <v>25.17</v>
      </c>
      <c r="J38">
        <v>28.69</v>
      </c>
      <c r="K38" s="95"/>
      <c r="L38">
        <v>8.5</v>
      </c>
      <c r="M38">
        <v>24863.599999999999</v>
      </c>
      <c r="N38">
        <v>-1.71</v>
      </c>
      <c r="O38">
        <v>3.59</v>
      </c>
      <c r="P38">
        <v>-2.5099999999999998</v>
      </c>
      <c r="Q38">
        <v>790.26</v>
      </c>
      <c r="R38">
        <v>29.23</v>
      </c>
      <c r="S38">
        <v>32.799999999999997</v>
      </c>
      <c r="T38">
        <v>25.64</v>
      </c>
      <c r="U38">
        <v>29.21</v>
      </c>
      <c r="V38" s="94">
        <f t="shared" si="1"/>
        <v>0.98136272837752436</v>
      </c>
      <c r="W38" s="546">
        <v>8.5</v>
      </c>
      <c r="X38" s="546">
        <v>24710.5</v>
      </c>
      <c r="Y38" s="546">
        <v>-0.38</v>
      </c>
      <c r="Z38" s="546">
        <v>3.57</v>
      </c>
      <c r="AA38" s="546">
        <v>-1.83</v>
      </c>
      <c r="AB38" s="546">
        <v>780.04</v>
      </c>
      <c r="AC38" s="546">
        <v>28.14</v>
      </c>
      <c r="AD38" s="546">
        <v>31.75</v>
      </c>
      <c r="AE38" s="546">
        <v>24.57</v>
      </c>
      <c r="AF38" s="546">
        <v>28.18</v>
      </c>
    </row>
    <row r="39" spans="1:32" s="94" customFormat="1" x14ac:dyDescent="0.2">
      <c r="A39">
        <v>8.6</v>
      </c>
      <c r="B39">
        <v>25416.84</v>
      </c>
      <c r="C39">
        <v>-2.21</v>
      </c>
      <c r="D39">
        <v>3.59</v>
      </c>
      <c r="E39">
        <v>-2.5</v>
      </c>
      <c r="F39">
        <v>790.74</v>
      </c>
      <c r="G39">
        <v>28.68</v>
      </c>
      <c r="H39">
        <v>32.19</v>
      </c>
      <c r="I39">
        <v>25.09</v>
      </c>
      <c r="J39">
        <v>28.6</v>
      </c>
      <c r="K39" s="95"/>
      <c r="L39">
        <v>8.6</v>
      </c>
      <c r="M39">
        <v>24944.59</v>
      </c>
      <c r="N39">
        <v>-1.71</v>
      </c>
      <c r="O39">
        <v>3.61</v>
      </c>
      <c r="P39">
        <v>-2.5099999999999998</v>
      </c>
      <c r="Q39">
        <v>790.26</v>
      </c>
      <c r="R39">
        <v>29.16</v>
      </c>
      <c r="S39">
        <v>32.72</v>
      </c>
      <c r="T39">
        <v>25.56</v>
      </c>
      <c r="U39">
        <v>29.11</v>
      </c>
      <c r="V39" s="94">
        <f t="shared" si="1"/>
        <v>0.98141979884202757</v>
      </c>
      <c r="W39" s="546">
        <v>8.6</v>
      </c>
      <c r="X39" s="546">
        <v>24790.46</v>
      </c>
      <c r="Y39" s="546">
        <v>-0.39</v>
      </c>
      <c r="Z39" s="546">
        <v>3.59</v>
      </c>
      <c r="AA39" s="546">
        <v>-1.83</v>
      </c>
      <c r="AB39" s="546">
        <v>780.04</v>
      </c>
      <c r="AC39" s="546">
        <v>28.07</v>
      </c>
      <c r="AD39" s="546">
        <v>31.67</v>
      </c>
      <c r="AE39" s="546">
        <v>24.49</v>
      </c>
      <c r="AF39" s="546">
        <v>28.09</v>
      </c>
    </row>
    <row r="40" spans="1:32" s="94" customFormat="1" x14ac:dyDescent="0.2">
      <c r="A40">
        <v>8.6999999999999993</v>
      </c>
      <c r="B40">
        <v>25497.9</v>
      </c>
      <c r="C40">
        <v>-2.21</v>
      </c>
      <c r="D40">
        <v>3.61</v>
      </c>
      <c r="E40">
        <v>-2.5</v>
      </c>
      <c r="F40">
        <v>790.74</v>
      </c>
      <c r="G40">
        <v>28.62</v>
      </c>
      <c r="H40">
        <v>32.119999999999997</v>
      </c>
      <c r="I40">
        <v>25.01</v>
      </c>
      <c r="J40">
        <v>28.51</v>
      </c>
      <c r="K40" s="95"/>
      <c r="L40">
        <v>8.6999999999999993</v>
      </c>
      <c r="M40">
        <v>25025.59</v>
      </c>
      <c r="N40">
        <v>-1.72</v>
      </c>
      <c r="O40">
        <v>3.62</v>
      </c>
      <c r="P40">
        <v>-2.5099999999999998</v>
      </c>
      <c r="Q40">
        <v>790.27</v>
      </c>
      <c r="R40">
        <v>29.1</v>
      </c>
      <c r="S40">
        <v>32.64</v>
      </c>
      <c r="T40">
        <v>25.48</v>
      </c>
      <c r="U40">
        <v>29.02</v>
      </c>
      <c r="V40" s="94">
        <f t="shared" si="1"/>
        <v>0.98147651375211287</v>
      </c>
      <c r="W40" s="546">
        <v>8.6999999999999993</v>
      </c>
      <c r="X40" s="546">
        <v>24870.42</v>
      </c>
      <c r="Y40" s="546">
        <v>-0.39</v>
      </c>
      <c r="Z40" s="546">
        <v>3.6</v>
      </c>
      <c r="AA40" s="546">
        <v>-1.83</v>
      </c>
      <c r="AB40" s="546">
        <v>780.04</v>
      </c>
      <c r="AC40" s="546">
        <v>28.01</v>
      </c>
      <c r="AD40" s="546">
        <v>31.6</v>
      </c>
      <c r="AE40" s="546">
        <v>24.41</v>
      </c>
      <c r="AF40" s="546">
        <v>28</v>
      </c>
    </row>
    <row r="41" spans="1:32" s="94" customFormat="1" x14ac:dyDescent="0.2">
      <c r="A41">
        <v>8.8000000000000007</v>
      </c>
      <c r="B41">
        <v>25578.94</v>
      </c>
      <c r="C41">
        <v>-2.21</v>
      </c>
      <c r="D41">
        <v>3.63</v>
      </c>
      <c r="E41">
        <v>-2.5</v>
      </c>
      <c r="F41">
        <v>790.74</v>
      </c>
      <c r="G41">
        <v>28.56</v>
      </c>
      <c r="H41">
        <v>32.04</v>
      </c>
      <c r="I41">
        <v>24.93</v>
      </c>
      <c r="J41">
        <v>28.41</v>
      </c>
      <c r="K41" s="95"/>
      <c r="L41">
        <v>8.8000000000000007</v>
      </c>
      <c r="M41">
        <v>25106.61</v>
      </c>
      <c r="N41">
        <v>-1.72</v>
      </c>
      <c r="O41">
        <v>3.64</v>
      </c>
      <c r="P41">
        <v>-2.5099999999999998</v>
      </c>
      <c r="Q41">
        <v>790.27</v>
      </c>
      <c r="R41">
        <v>29.03</v>
      </c>
      <c r="S41">
        <v>32.56</v>
      </c>
      <c r="T41">
        <v>25.39</v>
      </c>
      <c r="U41">
        <v>28.92</v>
      </c>
      <c r="V41" s="94">
        <f t="shared" si="1"/>
        <v>0.98153441854900958</v>
      </c>
      <c r="W41" s="546">
        <v>8.8000000000000007</v>
      </c>
      <c r="X41" s="546">
        <v>24950.38</v>
      </c>
      <c r="Y41" s="546">
        <v>-0.4</v>
      </c>
      <c r="Z41" s="546">
        <v>3.62</v>
      </c>
      <c r="AA41" s="546">
        <v>-1.83</v>
      </c>
      <c r="AB41" s="546">
        <v>780.04</v>
      </c>
      <c r="AC41" s="546">
        <v>27.95</v>
      </c>
      <c r="AD41" s="546">
        <v>31.52</v>
      </c>
      <c r="AE41" s="546">
        <v>24.33</v>
      </c>
      <c r="AF41" s="546">
        <v>27.91</v>
      </c>
    </row>
    <row r="42" spans="1:32" s="94" customFormat="1" x14ac:dyDescent="0.2">
      <c r="A42">
        <v>8.9</v>
      </c>
      <c r="B42">
        <v>25659.98</v>
      </c>
      <c r="C42">
        <v>-2.21</v>
      </c>
      <c r="D42">
        <v>3.64</v>
      </c>
      <c r="E42">
        <v>-2.5</v>
      </c>
      <c r="F42">
        <v>790.74</v>
      </c>
      <c r="G42">
        <v>28.49</v>
      </c>
      <c r="H42">
        <v>31.97</v>
      </c>
      <c r="I42">
        <v>24.85</v>
      </c>
      <c r="J42">
        <v>28.33</v>
      </c>
      <c r="K42" s="95"/>
      <c r="L42">
        <v>8.9</v>
      </c>
      <c r="M42">
        <v>25187.58</v>
      </c>
      <c r="N42">
        <v>-1.72</v>
      </c>
      <c r="O42">
        <v>3.66</v>
      </c>
      <c r="P42">
        <v>-2.5099999999999998</v>
      </c>
      <c r="Q42">
        <v>790.28</v>
      </c>
      <c r="R42">
        <v>28.97</v>
      </c>
      <c r="S42">
        <v>32.49</v>
      </c>
      <c r="T42">
        <v>25.31</v>
      </c>
      <c r="U42">
        <v>28.83</v>
      </c>
      <c r="V42" s="94">
        <f t="shared" si="1"/>
        <v>0.98159000903352234</v>
      </c>
      <c r="W42" s="546">
        <v>8.9</v>
      </c>
      <c r="X42" s="546">
        <v>25030.34</v>
      </c>
      <c r="Y42" s="546">
        <v>-0.4</v>
      </c>
      <c r="Z42" s="546">
        <v>3.64</v>
      </c>
      <c r="AA42" s="546">
        <v>-1.83</v>
      </c>
      <c r="AB42" s="546">
        <v>780.04</v>
      </c>
      <c r="AC42" s="546">
        <v>27.89</v>
      </c>
      <c r="AD42" s="546">
        <v>31.45</v>
      </c>
      <c r="AE42" s="546">
        <v>24.25</v>
      </c>
      <c r="AF42" s="546">
        <v>27.82</v>
      </c>
    </row>
    <row r="43" spans="1:32" s="94" customFormat="1" x14ac:dyDescent="0.2">
      <c r="A43">
        <v>9</v>
      </c>
      <c r="B43">
        <v>25741.040000000001</v>
      </c>
      <c r="C43">
        <v>-2.21</v>
      </c>
      <c r="D43">
        <v>3.66</v>
      </c>
      <c r="E43">
        <v>-2.5</v>
      </c>
      <c r="F43">
        <v>790.74</v>
      </c>
      <c r="G43">
        <v>28.43</v>
      </c>
      <c r="H43">
        <v>31.9</v>
      </c>
      <c r="I43">
        <v>24.77</v>
      </c>
      <c r="J43">
        <v>28.24</v>
      </c>
      <c r="K43" s="95"/>
      <c r="L43">
        <v>9</v>
      </c>
      <c r="M43">
        <v>25268.62</v>
      </c>
      <c r="N43">
        <v>-1.72</v>
      </c>
      <c r="O43">
        <v>3.67</v>
      </c>
      <c r="P43">
        <v>-2.5099999999999998</v>
      </c>
      <c r="Q43">
        <v>790.29</v>
      </c>
      <c r="R43">
        <v>28.9</v>
      </c>
      <c r="S43">
        <v>32.409999999999997</v>
      </c>
      <c r="T43">
        <v>25.23</v>
      </c>
      <c r="U43">
        <v>28.74</v>
      </c>
      <c r="V43" s="94">
        <f t="shared" si="1"/>
        <v>0.98164720617348789</v>
      </c>
      <c r="W43" s="546">
        <v>9</v>
      </c>
      <c r="X43" s="546">
        <v>25110.29</v>
      </c>
      <c r="Y43" s="546">
        <v>-0.41</v>
      </c>
      <c r="Z43" s="546">
        <v>3.65</v>
      </c>
      <c r="AA43" s="546">
        <v>-1.83</v>
      </c>
      <c r="AB43" s="546">
        <v>780.04</v>
      </c>
      <c r="AC43" s="546">
        <v>27.83</v>
      </c>
      <c r="AD43" s="546">
        <v>31.38</v>
      </c>
      <c r="AE43" s="546">
        <v>24.18</v>
      </c>
      <c r="AF43" s="546">
        <v>27.73</v>
      </c>
    </row>
    <row r="44" spans="1:32" s="94" customFormat="1" x14ac:dyDescent="0.2">
      <c r="A44">
        <v>9.1</v>
      </c>
      <c r="B44">
        <v>25822.09</v>
      </c>
      <c r="C44">
        <v>-2.21</v>
      </c>
      <c r="D44">
        <v>3.68</v>
      </c>
      <c r="E44">
        <v>-2.5</v>
      </c>
      <c r="F44">
        <v>790.73</v>
      </c>
      <c r="G44">
        <v>28.37</v>
      </c>
      <c r="H44">
        <v>31.82</v>
      </c>
      <c r="I44">
        <v>24.69</v>
      </c>
      <c r="J44">
        <v>28.15</v>
      </c>
      <c r="K44" s="95"/>
      <c r="L44">
        <v>9.1</v>
      </c>
      <c r="M44">
        <v>25349.62</v>
      </c>
      <c r="N44">
        <v>-1.73</v>
      </c>
      <c r="O44">
        <v>3.69</v>
      </c>
      <c r="P44">
        <v>-2.5099999999999998</v>
      </c>
      <c r="Q44">
        <v>790.29</v>
      </c>
      <c r="R44">
        <v>28.84</v>
      </c>
      <c r="S44">
        <v>32.340000000000003</v>
      </c>
      <c r="T44">
        <v>25.15</v>
      </c>
      <c r="U44">
        <v>28.65</v>
      </c>
      <c r="V44" s="94">
        <f t="shared" si="1"/>
        <v>0.9817028753288366</v>
      </c>
      <c r="W44" s="546">
        <v>9.1</v>
      </c>
      <c r="X44" s="546">
        <v>25190.240000000002</v>
      </c>
      <c r="Y44" s="546">
        <v>-0.41</v>
      </c>
      <c r="Z44" s="546">
        <v>3.67</v>
      </c>
      <c r="AA44" s="546">
        <v>-1.83</v>
      </c>
      <c r="AB44" s="546">
        <v>780.05</v>
      </c>
      <c r="AC44" s="546">
        <v>27.77</v>
      </c>
      <c r="AD44" s="546">
        <v>31.31</v>
      </c>
      <c r="AE44" s="546">
        <v>24.1</v>
      </c>
      <c r="AF44" s="546">
        <v>27.64</v>
      </c>
    </row>
    <row r="45" spans="1:32" s="94" customFormat="1" x14ac:dyDescent="0.2">
      <c r="A45">
        <v>9.1999999999999993</v>
      </c>
      <c r="B45">
        <v>25903.14</v>
      </c>
      <c r="C45">
        <v>-2.21</v>
      </c>
      <c r="D45">
        <v>3.69</v>
      </c>
      <c r="E45">
        <v>-2.5</v>
      </c>
      <c r="F45">
        <v>790.73</v>
      </c>
      <c r="G45">
        <v>28.31</v>
      </c>
      <c r="H45">
        <v>31.75</v>
      </c>
      <c r="I45">
        <v>24.62</v>
      </c>
      <c r="J45">
        <v>28.06</v>
      </c>
      <c r="K45" s="95"/>
      <c r="L45">
        <v>9.1999999999999993</v>
      </c>
      <c r="M45">
        <v>25430.62</v>
      </c>
      <c r="N45">
        <v>-1.73</v>
      </c>
      <c r="O45">
        <v>3.71</v>
      </c>
      <c r="P45">
        <v>-2.5099999999999998</v>
      </c>
      <c r="Q45">
        <v>790.3</v>
      </c>
      <c r="R45">
        <v>28.78</v>
      </c>
      <c r="S45">
        <v>32.26</v>
      </c>
      <c r="T45">
        <v>25.07</v>
      </c>
      <c r="U45">
        <v>28.56</v>
      </c>
      <c r="V45" s="94">
        <f t="shared" si="1"/>
        <v>0.98175819611058734</v>
      </c>
      <c r="W45" s="546">
        <v>9.1999999999999993</v>
      </c>
      <c r="X45" s="546">
        <v>25270.19</v>
      </c>
      <c r="Y45" s="546">
        <v>-0.41</v>
      </c>
      <c r="Z45" s="546">
        <v>3.69</v>
      </c>
      <c r="AA45" s="546">
        <v>-1.83</v>
      </c>
      <c r="AB45" s="546">
        <v>780.05</v>
      </c>
      <c r="AC45" s="546">
        <v>27.71</v>
      </c>
      <c r="AD45" s="546">
        <v>31.24</v>
      </c>
      <c r="AE45" s="546">
        <v>24.02</v>
      </c>
      <c r="AF45" s="546">
        <v>27.55</v>
      </c>
    </row>
    <row r="46" spans="1:32" s="94" customFormat="1" x14ac:dyDescent="0.2">
      <c r="A46">
        <v>9.3000000000000007</v>
      </c>
      <c r="B46">
        <v>25984.19</v>
      </c>
      <c r="C46">
        <v>-2.21</v>
      </c>
      <c r="D46">
        <v>3.71</v>
      </c>
      <c r="E46">
        <v>-2.5</v>
      </c>
      <c r="F46">
        <v>790.73</v>
      </c>
      <c r="G46">
        <v>28.25</v>
      </c>
      <c r="H46">
        <v>31.68</v>
      </c>
      <c r="I46">
        <v>24.54</v>
      </c>
      <c r="J46">
        <v>27.97</v>
      </c>
      <c r="K46" s="95"/>
      <c r="L46">
        <v>9.3000000000000007</v>
      </c>
      <c r="M46">
        <v>25511.62</v>
      </c>
      <c r="N46">
        <v>-1.73</v>
      </c>
      <c r="O46">
        <v>3.72</v>
      </c>
      <c r="P46">
        <v>-2.5099999999999998</v>
      </c>
      <c r="Q46">
        <v>790.3</v>
      </c>
      <c r="R46">
        <v>28.72</v>
      </c>
      <c r="S46">
        <v>32.19</v>
      </c>
      <c r="T46">
        <v>24.99</v>
      </c>
      <c r="U46">
        <v>28.47</v>
      </c>
      <c r="V46" s="94">
        <f t="shared" si="1"/>
        <v>0.98181317177868543</v>
      </c>
      <c r="W46" s="546">
        <v>9.3000000000000007</v>
      </c>
      <c r="X46" s="546">
        <v>25350.14</v>
      </c>
      <c r="Y46" s="546">
        <v>-0.42</v>
      </c>
      <c r="Z46" s="546">
        <v>3.7</v>
      </c>
      <c r="AA46" s="546">
        <v>-1.83</v>
      </c>
      <c r="AB46" s="546">
        <v>780.05</v>
      </c>
      <c r="AC46" s="546">
        <v>27.65</v>
      </c>
      <c r="AD46" s="546">
        <v>31.17</v>
      </c>
      <c r="AE46" s="546">
        <v>23.95</v>
      </c>
      <c r="AF46" s="546">
        <v>27.47</v>
      </c>
    </row>
    <row r="47" spans="1:32" s="94" customFormat="1" x14ac:dyDescent="0.2">
      <c r="A47">
        <v>9.4</v>
      </c>
      <c r="B47">
        <v>26065.25</v>
      </c>
      <c r="C47">
        <v>-2.21</v>
      </c>
      <c r="D47">
        <v>3.73</v>
      </c>
      <c r="E47">
        <v>-2.5</v>
      </c>
      <c r="F47">
        <v>790.73</v>
      </c>
      <c r="G47">
        <v>28.19</v>
      </c>
      <c r="H47">
        <v>31.61</v>
      </c>
      <c r="I47">
        <v>24.46</v>
      </c>
      <c r="J47">
        <v>27.88</v>
      </c>
      <c r="K47" s="95"/>
      <c r="L47">
        <v>9.4</v>
      </c>
      <c r="M47">
        <v>25592.61</v>
      </c>
      <c r="N47">
        <v>-1.73</v>
      </c>
      <c r="O47">
        <v>3.74</v>
      </c>
      <c r="P47">
        <v>-2.5099999999999998</v>
      </c>
      <c r="Q47">
        <v>790.31</v>
      </c>
      <c r="R47">
        <v>28.65</v>
      </c>
      <c r="S47">
        <v>32.119999999999997</v>
      </c>
      <c r="T47">
        <v>24.91</v>
      </c>
      <c r="U47">
        <v>28.38</v>
      </c>
      <c r="V47" s="94">
        <f t="shared" si="1"/>
        <v>0.98186704520386336</v>
      </c>
      <c r="W47" s="546">
        <v>9.4</v>
      </c>
      <c r="X47" s="546">
        <v>25430.12</v>
      </c>
      <c r="Y47" s="546">
        <v>-0.42</v>
      </c>
      <c r="Z47" s="546">
        <v>3.72</v>
      </c>
      <c r="AA47" s="546">
        <v>-1.83</v>
      </c>
      <c r="AB47" s="546">
        <v>780.05</v>
      </c>
      <c r="AC47" s="546">
        <v>27.59</v>
      </c>
      <c r="AD47" s="546">
        <v>31.1</v>
      </c>
      <c r="AE47" s="546">
        <v>23.87</v>
      </c>
      <c r="AF47" s="546">
        <v>27.38</v>
      </c>
    </row>
    <row r="48" spans="1:32" s="94" customFormat="1" x14ac:dyDescent="0.2">
      <c r="A48">
        <v>9.5</v>
      </c>
      <c r="B48">
        <v>26146.3</v>
      </c>
      <c r="C48">
        <v>-2.21</v>
      </c>
      <c r="D48">
        <v>3.75</v>
      </c>
      <c r="E48">
        <v>-2.5</v>
      </c>
      <c r="F48">
        <v>790.73</v>
      </c>
      <c r="G48">
        <v>28.13</v>
      </c>
      <c r="H48">
        <v>31.55</v>
      </c>
      <c r="I48">
        <v>24.39</v>
      </c>
      <c r="J48">
        <v>27.8</v>
      </c>
      <c r="K48" s="95"/>
      <c r="L48">
        <v>9.5</v>
      </c>
      <c r="M48">
        <v>25673.65</v>
      </c>
      <c r="N48">
        <v>-1.74</v>
      </c>
      <c r="O48">
        <v>3.76</v>
      </c>
      <c r="P48">
        <v>-2.5099999999999998</v>
      </c>
      <c r="Q48">
        <v>790.32</v>
      </c>
      <c r="R48">
        <v>28.59</v>
      </c>
      <c r="S48">
        <v>32.049999999999997</v>
      </c>
      <c r="T48">
        <v>24.83</v>
      </c>
      <c r="U48">
        <v>28.29</v>
      </c>
      <c r="V48" s="94">
        <f t="shared" si="1"/>
        <v>0.98192287245231646</v>
      </c>
      <c r="W48" s="546">
        <v>9.5</v>
      </c>
      <c r="X48" s="546">
        <v>25510.04</v>
      </c>
      <c r="Y48" s="546">
        <v>-0.43</v>
      </c>
      <c r="Z48" s="546">
        <v>3.74</v>
      </c>
      <c r="AA48" s="546">
        <v>-1.83</v>
      </c>
      <c r="AB48" s="546">
        <v>780.05</v>
      </c>
      <c r="AC48" s="546">
        <v>27.54</v>
      </c>
      <c r="AD48" s="546">
        <v>31.03</v>
      </c>
      <c r="AE48" s="546">
        <v>23.8</v>
      </c>
      <c r="AF48" s="546">
        <v>27.29</v>
      </c>
    </row>
    <row r="49" spans="1:32" s="94" customFormat="1" x14ac:dyDescent="0.2">
      <c r="A49">
        <v>9.6</v>
      </c>
      <c r="B49">
        <v>26227.34</v>
      </c>
      <c r="C49">
        <v>-2.2200000000000002</v>
      </c>
      <c r="D49">
        <v>3.76</v>
      </c>
      <c r="E49">
        <v>-2.5</v>
      </c>
      <c r="F49">
        <v>790.72</v>
      </c>
      <c r="G49">
        <v>28.08</v>
      </c>
      <c r="H49">
        <v>31.48</v>
      </c>
      <c r="I49">
        <v>24.31</v>
      </c>
      <c r="J49">
        <v>27.71</v>
      </c>
      <c r="K49" s="95"/>
      <c r="L49">
        <v>9.6</v>
      </c>
      <c r="M49">
        <v>25754.65</v>
      </c>
      <c r="N49">
        <v>-1.74</v>
      </c>
      <c r="O49">
        <v>3.78</v>
      </c>
      <c r="P49">
        <v>-2.5099999999999998</v>
      </c>
      <c r="Q49">
        <v>790.32</v>
      </c>
      <c r="R49">
        <v>28.53</v>
      </c>
      <c r="S49">
        <v>31.98</v>
      </c>
      <c r="T49">
        <v>24.76</v>
      </c>
      <c r="U49">
        <v>28.2</v>
      </c>
      <c r="V49" s="94">
        <f t="shared" si="1"/>
        <v>0.98197720394062082</v>
      </c>
      <c r="W49" s="546">
        <v>9.6</v>
      </c>
      <c r="X49" s="546">
        <v>25590</v>
      </c>
      <c r="Y49" s="546">
        <v>-0.43</v>
      </c>
      <c r="Z49" s="546">
        <v>3.76</v>
      </c>
      <c r="AA49" s="546">
        <v>-1.83</v>
      </c>
      <c r="AB49" s="546">
        <v>780.05</v>
      </c>
      <c r="AC49" s="546">
        <v>27.48</v>
      </c>
      <c r="AD49" s="546">
        <v>30.97</v>
      </c>
      <c r="AE49" s="546">
        <v>23.72</v>
      </c>
      <c r="AF49" s="546">
        <v>27.21</v>
      </c>
    </row>
    <row r="50" spans="1:32" s="94" customFormat="1" x14ac:dyDescent="0.2">
      <c r="A50">
        <v>9.6999999999999993</v>
      </c>
      <c r="B50">
        <v>26308.39</v>
      </c>
      <c r="C50">
        <v>-2.2200000000000002</v>
      </c>
      <c r="D50">
        <v>3.78</v>
      </c>
      <c r="E50">
        <v>-2.5</v>
      </c>
      <c r="F50">
        <v>790.72</v>
      </c>
      <c r="G50">
        <v>28.02</v>
      </c>
      <c r="H50">
        <v>31.41</v>
      </c>
      <c r="I50">
        <v>24.24</v>
      </c>
      <c r="J50">
        <v>27.63</v>
      </c>
      <c r="K50" s="95"/>
      <c r="L50">
        <v>9.6999999999999993</v>
      </c>
      <c r="M50">
        <v>25835.66</v>
      </c>
      <c r="N50">
        <v>-1.74</v>
      </c>
      <c r="O50">
        <v>3.8</v>
      </c>
      <c r="P50">
        <v>-2.5099999999999998</v>
      </c>
      <c r="Q50">
        <v>790.33</v>
      </c>
      <c r="R50">
        <v>28.47</v>
      </c>
      <c r="S50">
        <v>31.91</v>
      </c>
      <c r="T50">
        <v>24.68</v>
      </c>
      <c r="U50">
        <v>28.11</v>
      </c>
      <c r="V50" s="94">
        <f t="shared" si="1"/>
        <v>0.98203120753493467</v>
      </c>
      <c r="W50" s="546">
        <v>9.6999999999999993</v>
      </c>
      <c r="X50" s="546">
        <v>25669.93</v>
      </c>
      <c r="Y50" s="546">
        <v>-0.44</v>
      </c>
      <c r="Z50" s="546">
        <v>3.78</v>
      </c>
      <c r="AA50" s="546">
        <v>-1.83</v>
      </c>
      <c r="AB50" s="546">
        <v>780.05</v>
      </c>
      <c r="AC50" s="546">
        <v>27.43</v>
      </c>
      <c r="AD50" s="546">
        <v>30.9</v>
      </c>
      <c r="AE50" s="546">
        <v>23.65</v>
      </c>
      <c r="AF50" s="546">
        <v>27.12</v>
      </c>
    </row>
    <row r="51" spans="1:32" s="94" customFormat="1" x14ac:dyDescent="0.2">
      <c r="A51">
        <v>9.8000000000000007</v>
      </c>
      <c r="B51">
        <v>26389.46</v>
      </c>
      <c r="C51">
        <v>-2.2200000000000002</v>
      </c>
      <c r="D51">
        <v>3.8</v>
      </c>
      <c r="E51">
        <v>-2.5</v>
      </c>
      <c r="F51">
        <v>790.72</v>
      </c>
      <c r="G51">
        <v>27.96</v>
      </c>
      <c r="H51">
        <v>31.34</v>
      </c>
      <c r="I51">
        <v>24.16</v>
      </c>
      <c r="J51">
        <v>27.54</v>
      </c>
      <c r="K51" s="95"/>
      <c r="L51">
        <v>9.8000000000000007</v>
      </c>
      <c r="M51">
        <v>25916.67</v>
      </c>
      <c r="N51">
        <v>-1.74</v>
      </c>
      <c r="O51">
        <v>3.82</v>
      </c>
      <c r="P51">
        <v>-2.5099999999999998</v>
      </c>
      <c r="Q51">
        <v>790.33</v>
      </c>
      <c r="R51">
        <v>28.42</v>
      </c>
      <c r="S51">
        <v>31.84</v>
      </c>
      <c r="T51">
        <v>24.6</v>
      </c>
      <c r="U51">
        <v>28.02</v>
      </c>
      <c r="V51" s="94">
        <f t="shared" si="1"/>
        <v>0.98208413510545489</v>
      </c>
      <c r="W51" s="546">
        <v>9.8000000000000007</v>
      </c>
      <c r="X51" s="546">
        <v>25749.91</v>
      </c>
      <c r="Y51" s="546">
        <v>-0.44</v>
      </c>
      <c r="Z51" s="546">
        <v>3.8</v>
      </c>
      <c r="AA51" s="546">
        <v>-1.83</v>
      </c>
      <c r="AB51" s="546">
        <v>780.05</v>
      </c>
      <c r="AC51" s="546">
        <v>27.37</v>
      </c>
      <c r="AD51" s="546">
        <v>30.83</v>
      </c>
      <c r="AE51" s="546">
        <v>23.58</v>
      </c>
      <c r="AF51" s="546">
        <v>27.04</v>
      </c>
    </row>
    <row r="52" spans="1:32" s="94" customFormat="1" x14ac:dyDescent="0.2">
      <c r="A52">
        <v>9.9</v>
      </c>
      <c r="B52">
        <v>26470.5</v>
      </c>
      <c r="C52">
        <v>-2.2200000000000002</v>
      </c>
      <c r="D52">
        <v>3.82</v>
      </c>
      <c r="E52">
        <v>-2.5</v>
      </c>
      <c r="F52">
        <v>790.72</v>
      </c>
      <c r="G52">
        <v>27.91</v>
      </c>
      <c r="H52">
        <v>31.28</v>
      </c>
      <c r="I52">
        <v>24.09</v>
      </c>
      <c r="J52">
        <v>27.46</v>
      </c>
      <c r="K52" s="95"/>
      <c r="L52">
        <v>9.9</v>
      </c>
      <c r="M52">
        <v>25997.65</v>
      </c>
      <c r="N52">
        <v>-1.75</v>
      </c>
      <c r="O52">
        <v>3.83</v>
      </c>
      <c r="P52">
        <v>-2.5099999999999998</v>
      </c>
      <c r="Q52">
        <v>790.34</v>
      </c>
      <c r="R52">
        <v>28.36</v>
      </c>
      <c r="S52">
        <v>31.77</v>
      </c>
      <c r="T52">
        <v>24.52</v>
      </c>
      <c r="U52">
        <v>27.94</v>
      </c>
      <c r="V52" s="94">
        <f t="shared" si="1"/>
        <v>0.98213671823350523</v>
      </c>
      <c r="W52" s="546">
        <v>9.9</v>
      </c>
      <c r="X52" s="546">
        <v>25829.86</v>
      </c>
      <c r="Y52" s="546">
        <v>-0.44</v>
      </c>
      <c r="Z52" s="546">
        <v>3.81</v>
      </c>
      <c r="AA52" s="546">
        <v>-1.83</v>
      </c>
      <c r="AB52" s="546">
        <v>780.05</v>
      </c>
      <c r="AC52" s="546">
        <v>27.32</v>
      </c>
      <c r="AD52" s="546">
        <v>30.77</v>
      </c>
      <c r="AE52" s="546">
        <v>23.5</v>
      </c>
      <c r="AF52" s="546">
        <v>26.96</v>
      </c>
    </row>
    <row r="53" spans="1:32" s="94" customFormat="1" x14ac:dyDescent="0.2">
      <c r="A53">
        <v>10</v>
      </c>
      <c r="B53">
        <v>26551.53</v>
      </c>
      <c r="C53">
        <v>-2.2200000000000002</v>
      </c>
      <c r="D53">
        <v>3.84</v>
      </c>
      <c r="E53">
        <v>-2.5</v>
      </c>
      <c r="F53">
        <v>790.72</v>
      </c>
      <c r="G53">
        <v>27.85</v>
      </c>
      <c r="H53">
        <v>31.21</v>
      </c>
      <c r="I53">
        <v>24.01</v>
      </c>
      <c r="J53">
        <v>27.37</v>
      </c>
      <c r="K53" s="95"/>
      <c r="L53">
        <v>10</v>
      </c>
      <c r="M53">
        <v>26078.67</v>
      </c>
      <c r="N53">
        <v>-1.75</v>
      </c>
      <c r="O53">
        <v>3.85</v>
      </c>
      <c r="P53">
        <v>-2.5099999999999998</v>
      </c>
      <c r="Q53">
        <v>790.34</v>
      </c>
      <c r="R53">
        <v>28.3</v>
      </c>
      <c r="S53">
        <v>31.7</v>
      </c>
      <c r="T53">
        <v>24.45</v>
      </c>
      <c r="U53">
        <v>27.85</v>
      </c>
      <c r="V53" s="94">
        <f t="shared" si="1"/>
        <v>0.98219085679808282</v>
      </c>
      <c r="W53" s="546">
        <v>10</v>
      </c>
      <c r="X53" s="546">
        <v>25909.83</v>
      </c>
      <c r="Y53" s="546">
        <v>-0.45</v>
      </c>
      <c r="Z53" s="546">
        <v>3.83</v>
      </c>
      <c r="AA53" s="546">
        <v>-1.83</v>
      </c>
      <c r="AB53" s="546">
        <v>780.05</v>
      </c>
      <c r="AC53" s="546">
        <v>27.26</v>
      </c>
      <c r="AD53" s="546">
        <v>30.71</v>
      </c>
      <c r="AE53" s="546">
        <v>23.43</v>
      </c>
      <c r="AF53" s="546">
        <v>26.87</v>
      </c>
    </row>
    <row r="54" spans="1:32" s="94" customFormat="1" x14ac:dyDescent="0.2">
      <c r="A54">
        <v>10.1</v>
      </c>
      <c r="B54">
        <v>26632.58</v>
      </c>
      <c r="C54">
        <v>-2.2200000000000002</v>
      </c>
      <c r="D54">
        <v>3.86</v>
      </c>
      <c r="E54">
        <v>-2.5</v>
      </c>
      <c r="F54">
        <v>790.72</v>
      </c>
      <c r="G54">
        <v>27.8</v>
      </c>
      <c r="H54">
        <v>31.15</v>
      </c>
      <c r="I54">
        <v>23.94</v>
      </c>
      <c r="J54">
        <v>27.29</v>
      </c>
      <c r="K54" s="95"/>
      <c r="L54">
        <v>10.1</v>
      </c>
      <c r="M54">
        <v>26159.68</v>
      </c>
      <c r="N54">
        <v>-1.75</v>
      </c>
      <c r="O54">
        <v>3.87</v>
      </c>
      <c r="P54">
        <v>-2.5099999999999998</v>
      </c>
      <c r="Q54">
        <v>790.35</v>
      </c>
      <c r="R54">
        <v>28.24</v>
      </c>
      <c r="S54">
        <v>31.64</v>
      </c>
      <c r="T54">
        <v>24.37</v>
      </c>
      <c r="U54">
        <v>27.76</v>
      </c>
      <c r="V54" s="94">
        <f t="shared" si="1"/>
        <v>0.98224355282139386</v>
      </c>
      <c r="W54" s="546">
        <v>10.1</v>
      </c>
      <c r="X54" s="546">
        <v>25989.77</v>
      </c>
      <c r="Y54" s="546">
        <v>-0.45</v>
      </c>
      <c r="Z54" s="546">
        <v>3.85</v>
      </c>
      <c r="AA54" s="546">
        <v>-1.83</v>
      </c>
      <c r="AB54" s="546">
        <v>780.05</v>
      </c>
      <c r="AC54" s="546">
        <v>27.21</v>
      </c>
      <c r="AD54" s="546">
        <v>30.64</v>
      </c>
      <c r="AE54" s="546">
        <v>23.36</v>
      </c>
      <c r="AF54" s="546">
        <v>26.79</v>
      </c>
    </row>
    <row r="55" spans="1:32" s="94" customFormat="1" x14ac:dyDescent="0.2">
      <c r="A55">
        <v>10.199999999999999</v>
      </c>
      <c r="B55">
        <v>26713.63</v>
      </c>
      <c r="C55">
        <v>-2.2200000000000002</v>
      </c>
      <c r="D55">
        <v>3.88</v>
      </c>
      <c r="E55">
        <v>-2.5</v>
      </c>
      <c r="F55">
        <v>790.71</v>
      </c>
      <c r="G55">
        <v>27.75</v>
      </c>
      <c r="H55">
        <v>31.08</v>
      </c>
      <c r="I55">
        <v>23.87</v>
      </c>
      <c r="J55">
        <v>27.21</v>
      </c>
      <c r="K55" s="95"/>
      <c r="L55">
        <v>10.199999999999999</v>
      </c>
      <c r="M55">
        <v>26240.71</v>
      </c>
      <c r="N55">
        <v>-1.75</v>
      </c>
      <c r="O55">
        <v>3.89</v>
      </c>
      <c r="P55">
        <v>-2.5099999999999998</v>
      </c>
      <c r="Q55">
        <v>790.35</v>
      </c>
      <c r="R55">
        <v>28.19</v>
      </c>
      <c r="S55">
        <v>31.57</v>
      </c>
      <c r="T55">
        <v>24.3</v>
      </c>
      <c r="U55">
        <v>27.68</v>
      </c>
      <c r="V55" s="94">
        <f t="shared" si="1"/>
        <v>0.98229667776337393</v>
      </c>
      <c r="W55" s="546">
        <v>10.199999999999999</v>
      </c>
      <c r="X55" s="546">
        <v>26069.73</v>
      </c>
      <c r="Y55" s="546">
        <v>-0.46</v>
      </c>
      <c r="Z55" s="546">
        <v>3.87</v>
      </c>
      <c r="AA55" s="546">
        <v>-1.83</v>
      </c>
      <c r="AB55" s="546">
        <v>780.05</v>
      </c>
      <c r="AC55" s="546">
        <v>27.16</v>
      </c>
      <c r="AD55" s="546">
        <v>30.58</v>
      </c>
      <c r="AE55" s="546">
        <v>23.29</v>
      </c>
      <c r="AF55" s="546">
        <v>26.71</v>
      </c>
    </row>
    <row r="56" spans="1:32" s="94" customFormat="1" x14ac:dyDescent="0.2">
      <c r="A56">
        <v>10.3</v>
      </c>
      <c r="B56">
        <v>26794.69</v>
      </c>
      <c r="C56">
        <v>-2.2200000000000002</v>
      </c>
      <c r="D56">
        <v>3.9</v>
      </c>
      <c r="E56">
        <v>-2.5</v>
      </c>
      <c r="F56">
        <v>790.71</v>
      </c>
      <c r="G56">
        <v>27.69</v>
      </c>
      <c r="H56">
        <v>31.02</v>
      </c>
      <c r="I56">
        <v>23.8</v>
      </c>
      <c r="J56">
        <v>27.13</v>
      </c>
      <c r="K56" s="95"/>
      <c r="L56">
        <v>10.3</v>
      </c>
      <c r="M56">
        <v>26321.71</v>
      </c>
      <c r="N56">
        <v>-1.76</v>
      </c>
      <c r="O56">
        <v>3.91</v>
      </c>
      <c r="P56">
        <v>-2.5099999999999998</v>
      </c>
      <c r="Q56">
        <v>790.36</v>
      </c>
      <c r="R56">
        <v>28.13</v>
      </c>
      <c r="S56">
        <v>31.51</v>
      </c>
      <c r="T56">
        <v>24.22</v>
      </c>
      <c r="U56">
        <v>27.59</v>
      </c>
      <c r="V56" s="94">
        <f t="shared" si="1"/>
        <v>0.98234799506917225</v>
      </c>
      <c r="W56" s="546">
        <v>10.3</v>
      </c>
      <c r="X56" s="546">
        <v>26149.69</v>
      </c>
      <c r="Y56" s="546">
        <v>-0.46</v>
      </c>
      <c r="Z56" s="546">
        <v>3.89</v>
      </c>
      <c r="AA56" s="546">
        <v>-1.83</v>
      </c>
      <c r="AB56" s="546">
        <v>780.05</v>
      </c>
      <c r="AC56" s="546">
        <v>27.11</v>
      </c>
      <c r="AD56" s="546">
        <v>30.52</v>
      </c>
      <c r="AE56" s="546">
        <v>23.22</v>
      </c>
      <c r="AF56" s="546">
        <v>26.63</v>
      </c>
    </row>
    <row r="57" spans="1:32" s="94" customFormat="1" x14ac:dyDescent="0.2">
      <c r="A57">
        <v>10.4</v>
      </c>
      <c r="B57">
        <v>26875.73</v>
      </c>
      <c r="C57">
        <v>-2.2200000000000002</v>
      </c>
      <c r="D57">
        <v>3.92</v>
      </c>
      <c r="E57">
        <v>-2.5</v>
      </c>
      <c r="F57">
        <v>790.71</v>
      </c>
      <c r="G57">
        <v>27.64</v>
      </c>
      <c r="H57">
        <v>30.96</v>
      </c>
      <c r="I57">
        <v>23.72</v>
      </c>
      <c r="J57">
        <v>27.04</v>
      </c>
      <c r="K57" s="95"/>
      <c r="L57">
        <v>10.4</v>
      </c>
      <c r="M57">
        <v>26402.720000000001</v>
      </c>
      <c r="N57">
        <v>-1.76</v>
      </c>
      <c r="O57">
        <v>3.93</v>
      </c>
      <c r="P57">
        <v>-2.5099999999999998</v>
      </c>
      <c r="Q57">
        <v>790.37</v>
      </c>
      <c r="R57">
        <v>28.08</v>
      </c>
      <c r="S57">
        <v>31.44</v>
      </c>
      <c r="T57">
        <v>24.15</v>
      </c>
      <c r="U57">
        <v>27.51</v>
      </c>
      <c r="V57" s="94">
        <f t="shared" si="1"/>
        <v>0.98240010596921468</v>
      </c>
      <c r="W57" s="546">
        <v>10.4</v>
      </c>
      <c r="X57" s="546">
        <v>26229.64</v>
      </c>
      <c r="Y57" s="546">
        <v>-0.47</v>
      </c>
      <c r="Z57" s="546">
        <v>3.91</v>
      </c>
      <c r="AA57" s="546">
        <v>-1.83</v>
      </c>
      <c r="AB57" s="546">
        <v>780.05</v>
      </c>
      <c r="AC57" s="546">
        <v>27.06</v>
      </c>
      <c r="AD57" s="546">
        <v>30.46</v>
      </c>
      <c r="AE57" s="546">
        <v>23.14</v>
      </c>
      <c r="AF57" s="546">
        <v>26.54</v>
      </c>
    </row>
    <row r="58" spans="1:32" s="94" customFormat="1" x14ac:dyDescent="0.2">
      <c r="A58">
        <v>10.5</v>
      </c>
      <c r="B58">
        <v>26956.78</v>
      </c>
      <c r="C58">
        <v>-2.2200000000000002</v>
      </c>
      <c r="D58">
        <v>3.93</v>
      </c>
      <c r="E58">
        <v>-2.5</v>
      </c>
      <c r="F58">
        <v>790.71</v>
      </c>
      <c r="G58">
        <v>27.59</v>
      </c>
      <c r="H58">
        <v>30.9</v>
      </c>
      <c r="I58">
        <v>23.65</v>
      </c>
      <c r="J58">
        <v>26.96</v>
      </c>
      <c r="K58" s="95"/>
      <c r="L58">
        <v>10.5</v>
      </c>
      <c r="M58">
        <v>26483.72</v>
      </c>
      <c r="N58">
        <v>-1.76</v>
      </c>
      <c r="O58">
        <v>3.95</v>
      </c>
      <c r="P58">
        <v>-2.5099999999999998</v>
      </c>
      <c r="Q58">
        <v>790.37</v>
      </c>
      <c r="R58">
        <v>28.02</v>
      </c>
      <c r="S58">
        <v>31.38</v>
      </c>
      <c r="T58">
        <v>24.07</v>
      </c>
      <c r="U58">
        <v>27.43</v>
      </c>
      <c r="V58" s="94">
        <f t="shared" si="1"/>
        <v>0.98245116812913125</v>
      </c>
      <c r="W58" s="546">
        <v>10.5</v>
      </c>
      <c r="X58" s="546">
        <v>26309.59</v>
      </c>
      <c r="Y58" s="546">
        <v>-0.47</v>
      </c>
      <c r="Z58" s="546">
        <v>3.93</v>
      </c>
      <c r="AA58" s="546">
        <v>-1.83</v>
      </c>
      <c r="AB58" s="546">
        <v>780.05</v>
      </c>
      <c r="AC58" s="546">
        <v>27</v>
      </c>
      <c r="AD58" s="546">
        <v>30.39</v>
      </c>
      <c r="AE58" s="546">
        <v>23.07</v>
      </c>
      <c r="AF58" s="546">
        <v>26.46</v>
      </c>
    </row>
    <row r="59" spans="1:32" s="94" customFormat="1" x14ac:dyDescent="0.2">
      <c r="A59">
        <v>10.6</v>
      </c>
      <c r="B59">
        <v>27037.83</v>
      </c>
      <c r="C59">
        <v>-2.2200000000000002</v>
      </c>
      <c r="D59">
        <v>3.95</v>
      </c>
      <c r="E59">
        <v>-2.5</v>
      </c>
      <c r="F59">
        <v>790.71</v>
      </c>
      <c r="G59">
        <v>27.54</v>
      </c>
      <c r="H59">
        <v>30.84</v>
      </c>
      <c r="I59">
        <v>23.58</v>
      </c>
      <c r="J59">
        <v>26.88</v>
      </c>
      <c r="K59" s="95"/>
      <c r="L59">
        <v>10.6</v>
      </c>
      <c r="M59">
        <v>26564.75</v>
      </c>
      <c r="N59">
        <v>-1.76</v>
      </c>
      <c r="O59">
        <v>3.97</v>
      </c>
      <c r="P59">
        <v>-2.5099999999999998</v>
      </c>
      <c r="Q59">
        <v>790.38</v>
      </c>
      <c r="R59">
        <v>27.97</v>
      </c>
      <c r="S59">
        <v>31.31</v>
      </c>
      <c r="T59">
        <v>24</v>
      </c>
      <c r="U59">
        <v>27.34</v>
      </c>
      <c r="V59" s="94">
        <f t="shared" si="1"/>
        <v>0.98250303371239478</v>
      </c>
      <c r="W59" s="546">
        <v>10.6</v>
      </c>
      <c r="X59" s="546">
        <v>26389.55</v>
      </c>
      <c r="Y59" s="546">
        <v>-0.47</v>
      </c>
      <c r="Z59" s="546">
        <v>3.95</v>
      </c>
      <c r="AA59" s="546">
        <v>-1.83</v>
      </c>
      <c r="AB59" s="546">
        <v>780.05</v>
      </c>
      <c r="AC59" s="546">
        <v>26.95</v>
      </c>
      <c r="AD59" s="546">
        <v>30.33</v>
      </c>
      <c r="AE59" s="546">
        <v>23</v>
      </c>
      <c r="AF59" s="546">
        <v>26.38</v>
      </c>
    </row>
    <row r="60" spans="1:32" s="94" customFormat="1" x14ac:dyDescent="0.2">
      <c r="A60">
        <v>10.7</v>
      </c>
      <c r="B60">
        <v>27118.880000000001</v>
      </c>
      <c r="C60">
        <v>-2.2200000000000002</v>
      </c>
      <c r="D60">
        <v>3.97</v>
      </c>
      <c r="E60">
        <v>-2.5</v>
      </c>
      <c r="F60">
        <v>790.71</v>
      </c>
      <c r="G60">
        <v>27.49</v>
      </c>
      <c r="H60">
        <v>30.78</v>
      </c>
      <c r="I60">
        <v>23.51</v>
      </c>
      <c r="J60">
        <v>26.8</v>
      </c>
      <c r="K60" s="95"/>
      <c r="L60">
        <v>10.7</v>
      </c>
      <c r="M60">
        <v>26645.77</v>
      </c>
      <c r="N60">
        <v>-1.77</v>
      </c>
      <c r="O60">
        <v>3.99</v>
      </c>
      <c r="P60">
        <v>-2.5099999999999998</v>
      </c>
      <c r="Q60">
        <v>790.38</v>
      </c>
      <c r="R60">
        <v>27.92</v>
      </c>
      <c r="S60">
        <v>31.25</v>
      </c>
      <c r="T60">
        <v>23.93</v>
      </c>
      <c r="U60">
        <v>27.26</v>
      </c>
      <c r="V60" s="94">
        <f t="shared" si="1"/>
        <v>0.98255422052828134</v>
      </c>
      <c r="W60" s="546">
        <v>10.7</v>
      </c>
      <c r="X60" s="546">
        <v>26469.52</v>
      </c>
      <c r="Y60" s="546">
        <v>-0.48</v>
      </c>
      <c r="Z60" s="546">
        <v>3.97</v>
      </c>
      <c r="AA60" s="546">
        <v>-1.83</v>
      </c>
      <c r="AB60" s="546">
        <v>780.05</v>
      </c>
      <c r="AC60" s="546">
        <v>26.91</v>
      </c>
      <c r="AD60" s="546">
        <v>30.27</v>
      </c>
      <c r="AE60" s="546">
        <v>22.93</v>
      </c>
      <c r="AF60" s="546">
        <v>26.3</v>
      </c>
    </row>
    <row r="61" spans="1:32" s="94" customFormat="1" x14ac:dyDescent="0.2">
      <c r="A61">
        <v>10.8</v>
      </c>
      <c r="B61">
        <v>27199.919999999998</v>
      </c>
      <c r="C61">
        <v>-2.23</v>
      </c>
      <c r="D61">
        <v>3.99</v>
      </c>
      <c r="E61">
        <v>-2.5</v>
      </c>
      <c r="F61">
        <v>790.7</v>
      </c>
      <c r="G61">
        <v>27.44</v>
      </c>
      <c r="H61">
        <v>30.72</v>
      </c>
      <c r="I61">
        <v>23.44</v>
      </c>
      <c r="J61">
        <v>26.72</v>
      </c>
      <c r="K61" s="95"/>
      <c r="L61">
        <v>10.8</v>
      </c>
      <c r="M61">
        <v>26726.78</v>
      </c>
      <c r="N61">
        <v>-1.77</v>
      </c>
      <c r="O61">
        <v>4.01</v>
      </c>
      <c r="P61">
        <v>-2.5099999999999998</v>
      </c>
      <c r="Q61">
        <v>790.39</v>
      </c>
      <c r="R61">
        <v>27.87</v>
      </c>
      <c r="S61">
        <v>31.19</v>
      </c>
      <c r="T61">
        <v>23.85</v>
      </c>
      <c r="U61">
        <v>27.18</v>
      </c>
      <c r="V61" s="94">
        <f t="shared" si="1"/>
        <v>0.98260509589734091</v>
      </c>
      <c r="W61" s="546">
        <v>10.8</v>
      </c>
      <c r="X61" s="546">
        <v>26549.46</v>
      </c>
      <c r="Y61" s="546">
        <v>-0.48</v>
      </c>
      <c r="Z61" s="546">
        <v>3.99</v>
      </c>
      <c r="AA61" s="546">
        <v>-1.83</v>
      </c>
      <c r="AB61" s="546">
        <v>780.05</v>
      </c>
      <c r="AC61" s="546">
        <v>26.86</v>
      </c>
      <c r="AD61" s="546">
        <v>30.22</v>
      </c>
      <c r="AE61" s="546">
        <v>22.87</v>
      </c>
      <c r="AF61" s="546">
        <v>26.22</v>
      </c>
    </row>
    <row r="62" spans="1:32" s="94" customFormat="1" x14ac:dyDescent="0.2">
      <c r="A62">
        <v>10.9</v>
      </c>
      <c r="B62">
        <v>27280.97</v>
      </c>
      <c r="C62">
        <v>-2.23</v>
      </c>
      <c r="D62">
        <v>4.0199999999999996</v>
      </c>
      <c r="E62">
        <v>-2.5</v>
      </c>
      <c r="F62">
        <v>790.7</v>
      </c>
      <c r="G62">
        <v>27.39</v>
      </c>
      <c r="H62">
        <v>30.66</v>
      </c>
      <c r="I62">
        <v>23.37</v>
      </c>
      <c r="J62">
        <v>26.64</v>
      </c>
      <c r="K62" s="95"/>
      <c r="L62">
        <v>10.9</v>
      </c>
      <c r="M62">
        <v>26807.79</v>
      </c>
      <c r="N62">
        <v>-1.77</v>
      </c>
      <c r="O62">
        <v>4.03</v>
      </c>
      <c r="P62">
        <v>-2.5099999999999998</v>
      </c>
      <c r="Q62">
        <v>790.39</v>
      </c>
      <c r="R62">
        <v>27.82</v>
      </c>
      <c r="S62">
        <v>31.13</v>
      </c>
      <c r="T62">
        <v>23.78</v>
      </c>
      <c r="U62">
        <v>27.1</v>
      </c>
      <c r="V62" s="94">
        <f t="shared" si="1"/>
        <v>0.98265530881050045</v>
      </c>
      <c r="W62" s="546">
        <v>10.9</v>
      </c>
      <c r="X62" s="546">
        <v>26629.41</v>
      </c>
      <c r="Y62" s="546">
        <v>-0.49</v>
      </c>
      <c r="Z62" s="546">
        <v>4.01</v>
      </c>
      <c r="AA62" s="546">
        <v>-1.83</v>
      </c>
      <c r="AB62" s="546">
        <v>780.05</v>
      </c>
      <c r="AC62" s="546">
        <v>26.81</v>
      </c>
      <c r="AD62" s="546">
        <v>30.16</v>
      </c>
      <c r="AE62" s="546">
        <v>22.8</v>
      </c>
      <c r="AF62" s="546">
        <v>26.15</v>
      </c>
    </row>
    <row r="63" spans="1:32" s="94" customFormat="1" x14ac:dyDescent="0.2">
      <c r="A63">
        <v>11</v>
      </c>
      <c r="B63">
        <v>27362.02</v>
      </c>
      <c r="C63">
        <v>-2.23</v>
      </c>
      <c r="D63">
        <v>4.04</v>
      </c>
      <c r="E63">
        <v>-2.5</v>
      </c>
      <c r="F63">
        <v>790.7</v>
      </c>
      <c r="G63">
        <v>27.34</v>
      </c>
      <c r="H63">
        <v>30.6</v>
      </c>
      <c r="I63">
        <v>23.3</v>
      </c>
      <c r="J63">
        <v>26.56</v>
      </c>
      <c r="K63" s="95"/>
      <c r="L63">
        <v>11</v>
      </c>
      <c r="M63">
        <v>26888.82</v>
      </c>
      <c r="N63">
        <v>-1.77</v>
      </c>
      <c r="O63">
        <v>4.05</v>
      </c>
      <c r="P63">
        <v>-2.5099999999999998</v>
      </c>
      <c r="Q63">
        <v>790.4</v>
      </c>
      <c r="R63">
        <v>27.76</v>
      </c>
      <c r="S63">
        <v>31.07</v>
      </c>
      <c r="T63">
        <v>23.71</v>
      </c>
      <c r="U63">
        <v>27.02</v>
      </c>
      <c r="V63" s="94">
        <f t="shared" si="1"/>
        <v>0.98270595518898085</v>
      </c>
      <c r="W63" s="546">
        <v>11</v>
      </c>
      <c r="X63" s="546">
        <v>26709.360000000001</v>
      </c>
      <c r="Y63" s="546">
        <v>-0.49</v>
      </c>
      <c r="Z63" s="546">
        <v>4.03</v>
      </c>
      <c r="AA63" s="546">
        <v>-1.83</v>
      </c>
      <c r="AB63" s="546">
        <v>780.05</v>
      </c>
      <c r="AC63" s="546">
        <v>26.76</v>
      </c>
      <c r="AD63" s="546">
        <v>30.1</v>
      </c>
      <c r="AE63" s="546">
        <v>22.73</v>
      </c>
      <c r="AF63" s="546">
        <v>26.07</v>
      </c>
    </row>
    <row r="64" spans="1:32" s="94" customFormat="1" x14ac:dyDescent="0.2">
      <c r="A64">
        <v>11.1</v>
      </c>
      <c r="B64">
        <v>27443.06</v>
      </c>
      <c r="C64">
        <v>-2.23</v>
      </c>
      <c r="D64">
        <v>4.0599999999999996</v>
      </c>
      <c r="E64">
        <v>-2.5</v>
      </c>
      <c r="F64">
        <v>790.7</v>
      </c>
      <c r="G64">
        <v>27.29</v>
      </c>
      <c r="H64">
        <v>30.54</v>
      </c>
      <c r="I64">
        <v>23.23</v>
      </c>
      <c r="J64">
        <v>26.48</v>
      </c>
      <c r="K64" s="95"/>
      <c r="L64">
        <v>11.1</v>
      </c>
      <c r="M64">
        <v>26969.82</v>
      </c>
      <c r="N64">
        <v>-1.77</v>
      </c>
      <c r="O64">
        <v>4.07</v>
      </c>
      <c r="P64">
        <v>-2.5099999999999998</v>
      </c>
      <c r="Q64">
        <v>790.4</v>
      </c>
      <c r="R64">
        <v>27.71</v>
      </c>
      <c r="S64">
        <v>31.01</v>
      </c>
      <c r="T64">
        <v>23.64</v>
      </c>
      <c r="U64">
        <v>26.93</v>
      </c>
      <c r="V64" s="94">
        <f t="shared" si="1"/>
        <v>0.98275556734562397</v>
      </c>
      <c r="W64" s="546">
        <v>11.1</v>
      </c>
      <c r="X64" s="546">
        <v>26789.33</v>
      </c>
      <c r="Y64" s="546">
        <v>-0.49</v>
      </c>
      <c r="Z64" s="546">
        <v>4.05</v>
      </c>
      <c r="AA64" s="546">
        <v>-1.83</v>
      </c>
      <c r="AB64" s="546">
        <v>780.05</v>
      </c>
      <c r="AC64" s="546">
        <v>26.71</v>
      </c>
      <c r="AD64" s="546">
        <v>30.04</v>
      </c>
      <c r="AE64" s="546">
        <v>22.66</v>
      </c>
      <c r="AF64" s="546">
        <v>25.99</v>
      </c>
    </row>
    <row r="65" spans="1:32" s="94" customFormat="1" x14ac:dyDescent="0.2">
      <c r="A65">
        <v>11.2</v>
      </c>
      <c r="B65">
        <v>27524.11</v>
      </c>
      <c r="C65">
        <v>-2.23</v>
      </c>
      <c r="D65">
        <v>4.08</v>
      </c>
      <c r="E65">
        <v>-2.5</v>
      </c>
      <c r="F65">
        <v>790.7</v>
      </c>
      <c r="G65">
        <v>27.24</v>
      </c>
      <c r="H65">
        <v>30.48</v>
      </c>
      <c r="I65">
        <v>23.17</v>
      </c>
      <c r="J65">
        <v>26.41</v>
      </c>
      <c r="K65" s="95"/>
      <c r="L65">
        <v>11.2</v>
      </c>
      <c r="M65">
        <v>27050.83</v>
      </c>
      <c r="N65">
        <v>-1.78</v>
      </c>
      <c r="O65">
        <v>4.0999999999999996</v>
      </c>
      <c r="P65">
        <v>-2.5099999999999998</v>
      </c>
      <c r="Q65">
        <v>790.41</v>
      </c>
      <c r="R65">
        <v>27.67</v>
      </c>
      <c r="S65">
        <v>30.95</v>
      </c>
      <c r="T65">
        <v>23.57</v>
      </c>
      <c r="U65">
        <v>26.85</v>
      </c>
      <c r="V65" s="94">
        <f t="shared" si="1"/>
        <v>0.98280489360055612</v>
      </c>
      <c r="W65" s="546">
        <v>11.2</v>
      </c>
      <c r="X65" s="546">
        <v>26869.26</v>
      </c>
      <c r="Y65" s="546">
        <v>-0.5</v>
      </c>
      <c r="Z65" s="546">
        <v>4.07</v>
      </c>
      <c r="AA65" s="546">
        <v>-1.83</v>
      </c>
      <c r="AB65" s="546">
        <v>780.05</v>
      </c>
      <c r="AC65" s="546">
        <v>26.67</v>
      </c>
      <c r="AD65" s="546">
        <v>29.99</v>
      </c>
      <c r="AE65" s="546">
        <v>22.59</v>
      </c>
      <c r="AF65" s="546">
        <v>25.91</v>
      </c>
    </row>
    <row r="66" spans="1:32" s="94" customFormat="1" x14ac:dyDescent="0.2">
      <c r="A66">
        <v>11.3</v>
      </c>
      <c r="B66">
        <v>27605.13</v>
      </c>
      <c r="C66">
        <v>-2.23</v>
      </c>
      <c r="D66">
        <v>4.0999999999999996</v>
      </c>
      <c r="E66">
        <v>-2.5</v>
      </c>
      <c r="F66">
        <v>790.7</v>
      </c>
      <c r="G66">
        <v>27.2</v>
      </c>
      <c r="H66">
        <v>30.43</v>
      </c>
      <c r="I66">
        <v>23.1</v>
      </c>
      <c r="J66">
        <v>26.33</v>
      </c>
      <c r="K66" s="95"/>
      <c r="L66">
        <v>11.3</v>
      </c>
      <c r="M66">
        <v>27131.86</v>
      </c>
      <c r="N66">
        <v>-1.78</v>
      </c>
      <c r="O66">
        <v>4.12</v>
      </c>
      <c r="P66">
        <v>-2.5099999999999998</v>
      </c>
      <c r="Q66">
        <v>790.41</v>
      </c>
      <c r="R66">
        <v>27.62</v>
      </c>
      <c r="S66">
        <v>30.89</v>
      </c>
      <c r="T66">
        <v>23.5</v>
      </c>
      <c r="U66">
        <v>26.77</v>
      </c>
      <c r="V66" s="94">
        <f t="shared" si="1"/>
        <v>0.98285572283122735</v>
      </c>
      <c r="W66" s="546">
        <v>11.3</v>
      </c>
      <c r="X66" s="546">
        <v>26949.24</v>
      </c>
      <c r="Y66" s="546">
        <v>-0.5</v>
      </c>
      <c r="Z66" s="546">
        <v>4.0999999999999996</v>
      </c>
      <c r="AA66" s="546">
        <v>-1.83</v>
      </c>
      <c r="AB66" s="546">
        <v>780.05</v>
      </c>
      <c r="AC66" s="546">
        <v>26.62</v>
      </c>
      <c r="AD66" s="546">
        <v>29.93</v>
      </c>
      <c r="AE66" s="546">
        <v>22.53</v>
      </c>
      <c r="AF66" s="546">
        <v>25.84</v>
      </c>
    </row>
    <row r="67" spans="1:32" s="94" customFormat="1" x14ac:dyDescent="0.2">
      <c r="A67">
        <v>11.4</v>
      </c>
      <c r="B67">
        <v>27686.19</v>
      </c>
      <c r="C67">
        <v>-2.23</v>
      </c>
      <c r="D67">
        <v>4.12</v>
      </c>
      <c r="E67">
        <v>-2.5</v>
      </c>
      <c r="F67">
        <v>790.69</v>
      </c>
      <c r="G67">
        <v>27.15</v>
      </c>
      <c r="H67">
        <v>30.37</v>
      </c>
      <c r="I67">
        <v>23.03</v>
      </c>
      <c r="J67">
        <v>26.25</v>
      </c>
      <c r="K67" s="95"/>
      <c r="L67">
        <v>11.4</v>
      </c>
      <c r="M67">
        <v>27212.89</v>
      </c>
      <c r="N67">
        <v>-1.78</v>
      </c>
      <c r="O67">
        <v>4.1399999999999997</v>
      </c>
      <c r="P67">
        <v>-2.5099999999999998</v>
      </c>
      <c r="Q67">
        <v>790.42</v>
      </c>
      <c r="R67">
        <v>27.57</v>
      </c>
      <c r="S67">
        <v>30.83</v>
      </c>
      <c r="T67">
        <v>23.43</v>
      </c>
      <c r="U67">
        <v>26.69</v>
      </c>
      <c r="V67" s="94">
        <f t="shared" si="1"/>
        <v>0.98290483450413368</v>
      </c>
      <c r="W67" s="546">
        <v>11.4</v>
      </c>
      <c r="X67" s="546">
        <v>27029.19</v>
      </c>
      <c r="Y67" s="546">
        <v>-0.51</v>
      </c>
      <c r="Z67" s="546">
        <v>4.12</v>
      </c>
      <c r="AA67" s="546">
        <v>-1.83</v>
      </c>
      <c r="AB67" s="546">
        <v>780.05</v>
      </c>
      <c r="AC67" s="546">
        <v>26.58</v>
      </c>
      <c r="AD67" s="546">
        <v>29.88</v>
      </c>
      <c r="AE67" s="546">
        <v>22.46</v>
      </c>
      <c r="AF67" s="546">
        <v>25.76</v>
      </c>
    </row>
    <row r="68" spans="1:32" s="94" customFormat="1" x14ac:dyDescent="0.2">
      <c r="A68">
        <v>11.5</v>
      </c>
      <c r="B68">
        <v>27767.24</v>
      </c>
      <c r="C68">
        <v>-2.23</v>
      </c>
      <c r="D68">
        <v>4.1399999999999997</v>
      </c>
      <c r="E68">
        <v>-2.5</v>
      </c>
      <c r="F68">
        <v>790.69</v>
      </c>
      <c r="G68">
        <v>27.1</v>
      </c>
      <c r="H68">
        <v>30.32</v>
      </c>
      <c r="I68">
        <v>22.96</v>
      </c>
      <c r="J68">
        <v>26.18</v>
      </c>
      <c r="K68" s="95"/>
      <c r="L68">
        <v>11.5</v>
      </c>
      <c r="M68">
        <v>27293.89</v>
      </c>
      <c r="N68">
        <v>-1.78</v>
      </c>
      <c r="O68">
        <v>4.16</v>
      </c>
      <c r="P68">
        <v>-2.5099999999999998</v>
      </c>
      <c r="Q68">
        <v>790.42</v>
      </c>
      <c r="R68">
        <v>27.52</v>
      </c>
      <c r="S68">
        <v>30.78</v>
      </c>
      <c r="T68">
        <v>23.36</v>
      </c>
      <c r="U68">
        <v>26.62</v>
      </c>
      <c r="V68" s="94">
        <f t="shared" si="1"/>
        <v>0.98295293302467213</v>
      </c>
      <c r="W68" s="546">
        <v>11.5</v>
      </c>
      <c r="X68" s="546">
        <v>27109.14</v>
      </c>
      <c r="Y68" s="546">
        <v>-0.51</v>
      </c>
      <c r="Z68" s="546">
        <v>4.1399999999999997</v>
      </c>
      <c r="AA68" s="546">
        <v>-1.83</v>
      </c>
      <c r="AB68" s="546">
        <v>780.05</v>
      </c>
      <c r="AC68" s="546">
        <v>26.53</v>
      </c>
      <c r="AD68" s="546">
        <v>29.82</v>
      </c>
      <c r="AE68" s="546">
        <v>22.39</v>
      </c>
      <c r="AF68" s="546">
        <v>25.68</v>
      </c>
    </row>
    <row r="69" spans="1:32" s="94" customFormat="1" x14ac:dyDescent="0.2">
      <c r="A69">
        <v>11.6</v>
      </c>
      <c r="B69">
        <v>27848.3</v>
      </c>
      <c r="C69">
        <v>-2.23</v>
      </c>
      <c r="D69">
        <v>4.16</v>
      </c>
      <c r="E69">
        <v>-2.5</v>
      </c>
      <c r="F69">
        <v>790.69</v>
      </c>
      <c r="G69">
        <v>27.06</v>
      </c>
      <c r="H69">
        <v>30.26</v>
      </c>
      <c r="I69">
        <v>22.9</v>
      </c>
      <c r="J69">
        <v>26.1</v>
      </c>
      <c r="K69" s="95"/>
      <c r="L69">
        <v>11.6</v>
      </c>
      <c r="M69">
        <v>27374.92</v>
      </c>
      <c r="N69">
        <v>-1.78</v>
      </c>
      <c r="O69">
        <v>4.18</v>
      </c>
      <c r="P69">
        <v>-2.5099999999999998</v>
      </c>
      <c r="Q69">
        <v>790.43</v>
      </c>
      <c r="R69">
        <v>27.47</v>
      </c>
      <c r="S69">
        <v>30.72</v>
      </c>
      <c r="T69">
        <v>23.29</v>
      </c>
      <c r="U69">
        <v>26.54</v>
      </c>
      <c r="V69" s="94">
        <f t="shared" si="1"/>
        <v>0.98300147585310416</v>
      </c>
      <c r="W69" s="546">
        <v>11.6</v>
      </c>
      <c r="X69" s="546">
        <v>27189.09</v>
      </c>
      <c r="Y69" s="546">
        <v>-0.51</v>
      </c>
      <c r="Z69" s="546">
        <v>4.16</v>
      </c>
      <c r="AA69" s="546">
        <v>-1.83</v>
      </c>
      <c r="AB69" s="546">
        <v>780.05</v>
      </c>
      <c r="AC69" s="546">
        <v>26.49</v>
      </c>
      <c r="AD69" s="546">
        <v>29.77</v>
      </c>
      <c r="AE69" s="546">
        <v>22.33</v>
      </c>
      <c r="AF69" s="546">
        <v>25.61</v>
      </c>
    </row>
    <row r="70" spans="1:32" s="94" customFormat="1" x14ac:dyDescent="0.2">
      <c r="A70">
        <v>11.7</v>
      </c>
      <c r="B70">
        <v>27929.33</v>
      </c>
      <c r="C70">
        <v>-2.23</v>
      </c>
      <c r="D70">
        <v>4.18</v>
      </c>
      <c r="E70">
        <v>-2.5</v>
      </c>
      <c r="F70">
        <v>790.69</v>
      </c>
      <c r="G70">
        <v>27.01</v>
      </c>
      <c r="H70">
        <v>30.21</v>
      </c>
      <c r="I70">
        <v>22.83</v>
      </c>
      <c r="J70">
        <v>26.02</v>
      </c>
      <c r="K70" s="95"/>
      <c r="L70">
        <v>11.7</v>
      </c>
      <c r="M70">
        <v>27455.919999999998</v>
      </c>
      <c r="N70">
        <v>-1.79</v>
      </c>
      <c r="O70">
        <v>4.2</v>
      </c>
      <c r="P70">
        <v>-2.5099999999999998</v>
      </c>
      <c r="Q70">
        <v>790.43</v>
      </c>
      <c r="R70">
        <v>27.43</v>
      </c>
      <c r="S70">
        <v>30.66</v>
      </c>
      <c r="T70">
        <v>23.22</v>
      </c>
      <c r="U70">
        <v>26.46</v>
      </c>
      <c r="V70" s="94">
        <f t="shared" si="1"/>
        <v>0.98304971870073488</v>
      </c>
      <c r="W70" s="546">
        <v>11.7</v>
      </c>
      <c r="X70" s="546">
        <v>27269.06</v>
      </c>
      <c r="Y70" s="546">
        <v>-0.52</v>
      </c>
      <c r="Z70" s="546">
        <v>4.18</v>
      </c>
      <c r="AA70" s="546">
        <v>-1.83</v>
      </c>
      <c r="AB70" s="546">
        <v>780.05</v>
      </c>
      <c r="AC70" s="546">
        <v>26.44</v>
      </c>
      <c r="AD70" s="546">
        <v>29.72</v>
      </c>
      <c r="AE70" s="546">
        <v>22.26</v>
      </c>
      <c r="AF70" s="546">
        <v>25.53</v>
      </c>
    </row>
    <row r="71" spans="1:32" s="94" customFormat="1" x14ac:dyDescent="0.2">
      <c r="A71">
        <v>11.8</v>
      </c>
      <c r="B71">
        <v>28010.400000000001</v>
      </c>
      <c r="C71">
        <v>-2.23</v>
      </c>
      <c r="D71">
        <v>4.21</v>
      </c>
      <c r="E71">
        <v>-2.5</v>
      </c>
      <c r="F71">
        <v>790.69</v>
      </c>
      <c r="G71">
        <v>26.97</v>
      </c>
      <c r="H71">
        <v>30.15</v>
      </c>
      <c r="I71">
        <v>22.76</v>
      </c>
      <c r="J71">
        <v>25.95</v>
      </c>
      <c r="K71" s="95"/>
      <c r="L71">
        <v>11.8</v>
      </c>
      <c r="M71">
        <v>27536.97</v>
      </c>
      <c r="N71">
        <v>-1.79</v>
      </c>
      <c r="O71">
        <v>4.2300000000000004</v>
      </c>
      <c r="P71">
        <v>-2.5</v>
      </c>
      <c r="Q71">
        <v>790.44</v>
      </c>
      <c r="R71">
        <v>27.38</v>
      </c>
      <c r="S71">
        <v>30.61</v>
      </c>
      <c r="T71">
        <v>23.15</v>
      </c>
      <c r="U71">
        <v>26.38</v>
      </c>
      <c r="V71" s="94">
        <f t="shared" si="1"/>
        <v>0.98309806357638585</v>
      </c>
      <c r="W71" s="546">
        <v>11.8</v>
      </c>
      <c r="X71" s="546">
        <v>27349.03</v>
      </c>
      <c r="Y71" s="546">
        <v>-0.52</v>
      </c>
      <c r="Z71" s="546">
        <v>4.21</v>
      </c>
      <c r="AA71" s="546">
        <v>-1.83</v>
      </c>
      <c r="AB71" s="546">
        <v>780.05</v>
      </c>
      <c r="AC71" s="546">
        <v>26.4</v>
      </c>
      <c r="AD71" s="546">
        <v>29.66</v>
      </c>
      <c r="AE71" s="546">
        <v>22.2</v>
      </c>
      <c r="AF71" s="546">
        <v>25.46</v>
      </c>
    </row>
    <row r="72" spans="1:32" s="94" customFormat="1" x14ac:dyDescent="0.2">
      <c r="A72">
        <v>11.9</v>
      </c>
      <c r="B72">
        <v>28091.43</v>
      </c>
      <c r="C72">
        <v>-2.23</v>
      </c>
      <c r="D72">
        <v>4.2300000000000004</v>
      </c>
      <c r="E72">
        <v>-2.5</v>
      </c>
      <c r="F72">
        <v>790.69</v>
      </c>
      <c r="G72">
        <v>26.93</v>
      </c>
      <c r="H72">
        <v>30.1</v>
      </c>
      <c r="I72">
        <v>22.7</v>
      </c>
      <c r="J72">
        <v>25.87</v>
      </c>
      <c r="K72" s="95"/>
      <c r="L72">
        <v>11.9</v>
      </c>
      <c r="M72">
        <v>27617.95</v>
      </c>
      <c r="N72">
        <v>-1.79</v>
      </c>
      <c r="O72">
        <v>4.25</v>
      </c>
      <c r="P72">
        <v>-2.5</v>
      </c>
      <c r="Q72">
        <v>790.44</v>
      </c>
      <c r="R72">
        <v>27.33</v>
      </c>
      <c r="S72">
        <v>30.55</v>
      </c>
      <c r="T72">
        <v>23.09</v>
      </c>
      <c r="U72">
        <v>26.3</v>
      </c>
      <c r="V72" s="94">
        <f t="shared" si="1"/>
        <v>0.98314503747228243</v>
      </c>
      <c r="W72" s="546">
        <v>11.9</v>
      </c>
      <c r="X72" s="546">
        <v>27428.98</v>
      </c>
      <c r="Y72" s="546">
        <v>-0.53</v>
      </c>
      <c r="Z72" s="546">
        <v>4.2300000000000004</v>
      </c>
      <c r="AA72" s="546">
        <v>-1.83</v>
      </c>
      <c r="AB72" s="546">
        <v>780.05</v>
      </c>
      <c r="AC72" s="546">
        <v>26.36</v>
      </c>
      <c r="AD72" s="546">
        <v>29.61</v>
      </c>
      <c r="AE72" s="546">
        <v>22.13</v>
      </c>
      <c r="AF72" s="546">
        <v>25.38</v>
      </c>
    </row>
    <row r="73" spans="1:32" s="94" customFormat="1" x14ac:dyDescent="0.2">
      <c r="A73">
        <v>12</v>
      </c>
      <c r="B73">
        <v>28172.47</v>
      </c>
      <c r="C73">
        <v>-2.2400000000000002</v>
      </c>
      <c r="D73">
        <v>4.25</v>
      </c>
      <c r="E73">
        <v>-2.5</v>
      </c>
      <c r="F73">
        <v>790.69</v>
      </c>
      <c r="G73">
        <v>26.88</v>
      </c>
      <c r="H73">
        <v>30.05</v>
      </c>
      <c r="I73">
        <v>22.63</v>
      </c>
      <c r="J73">
        <v>25.8</v>
      </c>
      <c r="K73" s="95"/>
      <c r="L73">
        <v>12</v>
      </c>
      <c r="M73">
        <v>27699</v>
      </c>
      <c r="N73">
        <v>-1.79</v>
      </c>
      <c r="O73">
        <v>4.2699999999999996</v>
      </c>
      <c r="P73">
        <v>-2.5</v>
      </c>
      <c r="Q73">
        <v>790.45</v>
      </c>
      <c r="R73">
        <v>27.29</v>
      </c>
      <c r="S73">
        <v>30.5</v>
      </c>
      <c r="T73">
        <v>23.02</v>
      </c>
      <c r="U73">
        <v>26.23</v>
      </c>
      <c r="V73" s="94">
        <f t="shared" si="1"/>
        <v>0.98319387685921744</v>
      </c>
      <c r="W73" s="546">
        <v>12</v>
      </c>
      <c r="X73" s="546">
        <v>27508.92</v>
      </c>
      <c r="Y73" s="546">
        <v>-0.53</v>
      </c>
      <c r="Z73" s="546">
        <v>4.25</v>
      </c>
      <c r="AA73" s="546">
        <v>-1.83</v>
      </c>
      <c r="AB73" s="546">
        <v>780.05</v>
      </c>
      <c r="AC73" s="546">
        <v>26.32</v>
      </c>
      <c r="AD73" s="546">
        <v>29.56</v>
      </c>
      <c r="AE73" s="546">
        <v>22.07</v>
      </c>
      <c r="AF73" s="546">
        <v>25.31</v>
      </c>
    </row>
    <row r="74" spans="1:32" s="94" customFormat="1" x14ac:dyDescent="0.2">
      <c r="A74">
        <v>12.1</v>
      </c>
      <c r="B74">
        <v>28253.51</v>
      </c>
      <c r="C74">
        <v>-2.2400000000000002</v>
      </c>
      <c r="D74">
        <v>4.2699999999999996</v>
      </c>
      <c r="E74">
        <v>-2.5</v>
      </c>
      <c r="F74">
        <v>790.68</v>
      </c>
      <c r="G74">
        <v>26.84</v>
      </c>
      <c r="H74">
        <v>30</v>
      </c>
      <c r="I74">
        <v>22.57</v>
      </c>
      <c r="J74">
        <v>25.72</v>
      </c>
      <c r="K74" s="95"/>
      <c r="L74">
        <v>12.1</v>
      </c>
      <c r="M74">
        <v>27780.01</v>
      </c>
      <c r="N74">
        <v>-1.8</v>
      </c>
      <c r="O74">
        <v>4.29</v>
      </c>
      <c r="P74">
        <v>-2.5</v>
      </c>
      <c r="Q74">
        <v>790.45</v>
      </c>
      <c r="R74">
        <v>27.24</v>
      </c>
      <c r="S74">
        <v>30.45</v>
      </c>
      <c r="T74">
        <v>22.95</v>
      </c>
      <c r="U74">
        <v>26.15</v>
      </c>
      <c r="V74" s="94">
        <f t="shared" si="1"/>
        <v>0.98324102031924532</v>
      </c>
      <c r="W74" s="546">
        <v>12.1</v>
      </c>
      <c r="X74" s="546">
        <v>27588.87</v>
      </c>
      <c r="Y74" s="546">
        <v>-0.53</v>
      </c>
      <c r="Z74" s="546">
        <v>4.2699999999999996</v>
      </c>
      <c r="AA74" s="546">
        <v>-1.83</v>
      </c>
      <c r="AB74" s="546">
        <v>780.05</v>
      </c>
      <c r="AC74" s="546">
        <v>26.28</v>
      </c>
      <c r="AD74" s="546">
        <v>29.51</v>
      </c>
      <c r="AE74" s="546">
        <v>22</v>
      </c>
      <c r="AF74" s="546">
        <v>25.24</v>
      </c>
    </row>
    <row r="75" spans="1:32" s="94" customFormat="1" x14ac:dyDescent="0.2">
      <c r="A75">
        <v>12.2</v>
      </c>
      <c r="B75">
        <v>28334.55</v>
      </c>
      <c r="C75">
        <v>-2.2400000000000002</v>
      </c>
      <c r="D75">
        <v>4.3</v>
      </c>
      <c r="E75">
        <v>-2.5</v>
      </c>
      <c r="F75">
        <v>790.68</v>
      </c>
      <c r="G75">
        <v>26.8</v>
      </c>
      <c r="H75">
        <v>29.95</v>
      </c>
      <c r="I75">
        <v>22.5</v>
      </c>
      <c r="J75">
        <v>25.65</v>
      </c>
      <c r="K75" s="95"/>
      <c r="L75">
        <v>12.2</v>
      </c>
      <c r="M75">
        <v>27861.040000000001</v>
      </c>
      <c r="N75">
        <v>-1.8</v>
      </c>
      <c r="O75">
        <v>4.32</v>
      </c>
      <c r="P75">
        <v>-2.5</v>
      </c>
      <c r="Q75">
        <v>790.46</v>
      </c>
      <c r="R75">
        <v>27.2</v>
      </c>
      <c r="S75">
        <v>30.39</v>
      </c>
      <c r="T75">
        <v>22.88</v>
      </c>
      <c r="U75">
        <v>26.08</v>
      </c>
      <c r="V75" s="94">
        <f t="shared" si="1"/>
        <v>0.98328859996011941</v>
      </c>
      <c r="W75" s="546">
        <v>12.2</v>
      </c>
      <c r="X75" s="546">
        <v>27668.82</v>
      </c>
      <c r="Y75" s="546">
        <v>-0.54</v>
      </c>
      <c r="Z75" s="546">
        <v>4.3</v>
      </c>
      <c r="AA75" s="546">
        <v>-1.83</v>
      </c>
      <c r="AB75" s="546">
        <v>780.05</v>
      </c>
      <c r="AC75" s="546">
        <v>26.24</v>
      </c>
      <c r="AD75" s="546">
        <v>29.46</v>
      </c>
      <c r="AE75" s="546">
        <v>21.94</v>
      </c>
      <c r="AF75" s="546">
        <v>25.16</v>
      </c>
    </row>
    <row r="76" spans="1:32" s="94" customFormat="1" x14ac:dyDescent="0.2">
      <c r="A76">
        <v>12.3</v>
      </c>
      <c r="B76">
        <v>28415.61</v>
      </c>
      <c r="C76">
        <v>-2.2400000000000002</v>
      </c>
      <c r="D76">
        <v>4.32</v>
      </c>
      <c r="E76">
        <v>-2.5</v>
      </c>
      <c r="F76">
        <v>790.68</v>
      </c>
      <c r="G76">
        <v>26.76</v>
      </c>
      <c r="H76">
        <v>29.9</v>
      </c>
      <c r="I76">
        <v>22.44</v>
      </c>
      <c r="J76">
        <v>25.58</v>
      </c>
      <c r="K76" s="95"/>
      <c r="L76">
        <v>12.3</v>
      </c>
      <c r="M76">
        <v>27942.07</v>
      </c>
      <c r="N76">
        <v>-1.8</v>
      </c>
      <c r="O76">
        <v>4.34</v>
      </c>
      <c r="P76">
        <v>-2.5</v>
      </c>
      <c r="Q76">
        <v>790.46</v>
      </c>
      <c r="R76">
        <v>27.16</v>
      </c>
      <c r="S76">
        <v>30.34</v>
      </c>
      <c r="T76">
        <v>22.82</v>
      </c>
      <c r="U76">
        <v>26</v>
      </c>
      <c r="V76" s="94">
        <f t="shared" si="1"/>
        <v>0.98333521610129082</v>
      </c>
      <c r="W76" s="546">
        <v>12.3</v>
      </c>
      <c r="X76" s="546">
        <v>27748.78</v>
      </c>
      <c r="Y76" s="546">
        <v>-0.54</v>
      </c>
      <c r="Z76" s="546">
        <v>4.32</v>
      </c>
      <c r="AA76" s="546">
        <v>-1.83</v>
      </c>
      <c r="AB76" s="546">
        <v>780.05</v>
      </c>
      <c r="AC76" s="546">
        <v>26.2</v>
      </c>
      <c r="AD76" s="546">
        <v>29.41</v>
      </c>
      <c r="AE76" s="546">
        <v>21.88</v>
      </c>
      <c r="AF76" s="546">
        <v>25.09</v>
      </c>
    </row>
    <row r="77" spans="1:32" s="94" customFormat="1" x14ac:dyDescent="0.2">
      <c r="A77">
        <v>12.4</v>
      </c>
      <c r="B77">
        <v>28496.639999999999</v>
      </c>
      <c r="C77">
        <v>-2.2400000000000002</v>
      </c>
      <c r="D77">
        <v>4.34</v>
      </c>
      <c r="E77">
        <v>-2.5</v>
      </c>
      <c r="F77">
        <v>790.68</v>
      </c>
      <c r="G77">
        <v>26.72</v>
      </c>
      <c r="H77">
        <v>29.85</v>
      </c>
      <c r="I77">
        <v>22.37</v>
      </c>
      <c r="J77">
        <v>25.51</v>
      </c>
      <c r="K77" s="95"/>
      <c r="L77">
        <v>12.4</v>
      </c>
      <c r="M77">
        <v>28023.08</v>
      </c>
      <c r="N77">
        <v>-1.8</v>
      </c>
      <c r="O77">
        <v>4.3600000000000003</v>
      </c>
      <c r="P77">
        <v>-2.5</v>
      </c>
      <c r="Q77">
        <v>790.47</v>
      </c>
      <c r="R77">
        <v>27.11</v>
      </c>
      <c r="S77">
        <v>30.29</v>
      </c>
      <c r="T77">
        <v>22.75</v>
      </c>
      <c r="U77">
        <v>25.93</v>
      </c>
      <c r="V77" s="94">
        <f t="shared" si="1"/>
        <v>0.98338190046265117</v>
      </c>
      <c r="W77" s="546">
        <v>12.4</v>
      </c>
      <c r="X77" s="546">
        <v>27828.76</v>
      </c>
      <c r="Y77" s="546">
        <v>-0.54</v>
      </c>
      <c r="Z77" s="546">
        <v>4.34</v>
      </c>
      <c r="AA77" s="546">
        <v>-1.83</v>
      </c>
      <c r="AB77" s="546">
        <v>780.05</v>
      </c>
      <c r="AC77" s="546">
        <v>26.16</v>
      </c>
      <c r="AD77" s="546">
        <v>29.36</v>
      </c>
      <c r="AE77" s="546">
        <v>21.81</v>
      </c>
      <c r="AF77" s="546">
        <v>25.02</v>
      </c>
    </row>
    <row r="78" spans="1:32" s="94" customFormat="1" x14ac:dyDescent="0.2">
      <c r="A78">
        <v>12.5</v>
      </c>
      <c r="B78">
        <v>28577.7</v>
      </c>
      <c r="C78">
        <v>-2.2400000000000002</v>
      </c>
      <c r="D78">
        <v>4.3600000000000003</v>
      </c>
      <c r="E78">
        <v>-2.5</v>
      </c>
      <c r="F78">
        <v>790.68</v>
      </c>
      <c r="G78">
        <v>26.67</v>
      </c>
      <c r="H78">
        <v>29.8</v>
      </c>
      <c r="I78">
        <v>22.31</v>
      </c>
      <c r="J78">
        <v>25.43</v>
      </c>
      <c r="K78" s="95"/>
      <c r="L78">
        <v>12.5</v>
      </c>
      <c r="M78">
        <v>28104.11</v>
      </c>
      <c r="N78">
        <v>-1.8</v>
      </c>
      <c r="O78">
        <v>4.3899999999999997</v>
      </c>
      <c r="P78">
        <v>-2.5</v>
      </c>
      <c r="Q78">
        <v>790.47</v>
      </c>
      <c r="R78">
        <v>27.07</v>
      </c>
      <c r="S78">
        <v>30.24</v>
      </c>
      <c r="T78">
        <v>22.69</v>
      </c>
      <c r="U78">
        <v>25.85</v>
      </c>
      <c r="V78" s="94">
        <f t="shared" si="1"/>
        <v>0.98342798755673133</v>
      </c>
      <c r="W78" s="546">
        <v>12.5</v>
      </c>
      <c r="X78" s="546">
        <v>27908.7</v>
      </c>
      <c r="Y78" s="546">
        <v>-0.55000000000000004</v>
      </c>
      <c r="Z78" s="546">
        <v>4.3600000000000003</v>
      </c>
      <c r="AA78" s="546">
        <v>-1.83</v>
      </c>
      <c r="AB78" s="546">
        <v>780.05</v>
      </c>
      <c r="AC78" s="546">
        <v>26.12</v>
      </c>
      <c r="AD78" s="546">
        <v>29.31</v>
      </c>
      <c r="AE78" s="546">
        <v>21.75</v>
      </c>
      <c r="AF78" s="546">
        <v>24.95</v>
      </c>
    </row>
    <row r="79" spans="1:32" s="94" customFormat="1" x14ac:dyDescent="0.2">
      <c r="A79">
        <v>12.6</v>
      </c>
      <c r="B79">
        <v>28658.74</v>
      </c>
      <c r="C79">
        <v>-2.2400000000000002</v>
      </c>
      <c r="D79">
        <v>4.3899999999999997</v>
      </c>
      <c r="E79">
        <v>-2.5</v>
      </c>
      <c r="F79">
        <v>790.68</v>
      </c>
      <c r="G79">
        <v>26.63</v>
      </c>
      <c r="H79">
        <v>29.75</v>
      </c>
      <c r="I79">
        <v>22.25</v>
      </c>
      <c r="J79">
        <v>25.36</v>
      </c>
      <c r="K79" s="95"/>
      <c r="L79">
        <v>12.6</v>
      </c>
      <c r="M79">
        <v>28185.119999999999</v>
      </c>
      <c r="N79">
        <v>-1.81</v>
      </c>
      <c r="O79">
        <v>4.41</v>
      </c>
      <c r="P79">
        <v>-2.5</v>
      </c>
      <c r="Q79">
        <v>790.48</v>
      </c>
      <c r="R79">
        <v>27.03</v>
      </c>
      <c r="S79">
        <v>30.19</v>
      </c>
      <c r="T79">
        <v>22.62</v>
      </c>
      <c r="U79">
        <v>25.78</v>
      </c>
      <c r="V79" s="94">
        <f t="shared" si="1"/>
        <v>0.98347380240722371</v>
      </c>
      <c r="W79" s="546">
        <v>12.6</v>
      </c>
      <c r="X79" s="546">
        <v>27988.65</v>
      </c>
      <c r="Y79" s="546">
        <v>-0.55000000000000004</v>
      </c>
      <c r="Z79" s="546">
        <v>4.3899999999999997</v>
      </c>
      <c r="AA79" s="546">
        <v>-1.83</v>
      </c>
      <c r="AB79" s="546">
        <v>780.05</v>
      </c>
      <c r="AC79" s="546">
        <v>26.08</v>
      </c>
      <c r="AD79" s="546">
        <v>29.26</v>
      </c>
      <c r="AE79" s="546">
        <v>21.69</v>
      </c>
      <c r="AF79" s="546">
        <v>24.88</v>
      </c>
    </row>
    <row r="80" spans="1:32" s="94" customFormat="1" x14ac:dyDescent="0.2">
      <c r="A80">
        <v>12.7</v>
      </c>
      <c r="B80">
        <v>28739.77</v>
      </c>
      <c r="C80">
        <v>-2.2400000000000002</v>
      </c>
      <c r="D80">
        <v>4.41</v>
      </c>
      <c r="E80">
        <v>-2.5</v>
      </c>
      <c r="F80">
        <v>790.67</v>
      </c>
      <c r="G80">
        <v>26.6</v>
      </c>
      <c r="H80">
        <v>29.7</v>
      </c>
      <c r="I80">
        <v>22.19</v>
      </c>
      <c r="J80">
        <v>25.29</v>
      </c>
      <c r="K80" s="95"/>
      <c r="L80">
        <v>12.7</v>
      </c>
      <c r="M80">
        <v>28266.16</v>
      </c>
      <c r="N80">
        <v>-1.81</v>
      </c>
      <c r="O80">
        <v>4.43</v>
      </c>
      <c r="P80">
        <v>-2.5</v>
      </c>
      <c r="Q80">
        <v>790.48</v>
      </c>
      <c r="R80">
        <v>26.99</v>
      </c>
      <c r="S80">
        <v>30.14</v>
      </c>
      <c r="T80">
        <v>22.56</v>
      </c>
      <c r="U80">
        <v>25.7</v>
      </c>
      <c r="V80" s="94">
        <f t="shared" si="1"/>
        <v>0.98352074494681063</v>
      </c>
      <c r="W80" s="546">
        <v>12.7</v>
      </c>
      <c r="X80" s="546">
        <v>28068.61</v>
      </c>
      <c r="Y80" s="546">
        <v>-0.56000000000000005</v>
      </c>
      <c r="Z80" s="546">
        <v>4.41</v>
      </c>
      <c r="AA80" s="546">
        <v>-1.83</v>
      </c>
      <c r="AB80" s="546">
        <v>780.05</v>
      </c>
      <c r="AC80" s="546">
        <v>26.04</v>
      </c>
      <c r="AD80" s="546">
        <v>29.22</v>
      </c>
      <c r="AE80" s="546">
        <v>21.63</v>
      </c>
      <c r="AF80" s="546">
        <v>24.81</v>
      </c>
    </row>
    <row r="81" spans="1:32" s="94" customFormat="1" x14ac:dyDescent="0.2">
      <c r="A81">
        <v>12.8</v>
      </c>
      <c r="B81">
        <v>28820.83</v>
      </c>
      <c r="C81">
        <v>-2.2400000000000002</v>
      </c>
      <c r="D81">
        <v>4.43</v>
      </c>
      <c r="E81">
        <v>-2.5</v>
      </c>
      <c r="F81">
        <v>790.67</v>
      </c>
      <c r="G81">
        <v>26.56</v>
      </c>
      <c r="H81">
        <v>29.65</v>
      </c>
      <c r="I81">
        <v>22.12</v>
      </c>
      <c r="J81">
        <v>25.22</v>
      </c>
      <c r="K81" s="95"/>
      <c r="L81">
        <v>12.8</v>
      </c>
      <c r="M81">
        <v>28347.17</v>
      </c>
      <c r="N81">
        <v>-1.81</v>
      </c>
      <c r="O81">
        <v>4.46</v>
      </c>
      <c r="P81">
        <v>-2.5</v>
      </c>
      <c r="Q81">
        <v>790.49</v>
      </c>
      <c r="R81">
        <v>26.95</v>
      </c>
      <c r="S81">
        <v>30.09</v>
      </c>
      <c r="T81">
        <v>22.49</v>
      </c>
      <c r="U81">
        <v>25.63</v>
      </c>
      <c r="V81" s="94">
        <f t="shared" ref="V81:V144" si="2">M81/B81</f>
        <v>0.98356535880472551</v>
      </c>
      <c r="W81" s="546">
        <v>12.8</v>
      </c>
      <c r="X81" s="546">
        <v>28148.58</v>
      </c>
      <c r="Y81" s="546">
        <v>-0.56000000000000005</v>
      </c>
      <c r="Z81" s="546">
        <v>4.43</v>
      </c>
      <c r="AA81" s="546">
        <v>-1.83</v>
      </c>
      <c r="AB81" s="546">
        <v>780.05</v>
      </c>
      <c r="AC81" s="546">
        <v>26</v>
      </c>
      <c r="AD81" s="546">
        <v>29.17</v>
      </c>
      <c r="AE81" s="546">
        <v>21.57</v>
      </c>
      <c r="AF81" s="546">
        <v>24.73</v>
      </c>
    </row>
    <row r="82" spans="1:32" s="94" customFormat="1" x14ac:dyDescent="0.2">
      <c r="A82">
        <v>12.9</v>
      </c>
      <c r="B82">
        <v>28901.89</v>
      </c>
      <c r="C82">
        <v>-2.2400000000000002</v>
      </c>
      <c r="D82">
        <v>4.46</v>
      </c>
      <c r="E82">
        <v>-2.5</v>
      </c>
      <c r="F82">
        <v>790.67</v>
      </c>
      <c r="G82">
        <v>26.52</v>
      </c>
      <c r="H82">
        <v>29.61</v>
      </c>
      <c r="I82">
        <v>22.06</v>
      </c>
      <c r="J82">
        <v>25.15</v>
      </c>
      <c r="K82" s="95"/>
      <c r="L82">
        <v>12.9</v>
      </c>
      <c r="M82">
        <v>28428.2</v>
      </c>
      <c r="N82">
        <v>-1.81</v>
      </c>
      <c r="O82">
        <v>4.4800000000000004</v>
      </c>
      <c r="P82">
        <v>-2.5</v>
      </c>
      <c r="Q82">
        <v>790.49</v>
      </c>
      <c r="R82">
        <v>26.91</v>
      </c>
      <c r="S82">
        <v>30.04</v>
      </c>
      <c r="T82">
        <v>22.43</v>
      </c>
      <c r="U82">
        <v>25.56</v>
      </c>
      <c r="V82" s="94">
        <f t="shared" si="2"/>
        <v>0.98361041440542474</v>
      </c>
      <c r="W82" s="546">
        <v>12.9</v>
      </c>
      <c r="X82" s="546">
        <v>28228.53</v>
      </c>
      <c r="Y82" s="546">
        <v>-0.56000000000000005</v>
      </c>
      <c r="Z82" s="546">
        <v>4.46</v>
      </c>
      <c r="AA82" s="546">
        <v>-1.83</v>
      </c>
      <c r="AB82" s="546">
        <v>780.05</v>
      </c>
      <c r="AC82" s="546">
        <v>25.96</v>
      </c>
      <c r="AD82" s="546">
        <v>29.12</v>
      </c>
      <c r="AE82" s="546">
        <v>21.51</v>
      </c>
      <c r="AF82" s="546">
        <v>24.66</v>
      </c>
    </row>
    <row r="83" spans="1:32" s="94" customFormat="1" x14ac:dyDescent="0.2">
      <c r="A83">
        <v>13</v>
      </c>
      <c r="B83">
        <v>28982.93</v>
      </c>
      <c r="C83">
        <v>-2.2400000000000002</v>
      </c>
      <c r="D83">
        <v>4.4800000000000004</v>
      </c>
      <c r="E83">
        <v>-2.5</v>
      </c>
      <c r="F83">
        <v>790.67</v>
      </c>
      <c r="G83">
        <v>26.48</v>
      </c>
      <c r="H83">
        <v>29.56</v>
      </c>
      <c r="I83">
        <v>22</v>
      </c>
      <c r="J83">
        <v>25.08</v>
      </c>
      <c r="K83" s="95"/>
      <c r="L83">
        <v>13</v>
      </c>
      <c r="M83">
        <v>28509.24</v>
      </c>
      <c r="N83">
        <v>-1.81</v>
      </c>
      <c r="O83">
        <v>4.51</v>
      </c>
      <c r="P83">
        <v>-2.5</v>
      </c>
      <c r="Q83">
        <v>790.5</v>
      </c>
      <c r="R83">
        <v>26.87</v>
      </c>
      <c r="S83">
        <v>29.99</v>
      </c>
      <c r="T83">
        <v>22.36</v>
      </c>
      <c r="U83">
        <v>25.49</v>
      </c>
      <c r="V83" s="94">
        <f t="shared" si="2"/>
        <v>0.98365624179473921</v>
      </c>
      <c r="W83" s="546">
        <v>13</v>
      </c>
      <c r="X83" s="546">
        <v>28308.47</v>
      </c>
      <c r="Y83" s="546">
        <v>-0.56999999999999995</v>
      </c>
      <c r="Z83" s="546">
        <v>4.4800000000000004</v>
      </c>
      <c r="AA83" s="546">
        <v>-1.84</v>
      </c>
      <c r="AB83" s="546">
        <v>780.32</v>
      </c>
      <c r="AC83" s="546">
        <v>25.94</v>
      </c>
      <c r="AD83" s="546">
        <v>29.09</v>
      </c>
      <c r="AE83" s="546">
        <v>21.46</v>
      </c>
      <c r="AF83" s="546">
        <v>24.6</v>
      </c>
    </row>
    <row r="84" spans="1:32" s="94" customFormat="1" x14ac:dyDescent="0.2">
      <c r="A84">
        <v>13.1</v>
      </c>
      <c r="B84">
        <v>29063.95</v>
      </c>
      <c r="C84">
        <v>-2.2400000000000002</v>
      </c>
      <c r="D84">
        <v>4.5</v>
      </c>
      <c r="E84">
        <v>-2.5</v>
      </c>
      <c r="F84">
        <v>790.67</v>
      </c>
      <c r="G84">
        <v>26.44</v>
      </c>
      <c r="H84">
        <v>29.51</v>
      </c>
      <c r="I84">
        <v>21.94</v>
      </c>
      <c r="J84">
        <v>25.01</v>
      </c>
      <c r="K84" s="95"/>
      <c r="L84">
        <v>13.1</v>
      </c>
      <c r="M84">
        <v>28590.25</v>
      </c>
      <c r="N84">
        <v>-1.82</v>
      </c>
      <c r="O84">
        <v>4.53</v>
      </c>
      <c r="P84">
        <v>-2.5</v>
      </c>
      <c r="Q84">
        <v>790.5</v>
      </c>
      <c r="R84">
        <v>26.83</v>
      </c>
      <c r="S84">
        <v>29.94</v>
      </c>
      <c r="T84">
        <v>22.3</v>
      </c>
      <c r="U84">
        <v>25.41</v>
      </c>
      <c r="V84" s="94">
        <f t="shared" si="2"/>
        <v>0.9837014583358421</v>
      </c>
      <c r="W84" s="546">
        <v>13.1</v>
      </c>
      <c r="X84" s="546">
        <v>28388.81</v>
      </c>
      <c r="Y84" s="546">
        <v>-0.56999999999999995</v>
      </c>
      <c r="Z84" s="546">
        <v>4.51</v>
      </c>
      <c r="AA84" s="546">
        <v>-2.06</v>
      </c>
      <c r="AB84" s="546">
        <v>787.21</v>
      </c>
      <c r="AC84" s="546">
        <v>26.26</v>
      </c>
      <c r="AD84" s="546">
        <v>29.2</v>
      </c>
      <c r="AE84" s="546">
        <v>21.76</v>
      </c>
      <c r="AF84" s="546">
        <v>24.69</v>
      </c>
    </row>
    <row r="85" spans="1:32" s="94" customFormat="1" x14ac:dyDescent="0.2">
      <c r="A85">
        <v>13.2</v>
      </c>
      <c r="B85">
        <v>29144.98</v>
      </c>
      <c r="C85">
        <v>-2.2400000000000002</v>
      </c>
      <c r="D85">
        <v>4.53</v>
      </c>
      <c r="E85">
        <v>-2.5</v>
      </c>
      <c r="F85">
        <v>790.67</v>
      </c>
      <c r="G85">
        <v>26.41</v>
      </c>
      <c r="H85">
        <v>29.47</v>
      </c>
      <c r="I85">
        <v>21.88</v>
      </c>
      <c r="J85">
        <v>24.94</v>
      </c>
      <c r="K85" s="95"/>
      <c r="L85">
        <v>13.2</v>
      </c>
      <c r="M85">
        <v>28671.27</v>
      </c>
      <c r="N85">
        <v>-1.82</v>
      </c>
      <c r="O85">
        <v>4.55</v>
      </c>
      <c r="P85">
        <v>-2.5</v>
      </c>
      <c r="Q85">
        <v>790.51</v>
      </c>
      <c r="R85">
        <v>26.79</v>
      </c>
      <c r="S85">
        <v>29.9</v>
      </c>
      <c r="T85">
        <v>22.24</v>
      </c>
      <c r="U85">
        <v>25.34</v>
      </c>
      <c r="V85" s="94">
        <f t="shared" si="2"/>
        <v>0.98374642905913823</v>
      </c>
      <c r="W85" s="546">
        <v>13.2</v>
      </c>
      <c r="X85" s="546">
        <v>28469.86</v>
      </c>
      <c r="Y85" s="546">
        <v>-0.56999999999999995</v>
      </c>
      <c r="Z85" s="546">
        <v>4.53</v>
      </c>
      <c r="AA85" s="546">
        <v>-2.27</v>
      </c>
      <c r="AB85" s="546">
        <v>794.09</v>
      </c>
      <c r="AC85" s="546">
        <v>26.58</v>
      </c>
      <c r="AD85" s="546">
        <v>29.31</v>
      </c>
      <c r="AE85" s="546">
        <v>22.05</v>
      </c>
      <c r="AF85" s="546">
        <v>24.78</v>
      </c>
    </row>
    <row r="86" spans="1:32" s="94" customFormat="1" x14ac:dyDescent="0.2">
      <c r="A86">
        <v>13.3</v>
      </c>
      <c r="B86">
        <v>29226.03</v>
      </c>
      <c r="C86">
        <v>-2.2400000000000002</v>
      </c>
      <c r="D86">
        <v>4.55</v>
      </c>
      <c r="E86">
        <v>-2.5</v>
      </c>
      <c r="F86">
        <v>790.67</v>
      </c>
      <c r="G86">
        <v>26.37</v>
      </c>
      <c r="H86">
        <v>29.42</v>
      </c>
      <c r="I86">
        <v>21.82</v>
      </c>
      <c r="J86">
        <v>24.87</v>
      </c>
      <c r="K86" s="95"/>
      <c r="L86">
        <v>13.3</v>
      </c>
      <c r="M86">
        <v>28752.29</v>
      </c>
      <c r="N86">
        <v>-1.82</v>
      </c>
      <c r="O86">
        <v>4.58</v>
      </c>
      <c r="P86">
        <v>-2.5</v>
      </c>
      <c r="Q86">
        <v>790.51</v>
      </c>
      <c r="R86">
        <v>26.75</v>
      </c>
      <c r="S86">
        <v>29.85</v>
      </c>
      <c r="T86">
        <v>22.17</v>
      </c>
      <c r="U86">
        <v>25.27</v>
      </c>
      <c r="V86" s="94">
        <f t="shared" si="2"/>
        <v>0.98379047718763046</v>
      </c>
      <c r="W86" s="546">
        <v>13.3</v>
      </c>
      <c r="X86" s="546">
        <v>28551.61</v>
      </c>
      <c r="Y86" s="546">
        <v>-0.57999999999999996</v>
      </c>
      <c r="Z86" s="546">
        <v>4.5599999999999996</v>
      </c>
      <c r="AA86" s="546">
        <v>-2.48</v>
      </c>
      <c r="AB86" s="546">
        <v>800.98</v>
      </c>
      <c r="AC86" s="546">
        <v>26.91</v>
      </c>
      <c r="AD86" s="546">
        <v>29.42</v>
      </c>
      <c r="AE86" s="546">
        <v>22.35</v>
      </c>
      <c r="AF86" s="546">
        <v>24.87</v>
      </c>
    </row>
    <row r="87" spans="1:32" s="94" customFormat="1" x14ac:dyDescent="0.2">
      <c r="A87">
        <v>13.4</v>
      </c>
      <c r="B87">
        <v>29307.08</v>
      </c>
      <c r="C87">
        <v>-2.25</v>
      </c>
      <c r="D87">
        <v>4.58</v>
      </c>
      <c r="E87">
        <v>-2.5</v>
      </c>
      <c r="F87">
        <v>790.66</v>
      </c>
      <c r="G87">
        <v>26.33</v>
      </c>
      <c r="H87">
        <v>29.38</v>
      </c>
      <c r="I87">
        <v>21.76</v>
      </c>
      <c r="J87">
        <v>24.8</v>
      </c>
      <c r="K87" s="95"/>
      <c r="L87">
        <v>13.4</v>
      </c>
      <c r="M87">
        <v>28833.360000000001</v>
      </c>
      <c r="N87">
        <v>-1.82</v>
      </c>
      <c r="O87">
        <v>4.5999999999999996</v>
      </c>
      <c r="P87">
        <v>-2.5</v>
      </c>
      <c r="Q87">
        <v>790.52</v>
      </c>
      <c r="R87">
        <v>26.72</v>
      </c>
      <c r="S87">
        <v>29.8</v>
      </c>
      <c r="T87">
        <v>22.11</v>
      </c>
      <c r="U87">
        <v>25.2</v>
      </c>
      <c r="V87" s="94">
        <f t="shared" si="2"/>
        <v>0.98383598775449477</v>
      </c>
      <c r="W87" s="546">
        <v>13.4</v>
      </c>
      <c r="X87" s="546">
        <v>28634.07</v>
      </c>
      <c r="Y87" s="546">
        <v>-0.59</v>
      </c>
      <c r="Z87" s="546">
        <v>4.58</v>
      </c>
      <c r="AA87" s="546">
        <v>-2.69</v>
      </c>
      <c r="AB87" s="546">
        <v>807.86</v>
      </c>
      <c r="AC87" s="546">
        <v>27.23</v>
      </c>
      <c r="AD87" s="546">
        <v>29.53</v>
      </c>
      <c r="AE87" s="546">
        <v>22.64</v>
      </c>
      <c r="AF87" s="546">
        <v>24.95</v>
      </c>
    </row>
    <row r="88" spans="1:32" s="94" customFormat="1" x14ac:dyDescent="0.2">
      <c r="A88">
        <v>13.5</v>
      </c>
      <c r="B88">
        <v>29388.12</v>
      </c>
      <c r="C88">
        <v>-2.25</v>
      </c>
      <c r="D88">
        <v>4.5999999999999996</v>
      </c>
      <c r="E88">
        <v>-2.5</v>
      </c>
      <c r="F88">
        <v>790.66</v>
      </c>
      <c r="G88">
        <v>26.3</v>
      </c>
      <c r="H88">
        <v>29.33</v>
      </c>
      <c r="I88">
        <v>21.7</v>
      </c>
      <c r="J88">
        <v>24.73</v>
      </c>
      <c r="K88" s="95"/>
      <c r="L88">
        <v>13.5</v>
      </c>
      <c r="M88">
        <v>28914.37</v>
      </c>
      <c r="N88">
        <v>-1.82</v>
      </c>
      <c r="O88">
        <v>4.63</v>
      </c>
      <c r="P88">
        <v>-2.5</v>
      </c>
      <c r="Q88">
        <v>790.52</v>
      </c>
      <c r="R88">
        <v>26.68</v>
      </c>
      <c r="S88">
        <v>29.76</v>
      </c>
      <c r="T88">
        <v>22.05</v>
      </c>
      <c r="U88">
        <v>25.13</v>
      </c>
      <c r="V88" s="94">
        <f t="shared" si="2"/>
        <v>0.98387954044015069</v>
      </c>
      <c r="W88" s="546">
        <v>13.5</v>
      </c>
      <c r="X88" s="546">
        <v>28717.21</v>
      </c>
      <c r="Y88" s="546">
        <v>-0.59</v>
      </c>
      <c r="Z88" s="546">
        <v>4.6100000000000003</v>
      </c>
      <c r="AA88" s="546">
        <v>-2.9</v>
      </c>
      <c r="AB88" s="546">
        <v>814.75</v>
      </c>
      <c r="AC88" s="546">
        <v>27.55</v>
      </c>
      <c r="AD88" s="546">
        <v>29.63</v>
      </c>
      <c r="AE88" s="546">
        <v>22.94</v>
      </c>
      <c r="AF88" s="546">
        <v>25.03</v>
      </c>
    </row>
    <row r="89" spans="1:32" s="94" customFormat="1" x14ac:dyDescent="0.2">
      <c r="A89">
        <v>13.6</v>
      </c>
      <c r="B89">
        <v>29469.16</v>
      </c>
      <c r="C89">
        <v>-2.25</v>
      </c>
      <c r="D89">
        <v>4.63</v>
      </c>
      <c r="E89">
        <v>-2.5</v>
      </c>
      <c r="F89">
        <v>790.66</v>
      </c>
      <c r="G89">
        <v>26.26</v>
      </c>
      <c r="H89">
        <v>29.29</v>
      </c>
      <c r="I89">
        <v>21.64</v>
      </c>
      <c r="J89">
        <v>24.66</v>
      </c>
      <c r="K89" s="95"/>
      <c r="L89">
        <v>13.6</v>
      </c>
      <c r="M89">
        <v>28995.4</v>
      </c>
      <c r="N89">
        <v>-1.83</v>
      </c>
      <c r="O89">
        <v>4.6500000000000004</v>
      </c>
      <c r="P89">
        <v>-2.5</v>
      </c>
      <c r="Q89">
        <v>790.53</v>
      </c>
      <c r="R89">
        <v>26.64</v>
      </c>
      <c r="S89">
        <v>29.71</v>
      </c>
      <c r="T89">
        <v>21.99</v>
      </c>
      <c r="U89">
        <v>25.06</v>
      </c>
      <c r="V89" s="94">
        <f t="shared" si="2"/>
        <v>0.9839235322622023</v>
      </c>
      <c r="W89" s="546">
        <v>13.6</v>
      </c>
      <c r="X89" s="546">
        <v>28801.08</v>
      </c>
      <c r="Y89" s="546">
        <v>-0.6</v>
      </c>
      <c r="Z89" s="546">
        <v>4.63</v>
      </c>
      <c r="AA89" s="546">
        <v>-3.1</v>
      </c>
      <c r="AB89" s="546">
        <v>821.64</v>
      </c>
      <c r="AC89" s="546">
        <v>27.86</v>
      </c>
      <c r="AD89" s="546">
        <v>29.74</v>
      </c>
      <c r="AE89" s="546">
        <v>23.23</v>
      </c>
      <c r="AF89" s="546">
        <v>25.1</v>
      </c>
    </row>
    <row r="90" spans="1:32" s="94" customFormat="1" x14ac:dyDescent="0.2">
      <c r="A90">
        <v>13.7</v>
      </c>
      <c r="B90">
        <v>29550.22</v>
      </c>
      <c r="C90">
        <v>-2.25</v>
      </c>
      <c r="D90">
        <v>4.6500000000000004</v>
      </c>
      <c r="E90">
        <v>-2.5</v>
      </c>
      <c r="F90">
        <v>790.66</v>
      </c>
      <c r="G90">
        <v>26.23</v>
      </c>
      <c r="H90">
        <v>29.25</v>
      </c>
      <c r="I90">
        <v>21.58</v>
      </c>
      <c r="J90">
        <v>24.6</v>
      </c>
      <c r="K90" s="95"/>
      <c r="L90">
        <v>13.7</v>
      </c>
      <c r="M90">
        <v>29076.42</v>
      </c>
      <c r="N90">
        <v>-1.83</v>
      </c>
      <c r="O90">
        <v>4.68</v>
      </c>
      <c r="P90">
        <v>-2.5</v>
      </c>
      <c r="Q90">
        <v>790.53</v>
      </c>
      <c r="R90">
        <v>26.61</v>
      </c>
      <c r="S90">
        <v>29.67</v>
      </c>
      <c r="T90">
        <v>21.93</v>
      </c>
      <c r="U90">
        <v>24.99</v>
      </c>
      <c r="V90" s="94">
        <f t="shared" si="2"/>
        <v>0.98396627842364615</v>
      </c>
      <c r="W90" s="546">
        <v>13.7</v>
      </c>
      <c r="X90" s="546">
        <v>28885.65</v>
      </c>
      <c r="Y90" s="546">
        <v>-0.61</v>
      </c>
      <c r="Z90" s="546">
        <v>4.66</v>
      </c>
      <c r="AA90" s="546">
        <v>-3.3</v>
      </c>
      <c r="AB90" s="546">
        <v>828.53</v>
      </c>
      <c r="AC90" s="546">
        <v>28.18</v>
      </c>
      <c r="AD90" s="546">
        <v>29.84</v>
      </c>
      <c r="AE90" s="546">
        <v>23.52</v>
      </c>
      <c r="AF90" s="546">
        <v>25.18</v>
      </c>
    </row>
    <row r="91" spans="1:32" s="94" customFormat="1" x14ac:dyDescent="0.2">
      <c r="A91">
        <v>13.8</v>
      </c>
      <c r="B91">
        <v>29631.24</v>
      </c>
      <c r="C91">
        <v>-2.25</v>
      </c>
      <c r="D91">
        <v>4.68</v>
      </c>
      <c r="E91">
        <v>-2.5</v>
      </c>
      <c r="F91">
        <v>790.66</v>
      </c>
      <c r="G91">
        <v>26.19</v>
      </c>
      <c r="H91">
        <v>29.2</v>
      </c>
      <c r="I91">
        <v>21.52</v>
      </c>
      <c r="J91">
        <v>24.53</v>
      </c>
      <c r="K91" s="95"/>
      <c r="L91">
        <v>13.8</v>
      </c>
      <c r="M91">
        <v>29157.47</v>
      </c>
      <c r="N91">
        <v>-1.83</v>
      </c>
      <c r="O91">
        <v>4.7</v>
      </c>
      <c r="P91">
        <v>-2.5</v>
      </c>
      <c r="Q91">
        <v>790.53</v>
      </c>
      <c r="R91">
        <v>26.57</v>
      </c>
      <c r="S91">
        <v>29.62</v>
      </c>
      <c r="T91">
        <v>21.87</v>
      </c>
      <c r="U91">
        <v>24.92</v>
      </c>
      <c r="V91" s="94">
        <f t="shared" si="2"/>
        <v>0.98401113149500319</v>
      </c>
      <c r="W91" s="546">
        <v>13.8</v>
      </c>
      <c r="X91" s="546">
        <v>28970.92</v>
      </c>
      <c r="Y91" s="546">
        <v>-0.61</v>
      </c>
      <c r="Z91" s="546">
        <v>4.6900000000000004</v>
      </c>
      <c r="AA91" s="546">
        <v>-3.5</v>
      </c>
      <c r="AB91" s="546">
        <v>835.42</v>
      </c>
      <c r="AC91" s="546">
        <v>28.5</v>
      </c>
      <c r="AD91" s="546">
        <v>29.93</v>
      </c>
      <c r="AE91" s="546">
        <v>23.81</v>
      </c>
      <c r="AF91" s="546">
        <v>25.25</v>
      </c>
    </row>
    <row r="92" spans="1:32" s="94" customFormat="1" x14ac:dyDescent="0.2">
      <c r="A92">
        <v>13.9</v>
      </c>
      <c r="B92">
        <v>29712.3</v>
      </c>
      <c r="C92">
        <v>-2.25</v>
      </c>
      <c r="D92">
        <v>4.7</v>
      </c>
      <c r="E92">
        <v>-2.5</v>
      </c>
      <c r="F92">
        <v>790.66</v>
      </c>
      <c r="G92">
        <v>26.16</v>
      </c>
      <c r="H92">
        <v>29.16</v>
      </c>
      <c r="I92">
        <v>21.46</v>
      </c>
      <c r="J92">
        <v>24.46</v>
      </c>
      <c r="K92" s="95"/>
      <c r="L92">
        <v>13.9</v>
      </c>
      <c r="M92">
        <v>29238.47</v>
      </c>
      <c r="N92">
        <v>-1.83</v>
      </c>
      <c r="O92">
        <v>4.7300000000000004</v>
      </c>
      <c r="P92">
        <v>-2.5</v>
      </c>
      <c r="Q92">
        <v>790.54</v>
      </c>
      <c r="R92">
        <v>26.53</v>
      </c>
      <c r="S92">
        <v>29.58</v>
      </c>
      <c r="T92">
        <v>21.81</v>
      </c>
      <c r="U92">
        <v>24.85</v>
      </c>
      <c r="V92" s="94">
        <f t="shared" si="2"/>
        <v>0.98405273237009594</v>
      </c>
      <c r="W92" s="546">
        <v>13.9</v>
      </c>
      <c r="X92" s="546">
        <v>29056.93</v>
      </c>
      <c r="Y92" s="546">
        <v>-0.62</v>
      </c>
      <c r="Z92" s="546">
        <v>4.71</v>
      </c>
      <c r="AA92" s="546">
        <v>-3.69</v>
      </c>
      <c r="AB92" s="546">
        <v>842.31</v>
      </c>
      <c r="AC92" s="546">
        <v>28.81</v>
      </c>
      <c r="AD92" s="546">
        <v>30.03</v>
      </c>
      <c r="AE92" s="546">
        <v>24.1</v>
      </c>
      <c r="AF92" s="546">
        <v>25.31</v>
      </c>
    </row>
    <row r="93" spans="1:32" s="94" customFormat="1" x14ac:dyDescent="0.2">
      <c r="A93">
        <v>14</v>
      </c>
      <c r="B93">
        <v>29793.35</v>
      </c>
      <c r="C93">
        <v>-2.25</v>
      </c>
      <c r="D93">
        <v>4.7300000000000004</v>
      </c>
      <c r="E93">
        <v>-2.5</v>
      </c>
      <c r="F93">
        <v>790.66</v>
      </c>
      <c r="G93">
        <v>26.13</v>
      </c>
      <c r="H93">
        <v>29.12</v>
      </c>
      <c r="I93">
        <v>21.4</v>
      </c>
      <c r="J93">
        <v>24.4</v>
      </c>
      <c r="K93" s="95"/>
      <c r="L93">
        <v>14</v>
      </c>
      <c r="M93">
        <v>29319.52</v>
      </c>
      <c r="N93">
        <v>-1.83</v>
      </c>
      <c r="O93">
        <v>4.75</v>
      </c>
      <c r="P93">
        <v>-2.5</v>
      </c>
      <c r="Q93">
        <v>790.54</v>
      </c>
      <c r="R93">
        <v>26.5</v>
      </c>
      <c r="S93">
        <v>29.54</v>
      </c>
      <c r="T93">
        <v>21.75</v>
      </c>
      <c r="U93">
        <v>24.78</v>
      </c>
      <c r="V93" s="94">
        <f t="shared" si="2"/>
        <v>0.98409611540830422</v>
      </c>
      <c r="W93" s="546">
        <v>14</v>
      </c>
      <c r="X93" s="546">
        <v>29143.599999999999</v>
      </c>
      <c r="Y93" s="546">
        <v>-0.63</v>
      </c>
      <c r="Z93" s="546">
        <v>4.74</v>
      </c>
      <c r="AA93" s="546">
        <v>-3.88</v>
      </c>
      <c r="AB93" s="546">
        <v>849.2</v>
      </c>
      <c r="AC93" s="546">
        <v>29.13</v>
      </c>
      <c r="AD93" s="546">
        <v>30.12</v>
      </c>
      <c r="AE93" s="546">
        <v>24.39</v>
      </c>
      <c r="AF93" s="546">
        <v>25.38</v>
      </c>
    </row>
    <row r="94" spans="1:32" s="94" customFormat="1" x14ac:dyDescent="0.2">
      <c r="A94">
        <v>14.1</v>
      </c>
      <c r="B94">
        <v>29874.38</v>
      </c>
      <c r="C94">
        <v>-2.25</v>
      </c>
      <c r="D94">
        <v>4.75</v>
      </c>
      <c r="E94">
        <v>-2.5</v>
      </c>
      <c r="F94">
        <v>790.65</v>
      </c>
      <c r="G94">
        <v>26.09</v>
      </c>
      <c r="H94">
        <v>29.08</v>
      </c>
      <c r="I94">
        <v>21.34</v>
      </c>
      <c r="J94">
        <v>24.33</v>
      </c>
      <c r="K94" s="95"/>
      <c r="L94">
        <v>14.1</v>
      </c>
      <c r="M94">
        <v>29400.55</v>
      </c>
      <c r="N94">
        <v>-1.83</v>
      </c>
      <c r="O94">
        <v>4.78</v>
      </c>
      <c r="P94">
        <v>-2.5</v>
      </c>
      <c r="Q94">
        <v>790.55</v>
      </c>
      <c r="R94">
        <v>26.47</v>
      </c>
      <c r="S94">
        <v>29.49</v>
      </c>
      <c r="T94">
        <v>21.69</v>
      </c>
      <c r="U94">
        <v>24.72</v>
      </c>
      <c r="V94" s="94">
        <f t="shared" si="2"/>
        <v>0.98413925242967382</v>
      </c>
      <c r="W94" s="546">
        <v>14.1</v>
      </c>
      <c r="X94" s="546">
        <v>29231</v>
      </c>
      <c r="Y94" s="546">
        <v>-0.64</v>
      </c>
      <c r="Z94" s="546">
        <v>4.7699999999999996</v>
      </c>
      <c r="AA94" s="546">
        <v>-4.07</v>
      </c>
      <c r="AB94" s="546">
        <v>856.09</v>
      </c>
      <c r="AC94" s="546">
        <v>29.44</v>
      </c>
      <c r="AD94" s="546">
        <v>30.21</v>
      </c>
      <c r="AE94" s="546">
        <v>24.67</v>
      </c>
      <c r="AF94" s="546">
        <v>25.44</v>
      </c>
    </row>
    <row r="95" spans="1:32" s="94" customFormat="1" x14ac:dyDescent="0.2">
      <c r="A95">
        <v>14.2</v>
      </c>
      <c r="B95">
        <v>29955.42</v>
      </c>
      <c r="C95">
        <v>-2.25</v>
      </c>
      <c r="D95">
        <v>4.78</v>
      </c>
      <c r="E95">
        <v>-2.5</v>
      </c>
      <c r="F95">
        <v>790.65</v>
      </c>
      <c r="G95">
        <v>26.06</v>
      </c>
      <c r="H95">
        <v>29.04</v>
      </c>
      <c r="I95">
        <v>21.28</v>
      </c>
      <c r="J95">
        <v>24.26</v>
      </c>
      <c r="K95" s="95"/>
      <c r="L95">
        <v>14.2</v>
      </c>
      <c r="M95">
        <v>29481.59</v>
      </c>
      <c r="N95">
        <v>-1.84</v>
      </c>
      <c r="O95">
        <v>4.8099999999999996</v>
      </c>
      <c r="P95">
        <v>-2.5</v>
      </c>
      <c r="Q95">
        <v>790.55</v>
      </c>
      <c r="R95">
        <v>26.43</v>
      </c>
      <c r="S95">
        <v>29.45</v>
      </c>
      <c r="T95">
        <v>21.63</v>
      </c>
      <c r="U95">
        <v>24.65</v>
      </c>
      <c r="V95" s="94">
        <f t="shared" si="2"/>
        <v>0.98418216135844538</v>
      </c>
      <c r="W95" s="546">
        <v>14.2</v>
      </c>
      <c r="X95" s="546">
        <v>29319.09</v>
      </c>
      <c r="Y95" s="546">
        <v>-0.65</v>
      </c>
      <c r="Z95" s="546">
        <v>4.8</v>
      </c>
      <c r="AA95" s="546">
        <v>-4.26</v>
      </c>
      <c r="AB95" s="546">
        <v>862.98</v>
      </c>
      <c r="AC95" s="546">
        <v>29.76</v>
      </c>
      <c r="AD95" s="546">
        <v>30.3</v>
      </c>
      <c r="AE95" s="546">
        <v>24.96</v>
      </c>
      <c r="AF95" s="546">
        <v>25.5</v>
      </c>
    </row>
    <row r="96" spans="1:32" s="94" customFormat="1" x14ac:dyDescent="0.2">
      <c r="A96">
        <v>14.3</v>
      </c>
      <c r="B96">
        <v>30036.48</v>
      </c>
      <c r="C96">
        <v>-2.25</v>
      </c>
      <c r="D96">
        <v>4.8</v>
      </c>
      <c r="E96">
        <v>-2.5</v>
      </c>
      <c r="F96">
        <v>790.65</v>
      </c>
      <c r="G96">
        <v>26.03</v>
      </c>
      <c r="H96">
        <v>29</v>
      </c>
      <c r="I96">
        <v>21.23</v>
      </c>
      <c r="J96">
        <v>24.2</v>
      </c>
      <c r="K96" s="95"/>
      <c r="L96">
        <v>14.3</v>
      </c>
      <c r="M96">
        <v>29562.6</v>
      </c>
      <c r="N96">
        <v>-1.84</v>
      </c>
      <c r="O96">
        <v>4.83</v>
      </c>
      <c r="P96">
        <v>-2.5</v>
      </c>
      <c r="Q96">
        <v>790.56</v>
      </c>
      <c r="R96">
        <v>26.4</v>
      </c>
      <c r="S96">
        <v>29.41</v>
      </c>
      <c r="T96">
        <v>21.57</v>
      </c>
      <c r="U96">
        <v>24.58</v>
      </c>
      <c r="V96" s="94">
        <f t="shared" si="2"/>
        <v>0.98422318460751723</v>
      </c>
      <c r="W96" s="546">
        <v>14.3</v>
      </c>
      <c r="X96" s="546">
        <v>29407.89</v>
      </c>
      <c r="Y96" s="546">
        <v>-0.66</v>
      </c>
      <c r="Z96" s="546">
        <v>4.83</v>
      </c>
      <c r="AA96" s="546">
        <v>-4.4400000000000004</v>
      </c>
      <c r="AB96" s="546">
        <v>869.88</v>
      </c>
      <c r="AC96" s="546">
        <v>30.07</v>
      </c>
      <c r="AD96" s="546">
        <v>30.39</v>
      </c>
      <c r="AE96" s="546">
        <v>25.24</v>
      </c>
      <c r="AF96" s="546">
        <v>25.56</v>
      </c>
    </row>
    <row r="97" spans="1:32" s="94" customFormat="1" x14ac:dyDescent="0.2">
      <c r="A97">
        <v>14.4</v>
      </c>
      <c r="B97">
        <v>30117.5</v>
      </c>
      <c r="C97">
        <v>-2.25</v>
      </c>
      <c r="D97">
        <v>4.83</v>
      </c>
      <c r="E97">
        <v>-2.5</v>
      </c>
      <c r="F97">
        <v>790.65</v>
      </c>
      <c r="G97">
        <v>26</v>
      </c>
      <c r="H97">
        <v>28.96</v>
      </c>
      <c r="I97">
        <v>21.17</v>
      </c>
      <c r="J97">
        <v>24.13</v>
      </c>
      <c r="K97" s="95"/>
      <c r="L97">
        <v>14.4</v>
      </c>
      <c r="M97">
        <v>29643.64</v>
      </c>
      <c r="N97">
        <v>-1.84</v>
      </c>
      <c r="O97">
        <v>4.8600000000000003</v>
      </c>
      <c r="P97">
        <v>-2.5</v>
      </c>
      <c r="Q97">
        <v>790.56</v>
      </c>
      <c r="R97">
        <v>26.37</v>
      </c>
      <c r="S97">
        <v>29.37</v>
      </c>
      <c r="T97">
        <v>21.51</v>
      </c>
      <c r="U97">
        <v>24.51</v>
      </c>
      <c r="V97" s="94">
        <f t="shared" si="2"/>
        <v>0.98426629036274593</v>
      </c>
      <c r="W97" s="546">
        <v>14.4</v>
      </c>
      <c r="X97" s="546">
        <v>29497.42</v>
      </c>
      <c r="Y97" s="546">
        <v>-0.68</v>
      </c>
      <c r="Z97" s="546">
        <v>4.8499999999999996</v>
      </c>
      <c r="AA97" s="546">
        <v>-4.62</v>
      </c>
      <c r="AB97" s="546">
        <v>876.77</v>
      </c>
      <c r="AC97" s="546">
        <v>30.38</v>
      </c>
      <c r="AD97" s="546">
        <v>30.47</v>
      </c>
      <c r="AE97" s="546">
        <v>25.52</v>
      </c>
      <c r="AF97" s="546">
        <v>25.62</v>
      </c>
    </row>
    <row r="98" spans="1:32" s="94" customFormat="1" x14ac:dyDescent="0.2">
      <c r="A98">
        <v>14.5</v>
      </c>
      <c r="B98">
        <v>30198.54</v>
      </c>
      <c r="C98">
        <v>-2.25</v>
      </c>
      <c r="D98">
        <v>4.8499999999999996</v>
      </c>
      <c r="E98">
        <v>-2.5</v>
      </c>
      <c r="F98">
        <v>790.65</v>
      </c>
      <c r="G98">
        <v>25.97</v>
      </c>
      <c r="H98">
        <v>28.92</v>
      </c>
      <c r="I98">
        <v>21.11</v>
      </c>
      <c r="J98">
        <v>24.07</v>
      </c>
      <c r="K98" s="95"/>
      <c r="L98">
        <v>14.5</v>
      </c>
      <c r="M98">
        <v>29724.69</v>
      </c>
      <c r="N98">
        <v>-1.84</v>
      </c>
      <c r="O98">
        <v>4.88</v>
      </c>
      <c r="P98">
        <v>-2.5</v>
      </c>
      <c r="Q98">
        <v>790.56</v>
      </c>
      <c r="R98">
        <v>26.33</v>
      </c>
      <c r="S98">
        <v>29.33</v>
      </c>
      <c r="T98">
        <v>21.45</v>
      </c>
      <c r="U98">
        <v>24.45</v>
      </c>
      <c r="V98" s="94">
        <f t="shared" si="2"/>
        <v>0.98430884406994501</v>
      </c>
      <c r="W98" s="546">
        <v>14.5</v>
      </c>
      <c r="X98" s="546">
        <v>29587.65</v>
      </c>
      <c r="Y98" s="546">
        <v>-0.69</v>
      </c>
      <c r="Z98" s="546">
        <v>4.88</v>
      </c>
      <c r="AA98" s="546">
        <v>-4.8</v>
      </c>
      <c r="AB98" s="546">
        <v>883.67</v>
      </c>
      <c r="AC98" s="546">
        <v>30.69</v>
      </c>
      <c r="AD98" s="546">
        <v>30.56</v>
      </c>
      <c r="AE98" s="546">
        <v>25.81</v>
      </c>
      <c r="AF98" s="546">
        <v>25.67</v>
      </c>
    </row>
    <row r="99" spans="1:32" s="94" customFormat="1" x14ac:dyDescent="0.2">
      <c r="A99">
        <v>14.6</v>
      </c>
      <c r="B99">
        <v>30279.59</v>
      </c>
      <c r="C99">
        <v>-2.25</v>
      </c>
      <c r="D99">
        <v>4.88</v>
      </c>
      <c r="E99">
        <v>-2.5</v>
      </c>
      <c r="F99">
        <v>790.65</v>
      </c>
      <c r="G99">
        <v>25.94</v>
      </c>
      <c r="H99">
        <v>28.88</v>
      </c>
      <c r="I99">
        <v>21.06</v>
      </c>
      <c r="J99">
        <v>24</v>
      </c>
      <c r="K99" s="95"/>
      <c r="L99">
        <v>14.6</v>
      </c>
      <c r="M99">
        <v>29805.71</v>
      </c>
      <c r="N99">
        <v>-1.84</v>
      </c>
      <c r="O99">
        <v>4.91</v>
      </c>
      <c r="P99">
        <v>-2.5</v>
      </c>
      <c r="Q99">
        <v>790.57</v>
      </c>
      <c r="R99">
        <v>26.3</v>
      </c>
      <c r="S99">
        <v>29.29</v>
      </c>
      <c r="T99">
        <v>21.39</v>
      </c>
      <c r="U99">
        <v>24.38</v>
      </c>
      <c r="V99" s="94">
        <f t="shared" si="2"/>
        <v>0.98434985414267495</v>
      </c>
      <c r="W99" s="546">
        <v>14.6</v>
      </c>
      <c r="X99" s="546">
        <v>29678.57</v>
      </c>
      <c r="Y99" s="546">
        <v>-0.7</v>
      </c>
      <c r="Z99" s="546">
        <v>4.91</v>
      </c>
      <c r="AA99" s="546">
        <v>-4.9800000000000004</v>
      </c>
      <c r="AB99" s="546">
        <v>890.56</v>
      </c>
      <c r="AC99" s="546">
        <v>31</v>
      </c>
      <c r="AD99" s="546">
        <v>30.64</v>
      </c>
      <c r="AE99" s="546">
        <v>26.09</v>
      </c>
      <c r="AF99" s="546">
        <v>25.73</v>
      </c>
    </row>
    <row r="100" spans="1:32" s="94" customFormat="1" x14ac:dyDescent="0.2">
      <c r="A100">
        <v>14.7</v>
      </c>
      <c r="B100">
        <v>30360.63</v>
      </c>
      <c r="C100">
        <v>-2.25</v>
      </c>
      <c r="D100">
        <v>4.91</v>
      </c>
      <c r="E100">
        <v>-2.5</v>
      </c>
      <c r="F100">
        <v>790.65</v>
      </c>
      <c r="G100">
        <v>25.91</v>
      </c>
      <c r="H100">
        <v>28.85</v>
      </c>
      <c r="I100">
        <v>21</v>
      </c>
      <c r="J100">
        <v>23.94</v>
      </c>
      <c r="K100" s="95"/>
      <c r="L100">
        <v>14.7</v>
      </c>
      <c r="M100">
        <v>29886.73</v>
      </c>
      <c r="N100">
        <v>-1.85</v>
      </c>
      <c r="O100">
        <v>4.9400000000000004</v>
      </c>
      <c r="P100">
        <v>-2.5</v>
      </c>
      <c r="Q100">
        <v>790.57</v>
      </c>
      <c r="R100">
        <v>26.27</v>
      </c>
      <c r="S100">
        <v>29.25</v>
      </c>
      <c r="T100">
        <v>21.33</v>
      </c>
      <c r="U100">
        <v>24.31</v>
      </c>
      <c r="V100" s="94">
        <f t="shared" si="2"/>
        <v>0.98439096948910476</v>
      </c>
      <c r="W100" s="546">
        <v>14.7</v>
      </c>
      <c r="X100" s="546">
        <v>29770.21</v>
      </c>
      <c r="Y100" s="546">
        <v>-0.72</v>
      </c>
      <c r="Z100" s="546">
        <v>4.9400000000000004</v>
      </c>
      <c r="AA100" s="546">
        <v>-5.15</v>
      </c>
      <c r="AB100" s="546">
        <v>897.46</v>
      </c>
      <c r="AC100" s="546">
        <v>31.31</v>
      </c>
      <c r="AD100" s="546">
        <v>30.72</v>
      </c>
      <c r="AE100" s="546">
        <v>26.36</v>
      </c>
      <c r="AF100" s="546">
        <v>25.78</v>
      </c>
    </row>
    <row r="101" spans="1:32" s="94" customFormat="1" x14ac:dyDescent="0.2">
      <c r="A101">
        <v>14.8</v>
      </c>
      <c r="B101">
        <v>30441.66</v>
      </c>
      <c r="C101">
        <v>-2.25</v>
      </c>
      <c r="D101">
        <v>4.93</v>
      </c>
      <c r="E101">
        <v>-2.5</v>
      </c>
      <c r="F101">
        <v>790.65</v>
      </c>
      <c r="G101">
        <v>25.88</v>
      </c>
      <c r="H101">
        <v>28.81</v>
      </c>
      <c r="I101">
        <v>20.94</v>
      </c>
      <c r="J101">
        <v>23.88</v>
      </c>
      <c r="K101" s="95"/>
      <c r="L101">
        <v>14.8</v>
      </c>
      <c r="M101">
        <v>29967.79</v>
      </c>
      <c r="N101">
        <v>-1.85</v>
      </c>
      <c r="O101">
        <v>4.96</v>
      </c>
      <c r="P101">
        <v>-2.5</v>
      </c>
      <c r="Q101">
        <v>790.58</v>
      </c>
      <c r="R101">
        <v>26.24</v>
      </c>
      <c r="S101">
        <v>29.21</v>
      </c>
      <c r="T101">
        <v>21.28</v>
      </c>
      <c r="U101">
        <v>24.25</v>
      </c>
      <c r="V101" s="94">
        <f t="shared" si="2"/>
        <v>0.98443350329778345</v>
      </c>
      <c r="W101" s="546">
        <v>14.8</v>
      </c>
      <c r="X101" s="546">
        <v>29862.560000000001</v>
      </c>
      <c r="Y101" s="546">
        <v>-0.73</v>
      </c>
      <c r="Z101" s="546">
        <v>4.97</v>
      </c>
      <c r="AA101" s="546">
        <v>-5.32</v>
      </c>
      <c r="AB101" s="546">
        <v>904.35</v>
      </c>
      <c r="AC101" s="546">
        <v>31.61</v>
      </c>
      <c r="AD101" s="546">
        <v>30.8</v>
      </c>
      <c r="AE101" s="546">
        <v>26.64</v>
      </c>
      <c r="AF101" s="546">
        <v>25.82</v>
      </c>
    </row>
    <row r="102" spans="1:32" s="94" customFormat="1" x14ac:dyDescent="0.2">
      <c r="A102">
        <v>14.9</v>
      </c>
      <c r="B102">
        <v>30522.7</v>
      </c>
      <c r="C102">
        <v>-2.2599999999999998</v>
      </c>
      <c r="D102">
        <v>4.96</v>
      </c>
      <c r="E102">
        <v>-2.5</v>
      </c>
      <c r="F102">
        <v>790.64</v>
      </c>
      <c r="G102">
        <v>25.85</v>
      </c>
      <c r="H102">
        <v>28.77</v>
      </c>
      <c r="I102">
        <v>20.89</v>
      </c>
      <c r="J102">
        <v>23.81</v>
      </c>
      <c r="K102" s="95"/>
      <c r="L102">
        <v>14.9</v>
      </c>
      <c r="M102">
        <v>30048.799999999999</v>
      </c>
      <c r="N102">
        <v>-1.85</v>
      </c>
      <c r="O102">
        <v>4.99</v>
      </c>
      <c r="P102">
        <v>-2.5</v>
      </c>
      <c r="Q102">
        <v>790.58</v>
      </c>
      <c r="R102">
        <v>26.21</v>
      </c>
      <c r="S102">
        <v>29.17</v>
      </c>
      <c r="T102">
        <v>21.22</v>
      </c>
      <c r="U102">
        <v>24.18</v>
      </c>
      <c r="V102" s="94">
        <f t="shared" si="2"/>
        <v>0.98447385060954629</v>
      </c>
      <c r="W102" s="546">
        <v>14.9</v>
      </c>
      <c r="X102" s="546">
        <v>29955.599999999999</v>
      </c>
      <c r="Y102" s="546">
        <v>-0.74</v>
      </c>
      <c r="Z102" s="546">
        <v>5</v>
      </c>
      <c r="AA102" s="546">
        <v>-5.49</v>
      </c>
      <c r="AB102" s="546">
        <v>911.25</v>
      </c>
      <c r="AC102" s="546">
        <v>31.92</v>
      </c>
      <c r="AD102" s="546">
        <v>30.88</v>
      </c>
      <c r="AE102" s="546">
        <v>26.92</v>
      </c>
      <c r="AF102" s="546">
        <v>25.87</v>
      </c>
    </row>
    <row r="103" spans="1:32" s="94" customFormat="1" x14ac:dyDescent="0.2">
      <c r="A103">
        <v>15</v>
      </c>
      <c r="B103">
        <v>30603.75</v>
      </c>
      <c r="C103">
        <v>-2.2599999999999998</v>
      </c>
      <c r="D103">
        <v>4.99</v>
      </c>
      <c r="E103">
        <v>-2.5</v>
      </c>
      <c r="F103">
        <v>790.64</v>
      </c>
      <c r="G103">
        <v>25.82</v>
      </c>
      <c r="H103">
        <v>28.73</v>
      </c>
      <c r="I103">
        <v>20.83</v>
      </c>
      <c r="J103">
        <v>23.75</v>
      </c>
      <c r="K103" s="95"/>
      <c r="L103">
        <v>15</v>
      </c>
      <c r="M103">
        <v>30129.85</v>
      </c>
      <c r="N103">
        <v>-1.85</v>
      </c>
      <c r="O103">
        <v>5.0199999999999996</v>
      </c>
      <c r="P103">
        <v>-2.5</v>
      </c>
      <c r="Q103">
        <v>790.59</v>
      </c>
      <c r="R103">
        <v>26.18</v>
      </c>
      <c r="S103">
        <v>29.13</v>
      </c>
      <c r="T103">
        <v>21.16</v>
      </c>
      <c r="U103">
        <v>24.12</v>
      </c>
      <c r="V103" s="94">
        <f t="shared" si="2"/>
        <v>0.98451496957072249</v>
      </c>
      <c r="W103" s="546">
        <v>15</v>
      </c>
      <c r="X103" s="546">
        <v>30049.37</v>
      </c>
      <c r="Y103" s="546">
        <v>-0.76</v>
      </c>
      <c r="Z103" s="546">
        <v>5.04</v>
      </c>
      <c r="AA103" s="546">
        <v>-5.66</v>
      </c>
      <c r="AB103" s="546">
        <v>918.08</v>
      </c>
      <c r="AC103" s="546">
        <v>32.22</v>
      </c>
      <c r="AD103" s="546">
        <v>30.95</v>
      </c>
      <c r="AE103" s="546">
        <v>27.19</v>
      </c>
      <c r="AF103" s="546">
        <v>25.91</v>
      </c>
    </row>
    <row r="104" spans="1:32" s="94" customFormat="1" x14ac:dyDescent="0.2">
      <c r="A104">
        <v>15.1</v>
      </c>
      <c r="B104">
        <v>30684.79</v>
      </c>
      <c r="C104">
        <v>-2.2599999999999998</v>
      </c>
      <c r="D104">
        <v>5.01</v>
      </c>
      <c r="E104">
        <v>-2.5</v>
      </c>
      <c r="F104">
        <v>790.64</v>
      </c>
      <c r="G104">
        <v>25.79</v>
      </c>
      <c r="H104">
        <v>28.7</v>
      </c>
      <c r="I104">
        <v>20.78</v>
      </c>
      <c r="J104">
        <v>23.69</v>
      </c>
      <c r="K104" s="95"/>
      <c r="L104">
        <v>15.1</v>
      </c>
      <c r="M104">
        <v>30210.89</v>
      </c>
      <c r="N104">
        <v>-1.85</v>
      </c>
      <c r="O104">
        <v>5.04</v>
      </c>
      <c r="P104">
        <v>-2.5</v>
      </c>
      <c r="Q104">
        <v>790.59</v>
      </c>
      <c r="R104">
        <v>26.15</v>
      </c>
      <c r="S104">
        <v>29.1</v>
      </c>
      <c r="T104">
        <v>21.1</v>
      </c>
      <c r="U104">
        <v>24.05</v>
      </c>
      <c r="V104" s="94">
        <f t="shared" si="2"/>
        <v>0.98455586627772251</v>
      </c>
      <c r="W104" s="546">
        <v>15.1</v>
      </c>
      <c r="X104" s="546">
        <v>30143.45</v>
      </c>
      <c r="Y104" s="546">
        <v>-0.77</v>
      </c>
      <c r="Z104" s="546">
        <v>5.07</v>
      </c>
      <c r="AA104" s="546">
        <v>-5.66</v>
      </c>
      <c r="AB104" s="546">
        <v>918.08</v>
      </c>
      <c r="AC104" s="546">
        <v>32.17</v>
      </c>
      <c r="AD104" s="546">
        <v>30.9</v>
      </c>
      <c r="AE104" s="546">
        <v>27.1</v>
      </c>
      <c r="AF104" s="546">
        <v>25.83</v>
      </c>
    </row>
    <row r="105" spans="1:32" s="94" customFormat="1" x14ac:dyDescent="0.2">
      <c r="A105">
        <v>15.2</v>
      </c>
      <c r="B105">
        <v>30765.83</v>
      </c>
      <c r="C105">
        <v>-2.2599999999999998</v>
      </c>
      <c r="D105">
        <v>5.04</v>
      </c>
      <c r="E105">
        <v>-2.5</v>
      </c>
      <c r="F105">
        <v>790.64</v>
      </c>
      <c r="G105">
        <v>25.76</v>
      </c>
      <c r="H105">
        <v>28.66</v>
      </c>
      <c r="I105">
        <v>20.72</v>
      </c>
      <c r="J105">
        <v>23.62</v>
      </c>
      <c r="K105" s="95"/>
      <c r="L105">
        <v>15.2</v>
      </c>
      <c r="M105">
        <v>30291.9</v>
      </c>
      <c r="N105">
        <v>-1.85</v>
      </c>
      <c r="O105">
        <v>5.07</v>
      </c>
      <c r="P105">
        <v>-2.5</v>
      </c>
      <c r="Q105">
        <v>790.59</v>
      </c>
      <c r="R105">
        <v>26.12</v>
      </c>
      <c r="S105">
        <v>29.06</v>
      </c>
      <c r="T105">
        <v>21.05</v>
      </c>
      <c r="U105">
        <v>23.99</v>
      </c>
      <c r="V105" s="94">
        <f t="shared" si="2"/>
        <v>0.98459557242564233</v>
      </c>
      <c r="W105" s="546">
        <v>15.2</v>
      </c>
      <c r="X105" s="546">
        <v>30237.58</v>
      </c>
      <c r="Y105" s="546">
        <v>-0.79</v>
      </c>
      <c r="Z105" s="546">
        <v>5.0999999999999996</v>
      </c>
      <c r="AA105" s="546">
        <v>-5.66</v>
      </c>
      <c r="AB105" s="546">
        <v>918.08</v>
      </c>
      <c r="AC105" s="546">
        <v>32.119999999999997</v>
      </c>
      <c r="AD105" s="546">
        <v>30.85</v>
      </c>
      <c r="AE105" s="546">
        <v>27.02</v>
      </c>
      <c r="AF105" s="546">
        <v>25.75</v>
      </c>
    </row>
    <row r="106" spans="1:32" s="94" customFormat="1" x14ac:dyDescent="0.2">
      <c r="A106">
        <v>15.3</v>
      </c>
      <c r="B106">
        <v>30846.86</v>
      </c>
      <c r="C106">
        <v>-2.2599999999999998</v>
      </c>
      <c r="D106">
        <v>5.07</v>
      </c>
      <c r="E106">
        <v>-2.5</v>
      </c>
      <c r="F106">
        <v>790.64</v>
      </c>
      <c r="G106">
        <v>25.73</v>
      </c>
      <c r="H106">
        <v>28.63</v>
      </c>
      <c r="I106">
        <v>20.67</v>
      </c>
      <c r="J106">
        <v>23.56</v>
      </c>
      <c r="K106" s="95"/>
      <c r="L106">
        <v>15.3</v>
      </c>
      <c r="M106">
        <v>30372.94</v>
      </c>
      <c r="N106">
        <v>-1.86</v>
      </c>
      <c r="O106">
        <v>5.0999999999999996</v>
      </c>
      <c r="P106">
        <v>-2.5</v>
      </c>
      <c r="Q106">
        <v>790.6</v>
      </c>
      <c r="R106">
        <v>26.09</v>
      </c>
      <c r="S106">
        <v>29.02</v>
      </c>
      <c r="T106">
        <v>20.99</v>
      </c>
      <c r="U106">
        <v>23.93</v>
      </c>
      <c r="V106" s="94">
        <f t="shared" si="2"/>
        <v>0.984636361691271</v>
      </c>
      <c r="W106" s="546">
        <v>15.3</v>
      </c>
      <c r="X106" s="546">
        <v>30331.68</v>
      </c>
      <c r="Y106" s="546">
        <v>-0.8</v>
      </c>
      <c r="Z106" s="546">
        <v>5.13</v>
      </c>
      <c r="AA106" s="546">
        <v>-5.66</v>
      </c>
      <c r="AB106" s="546">
        <v>918.08</v>
      </c>
      <c r="AC106" s="546">
        <v>32.06</v>
      </c>
      <c r="AD106" s="546">
        <v>30.8</v>
      </c>
      <c r="AE106" s="546">
        <v>26.93</v>
      </c>
      <c r="AF106" s="546">
        <v>25.67</v>
      </c>
    </row>
    <row r="107" spans="1:32" s="94" customFormat="1" x14ac:dyDescent="0.2">
      <c r="A107">
        <v>15.4</v>
      </c>
      <c r="B107">
        <v>30927.919999999998</v>
      </c>
      <c r="C107">
        <v>-2.2599999999999998</v>
      </c>
      <c r="D107">
        <v>5.09</v>
      </c>
      <c r="E107">
        <v>-2.5</v>
      </c>
      <c r="F107">
        <v>790.64</v>
      </c>
      <c r="G107">
        <v>25.71</v>
      </c>
      <c r="H107">
        <v>28.59</v>
      </c>
      <c r="I107">
        <v>20.61</v>
      </c>
      <c r="J107">
        <v>23.5</v>
      </c>
      <c r="K107" s="95"/>
      <c r="L107">
        <v>15.4</v>
      </c>
      <c r="M107">
        <v>30453.99</v>
      </c>
      <c r="N107">
        <v>-1.86</v>
      </c>
      <c r="O107">
        <v>5.12</v>
      </c>
      <c r="P107">
        <v>-2.5</v>
      </c>
      <c r="Q107">
        <v>790.6</v>
      </c>
      <c r="R107">
        <v>26.06</v>
      </c>
      <c r="S107">
        <v>28.99</v>
      </c>
      <c r="T107">
        <v>20.94</v>
      </c>
      <c r="U107">
        <v>23.86</v>
      </c>
      <c r="V107" s="94">
        <f t="shared" si="2"/>
        <v>0.98467630542241458</v>
      </c>
      <c r="W107" s="546">
        <v>15.4</v>
      </c>
      <c r="X107" s="546">
        <v>30425.77</v>
      </c>
      <c r="Y107" s="546">
        <v>-0.82</v>
      </c>
      <c r="Z107" s="546">
        <v>5.16</v>
      </c>
      <c r="AA107" s="546">
        <v>-5.66</v>
      </c>
      <c r="AB107" s="546">
        <v>918.08</v>
      </c>
      <c r="AC107" s="546">
        <v>32.01</v>
      </c>
      <c r="AD107" s="546">
        <v>30.75</v>
      </c>
      <c r="AE107" s="546">
        <v>26.85</v>
      </c>
      <c r="AF107" s="546">
        <v>25.59</v>
      </c>
    </row>
    <row r="108" spans="1:32" s="94" customFormat="1" x14ac:dyDescent="0.2">
      <c r="A108">
        <v>15.5</v>
      </c>
      <c r="B108">
        <v>31008.959999999999</v>
      </c>
      <c r="C108">
        <v>-2.2599999999999998</v>
      </c>
      <c r="D108">
        <v>5.12</v>
      </c>
      <c r="E108">
        <v>-2.5</v>
      </c>
      <c r="F108">
        <v>790.64</v>
      </c>
      <c r="G108">
        <v>25.68</v>
      </c>
      <c r="H108">
        <v>28.56</v>
      </c>
      <c r="I108">
        <v>20.56</v>
      </c>
      <c r="J108">
        <v>23.44</v>
      </c>
      <c r="K108" s="95"/>
      <c r="L108">
        <v>15.5</v>
      </c>
      <c r="M108">
        <v>30535.02</v>
      </c>
      <c r="N108">
        <v>-1.86</v>
      </c>
      <c r="O108">
        <v>5.15</v>
      </c>
      <c r="P108">
        <v>-2.5</v>
      </c>
      <c r="Q108">
        <v>790.61</v>
      </c>
      <c r="R108">
        <v>26.03</v>
      </c>
      <c r="S108">
        <v>28.95</v>
      </c>
      <c r="T108">
        <v>20.88</v>
      </c>
      <c r="U108">
        <v>23.8</v>
      </c>
      <c r="V108" s="94">
        <f t="shared" si="2"/>
        <v>0.98471603046345324</v>
      </c>
      <c r="W108" s="546">
        <v>15.5</v>
      </c>
      <c r="X108" s="546">
        <v>30519.88</v>
      </c>
      <c r="Y108" s="546">
        <v>-0.83</v>
      </c>
      <c r="Z108" s="546">
        <v>5.19</v>
      </c>
      <c r="AA108" s="546">
        <v>-5.66</v>
      </c>
      <c r="AB108" s="546">
        <v>918.08</v>
      </c>
      <c r="AC108" s="546">
        <v>31.96</v>
      </c>
      <c r="AD108" s="546">
        <v>30.71</v>
      </c>
      <c r="AE108" s="546">
        <v>26.77</v>
      </c>
      <c r="AF108" s="546">
        <v>25.51</v>
      </c>
    </row>
    <row r="109" spans="1:32" s="94" customFormat="1" x14ac:dyDescent="0.2">
      <c r="A109">
        <v>15.6</v>
      </c>
      <c r="B109">
        <v>31090</v>
      </c>
      <c r="C109">
        <v>-2.2599999999999998</v>
      </c>
      <c r="D109">
        <v>5.15</v>
      </c>
      <c r="E109">
        <v>-2.5</v>
      </c>
      <c r="F109">
        <v>790.64</v>
      </c>
      <c r="G109">
        <v>25.65</v>
      </c>
      <c r="H109">
        <v>28.52</v>
      </c>
      <c r="I109">
        <v>20.51</v>
      </c>
      <c r="J109">
        <v>23.38</v>
      </c>
      <c r="K109" s="95"/>
      <c r="L109">
        <v>15.6</v>
      </c>
      <c r="M109">
        <v>30616.07</v>
      </c>
      <c r="N109">
        <v>-1.86</v>
      </c>
      <c r="O109">
        <v>5.18</v>
      </c>
      <c r="P109">
        <v>-2.5</v>
      </c>
      <c r="Q109">
        <v>790.61</v>
      </c>
      <c r="R109">
        <v>26</v>
      </c>
      <c r="S109">
        <v>28.92</v>
      </c>
      <c r="T109">
        <v>20.83</v>
      </c>
      <c r="U109">
        <v>23.74</v>
      </c>
      <c r="V109" s="94">
        <f t="shared" si="2"/>
        <v>0.98475619170151174</v>
      </c>
      <c r="W109" s="546">
        <v>15.6</v>
      </c>
      <c r="X109" s="546">
        <v>30613.98</v>
      </c>
      <c r="Y109" s="546">
        <v>-0.85</v>
      </c>
      <c r="Z109" s="546">
        <v>5.23</v>
      </c>
      <c r="AA109" s="546">
        <v>-5.66</v>
      </c>
      <c r="AB109" s="546">
        <v>918.08</v>
      </c>
      <c r="AC109" s="546">
        <v>31.91</v>
      </c>
      <c r="AD109" s="546">
        <v>30.66</v>
      </c>
      <c r="AE109" s="546">
        <v>26.68</v>
      </c>
      <c r="AF109" s="546">
        <v>25.44</v>
      </c>
    </row>
    <row r="110" spans="1:32" s="94" customFormat="1" x14ac:dyDescent="0.2">
      <c r="A110">
        <v>15.7</v>
      </c>
      <c r="B110">
        <v>31171.05</v>
      </c>
      <c r="C110">
        <v>-2.2599999999999998</v>
      </c>
      <c r="D110">
        <v>5.17</v>
      </c>
      <c r="E110">
        <v>-2.5</v>
      </c>
      <c r="F110">
        <v>790.63</v>
      </c>
      <c r="G110">
        <v>25.63</v>
      </c>
      <c r="H110">
        <v>28.49</v>
      </c>
      <c r="I110">
        <v>20.45</v>
      </c>
      <c r="J110">
        <v>23.32</v>
      </c>
      <c r="K110" s="95"/>
      <c r="L110">
        <v>15.7</v>
      </c>
      <c r="M110">
        <v>30697.09</v>
      </c>
      <c r="N110">
        <v>-1.86</v>
      </c>
      <c r="O110">
        <v>5.21</v>
      </c>
      <c r="P110">
        <v>-2.5</v>
      </c>
      <c r="Q110">
        <v>790.61</v>
      </c>
      <c r="R110">
        <v>25.98</v>
      </c>
      <c r="S110">
        <v>28.88</v>
      </c>
      <c r="T110">
        <v>20.77</v>
      </c>
      <c r="U110">
        <v>23.67</v>
      </c>
      <c r="V110" s="94">
        <f t="shared" si="2"/>
        <v>0.98479486574882791</v>
      </c>
      <c r="W110" s="546">
        <v>15.7</v>
      </c>
      <c r="X110" s="546">
        <v>30708.080000000002</v>
      </c>
      <c r="Y110" s="546">
        <v>-0.86</v>
      </c>
      <c r="Z110" s="546">
        <v>5.26</v>
      </c>
      <c r="AA110" s="546">
        <v>-5.66</v>
      </c>
      <c r="AB110" s="546">
        <v>918.09</v>
      </c>
      <c r="AC110" s="546">
        <v>31.86</v>
      </c>
      <c r="AD110" s="546">
        <v>30.61</v>
      </c>
      <c r="AE110" s="546">
        <v>26.6</v>
      </c>
      <c r="AF110" s="546">
        <v>25.36</v>
      </c>
    </row>
    <row r="111" spans="1:32" s="94" customFormat="1" x14ac:dyDescent="0.2">
      <c r="A111">
        <v>15.8</v>
      </c>
      <c r="B111">
        <v>31252.07</v>
      </c>
      <c r="C111">
        <v>-2.2599999999999998</v>
      </c>
      <c r="D111">
        <v>5.2</v>
      </c>
      <c r="E111">
        <v>-2.5</v>
      </c>
      <c r="F111">
        <v>790.63</v>
      </c>
      <c r="G111">
        <v>25.6</v>
      </c>
      <c r="H111">
        <v>28.46</v>
      </c>
      <c r="I111">
        <v>20.399999999999999</v>
      </c>
      <c r="J111">
        <v>23.26</v>
      </c>
      <c r="K111" s="95"/>
      <c r="L111">
        <v>15.8</v>
      </c>
      <c r="M111">
        <v>30778.13</v>
      </c>
      <c r="N111">
        <v>-1.86</v>
      </c>
      <c r="O111">
        <v>5.23</v>
      </c>
      <c r="P111">
        <v>-2.5</v>
      </c>
      <c r="Q111">
        <v>790.62</v>
      </c>
      <c r="R111">
        <v>25.95</v>
      </c>
      <c r="S111">
        <v>28.85</v>
      </c>
      <c r="T111">
        <v>20.72</v>
      </c>
      <c r="U111">
        <v>23.61</v>
      </c>
      <c r="V111" s="94">
        <f t="shared" si="2"/>
        <v>0.98483492453459887</v>
      </c>
      <c r="W111" s="546">
        <v>15.8</v>
      </c>
      <c r="X111" s="546">
        <v>30802.19</v>
      </c>
      <c r="Y111" s="546">
        <v>-0.88</v>
      </c>
      <c r="Z111" s="546">
        <v>5.29</v>
      </c>
      <c r="AA111" s="546">
        <v>-5.66</v>
      </c>
      <c r="AB111" s="546">
        <v>918.09</v>
      </c>
      <c r="AC111" s="546">
        <v>31.81</v>
      </c>
      <c r="AD111" s="546">
        <v>30.57</v>
      </c>
      <c r="AE111" s="546">
        <v>26.52</v>
      </c>
      <c r="AF111" s="546">
        <v>25.28</v>
      </c>
    </row>
    <row r="112" spans="1:32" s="94" customFormat="1" x14ac:dyDescent="0.2">
      <c r="A112">
        <v>15.9</v>
      </c>
      <c r="B112">
        <v>31333.13</v>
      </c>
      <c r="C112">
        <v>-2.2599999999999998</v>
      </c>
      <c r="D112">
        <v>5.23</v>
      </c>
      <c r="E112">
        <v>-2.5</v>
      </c>
      <c r="F112">
        <v>790.63</v>
      </c>
      <c r="G112">
        <v>25.58</v>
      </c>
      <c r="H112">
        <v>28.43</v>
      </c>
      <c r="I112">
        <v>20.350000000000001</v>
      </c>
      <c r="J112">
        <v>23.2</v>
      </c>
      <c r="K112" s="95"/>
      <c r="L112">
        <v>15.9</v>
      </c>
      <c r="M112">
        <v>30859.17</v>
      </c>
      <c r="N112">
        <v>-1.87</v>
      </c>
      <c r="O112">
        <v>5.26</v>
      </c>
      <c r="P112">
        <v>-2.5</v>
      </c>
      <c r="Q112">
        <v>790.62</v>
      </c>
      <c r="R112">
        <v>25.92</v>
      </c>
      <c r="S112">
        <v>28.81</v>
      </c>
      <c r="T112">
        <v>20.66</v>
      </c>
      <c r="U112">
        <v>23.55</v>
      </c>
      <c r="V112" s="94">
        <f t="shared" si="2"/>
        <v>0.98487351886006913</v>
      </c>
      <c r="W112" s="546">
        <v>15.9</v>
      </c>
      <c r="X112" s="546">
        <v>30896.3</v>
      </c>
      <c r="Y112" s="546">
        <v>-0.89</v>
      </c>
      <c r="Z112" s="546">
        <v>5.32</v>
      </c>
      <c r="AA112" s="546">
        <v>-5.66</v>
      </c>
      <c r="AB112" s="546">
        <v>918.09</v>
      </c>
      <c r="AC112" s="546">
        <v>31.76</v>
      </c>
      <c r="AD112" s="546">
        <v>30.52</v>
      </c>
      <c r="AE112" s="546">
        <v>26.44</v>
      </c>
      <c r="AF112" s="546">
        <v>25.2</v>
      </c>
    </row>
    <row r="113" spans="1:32" s="94" customFormat="1" x14ac:dyDescent="0.2">
      <c r="A113">
        <v>16</v>
      </c>
      <c r="B113">
        <v>31414.16</v>
      </c>
      <c r="C113">
        <v>-2.2599999999999998</v>
      </c>
      <c r="D113">
        <v>5.26</v>
      </c>
      <c r="E113">
        <v>-2.5</v>
      </c>
      <c r="F113">
        <v>790.63</v>
      </c>
      <c r="G113">
        <v>25.55</v>
      </c>
      <c r="H113">
        <v>28.39</v>
      </c>
      <c r="I113">
        <v>20.3</v>
      </c>
      <c r="J113">
        <v>23.14</v>
      </c>
      <c r="K113" s="95"/>
      <c r="L113">
        <v>16</v>
      </c>
      <c r="M113">
        <v>30940.23</v>
      </c>
      <c r="N113">
        <v>-1.87</v>
      </c>
      <c r="O113">
        <v>5.29</v>
      </c>
      <c r="P113">
        <v>-2.5</v>
      </c>
      <c r="Q113">
        <v>790.63</v>
      </c>
      <c r="R113">
        <v>25.9</v>
      </c>
      <c r="S113">
        <v>28.78</v>
      </c>
      <c r="T113">
        <v>20.61</v>
      </c>
      <c r="U113">
        <v>23.49</v>
      </c>
      <c r="V113" s="94">
        <f t="shared" si="2"/>
        <v>0.98491349124089267</v>
      </c>
      <c r="W113" s="546">
        <v>16</v>
      </c>
      <c r="X113" s="546">
        <v>30990.39</v>
      </c>
      <c r="Y113" s="546">
        <v>-0.91</v>
      </c>
      <c r="Z113" s="546">
        <v>5.35</v>
      </c>
      <c r="AA113" s="546">
        <v>-5.66</v>
      </c>
      <c r="AB113" s="546">
        <v>918.09</v>
      </c>
      <c r="AC113" s="546">
        <v>31.71</v>
      </c>
      <c r="AD113" s="546">
        <v>30.48</v>
      </c>
      <c r="AE113" s="546">
        <v>26.36</v>
      </c>
      <c r="AF113" s="546">
        <v>25.13</v>
      </c>
    </row>
    <row r="114" spans="1:32" s="94" customFormat="1" x14ac:dyDescent="0.2">
      <c r="A114">
        <v>16.100000000000001</v>
      </c>
      <c r="B114">
        <v>31495.21</v>
      </c>
      <c r="C114">
        <v>-2.2599999999999998</v>
      </c>
      <c r="D114">
        <v>5.28</v>
      </c>
      <c r="E114">
        <v>-2.5</v>
      </c>
      <c r="F114">
        <v>790.63</v>
      </c>
      <c r="G114">
        <v>25.53</v>
      </c>
      <c r="H114">
        <v>28.36</v>
      </c>
      <c r="I114">
        <v>20.239999999999998</v>
      </c>
      <c r="J114">
        <v>23.08</v>
      </c>
      <c r="K114" s="95"/>
      <c r="L114">
        <v>16.100000000000001</v>
      </c>
      <c r="M114">
        <v>31021.26</v>
      </c>
      <c r="N114">
        <v>-1.87</v>
      </c>
      <c r="O114">
        <v>5.32</v>
      </c>
      <c r="P114">
        <v>-2.5</v>
      </c>
      <c r="Q114">
        <v>790.63</v>
      </c>
      <c r="R114">
        <v>25.87</v>
      </c>
      <c r="S114">
        <v>28.75</v>
      </c>
      <c r="T114">
        <v>20.55</v>
      </c>
      <c r="U114">
        <v>23.43</v>
      </c>
      <c r="V114" s="94">
        <f t="shared" si="2"/>
        <v>0.98495167995387234</v>
      </c>
      <c r="W114" s="546">
        <v>16.100000000000001</v>
      </c>
      <c r="X114" s="546">
        <v>31084.5</v>
      </c>
      <c r="Y114" s="546">
        <v>-0.92</v>
      </c>
      <c r="Z114" s="546">
        <v>5.39</v>
      </c>
      <c r="AA114" s="546">
        <v>-5.66</v>
      </c>
      <c r="AB114" s="546">
        <v>918.09</v>
      </c>
      <c r="AC114" s="546">
        <v>31.67</v>
      </c>
      <c r="AD114" s="546">
        <v>30.44</v>
      </c>
      <c r="AE114" s="546">
        <v>26.28</v>
      </c>
      <c r="AF114" s="546">
        <v>25.05</v>
      </c>
    </row>
    <row r="115" spans="1:32" s="94" customFormat="1" x14ac:dyDescent="0.2">
      <c r="A115">
        <v>16.2</v>
      </c>
      <c r="B115">
        <v>31576.240000000002</v>
      </c>
      <c r="C115">
        <v>-2.2599999999999998</v>
      </c>
      <c r="D115">
        <v>5.31</v>
      </c>
      <c r="E115">
        <v>-2.5</v>
      </c>
      <c r="F115">
        <v>790.63</v>
      </c>
      <c r="G115">
        <v>25.5</v>
      </c>
      <c r="H115">
        <v>28.33</v>
      </c>
      <c r="I115">
        <v>20.190000000000001</v>
      </c>
      <c r="J115">
        <v>23.02</v>
      </c>
      <c r="K115" s="95"/>
      <c r="L115">
        <v>16.2</v>
      </c>
      <c r="M115">
        <v>31102.28</v>
      </c>
      <c r="N115">
        <v>-1.87</v>
      </c>
      <c r="O115">
        <v>5.35</v>
      </c>
      <c r="P115">
        <v>-2.4900000000000002</v>
      </c>
      <c r="Q115">
        <v>790.63</v>
      </c>
      <c r="R115">
        <v>25.85</v>
      </c>
      <c r="S115">
        <v>28.71</v>
      </c>
      <c r="T115">
        <v>20.5</v>
      </c>
      <c r="U115">
        <v>23.37</v>
      </c>
      <c r="V115" s="94">
        <f t="shared" si="2"/>
        <v>0.98498997980760206</v>
      </c>
      <c r="W115" s="546">
        <v>16.2</v>
      </c>
      <c r="X115" s="546">
        <v>31178.62</v>
      </c>
      <c r="Y115" s="546">
        <v>-0.94</v>
      </c>
      <c r="Z115" s="546">
        <v>5.42</v>
      </c>
      <c r="AA115" s="546">
        <v>-5.66</v>
      </c>
      <c r="AB115" s="546">
        <v>918.09</v>
      </c>
      <c r="AC115" s="546">
        <v>31.62</v>
      </c>
      <c r="AD115" s="546">
        <v>30.39</v>
      </c>
      <c r="AE115" s="546">
        <v>26.2</v>
      </c>
      <c r="AF115" s="546">
        <v>24.97</v>
      </c>
    </row>
    <row r="116" spans="1:32" s="94" customFormat="1" x14ac:dyDescent="0.2">
      <c r="A116">
        <v>16.3</v>
      </c>
      <c r="B116">
        <v>31657.279999999999</v>
      </c>
      <c r="C116">
        <v>-2.2599999999999998</v>
      </c>
      <c r="D116">
        <v>5.34</v>
      </c>
      <c r="E116">
        <v>-2.5</v>
      </c>
      <c r="F116">
        <v>790.63</v>
      </c>
      <c r="G116">
        <v>25.48</v>
      </c>
      <c r="H116">
        <v>28.3</v>
      </c>
      <c r="I116">
        <v>20.14</v>
      </c>
      <c r="J116">
        <v>22.96</v>
      </c>
      <c r="K116" s="95"/>
      <c r="L116">
        <v>16.3</v>
      </c>
      <c r="M116">
        <v>31183.34</v>
      </c>
      <c r="N116">
        <v>-1.87</v>
      </c>
      <c r="O116">
        <v>5.38</v>
      </c>
      <c r="P116">
        <v>-2.4900000000000002</v>
      </c>
      <c r="Q116">
        <v>790.64</v>
      </c>
      <c r="R116">
        <v>25.82</v>
      </c>
      <c r="S116">
        <v>28.68</v>
      </c>
      <c r="T116">
        <v>20.45</v>
      </c>
      <c r="U116">
        <v>23.31</v>
      </c>
      <c r="V116" s="94">
        <f t="shared" si="2"/>
        <v>0.98502903597529545</v>
      </c>
      <c r="W116" s="546">
        <v>16.3</v>
      </c>
      <c r="X116" s="546">
        <v>31272.69</v>
      </c>
      <c r="Y116" s="546">
        <v>-0.95</v>
      </c>
      <c r="Z116" s="546">
        <v>5.45</v>
      </c>
      <c r="AA116" s="546">
        <v>-5.66</v>
      </c>
      <c r="AB116" s="546">
        <v>918.09</v>
      </c>
      <c r="AC116" s="546">
        <v>31.57</v>
      </c>
      <c r="AD116" s="546">
        <v>30.35</v>
      </c>
      <c r="AE116" s="546">
        <v>26.12</v>
      </c>
      <c r="AF116" s="546">
        <v>24.9</v>
      </c>
    </row>
    <row r="117" spans="1:32" s="94" customFormat="1" x14ac:dyDescent="0.2">
      <c r="A117">
        <v>16.399999999999999</v>
      </c>
      <c r="B117">
        <v>31738.32</v>
      </c>
      <c r="C117">
        <v>-2.2599999999999998</v>
      </c>
      <c r="D117">
        <v>5.37</v>
      </c>
      <c r="E117">
        <v>-2.5</v>
      </c>
      <c r="F117">
        <v>790.63</v>
      </c>
      <c r="G117">
        <v>25.46</v>
      </c>
      <c r="H117">
        <v>28.27</v>
      </c>
      <c r="I117">
        <v>20.09</v>
      </c>
      <c r="J117">
        <v>22.9</v>
      </c>
      <c r="K117" s="95"/>
      <c r="L117">
        <v>16.399999999999999</v>
      </c>
      <c r="M117">
        <v>31264.39</v>
      </c>
      <c r="N117">
        <v>-1.87</v>
      </c>
      <c r="O117">
        <v>5.4</v>
      </c>
      <c r="P117">
        <v>-2.4900000000000002</v>
      </c>
      <c r="Q117">
        <v>790.64</v>
      </c>
      <c r="R117">
        <v>25.8</v>
      </c>
      <c r="S117">
        <v>28.65</v>
      </c>
      <c r="T117">
        <v>20.39</v>
      </c>
      <c r="U117">
        <v>23.25</v>
      </c>
      <c r="V117" s="94">
        <f t="shared" si="2"/>
        <v>0.98506757761595443</v>
      </c>
      <c r="W117" s="546">
        <v>16.399999999999999</v>
      </c>
      <c r="X117" s="546">
        <v>31366.799999999999</v>
      </c>
      <c r="Y117" s="546">
        <v>-0.96</v>
      </c>
      <c r="Z117" s="546">
        <v>5.48</v>
      </c>
      <c r="AA117" s="546">
        <v>-5.66</v>
      </c>
      <c r="AB117" s="546">
        <v>918.09</v>
      </c>
      <c r="AC117" s="546">
        <v>31.53</v>
      </c>
      <c r="AD117" s="546">
        <v>30.31</v>
      </c>
      <c r="AE117" s="546">
        <v>26.04</v>
      </c>
      <c r="AF117" s="546">
        <v>24.82</v>
      </c>
    </row>
    <row r="118" spans="1:32" s="94" customFormat="1" x14ac:dyDescent="0.2">
      <c r="A118">
        <v>16.5</v>
      </c>
      <c r="B118">
        <v>31819.37</v>
      </c>
      <c r="C118">
        <v>-2.27</v>
      </c>
      <c r="D118">
        <v>5.4</v>
      </c>
      <c r="E118">
        <v>-2.5</v>
      </c>
      <c r="F118">
        <v>790.63</v>
      </c>
      <c r="G118">
        <v>25.43</v>
      </c>
      <c r="H118">
        <v>28.24</v>
      </c>
      <c r="I118">
        <v>20.04</v>
      </c>
      <c r="J118">
        <v>22.84</v>
      </c>
      <c r="K118" s="95"/>
      <c r="L118">
        <v>16.5</v>
      </c>
      <c r="M118">
        <v>31345.41</v>
      </c>
      <c r="N118">
        <v>-1.88</v>
      </c>
      <c r="O118">
        <v>5.43</v>
      </c>
      <c r="P118">
        <v>-2.4900000000000002</v>
      </c>
      <c r="Q118">
        <v>790.64</v>
      </c>
      <c r="R118">
        <v>25.77</v>
      </c>
      <c r="S118">
        <v>28.62</v>
      </c>
      <c r="T118">
        <v>20.34</v>
      </c>
      <c r="U118">
        <v>23.19</v>
      </c>
      <c r="V118" s="94">
        <f t="shared" si="2"/>
        <v>0.98510467051987516</v>
      </c>
      <c r="W118" s="546">
        <v>16.5</v>
      </c>
      <c r="X118" s="546">
        <v>31460.89</v>
      </c>
      <c r="Y118" s="546">
        <v>-0.98</v>
      </c>
      <c r="Z118" s="546">
        <v>5.52</v>
      </c>
      <c r="AA118" s="546">
        <v>-5.66</v>
      </c>
      <c r="AB118" s="546">
        <v>918.09</v>
      </c>
      <c r="AC118" s="546">
        <v>31.48</v>
      </c>
      <c r="AD118" s="546">
        <v>30.27</v>
      </c>
      <c r="AE118" s="546">
        <v>25.97</v>
      </c>
      <c r="AF118" s="546">
        <v>24.75</v>
      </c>
    </row>
    <row r="119" spans="1:32" s="94" customFormat="1" x14ac:dyDescent="0.2">
      <c r="A119">
        <v>16.600000000000001</v>
      </c>
      <c r="B119">
        <v>31900.38</v>
      </c>
      <c r="C119">
        <v>-2.27</v>
      </c>
      <c r="D119">
        <v>5.42</v>
      </c>
      <c r="E119">
        <v>-2.5</v>
      </c>
      <c r="F119">
        <v>790.62</v>
      </c>
      <c r="G119">
        <v>25.41</v>
      </c>
      <c r="H119">
        <v>28.21</v>
      </c>
      <c r="I119">
        <v>19.989999999999998</v>
      </c>
      <c r="J119">
        <v>22.78</v>
      </c>
      <c r="K119" s="95"/>
      <c r="L119">
        <v>16.600000000000001</v>
      </c>
      <c r="M119">
        <v>31426.46</v>
      </c>
      <c r="N119">
        <v>-1.88</v>
      </c>
      <c r="O119">
        <v>5.46</v>
      </c>
      <c r="P119">
        <v>-2.4900000000000002</v>
      </c>
      <c r="Q119">
        <v>790.65</v>
      </c>
      <c r="R119">
        <v>25.75</v>
      </c>
      <c r="S119">
        <v>28.59</v>
      </c>
      <c r="T119">
        <v>20.29</v>
      </c>
      <c r="U119">
        <v>23.13</v>
      </c>
      <c r="V119" s="94">
        <f t="shared" si="2"/>
        <v>0.98514375063870707</v>
      </c>
      <c r="W119" s="546">
        <v>16.600000000000001</v>
      </c>
      <c r="X119" s="546">
        <v>31555.02</v>
      </c>
      <c r="Y119" s="546">
        <v>-0.99</v>
      </c>
      <c r="Z119" s="546">
        <v>5.55</v>
      </c>
      <c r="AA119" s="546">
        <v>-5.66</v>
      </c>
      <c r="AB119" s="546">
        <v>918.09</v>
      </c>
      <c r="AC119" s="546">
        <v>31.44</v>
      </c>
      <c r="AD119" s="546">
        <v>30.23</v>
      </c>
      <c r="AE119" s="546">
        <v>25.89</v>
      </c>
      <c r="AF119" s="546">
        <v>24.68</v>
      </c>
    </row>
    <row r="120" spans="1:32" s="94" customFormat="1" x14ac:dyDescent="0.2">
      <c r="A120">
        <v>16.7</v>
      </c>
      <c r="B120">
        <v>31981.43</v>
      </c>
      <c r="C120">
        <v>-2.27</v>
      </c>
      <c r="D120">
        <v>5.45</v>
      </c>
      <c r="E120">
        <v>-2.5</v>
      </c>
      <c r="F120">
        <v>790.62</v>
      </c>
      <c r="G120">
        <v>25.39</v>
      </c>
      <c r="H120">
        <v>28.18</v>
      </c>
      <c r="I120">
        <v>19.940000000000001</v>
      </c>
      <c r="J120">
        <v>22.73</v>
      </c>
      <c r="K120" s="95"/>
      <c r="L120">
        <v>16.7</v>
      </c>
      <c r="M120">
        <v>31507.5</v>
      </c>
      <c r="N120">
        <v>-1.88</v>
      </c>
      <c r="O120">
        <v>5.49</v>
      </c>
      <c r="P120">
        <v>-2.4900000000000002</v>
      </c>
      <c r="Q120">
        <v>790.65</v>
      </c>
      <c r="R120">
        <v>25.73</v>
      </c>
      <c r="S120">
        <v>28.56</v>
      </c>
      <c r="T120">
        <v>20.239999999999998</v>
      </c>
      <c r="U120">
        <v>23.07</v>
      </c>
      <c r="V120" s="94">
        <f t="shared" si="2"/>
        <v>0.98518108790007197</v>
      </c>
      <c r="W120" s="546">
        <v>16.7</v>
      </c>
      <c r="X120" s="546">
        <v>31649.14</v>
      </c>
      <c r="Y120" s="546">
        <v>-1.01</v>
      </c>
      <c r="Z120" s="546">
        <v>5.58</v>
      </c>
      <c r="AA120" s="546">
        <v>-5.66</v>
      </c>
      <c r="AB120" s="546">
        <v>918.09</v>
      </c>
      <c r="AC120" s="546">
        <v>31.39</v>
      </c>
      <c r="AD120" s="546">
        <v>30.19</v>
      </c>
      <c r="AE120" s="546">
        <v>25.81</v>
      </c>
      <c r="AF120" s="546">
        <v>24.6</v>
      </c>
    </row>
    <row r="121" spans="1:32" s="94" customFormat="1" x14ac:dyDescent="0.2">
      <c r="A121">
        <v>16.8</v>
      </c>
      <c r="B121">
        <v>32062.47</v>
      </c>
      <c r="C121">
        <v>-2.27</v>
      </c>
      <c r="D121">
        <v>5.48</v>
      </c>
      <c r="E121">
        <v>-2.5</v>
      </c>
      <c r="F121">
        <v>790.62</v>
      </c>
      <c r="G121">
        <v>25.37</v>
      </c>
      <c r="H121">
        <v>28.15</v>
      </c>
      <c r="I121">
        <v>19.88</v>
      </c>
      <c r="J121">
        <v>22.67</v>
      </c>
      <c r="K121" s="95"/>
      <c r="L121">
        <v>16.8</v>
      </c>
      <c r="M121">
        <v>31588.55</v>
      </c>
      <c r="N121">
        <v>-1.88</v>
      </c>
      <c r="O121">
        <v>5.52</v>
      </c>
      <c r="P121">
        <v>-2.4900000000000002</v>
      </c>
      <c r="Q121">
        <v>790.66</v>
      </c>
      <c r="R121">
        <v>25.7</v>
      </c>
      <c r="S121">
        <v>28.53</v>
      </c>
      <c r="T121">
        <v>20.18</v>
      </c>
      <c r="U121">
        <v>23.01</v>
      </c>
      <c r="V121" s="94">
        <f t="shared" si="2"/>
        <v>0.9852188555654009</v>
      </c>
      <c r="W121" s="546">
        <v>16.8</v>
      </c>
      <c r="X121" s="546">
        <v>31743.23</v>
      </c>
      <c r="Y121" s="546">
        <v>-1.02</v>
      </c>
      <c r="Z121" s="546">
        <v>5.62</v>
      </c>
      <c r="AA121" s="546">
        <v>-5.66</v>
      </c>
      <c r="AB121" s="546">
        <v>918.09</v>
      </c>
      <c r="AC121" s="546">
        <v>31.35</v>
      </c>
      <c r="AD121" s="546">
        <v>30.15</v>
      </c>
      <c r="AE121" s="546">
        <v>25.74</v>
      </c>
      <c r="AF121" s="546">
        <v>24.53</v>
      </c>
    </row>
    <row r="122" spans="1:32" s="94" customFormat="1" x14ac:dyDescent="0.2">
      <c r="A122">
        <v>16.899999999999999</v>
      </c>
      <c r="B122">
        <v>32143.53</v>
      </c>
      <c r="C122">
        <v>-2.27</v>
      </c>
      <c r="D122">
        <v>5.51</v>
      </c>
      <c r="E122">
        <v>-2.5</v>
      </c>
      <c r="F122">
        <v>790.62</v>
      </c>
      <c r="G122">
        <v>25.35</v>
      </c>
      <c r="H122">
        <v>28.12</v>
      </c>
      <c r="I122">
        <v>19.829999999999998</v>
      </c>
      <c r="J122">
        <v>22.61</v>
      </c>
      <c r="K122" s="95"/>
      <c r="L122">
        <v>16.899999999999999</v>
      </c>
      <c r="M122">
        <v>31669.58</v>
      </c>
      <c r="N122">
        <v>-1.88</v>
      </c>
      <c r="O122">
        <v>5.55</v>
      </c>
      <c r="P122">
        <v>-2.4900000000000002</v>
      </c>
      <c r="Q122">
        <v>790.66</v>
      </c>
      <c r="R122">
        <v>25.68</v>
      </c>
      <c r="S122">
        <v>28.5</v>
      </c>
      <c r="T122">
        <v>20.13</v>
      </c>
      <c r="U122">
        <v>22.95</v>
      </c>
      <c r="V122" s="94">
        <f t="shared" si="2"/>
        <v>0.98525519754675361</v>
      </c>
      <c r="W122" s="546">
        <v>16.899999999999999</v>
      </c>
      <c r="X122" s="546">
        <v>31837.33</v>
      </c>
      <c r="Y122" s="546">
        <v>-1.03</v>
      </c>
      <c r="Z122" s="546">
        <v>5.65</v>
      </c>
      <c r="AA122" s="546">
        <v>-5.66</v>
      </c>
      <c r="AB122" s="546">
        <v>918.09</v>
      </c>
      <c r="AC122" s="546">
        <v>31.31</v>
      </c>
      <c r="AD122" s="546">
        <v>30.11</v>
      </c>
      <c r="AE122" s="546">
        <v>25.66</v>
      </c>
      <c r="AF122" s="546">
        <v>24.46</v>
      </c>
    </row>
    <row r="123" spans="1:32" s="94" customFormat="1" x14ac:dyDescent="0.2">
      <c r="A123">
        <v>17</v>
      </c>
      <c r="B123">
        <v>32224.55</v>
      </c>
      <c r="C123">
        <v>-2.27</v>
      </c>
      <c r="D123">
        <v>5.54</v>
      </c>
      <c r="E123">
        <v>-2.5</v>
      </c>
      <c r="F123">
        <v>790.62</v>
      </c>
      <c r="G123">
        <v>25.32</v>
      </c>
      <c r="H123">
        <v>28.09</v>
      </c>
      <c r="I123">
        <v>19.78</v>
      </c>
      <c r="J123">
        <v>22.55</v>
      </c>
      <c r="K123" s="95"/>
      <c r="L123">
        <v>17</v>
      </c>
      <c r="M123">
        <v>31750.63</v>
      </c>
      <c r="N123">
        <v>-1.88</v>
      </c>
      <c r="O123">
        <v>5.58</v>
      </c>
      <c r="P123">
        <v>-2.4900000000000002</v>
      </c>
      <c r="Q123">
        <v>790.66</v>
      </c>
      <c r="R123">
        <v>25.66</v>
      </c>
      <c r="S123">
        <v>28.47</v>
      </c>
      <c r="T123">
        <v>20.079999999999998</v>
      </c>
      <c r="U123">
        <v>22.89</v>
      </c>
      <c r="V123" s="94">
        <f t="shared" si="2"/>
        <v>0.98529320037052504</v>
      </c>
      <c r="W123" s="546">
        <v>17</v>
      </c>
      <c r="X123" s="546">
        <v>31931.43</v>
      </c>
      <c r="Y123" s="546">
        <v>-1.05</v>
      </c>
      <c r="Z123" s="546">
        <v>5.68</v>
      </c>
      <c r="AA123" s="546">
        <v>-5.66</v>
      </c>
      <c r="AB123" s="546">
        <v>918.09</v>
      </c>
      <c r="AC123" s="546">
        <v>31.27</v>
      </c>
      <c r="AD123" s="546">
        <v>30.07</v>
      </c>
      <c r="AE123" s="546">
        <v>25.58</v>
      </c>
      <c r="AF123" s="546">
        <v>24.39</v>
      </c>
    </row>
    <row r="124" spans="1:32" s="94" customFormat="1" x14ac:dyDescent="0.2">
      <c r="A124">
        <v>17.100000000000001</v>
      </c>
      <c r="B124">
        <v>32305.59</v>
      </c>
      <c r="C124">
        <v>-2.27</v>
      </c>
      <c r="D124">
        <v>5.57</v>
      </c>
      <c r="E124">
        <v>-2.5</v>
      </c>
      <c r="F124">
        <v>790.62</v>
      </c>
      <c r="G124">
        <v>25.3</v>
      </c>
      <c r="H124">
        <v>28.07</v>
      </c>
      <c r="I124">
        <v>19.73</v>
      </c>
      <c r="J124">
        <v>22.5</v>
      </c>
      <c r="K124" s="95"/>
      <c r="L124">
        <v>17.100000000000001</v>
      </c>
      <c r="M124">
        <v>31831.68</v>
      </c>
      <c r="N124">
        <v>-1.88</v>
      </c>
      <c r="O124">
        <v>5.61</v>
      </c>
      <c r="P124">
        <v>-2.4900000000000002</v>
      </c>
      <c r="Q124">
        <v>790.67</v>
      </c>
      <c r="R124">
        <v>25.64</v>
      </c>
      <c r="S124">
        <v>28.44</v>
      </c>
      <c r="T124">
        <v>20.03</v>
      </c>
      <c r="U124">
        <v>22.83</v>
      </c>
      <c r="V124" s="94">
        <f t="shared" si="2"/>
        <v>0.98533040257119586</v>
      </c>
      <c r="W124" s="546">
        <v>17.100000000000001</v>
      </c>
      <c r="X124" s="546">
        <v>32025.55</v>
      </c>
      <c r="Y124" s="546">
        <v>-1.06</v>
      </c>
      <c r="Z124" s="546">
        <v>5.72</v>
      </c>
      <c r="AA124" s="546">
        <v>-5.66</v>
      </c>
      <c r="AB124" s="546">
        <v>918.09</v>
      </c>
      <c r="AC124" s="546">
        <v>31.22</v>
      </c>
      <c r="AD124" s="546">
        <v>30.03</v>
      </c>
      <c r="AE124" s="546">
        <v>25.51</v>
      </c>
      <c r="AF124" s="546">
        <v>24.31</v>
      </c>
    </row>
    <row r="125" spans="1:32" s="94" customFormat="1" x14ac:dyDescent="0.2">
      <c r="A125">
        <v>17.2</v>
      </c>
      <c r="B125">
        <v>32386.63</v>
      </c>
      <c r="C125">
        <v>-2.27</v>
      </c>
      <c r="D125">
        <v>5.6</v>
      </c>
      <c r="E125">
        <v>-2.5</v>
      </c>
      <c r="F125">
        <v>790.62</v>
      </c>
      <c r="G125">
        <v>25.28</v>
      </c>
      <c r="H125">
        <v>28.04</v>
      </c>
      <c r="I125">
        <v>19.690000000000001</v>
      </c>
      <c r="J125">
        <v>22.44</v>
      </c>
      <c r="K125" s="95"/>
      <c r="L125">
        <v>17.2</v>
      </c>
      <c r="M125">
        <v>31912.71</v>
      </c>
      <c r="N125">
        <v>-1.89</v>
      </c>
      <c r="O125">
        <v>5.64</v>
      </c>
      <c r="P125">
        <v>-2.4900000000000002</v>
      </c>
      <c r="Q125">
        <v>790.67</v>
      </c>
      <c r="R125">
        <v>25.61</v>
      </c>
      <c r="S125">
        <v>28.41</v>
      </c>
      <c r="T125">
        <v>19.98</v>
      </c>
      <c r="U125">
        <v>22.78</v>
      </c>
      <c r="V125" s="94">
        <f t="shared" si="2"/>
        <v>0.98536680105339758</v>
      </c>
      <c r="W125" s="546">
        <v>17.2</v>
      </c>
      <c r="X125" s="546">
        <v>32119.65</v>
      </c>
      <c r="Y125" s="546">
        <v>-1.07</v>
      </c>
      <c r="Z125" s="546">
        <v>5.75</v>
      </c>
      <c r="AA125" s="546">
        <v>-5.66</v>
      </c>
      <c r="AB125" s="546">
        <v>918.09</v>
      </c>
      <c r="AC125" s="546">
        <v>31.18</v>
      </c>
      <c r="AD125" s="546">
        <v>29.99</v>
      </c>
      <c r="AE125" s="546">
        <v>25.43</v>
      </c>
      <c r="AF125" s="546">
        <v>24.24</v>
      </c>
    </row>
    <row r="126" spans="1:32" s="94" customFormat="1" x14ac:dyDescent="0.2">
      <c r="A126">
        <v>17.3</v>
      </c>
      <c r="B126">
        <v>32467.67</v>
      </c>
      <c r="C126">
        <v>-2.27</v>
      </c>
      <c r="D126">
        <v>5.63</v>
      </c>
      <c r="E126">
        <v>-2.5</v>
      </c>
      <c r="F126">
        <v>790.62</v>
      </c>
      <c r="G126">
        <v>25.26</v>
      </c>
      <c r="H126">
        <v>28.01</v>
      </c>
      <c r="I126">
        <v>19.64</v>
      </c>
      <c r="J126">
        <v>22.39</v>
      </c>
      <c r="K126" s="95"/>
      <c r="L126">
        <v>17.3</v>
      </c>
      <c r="M126">
        <v>31993.74</v>
      </c>
      <c r="N126">
        <v>-1.89</v>
      </c>
      <c r="O126">
        <v>5.66</v>
      </c>
      <c r="P126">
        <v>-2.4900000000000002</v>
      </c>
      <c r="Q126">
        <v>790.67</v>
      </c>
      <c r="R126">
        <v>25.59</v>
      </c>
      <c r="S126">
        <v>28.38</v>
      </c>
      <c r="T126">
        <v>19.93</v>
      </c>
      <c r="U126">
        <v>22.72</v>
      </c>
      <c r="V126" s="94">
        <f t="shared" si="2"/>
        <v>0.98540301783281659</v>
      </c>
      <c r="W126" s="546">
        <v>17.3</v>
      </c>
      <c r="X126" s="546">
        <v>32213.75</v>
      </c>
      <c r="Y126" s="546">
        <v>-1.0900000000000001</v>
      </c>
      <c r="Z126" s="546">
        <v>5.78</v>
      </c>
      <c r="AA126" s="546">
        <v>-5.66</v>
      </c>
      <c r="AB126" s="546">
        <v>918.09</v>
      </c>
      <c r="AC126" s="546">
        <v>31.14</v>
      </c>
      <c r="AD126" s="546">
        <v>29.95</v>
      </c>
      <c r="AE126" s="546">
        <v>25.36</v>
      </c>
      <c r="AF126" s="546">
        <v>24.17</v>
      </c>
    </row>
    <row r="127" spans="1:32" s="94" customFormat="1" x14ac:dyDescent="0.2">
      <c r="A127">
        <v>17.399999999999999</v>
      </c>
      <c r="B127">
        <v>32548.71</v>
      </c>
      <c r="C127">
        <v>-2.27</v>
      </c>
      <c r="D127">
        <v>5.66</v>
      </c>
      <c r="E127">
        <v>-2.5</v>
      </c>
      <c r="F127">
        <v>790.62</v>
      </c>
      <c r="G127">
        <v>25.24</v>
      </c>
      <c r="H127">
        <v>27.99</v>
      </c>
      <c r="I127">
        <v>19.59</v>
      </c>
      <c r="J127">
        <v>22.33</v>
      </c>
      <c r="K127" s="95"/>
      <c r="L127">
        <v>17.399999999999999</v>
      </c>
      <c r="M127">
        <v>32074.799999999999</v>
      </c>
      <c r="N127">
        <v>-1.89</v>
      </c>
      <c r="O127">
        <v>5.69</v>
      </c>
      <c r="P127">
        <v>-2.4900000000000002</v>
      </c>
      <c r="Q127">
        <v>790.68</v>
      </c>
      <c r="R127">
        <v>25.57</v>
      </c>
      <c r="S127">
        <v>28.35</v>
      </c>
      <c r="T127">
        <v>19.88</v>
      </c>
      <c r="U127">
        <v>22.66</v>
      </c>
      <c r="V127" s="94">
        <f t="shared" si="2"/>
        <v>0.98543997596218103</v>
      </c>
      <c r="W127" s="546">
        <v>17.399999999999999</v>
      </c>
      <c r="X127" s="546">
        <v>32307.87</v>
      </c>
      <c r="Y127" s="546">
        <v>-1.1000000000000001</v>
      </c>
      <c r="Z127" s="546">
        <v>5.82</v>
      </c>
      <c r="AA127" s="546">
        <v>-5.66</v>
      </c>
      <c r="AB127" s="546">
        <v>918.09</v>
      </c>
      <c r="AC127" s="546">
        <v>31.1</v>
      </c>
      <c r="AD127" s="546">
        <v>29.92</v>
      </c>
      <c r="AE127" s="546">
        <v>25.29</v>
      </c>
      <c r="AF127" s="546">
        <v>24.1</v>
      </c>
    </row>
    <row r="128" spans="1:32" s="94" customFormat="1" x14ac:dyDescent="0.2">
      <c r="A128">
        <v>17.5</v>
      </c>
      <c r="B128">
        <v>32629.75</v>
      </c>
      <c r="C128">
        <v>-2.27</v>
      </c>
      <c r="D128">
        <v>5.68</v>
      </c>
      <c r="E128">
        <v>-2.5</v>
      </c>
      <c r="F128">
        <v>790.61</v>
      </c>
      <c r="G128">
        <v>25.22</v>
      </c>
      <c r="H128">
        <v>27.96</v>
      </c>
      <c r="I128">
        <v>19.54</v>
      </c>
      <c r="J128">
        <v>22.27</v>
      </c>
      <c r="K128" s="95"/>
      <c r="L128">
        <v>17.5</v>
      </c>
      <c r="M128">
        <v>32155.85</v>
      </c>
      <c r="N128">
        <v>-1.89</v>
      </c>
      <c r="O128">
        <v>5.72</v>
      </c>
      <c r="P128">
        <v>-2.4900000000000002</v>
      </c>
      <c r="Q128">
        <v>790.68</v>
      </c>
      <c r="R128">
        <v>25.55</v>
      </c>
      <c r="S128">
        <v>28.33</v>
      </c>
      <c r="T128">
        <v>19.829999999999998</v>
      </c>
      <c r="U128">
        <v>22.6</v>
      </c>
      <c r="V128" s="94">
        <f t="shared" si="2"/>
        <v>0.9854764440426298</v>
      </c>
      <c r="W128" s="546">
        <v>17.5</v>
      </c>
      <c r="X128" s="546">
        <v>32401.96</v>
      </c>
      <c r="Y128" s="546">
        <v>-1.1100000000000001</v>
      </c>
      <c r="Z128" s="546">
        <v>5.85</v>
      </c>
      <c r="AA128" s="546">
        <v>-5.66</v>
      </c>
      <c r="AB128" s="546">
        <v>918.09</v>
      </c>
      <c r="AC128" s="546">
        <v>31.06</v>
      </c>
      <c r="AD128" s="546">
        <v>29.88</v>
      </c>
      <c r="AE128" s="546">
        <v>25.21</v>
      </c>
      <c r="AF128" s="546">
        <v>24.03</v>
      </c>
    </row>
    <row r="129" spans="1:32" s="94" customFormat="1" x14ac:dyDescent="0.2">
      <c r="A129">
        <v>17.600000000000001</v>
      </c>
      <c r="B129">
        <v>32710.79</v>
      </c>
      <c r="C129">
        <v>-2.27</v>
      </c>
      <c r="D129">
        <v>5.71</v>
      </c>
      <c r="E129">
        <v>-2.5</v>
      </c>
      <c r="F129">
        <v>790.61</v>
      </c>
      <c r="G129">
        <v>25.2</v>
      </c>
      <c r="H129">
        <v>27.93</v>
      </c>
      <c r="I129">
        <v>19.489999999999998</v>
      </c>
      <c r="J129">
        <v>22.22</v>
      </c>
      <c r="K129" s="95"/>
      <c r="L129">
        <v>17.600000000000001</v>
      </c>
      <c r="M129">
        <v>32236.91</v>
      </c>
      <c r="N129">
        <v>-1.89</v>
      </c>
      <c r="O129">
        <v>5.75</v>
      </c>
      <c r="P129">
        <v>-2.4900000000000002</v>
      </c>
      <c r="Q129">
        <v>790.68</v>
      </c>
      <c r="R129">
        <v>25.53</v>
      </c>
      <c r="S129">
        <v>28.3</v>
      </c>
      <c r="T129">
        <v>19.78</v>
      </c>
      <c r="U129">
        <v>22.55</v>
      </c>
      <c r="V129" s="94">
        <f t="shared" si="2"/>
        <v>0.9855130371354528</v>
      </c>
      <c r="W129" s="546">
        <v>17.600000000000001</v>
      </c>
      <c r="X129" s="546">
        <v>32496.06</v>
      </c>
      <c r="Y129" s="546">
        <v>-1.1299999999999999</v>
      </c>
      <c r="Z129" s="546">
        <v>5.88</v>
      </c>
      <c r="AA129" s="546">
        <v>-5.66</v>
      </c>
      <c r="AB129" s="546">
        <v>918.09</v>
      </c>
      <c r="AC129" s="546">
        <v>31.02</v>
      </c>
      <c r="AD129" s="546">
        <v>29.85</v>
      </c>
      <c r="AE129" s="546">
        <v>25.14</v>
      </c>
      <c r="AF129" s="546">
        <v>23.96</v>
      </c>
    </row>
    <row r="130" spans="1:32" s="94" customFormat="1" x14ac:dyDescent="0.2">
      <c r="A130">
        <v>17.7</v>
      </c>
      <c r="B130">
        <v>32791.82</v>
      </c>
      <c r="C130">
        <v>-2.27</v>
      </c>
      <c r="D130">
        <v>5.74</v>
      </c>
      <c r="E130">
        <v>-2.5</v>
      </c>
      <c r="F130">
        <v>790.61</v>
      </c>
      <c r="G130">
        <v>25.19</v>
      </c>
      <c r="H130">
        <v>27.91</v>
      </c>
      <c r="I130">
        <v>19.440000000000001</v>
      </c>
      <c r="J130">
        <v>22.16</v>
      </c>
      <c r="K130" s="95"/>
      <c r="L130">
        <v>17.7</v>
      </c>
      <c r="M130">
        <v>32317.93</v>
      </c>
      <c r="N130">
        <v>-1.89</v>
      </c>
      <c r="O130">
        <v>5.78</v>
      </c>
      <c r="P130">
        <v>-2.4900000000000002</v>
      </c>
      <c r="Q130">
        <v>790.69</v>
      </c>
      <c r="R130">
        <v>25.51</v>
      </c>
      <c r="S130">
        <v>28.27</v>
      </c>
      <c r="T130">
        <v>19.73</v>
      </c>
      <c r="U130">
        <v>22.49</v>
      </c>
      <c r="V130" s="94">
        <f t="shared" si="2"/>
        <v>0.98554853009073606</v>
      </c>
      <c r="W130" s="546">
        <v>17.7</v>
      </c>
      <c r="X130" s="546">
        <v>32590.16</v>
      </c>
      <c r="Y130" s="546">
        <v>-1.1399999999999999</v>
      </c>
      <c r="Z130" s="546">
        <v>5.92</v>
      </c>
      <c r="AA130" s="546">
        <v>-5.66</v>
      </c>
      <c r="AB130" s="546">
        <v>918.09</v>
      </c>
      <c r="AC130" s="546">
        <v>30.98</v>
      </c>
      <c r="AD130" s="546">
        <v>29.81</v>
      </c>
      <c r="AE130" s="546">
        <v>25.07</v>
      </c>
      <c r="AF130" s="546">
        <v>23.89</v>
      </c>
    </row>
    <row r="131" spans="1:32" s="94" customFormat="1" x14ac:dyDescent="0.2">
      <c r="A131">
        <v>17.8</v>
      </c>
      <c r="B131">
        <v>32872.870000000003</v>
      </c>
      <c r="C131">
        <v>-2.27</v>
      </c>
      <c r="D131">
        <v>5.77</v>
      </c>
      <c r="E131">
        <v>-2.5</v>
      </c>
      <c r="F131">
        <v>790.61</v>
      </c>
      <c r="G131">
        <v>25.17</v>
      </c>
      <c r="H131">
        <v>27.88</v>
      </c>
      <c r="I131">
        <v>19.39</v>
      </c>
      <c r="J131">
        <v>22.11</v>
      </c>
      <c r="K131" s="95"/>
      <c r="L131">
        <v>17.8</v>
      </c>
      <c r="M131">
        <v>32398.98</v>
      </c>
      <c r="N131">
        <v>-1.9</v>
      </c>
      <c r="O131">
        <v>5.81</v>
      </c>
      <c r="P131">
        <v>-2.4900000000000002</v>
      </c>
      <c r="Q131">
        <v>790.69</v>
      </c>
      <c r="R131">
        <v>25.49</v>
      </c>
      <c r="S131">
        <v>28.25</v>
      </c>
      <c r="T131">
        <v>19.68</v>
      </c>
      <c r="U131">
        <v>22.43</v>
      </c>
      <c r="V131" s="94">
        <f t="shared" si="2"/>
        <v>0.98558416104222102</v>
      </c>
      <c r="W131" s="546">
        <v>17.8</v>
      </c>
      <c r="X131" s="546">
        <v>32684.26</v>
      </c>
      <c r="Y131" s="546">
        <v>-1.1499999999999999</v>
      </c>
      <c r="Z131" s="546">
        <v>5.95</v>
      </c>
      <c r="AA131" s="546">
        <v>-5.66</v>
      </c>
      <c r="AB131" s="546">
        <v>918.09</v>
      </c>
      <c r="AC131" s="546">
        <v>30.95</v>
      </c>
      <c r="AD131" s="546">
        <v>29.78</v>
      </c>
      <c r="AE131" s="546">
        <v>24.99</v>
      </c>
      <c r="AF131" s="546">
        <v>23.82</v>
      </c>
    </row>
    <row r="132" spans="1:32" s="94" customFormat="1" x14ac:dyDescent="0.2">
      <c r="A132">
        <v>17.899999999999999</v>
      </c>
      <c r="B132">
        <v>32953.89</v>
      </c>
      <c r="C132">
        <v>-2.27</v>
      </c>
      <c r="D132">
        <v>5.8</v>
      </c>
      <c r="E132">
        <v>-2.5</v>
      </c>
      <c r="F132">
        <v>790.61</v>
      </c>
      <c r="G132">
        <v>25.15</v>
      </c>
      <c r="H132">
        <v>27.86</v>
      </c>
      <c r="I132">
        <v>19.350000000000001</v>
      </c>
      <c r="J132">
        <v>22.06</v>
      </c>
      <c r="K132" s="95"/>
      <c r="L132">
        <v>17.899999999999999</v>
      </c>
      <c r="M132">
        <v>32480.02</v>
      </c>
      <c r="N132">
        <v>-1.9</v>
      </c>
      <c r="O132">
        <v>5.84</v>
      </c>
      <c r="P132">
        <v>-2.4900000000000002</v>
      </c>
      <c r="Q132">
        <v>790.69</v>
      </c>
      <c r="R132">
        <v>25.47</v>
      </c>
      <c r="S132">
        <v>28.22</v>
      </c>
      <c r="T132">
        <v>19.63</v>
      </c>
      <c r="U132">
        <v>22.38</v>
      </c>
      <c r="V132" s="94">
        <f t="shared" si="2"/>
        <v>0.98562021054267046</v>
      </c>
      <c r="W132" s="546">
        <v>17.899999999999999</v>
      </c>
      <c r="X132" s="546">
        <v>32778.379999999997</v>
      </c>
      <c r="Y132" s="546">
        <v>-1.17</v>
      </c>
      <c r="Z132" s="546">
        <v>5.99</v>
      </c>
      <c r="AA132" s="546">
        <v>-5.66</v>
      </c>
      <c r="AB132" s="546">
        <v>918.09</v>
      </c>
      <c r="AC132" s="546">
        <v>30.91</v>
      </c>
      <c r="AD132" s="546">
        <v>29.74</v>
      </c>
      <c r="AE132" s="546">
        <v>24.92</v>
      </c>
      <c r="AF132" s="546">
        <v>23.76</v>
      </c>
    </row>
    <row r="133" spans="1:32" s="94" customFormat="1" x14ac:dyDescent="0.2">
      <c r="A133">
        <v>18</v>
      </c>
      <c r="B133">
        <v>33034.93</v>
      </c>
      <c r="C133">
        <v>-2.27</v>
      </c>
      <c r="D133">
        <v>5.83</v>
      </c>
      <c r="E133">
        <v>-2.5</v>
      </c>
      <c r="F133">
        <v>790.61</v>
      </c>
      <c r="G133">
        <v>25.13</v>
      </c>
      <c r="H133">
        <v>27.83</v>
      </c>
      <c r="I133">
        <v>19.3</v>
      </c>
      <c r="J133">
        <v>22</v>
      </c>
      <c r="K133" s="95"/>
      <c r="L133">
        <v>18</v>
      </c>
      <c r="M133">
        <v>32561.08</v>
      </c>
      <c r="N133">
        <v>-1.9</v>
      </c>
      <c r="O133">
        <v>5.87</v>
      </c>
      <c r="P133">
        <v>-2.4900000000000002</v>
      </c>
      <c r="Q133">
        <v>790.7</v>
      </c>
      <c r="R133">
        <v>25.45</v>
      </c>
      <c r="S133">
        <v>28.2</v>
      </c>
      <c r="T133">
        <v>19.579999999999998</v>
      </c>
      <c r="U133">
        <v>22.32</v>
      </c>
      <c r="V133" s="94">
        <f t="shared" si="2"/>
        <v>0.98565609190030068</v>
      </c>
      <c r="W133" s="546">
        <v>18</v>
      </c>
      <c r="X133" s="546">
        <v>32872.5</v>
      </c>
      <c r="Y133" s="546">
        <v>-1.18</v>
      </c>
      <c r="Z133" s="546">
        <v>6.02</v>
      </c>
      <c r="AA133" s="546">
        <v>-5.66</v>
      </c>
      <c r="AB133" s="546">
        <v>918.09</v>
      </c>
      <c r="AC133" s="546">
        <v>30.87</v>
      </c>
      <c r="AD133" s="546">
        <v>29.71</v>
      </c>
      <c r="AE133" s="546">
        <v>24.85</v>
      </c>
      <c r="AF133" s="546">
        <v>23.69</v>
      </c>
    </row>
    <row r="134" spans="1:32" s="94" customFormat="1" x14ac:dyDescent="0.2">
      <c r="A134">
        <v>18.100000000000001</v>
      </c>
      <c r="B134">
        <v>33115.96</v>
      </c>
      <c r="C134">
        <v>-2.27</v>
      </c>
      <c r="D134">
        <v>5.86</v>
      </c>
      <c r="E134">
        <v>-2.5</v>
      </c>
      <c r="F134">
        <v>790.61</v>
      </c>
      <c r="G134">
        <v>25.11</v>
      </c>
      <c r="H134">
        <v>27.81</v>
      </c>
      <c r="I134">
        <v>19.25</v>
      </c>
      <c r="J134">
        <v>21.95</v>
      </c>
      <c r="K134" s="95"/>
      <c r="L134">
        <v>18.100000000000001</v>
      </c>
      <c r="M134">
        <v>32642.11</v>
      </c>
      <c r="N134">
        <v>-1.9</v>
      </c>
      <c r="O134">
        <v>5.9</v>
      </c>
      <c r="P134">
        <v>-2.4900000000000002</v>
      </c>
      <c r="Q134">
        <v>790.7</v>
      </c>
      <c r="R134">
        <v>25.44</v>
      </c>
      <c r="S134">
        <v>28.17</v>
      </c>
      <c r="T134">
        <v>19.53</v>
      </c>
      <c r="U134">
        <v>22.27</v>
      </c>
      <c r="V134" s="94">
        <f t="shared" si="2"/>
        <v>0.98569118938421241</v>
      </c>
      <c r="W134" s="546">
        <v>18.100000000000001</v>
      </c>
      <c r="X134" s="546">
        <v>32966.589999999997</v>
      </c>
      <c r="Y134" s="546">
        <v>-1.19</v>
      </c>
      <c r="Z134" s="546">
        <v>6.05</v>
      </c>
      <c r="AA134" s="546">
        <v>-5.66</v>
      </c>
      <c r="AB134" s="546">
        <v>918.09</v>
      </c>
      <c r="AC134" s="546">
        <v>30.84</v>
      </c>
      <c r="AD134" s="546">
        <v>29.67</v>
      </c>
      <c r="AE134" s="546">
        <v>24.78</v>
      </c>
      <c r="AF134" s="546">
        <v>23.62</v>
      </c>
    </row>
    <row r="135" spans="1:32" s="94" customFormat="1" x14ac:dyDescent="0.2">
      <c r="A135">
        <v>18.2</v>
      </c>
      <c r="B135">
        <v>33196.99</v>
      </c>
      <c r="C135">
        <v>-2.27</v>
      </c>
      <c r="D135">
        <v>5.89</v>
      </c>
      <c r="E135">
        <v>-2.5</v>
      </c>
      <c r="F135">
        <v>790.61</v>
      </c>
      <c r="G135">
        <v>25.1</v>
      </c>
      <c r="H135">
        <v>27.79</v>
      </c>
      <c r="I135">
        <v>19.2</v>
      </c>
      <c r="J135">
        <v>21.89</v>
      </c>
      <c r="K135" s="95"/>
      <c r="L135">
        <v>18.2</v>
      </c>
      <c r="M135">
        <v>32723.17</v>
      </c>
      <c r="N135">
        <v>-1.9</v>
      </c>
      <c r="O135">
        <v>5.93</v>
      </c>
      <c r="P135">
        <v>-2.4900000000000002</v>
      </c>
      <c r="Q135">
        <v>790.7</v>
      </c>
      <c r="R135">
        <v>25.42</v>
      </c>
      <c r="S135">
        <v>28.15</v>
      </c>
      <c r="T135">
        <v>19.48</v>
      </c>
      <c r="U135">
        <v>22.21</v>
      </c>
      <c r="V135" s="94">
        <f t="shared" si="2"/>
        <v>0.98572701922674311</v>
      </c>
      <c r="W135" s="546">
        <v>18.2</v>
      </c>
      <c r="X135" s="546">
        <v>33060.699999999997</v>
      </c>
      <c r="Y135" s="546">
        <v>-1.21</v>
      </c>
      <c r="Z135" s="546">
        <v>6.09</v>
      </c>
      <c r="AA135" s="546">
        <v>-5.66</v>
      </c>
      <c r="AB135" s="546">
        <v>918.09</v>
      </c>
      <c r="AC135" s="546">
        <v>30.8</v>
      </c>
      <c r="AD135" s="546">
        <v>29.64</v>
      </c>
      <c r="AE135" s="546">
        <v>24.71</v>
      </c>
      <c r="AF135" s="546">
        <v>23.55</v>
      </c>
    </row>
    <row r="136" spans="1:32" s="94" customFormat="1" x14ac:dyDescent="0.2">
      <c r="A136">
        <v>18.3</v>
      </c>
      <c r="B136">
        <v>33278.050000000003</v>
      </c>
      <c r="C136">
        <v>-2.2799999999999998</v>
      </c>
      <c r="D136">
        <v>5.92</v>
      </c>
      <c r="E136">
        <v>-2.5</v>
      </c>
      <c r="F136">
        <v>790.61</v>
      </c>
      <c r="G136">
        <v>25.08</v>
      </c>
      <c r="H136">
        <v>27.76</v>
      </c>
      <c r="I136">
        <v>19.16</v>
      </c>
      <c r="J136">
        <v>21.84</v>
      </c>
      <c r="K136" s="95"/>
      <c r="L136">
        <v>18.3</v>
      </c>
      <c r="M136">
        <v>32804.22</v>
      </c>
      <c r="N136">
        <v>-1.9</v>
      </c>
      <c r="O136">
        <v>5.96</v>
      </c>
      <c r="P136">
        <v>-2.4900000000000002</v>
      </c>
      <c r="Q136">
        <v>790.71</v>
      </c>
      <c r="R136">
        <v>25.4</v>
      </c>
      <c r="S136">
        <v>28.12</v>
      </c>
      <c r="T136">
        <v>19.440000000000001</v>
      </c>
      <c r="U136">
        <v>22.16</v>
      </c>
      <c r="V136" s="94">
        <f t="shared" si="2"/>
        <v>0.985761485423575</v>
      </c>
      <c r="W136" s="546">
        <v>18.3</v>
      </c>
      <c r="X136" s="546">
        <v>33154.800000000003</v>
      </c>
      <c r="Y136" s="546">
        <v>-1.22</v>
      </c>
      <c r="Z136" s="546">
        <v>6.12</v>
      </c>
      <c r="AA136" s="546">
        <v>-5.66</v>
      </c>
      <c r="AB136" s="546">
        <v>918.09</v>
      </c>
      <c r="AC136" s="546">
        <v>30.76</v>
      </c>
      <c r="AD136" s="546">
        <v>29.61</v>
      </c>
      <c r="AE136" s="546">
        <v>24.64</v>
      </c>
      <c r="AF136" s="546">
        <v>23.49</v>
      </c>
    </row>
    <row r="137" spans="1:32" s="94" customFormat="1" x14ac:dyDescent="0.2">
      <c r="A137">
        <v>18.399999999999999</v>
      </c>
      <c r="B137">
        <v>33359.1</v>
      </c>
      <c r="C137">
        <v>-2.2799999999999998</v>
      </c>
      <c r="D137">
        <v>5.95</v>
      </c>
      <c r="E137">
        <v>-2.5</v>
      </c>
      <c r="F137">
        <v>790.61</v>
      </c>
      <c r="G137">
        <v>25.06</v>
      </c>
      <c r="H137">
        <v>27.74</v>
      </c>
      <c r="I137">
        <v>19.11</v>
      </c>
      <c r="J137">
        <v>21.79</v>
      </c>
      <c r="K137" s="95"/>
      <c r="L137">
        <v>18.399999999999999</v>
      </c>
      <c r="M137">
        <v>32885.269999999997</v>
      </c>
      <c r="N137">
        <v>-1.9</v>
      </c>
      <c r="O137">
        <v>5.99</v>
      </c>
      <c r="P137">
        <v>-2.4900000000000002</v>
      </c>
      <c r="Q137">
        <v>790.71</v>
      </c>
      <c r="R137">
        <v>25.38</v>
      </c>
      <c r="S137">
        <v>28.1</v>
      </c>
      <c r="T137">
        <v>19.39</v>
      </c>
      <c r="U137">
        <v>22.1</v>
      </c>
      <c r="V137" s="94">
        <f t="shared" si="2"/>
        <v>0.98579607963044558</v>
      </c>
      <c r="W137" s="546">
        <v>18.399999999999999</v>
      </c>
      <c r="X137" s="546">
        <v>33248.910000000003</v>
      </c>
      <c r="Y137" s="546">
        <v>-1.23</v>
      </c>
      <c r="Z137" s="546">
        <v>6.16</v>
      </c>
      <c r="AA137" s="546">
        <v>-5.66</v>
      </c>
      <c r="AB137" s="546">
        <v>918.09</v>
      </c>
      <c r="AC137" s="546">
        <v>30.73</v>
      </c>
      <c r="AD137" s="546">
        <v>29.58</v>
      </c>
      <c r="AE137" s="546">
        <v>24.57</v>
      </c>
      <c r="AF137" s="546">
        <v>23.42</v>
      </c>
    </row>
    <row r="138" spans="1:32" s="94" customFormat="1" x14ac:dyDescent="0.2">
      <c r="A138">
        <v>18.5</v>
      </c>
      <c r="B138">
        <v>33440.11</v>
      </c>
      <c r="C138">
        <v>-2.2799999999999998</v>
      </c>
      <c r="D138">
        <v>5.98</v>
      </c>
      <c r="E138">
        <v>-2.5</v>
      </c>
      <c r="F138">
        <v>790.6</v>
      </c>
      <c r="G138">
        <v>25.05</v>
      </c>
      <c r="H138">
        <v>27.72</v>
      </c>
      <c r="I138">
        <v>19.07</v>
      </c>
      <c r="J138">
        <v>21.73</v>
      </c>
      <c r="K138" s="95"/>
      <c r="L138">
        <v>18.5</v>
      </c>
      <c r="M138">
        <v>32966.300000000003</v>
      </c>
      <c r="N138">
        <v>-1.91</v>
      </c>
      <c r="O138">
        <v>6.03</v>
      </c>
      <c r="P138">
        <v>-2.4900000000000002</v>
      </c>
      <c r="Q138">
        <v>790.71</v>
      </c>
      <c r="R138">
        <v>25.37</v>
      </c>
      <c r="S138">
        <v>28.08</v>
      </c>
      <c r="T138">
        <v>19.34</v>
      </c>
      <c r="U138">
        <v>22.05</v>
      </c>
      <c r="V138" s="94">
        <f t="shared" si="2"/>
        <v>0.98583108727812208</v>
      </c>
      <c r="W138" s="546">
        <v>18.5</v>
      </c>
      <c r="X138" s="546">
        <v>33343.01</v>
      </c>
      <c r="Y138" s="546">
        <v>-1.24</v>
      </c>
      <c r="Z138" s="546">
        <v>6.19</v>
      </c>
      <c r="AA138" s="546">
        <v>-5.66</v>
      </c>
      <c r="AB138" s="546">
        <v>918.09</v>
      </c>
      <c r="AC138" s="546">
        <v>30.69</v>
      </c>
      <c r="AD138" s="546">
        <v>29.55</v>
      </c>
      <c r="AE138" s="546">
        <v>24.5</v>
      </c>
      <c r="AF138" s="546">
        <v>23.35</v>
      </c>
    </row>
    <row r="139" spans="1:32" s="94" customFormat="1" x14ac:dyDescent="0.2">
      <c r="A139">
        <v>18.600000000000001</v>
      </c>
      <c r="B139">
        <v>33521.160000000003</v>
      </c>
      <c r="C139">
        <v>-2.2799999999999998</v>
      </c>
      <c r="D139">
        <v>6.01</v>
      </c>
      <c r="E139">
        <v>-2.5</v>
      </c>
      <c r="F139">
        <v>790.6</v>
      </c>
      <c r="G139">
        <v>25.03</v>
      </c>
      <c r="H139">
        <v>27.7</v>
      </c>
      <c r="I139">
        <v>19.02</v>
      </c>
      <c r="J139">
        <v>21.68</v>
      </c>
      <c r="K139" s="95"/>
      <c r="L139">
        <v>18.600000000000001</v>
      </c>
      <c r="M139">
        <v>33047.339999999997</v>
      </c>
      <c r="N139">
        <v>-1.91</v>
      </c>
      <c r="O139">
        <v>6.06</v>
      </c>
      <c r="P139">
        <v>-2.4900000000000002</v>
      </c>
      <c r="Q139">
        <v>790.72</v>
      </c>
      <c r="R139">
        <v>25.35</v>
      </c>
      <c r="S139">
        <v>28.05</v>
      </c>
      <c r="T139">
        <v>19.29</v>
      </c>
      <c r="U139">
        <v>22</v>
      </c>
      <c r="V139" s="94">
        <f t="shared" si="2"/>
        <v>0.98586504762961646</v>
      </c>
      <c r="W139" s="546">
        <v>18.600000000000001</v>
      </c>
      <c r="X139" s="546">
        <v>33437.11</v>
      </c>
      <c r="Y139" s="546">
        <v>-1.26</v>
      </c>
      <c r="Z139" s="546">
        <v>6.23</v>
      </c>
      <c r="AA139" s="546">
        <v>-5.66</v>
      </c>
      <c r="AB139" s="546">
        <v>918.09</v>
      </c>
      <c r="AC139" s="546">
        <v>30.66</v>
      </c>
      <c r="AD139" s="546">
        <v>29.52</v>
      </c>
      <c r="AE139" s="546">
        <v>24.43</v>
      </c>
      <c r="AF139" s="546">
        <v>23.29</v>
      </c>
    </row>
    <row r="140" spans="1:32" s="94" customFormat="1" x14ac:dyDescent="0.2">
      <c r="A140">
        <v>18.7</v>
      </c>
      <c r="B140">
        <v>33602.199999999997</v>
      </c>
      <c r="C140">
        <v>-2.2799999999999998</v>
      </c>
      <c r="D140">
        <v>6.04</v>
      </c>
      <c r="E140">
        <v>-2.5</v>
      </c>
      <c r="F140">
        <v>790.6</v>
      </c>
      <c r="G140">
        <v>25.02</v>
      </c>
      <c r="H140">
        <v>27.67</v>
      </c>
      <c r="I140">
        <v>18.97</v>
      </c>
      <c r="J140">
        <v>21.63</v>
      </c>
      <c r="K140" s="95"/>
      <c r="L140">
        <v>18.7</v>
      </c>
      <c r="M140">
        <v>33128.39</v>
      </c>
      <c r="N140">
        <v>-1.91</v>
      </c>
      <c r="O140">
        <v>6.09</v>
      </c>
      <c r="P140">
        <v>-2.4900000000000002</v>
      </c>
      <c r="Q140">
        <v>790.72</v>
      </c>
      <c r="R140">
        <v>25.33</v>
      </c>
      <c r="S140">
        <v>28.03</v>
      </c>
      <c r="T140">
        <v>19.25</v>
      </c>
      <c r="U140">
        <v>21.94</v>
      </c>
      <c r="V140" s="94">
        <f t="shared" si="2"/>
        <v>0.98589943515603151</v>
      </c>
      <c r="W140" s="546">
        <v>18.7</v>
      </c>
      <c r="X140" s="546">
        <v>33531.199999999997</v>
      </c>
      <c r="Y140" s="546">
        <v>-1.27</v>
      </c>
      <c r="Z140" s="546">
        <v>6.26</v>
      </c>
      <c r="AA140" s="546">
        <v>-5.66</v>
      </c>
      <c r="AB140" s="546">
        <v>918.09</v>
      </c>
      <c r="AC140" s="546">
        <v>30.63</v>
      </c>
      <c r="AD140" s="546">
        <v>29.48</v>
      </c>
      <c r="AE140" s="546">
        <v>24.36</v>
      </c>
      <c r="AF140" s="546">
        <v>23.22</v>
      </c>
    </row>
    <row r="141" spans="1:32" s="94" customFormat="1" x14ac:dyDescent="0.2">
      <c r="A141">
        <v>18.8</v>
      </c>
      <c r="B141">
        <v>33683.22</v>
      </c>
      <c r="C141">
        <v>-2.2799999999999998</v>
      </c>
      <c r="D141">
        <v>6.07</v>
      </c>
      <c r="E141">
        <v>-2.5</v>
      </c>
      <c r="F141">
        <v>790.6</v>
      </c>
      <c r="G141">
        <v>25</v>
      </c>
      <c r="H141">
        <v>27.65</v>
      </c>
      <c r="I141">
        <v>18.93</v>
      </c>
      <c r="J141">
        <v>21.58</v>
      </c>
      <c r="K141" s="95"/>
      <c r="L141">
        <v>18.8</v>
      </c>
      <c r="M141">
        <v>33209.449999999997</v>
      </c>
      <c r="N141">
        <v>-1.91</v>
      </c>
      <c r="O141">
        <v>6.12</v>
      </c>
      <c r="P141">
        <v>-2.4900000000000002</v>
      </c>
      <c r="Q141">
        <v>790.72</v>
      </c>
      <c r="R141">
        <v>25.32</v>
      </c>
      <c r="S141">
        <v>28.01</v>
      </c>
      <c r="T141">
        <v>19.2</v>
      </c>
      <c r="U141">
        <v>21.89</v>
      </c>
      <c r="V141" s="94">
        <f t="shared" si="2"/>
        <v>0.98593453951255239</v>
      </c>
      <c r="W141" s="546">
        <v>18.8</v>
      </c>
      <c r="X141" s="546">
        <v>33625.32</v>
      </c>
      <c r="Y141" s="546">
        <v>-1.28</v>
      </c>
      <c r="Z141" s="546">
        <v>6.3</v>
      </c>
      <c r="AA141" s="546">
        <v>-5.66</v>
      </c>
      <c r="AB141" s="546">
        <v>918.09</v>
      </c>
      <c r="AC141" s="546">
        <v>30.59</v>
      </c>
      <c r="AD141" s="546">
        <v>29.45</v>
      </c>
      <c r="AE141" s="546">
        <v>24.3</v>
      </c>
      <c r="AF141" s="546">
        <v>23.16</v>
      </c>
    </row>
    <row r="142" spans="1:32" s="94" customFormat="1" x14ac:dyDescent="0.2">
      <c r="A142">
        <v>18.899999999999999</v>
      </c>
      <c r="B142">
        <v>33764.28</v>
      </c>
      <c r="C142">
        <v>-2.2799999999999998</v>
      </c>
      <c r="D142">
        <v>6.11</v>
      </c>
      <c r="E142">
        <v>-2.5</v>
      </c>
      <c r="F142">
        <v>790.6</v>
      </c>
      <c r="G142">
        <v>24.99</v>
      </c>
      <c r="H142">
        <v>27.63</v>
      </c>
      <c r="I142">
        <v>18.88</v>
      </c>
      <c r="J142">
        <v>21.53</v>
      </c>
      <c r="K142" s="95"/>
      <c r="L142">
        <v>18.899999999999999</v>
      </c>
      <c r="M142">
        <v>33290.480000000003</v>
      </c>
      <c r="N142">
        <v>-1.91</v>
      </c>
      <c r="O142">
        <v>6.15</v>
      </c>
      <c r="P142">
        <v>-2.4900000000000002</v>
      </c>
      <c r="Q142">
        <v>790.73</v>
      </c>
      <c r="R142">
        <v>25.3</v>
      </c>
      <c r="S142">
        <v>27.98</v>
      </c>
      <c r="T142">
        <v>19.149999999999999</v>
      </c>
      <c r="U142">
        <v>21.84</v>
      </c>
      <c r="V142" s="94">
        <f t="shared" si="2"/>
        <v>0.98596741882249539</v>
      </c>
      <c r="W142" s="546">
        <v>18.899999999999999</v>
      </c>
      <c r="X142" s="546">
        <v>33719.43</v>
      </c>
      <c r="Y142" s="546">
        <v>-1.29</v>
      </c>
      <c r="Z142" s="546">
        <v>6.33</v>
      </c>
      <c r="AA142" s="546">
        <v>-5.66</v>
      </c>
      <c r="AB142" s="546">
        <v>918.09</v>
      </c>
      <c r="AC142" s="546">
        <v>30.56</v>
      </c>
      <c r="AD142" s="546">
        <v>29.43</v>
      </c>
      <c r="AE142" s="546">
        <v>24.23</v>
      </c>
      <c r="AF142" s="546">
        <v>23.09</v>
      </c>
    </row>
    <row r="143" spans="1:32" s="94" customFormat="1" x14ac:dyDescent="0.2">
      <c r="A143">
        <v>19</v>
      </c>
      <c r="B143">
        <v>33845.300000000003</v>
      </c>
      <c r="C143">
        <v>-2.2799999999999998</v>
      </c>
      <c r="D143">
        <v>6.14</v>
      </c>
      <c r="E143">
        <v>-2.5</v>
      </c>
      <c r="F143">
        <v>790.6</v>
      </c>
      <c r="G143">
        <v>24.97</v>
      </c>
      <c r="H143">
        <v>27.61</v>
      </c>
      <c r="I143">
        <v>18.84</v>
      </c>
      <c r="J143">
        <v>21.47</v>
      </c>
      <c r="K143" s="95"/>
      <c r="L143">
        <v>19</v>
      </c>
      <c r="M143">
        <v>33371.550000000003</v>
      </c>
      <c r="N143">
        <v>-1.91</v>
      </c>
      <c r="O143">
        <v>6.18</v>
      </c>
      <c r="P143">
        <v>-2.4900000000000002</v>
      </c>
      <c r="Q143">
        <v>790.73</v>
      </c>
      <c r="R143">
        <v>25.29</v>
      </c>
      <c r="S143">
        <v>27.96</v>
      </c>
      <c r="T143">
        <v>19.11</v>
      </c>
      <c r="U143">
        <v>21.78</v>
      </c>
      <c r="V143" s="94">
        <f t="shared" si="2"/>
        <v>0.98600248779003286</v>
      </c>
      <c r="W143" s="546">
        <v>19</v>
      </c>
      <c r="X143" s="546">
        <v>33813.519999999997</v>
      </c>
      <c r="Y143" s="546">
        <v>-1.3</v>
      </c>
      <c r="Z143" s="546">
        <v>6.37</v>
      </c>
      <c r="AA143" s="546">
        <v>-5.66</v>
      </c>
      <c r="AB143" s="546">
        <v>918.1</v>
      </c>
      <c r="AC143" s="546">
        <v>30.53</v>
      </c>
      <c r="AD143" s="546">
        <v>29.4</v>
      </c>
      <c r="AE143" s="546">
        <v>24.16</v>
      </c>
      <c r="AF143" s="546">
        <v>23.03</v>
      </c>
    </row>
    <row r="144" spans="1:32" s="94" customFormat="1" x14ac:dyDescent="0.2">
      <c r="A144">
        <v>19.100000000000001</v>
      </c>
      <c r="B144">
        <v>33926.35</v>
      </c>
      <c r="C144">
        <v>-2.2799999999999998</v>
      </c>
      <c r="D144">
        <v>6.17</v>
      </c>
      <c r="E144">
        <v>-2.5</v>
      </c>
      <c r="F144">
        <v>790.6</v>
      </c>
      <c r="G144">
        <v>24.96</v>
      </c>
      <c r="H144">
        <v>27.59</v>
      </c>
      <c r="I144">
        <v>18.79</v>
      </c>
      <c r="J144">
        <v>21.42</v>
      </c>
      <c r="K144" s="95"/>
      <c r="L144">
        <v>19.100000000000001</v>
      </c>
      <c r="M144">
        <v>33452.61</v>
      </c>
      <c r="N144">
        <v>-1.91</v>
      </c>
      <c r="O144">
        <v>6.21</v>
      </c>
      <c r="P144">
        <v>-2.4900000000000002</v>
      </c>
      <c r="Q144">
        <v>790.73</v>
      </c>
      <c r="R144">
        <v>25.27</v>
      </c>
      <c r="S144">
        <v>27.94</v>
      </c>
      <c r="T144">
        <v>19.059999999999999</v>
      </c>
      <c r="U144">
        <v>21.73</v>
      </c>
      <c r="V144" s="94">
        <f t="shared" si="2"/>
        <v>0.98603622258215229</v>
      </c>
      <c r="W144" s="546">
        <v>19.100000000000001</v>
      </c>
      <c r="X144" s="546">
        <v>33907.629999999997</v>
      </c>
      <c r="Y144" s="546">
        <v>-1.32</v>
      </c>
      <c r="Z144" s="546">
        <v>6.4</v>
      </c>
      <c r="AA144" s="546">
        <v>-5.66</v>
      </c>
      <c r="AB144" s="546">
        <v>918.1</v>
      </c>
      <c r="AC144" s="546">
        <v>30.5</v>
      </c>
      <c r="AD144" s="546">
        <v>29.37</v>
      </c>
      <c r="AE144" s="546">
        <v>24.09</v>
      </c>
      <c r="AF144" s="546">
        <v>22.96</v>
      </c>
    </row>
    <row r="145" spans="1:32" s="94" customFormat="1" x14ac:dyDescent="0.2">
      <c r="A145">
        <v>19.2</v>
      </c>
      <c r="B145">
        <v>34007.360000000001</v>
      </c>
      <c r="C145">
        <v>-2.2799999999999998</v>
      </c>
      <c r="D145">
        <v>6.2</v>
      </c>
      <c r="E145">
        <v>-2.5</v>
      </c>
      <c r="F145">
        <v>790.6</v>
      </c>
      <c r="G145">
        <v>24.94</v>
      </c>
      <c r="H145">
        <v>27.57</v>
      </c>
      <c r="I145">
        <v>18.75</v>
      </c>
      <c r="J145">
        <v>21.37</v>
      </c>
      <c r="K145" s="95"/>
      <c r="L145">
        <v>19.2</v>
      </c>
      <c r="M145">
        <v>33533.629999999997</v>
      </c>
      <c r="N145">
        <v>-1.92</v>
      </c>
      <c r="O145">
        <v>6.24</v>
      </c>
      <c r="P145">
        <v>-2.4900000000000002</v>
      </c>
      <c r="Q145">
        <v>790.73</v>
      </c>
      <c r="R145">
        <v>25.26</v>
      </c>
      <c r="S145">
        <v>27.92</v>
      </c>
      <c r="T145">
        <v>19.010000000000002</v>
      </c>
      <c r="U145">
        <v>21.68</v>
      </c>
      <c r="V145" s="94">
        <f t="shared" ref="V145:V202" si="3">M145/B145</f>
        <v>0.98606978018875902</v>
      </c>
      <c r="W145" s="546">
        <v>19.2</v>
      </c>
      <c r="X145" s="546">
        <v>34001.74</v>
      </c>
      <c r="Y145" s="546">
        <v>-1.33</v>
      </c>
      <c r="Z145" s="546">
        <v>6.44</v>
      </c>
      <c r="AA145" s="546">
        <v>-5.66</v>
      </c>
      <c r="AB145" s="546">
        <v>918.1</v>
      </c>
      <c r="AC145" s="546">
        <v>30.46</v>
      </c>
      <c r="AD145" s="546">
        <v>29.34</v>
      </c>
      <c r="AE145" s="546">
        <v>24.03</v>
      </c>
      <c r="AF145" s="546">
        <v>22.9</v>
      </c>
    </row>
    <row r="146" spans="1:32" s="94" customFormat="1" x14ac:dyDescent="0.2">
      <c r="A146">
        <v>19.3</v>
      </c>
      <c r="B146">
        <v>34088.410000000003</v>
      </c>
      <c r="C146">
        <v>-2.2799999999999998</v>
      </c>
      <c r="D146">
        <v>6.23</v>
      </c>
      <c r="E146">
        <v>-2.5</v>
      </c>
      <c r="F146">
        <v>790.6</v>
      </c>
      <c r="G146">
        <v>24.93</v>
      </c>
      <c r="H146">
        <v>27.55</v>
      </c>
      <c r="I146">
        <v>18.7</v>
      </c>
      <c r="J146">
        <v>21.32</v>
      </c>
      <c r="K146" s="95"/>
      <c r="L146">
        <v>19.3</v>
      </c>
      <c r="M146">
        <v>33614.699999999997</v>
      </c>
      <c r="N146">
        <v>-1.92</v>
      </c>
      <c r="O146">
        <v>6.27</v>
      </c>
      <c r="P146">
        <v>-2.4900000000000002</v>
      </c>
      <c r="Q146">
        <v>790.74</v>
      </c>
      <c r="R146">
        <v>25.24</v>
      </c>
      <c r="S146">
        <v>27.9</v>
      </c>
      <c r="T146">
        <v>18.97</v>
      </c>
      <c r="U146">
        <v>21.63</v>
      </c>
      <c r="V146" s="94">
        <f t="shared" si="3"/>
        <v>0.98610348795969049</v>
      </c>
      <c r="W146" s="546">
        <v>19.3</v>
      </c>
      <c r="X146" s="546">
        <v>34095.839999999997</v>
      </c>
      <c r="Y146" s="546">
        <v>-1.34</v>
      </c>
      <c r="Z146" s="546">
        <v>6.47</v>
      </c>
      <c r="AA146" s="546">
        <v>-5.66</v>
      </c>
      <c r="AB146" s="546">
        <v>918.1</v>
      </c>
      <c r="AC146" s="546">
        <v>30.43</v>
      </c>
      <c r="AD146" s="546">
        <v>29.31</v>
      </c>
      <c r="AE146" s="546">
        <v>23.96</v>
      </c>
      <c r="AF146" s="546">
        <v>22.84</v>
      </c>
    </row>
    <row r="147" spans="1:32" s="94" customFormat="1" x14ac:dyDescent="0.2">
      <c r="A147">
        <v>19.399999999999999</v>
      </c>
      <c r="B147">
        <v>34169.43</v>
      </c>
      <c r="C147">
        <v>-2.2799999999999998</v>
      </c>
      <c r="D147">
        <v>6.26</v>
      </c>
      <c r="E147">
        <v>-2.5</v>
      </c>
      <c r="F147">
        <v>790.6</v>
      </c>
      <c r="G147">
        <v>24.92</v>
      </c>
      <c r="H147">
        <v>27.53</v>
      </c>
      <c r="I147">
        <v>18.66</v>
      </c>
      <c r="J147">
        <v>21.27</v>
      </c>
      <c r="K147" s="95"/>
      <c r="L147">
        <v>19.399999999999999</v>
      </c>
      <c r="M147">
        <v>33695.75</v>
      </c>
      <c r="N147">
        <v>-1.92</v>
      </c>
      <c r="O147">
        <v>6.31</v>
      </c>
      <c r="P147">
        <v>-2.4900000000000002</v>
      </c>
      <c r="Q147">
        <v>790.74</v>
      </c>
      <c r="R147">
        <v>25.23</v>
      </c>
      <c r="S147">
        <v>27.88</v>
      </c>
      <c r="T147">
        <v>18.920000000000002</v>
      </c>
      <c r="U147">
        <v>21.57</v>
      </c>
      <c r="V147" s="94">
        <f t="shared" si="3"/>
        <v>0.986137316308759</v>
      </c>
      <c r="W147" s="546">
        <v>19.399999999999999</v>
      </c>
      <c r="X147" s="546">
        <v>34189.96</v>
      </c>
      <c r="Y147" s="546">
        <v>-1.35</v>
      </c>
      <c r="Z147" s="546">
        <v>6.51</v>
      </c>
      <c r="AA147" s="546">
        <v>-5.66</v>
      </c>
      <c r="AB147" s="546">
        <v>918.1</v>
      </c>
      <c r="AC147" s="546">
        <v>30.4</v>
      </c>
      <c r="AD147" s="546">
        <v>29.28</v>
      </c>
      <c r="AE147" s="546">
        <v>23.89</v>
      </c>
      <c r="AF147" s="546">
        <v>22.77</v>
      </c>
    </row>
    <row r="148" spans="1:32" s="94" customFormat="1" x14ac:dyDescent="0.2">
      <c r="A148">
        <v>19.5</v>
      </c>
      <c r="B148">
        <v>34250.480000000003</v>
      </c>
      <c r="C148">
        <v>-2.2799999999999998</v>
      </c>
      <c r="D148">
        <v>6.29</v>
      </c>
      <c r="E148">
        <v>-2.5</v>
      </c>
      <c r="F148">
        <v>790.6</v>
      </c>
      <c r="G148">
        <v>24.9</v>
      </c>
      <c r="H148">
        <v>27.51</v>
      </c>
      <c r="I148">
        <v>18.61</v>
      </c>
      <c r="J148">
        <v>21.22</v>
      </c>
      <c r="K148" s="95"/>
      <c r="L148">
        <v>19.5</v>
      </c>
      <c r="M148">
        <v>33776.81</v>
      </c>
      <c r="N148">
        <v>-1.92</v>
      </c>
      <c r="O148">
        <v>6.34</v>
      </c>
      <c r="P148">
        <v>-2.4900000000000002</v>
      </c>
      <c r="Q148">
        <v>790.74</v>
      </c>
      <c r="R148">
        <v>25.21</v>
      </c>
      <c r="S148">
        <v>27.86</v>
      </c>
      <c r="T148">
        <v>18.88</v>
      </c>
      <c r="U148">
        <v>21.52</v>
      </c>
      <c r="V148" s="94">
        <f t="shared" si="3"/>
        <v>0.98617041279421469</v>
      </c>
      <c r="W148" s="546">
        <v>19.5</v>
      </c>
      <c r="X148" s="546">
        <v>34284.050000000003</v>
      </c>
      <c r="Y148" s="546">
        <v>-1.36</v>
      </c>
      <c r="Z148" s="546">
        <v>6.54</v>
      </c>
      <c r="AA148" s="546">
        <v>-5.66</v>
      </c>
      <c r="AB148" s="546">
        <v>918.1</v>
      </c>
      <c r="AC148" s="546">
        <v>30.37</v>
      </c>
      <c r="AD148" s="546">
        <v>29.26</v>
      </c>
      <c r="AE148" s="546">
        <v>23.83</v>
      </c>
      <c r="AF148" s="546">
        <v>22.71</v>
      </c>
    </row>
    <row r="149" spans="1:32" s="94" customFormat="1" x14ac:dyDescent="0.2">
      <c r="A149">
        <v>19.600000000000001</v>
      </c>
      <c r="B149">
        <v>34331.53</v>
      </c>
      <c r="C149">
        <v>-2.2799999999999998</v>
      </c>
      <c r="D149">
        <v>6.32</v>
      </c>
      <c r="E149">
        <v>-2.5</v>
      </c>
      <c r="F149">
        <v>790.6</v>
      </c>
      <c r="G149">
        <v>24.89</v>
      </c>
      <c r="H149">
        <v>27.49</v>
      </c>
      <c r="I149">
        <v>18.57</v>
      </c>
      <c r="J149">
        <v>21.17</v>
      </c>
      <c r="K149" s="95"/>
      <c r="L149">
        <v>19.600000000000001</v>
      </c>
      <c r="M149">
        <v>33857.85</v>
      </c>
      <c r="N149">
        <v>-1.92</v>
      </c>
      <c r="O149">
        <v>6.37</v>
      </c>
      <c r="P149">
        <v>-2.4900000000000002</v>
      </c>
      <c r="Q149">
        <v>790.75</v>
      </c>
      <c r="R149">
        <v>25.2</v>
      </c>
      <c r="S149">
        <v>27.84</v>
      </c>
      <c r="T149">
        <v>18.829999999999998</v>
      </c>
      <c r="U149">
        <v>21.47</v>
      </c>
      <c r="V149" s="94">
        <f t="shared" si="3"/>
        <v>0.98620277045619575</v>
      </c>
      <c r="W149" s="546">
        <v>19.600000000000001</v>
      </c>
      <c r="X149" s="546">
        <v>34378.17</v>
      </c>
      <c r="Y149" s="546">
        <v>-1.38</v>
      </c>
      <c r="Z149" s="546">
        <v>6.58</v>
      </c>
      <c r="AA149" s="546">
        <v>-5.66</v>
      </c>
      <c r="AB149" s="546">
        <v>918.1</v>
      </c>
      <c r="AC149" s="546">
        <v>30.34</v>
      </c>
      <c r="AD149" s="546">
        <v>29.23</v>
      </c>
      <c r="AE149" s="546">
        <v>23.76</v>
      </c>
      <c r="AF149" s="546">
        <v>22.65</v>
      </c>
    </row>
    <row r="150" spans="1:32" s="94" customFormat="1" x14ac:dyDescent="0.2">
      <c r="A150">
        <v>19.7</v>
      </c>
      <c r="B150">
        <v>34412.550000000003</v>
      </c>
      <c r="C150">
        <v>-2.2799999999999998</v>
      </c>
      <c r="D150">
        <v>6.35</v>
      </c>
      <c r="E150">
        <v>-2.5</v>
      </c>
      <c r="F150">
        <v>790.59</v>
      </c>
      <c r="G150">
        <v>24.88</v>
      </c>
      <c r="H150">
        <v>27.47</v>
      </c>
      <c r="I150">
        <v>18.53</v>
      </c>
      <c r="J150">
        <v>21.12</v>
      </c>
      <c r="K150" s="95"/>
      <c r="L150">
        <v>19.7</v>
      </c>
      <c r="M150">
        <v>33938.92</v>
      </c>
      <c r="N150">
        <v>-1.92</v>
      </c>
      <c r="O150">
        <v>6.4</v>
      </c>
      <c r="P150">
        <v>-2.4900000000000002</v>
      </c>
      <c r="Q150">
        <v>790.75</v>
      </c>
      <c r="R150">
        <v>25.19</v>
      </c>
      <c r="S150">
        <v>27.82</v>
      </c>
      <c r="T150">
        <v>18.79</v>
      </c>
      <c r="U150">
        <v>21.42</v>
      </c>
      <c r="V150" s="94">
        <f t="shared" si="3"/>
        <v>0.98623670724779178</v>
      </c>
      <c r="W150" s="546">
        <v>19.7</v>
      </c>
      <c r="X150" s="546">
        <v>34472.28</v>
      </c>
      <c r="Y150" s="546">
        <v>-1.39</v>
      </c>
      <c r="Z150" s="546">
        <v>6.62</v>
      </c>
      <c r="AA150" s="546">
        <v>-5.66</v>
      </c>
      <c r="AB150" s="546">
        <v>918.1</v>
      </c>
      <c r="AC150" s="546">
        <v>30.31</v>
      </c>
      <c r="AD150" s="546">
        <v>29.2</v>
      </c>
      <c r="AE150" s="546">
        <v>23.7</v>
      </c>
      <c r="AF150" s="546">
        <v>22.59</v>
      </c>
    </row>
    <row r="151" spans="1:32" s="94" customFormat="1" x14ac:dyDescent="0.2">
      <c r="A151">
        <v>19.8</v>
      </c>
      <c r="B151">
        <v>34493.589999999997</v>
      </c>
      <c r="C151">
        <v>-2.2799999999999998</v>
      </c>
      <c r="D151">
        <v>6.39</v>
      </c>
      <c r="E151">
        <v>-2.5</v>
      </c>
      <c r="F151">
        <v>790.59</v>
      </c>
      <c r="G151">
        <v>24.87</v>
      </c>
      <c r="H151">
        <v>27.46</v>
      </c>
      <c r="I151">
        <v>18.48</v>
      </c>
      <c r="J151">
        <v>21.07</v>
      </c>
      <c r="K151" s="95"/>
      <c r="L151">
        <v>19.8</v>
      </c>
      <c r="M151">
        <v>34019.96</v>
      </c>
      <c r="N151">
        <v>-1.92</v>
      </c>
      <c r="O151">
        <v>6.43</v>
      </c>
      <c r="P151">
        <v>-2.4900000000000002</v>
      </c>
      <c r="Q151">
        <v>790.75</v>
      </c>
      <c r="R151">
        <v>25.17</v>
      </c>
      <c r="S151">
        <v>27.8</v>
      </c>
      <c r="T151">
        <v>18.739999999999998</v>
      </c>
      <c r="U151">
        <v>21.37</v>
      </c>
      <c r="V151" s="94">
        <f t="shared" si="3"/>
        <v>0.98626904303089369</v>
      </c>
      <c r="W151" s="546">
        <v>19.8</v>
      </c>
      <c r="X151" s="546">
        <v>34566.36</v>
      </c>
      <c r="Y151" s="546">
        <v>-1.4</v>
      </c>
      <c r="Z151" s="546">
        <v>6.65</v>
      </c>
      <c r="AA151" s="546">
        <v>-5.66</v>
      </c>
      <c r="AB151" s="546">
        <v>918.1</v>
      </c>
      <c r="AC151" s="546">
        <v>30.29</v>
      </c>
      <c r="AD151" s="546">
        <v>29.18</v>
      </c>
      <c r="AE151" s="546">
        <v>23.63</v>
      </c>
      <c r="AF151" s="546">
        <v>22.53</v>
      </c>
    </row>
    <row r="152" spans="1:32" s="94" customFormat="1" x14ac:dyDescent="0.2">
      <c r="A152">
        <v>19.899999999999999</v>
      </c>
      <c r="B152">
        <v>34574.61</v>
      </c>
      <c r="C152">
        <v>-2.2799999999999998</v>
      </c>
      <c r="D152">
        <v>6.42</v>
      </c>
      <c r="E152">
        <v>-2.5</v>
      </c>
      <c r="F152">
        <v>790.59</v>
      </c>
      <c r="G152">
        <v>24.86</v>
      </c>
      <c r="H152">
        <v>27.44</v>
      </c>
      <c r="I152">
        <v>18.440000000000001</v>
      </c>
      <c r="J152">
        <v>21.02</v>
      </c>
      <c r="K152" s="95"/>
      <c r="L152">
        <v>19.899999999999999</v>
      </c>
      <c r="M152">
        <v>34101.019999999997</v>
      </c>
      <c r="N152">
        <v>-1.93</v>
      </c>
      <c r="O152">
        <v>6.46</v>
      </c>
      <c r="P152">
        <v>-2.4900000000000002</v>
      </c>
      <c r="Q152">
        <v>790.75</v>
      </c>
      <c r="R152">
        <v>25.16</v>
      </c>
      <c r="S152">
        <v>27.78</v>
      </c>
      <c r="T152">
        <v>18.7</v>
      </c>
      <c r="U152">
        <v>21.32</v>
      </c>
      <c r="V152" s="94">
        <f t="shared" si="3"/>
        <v>0.98630237622347716</v>
      </c>
      <c r="W152" s="546">
        <v>19.899999999999999</v>
      </c>
      <c r="X152" s="546">
        <v>34660.480000000003</v>
      </c>
      <c r="Y152" s="546">
        <v>-1.41</v>
      </c>
      <c r="Z152" s="546">
        <v>6.69</v>
      </c>
      <c r="AA152" s="546">
        <v>-5.66</v>
      </c>
      <c r="AB152" s="546">
        <v>918.1</v>
      </c>
      <c r="AC152" s="546">
        <v>30.26</v>
      </c>
      <c r="AD152" s="546">
        <v>29.15</v>
      </c>
      <c r="AE152" s="546">
        <v>23.57</v>
      </c>
      <c r="AF152" s="546">
        <v>22.47</v>
      </c>
    </row>
    <row r="153" spans="1:32" s="94" customFormat="1" x14ac:dyDescent="0.2">
      <c r="A153">
        <v>20</v>
      </c>
      <c r="B153">
        <v>34655.64</v>
      </c>
      <c r="C153">
        <v>-2.2799999999999998</v>
      </c>
      <c r="D153">
        <v>6.45</v>
      </c>
      <c r="E153">
        <v>-2.5</v>
      </c>
      <c r="F153">
        <v>790.59</v>
      </c>
      <c r="G153">
        <v>24.84</v>
      </c>
      <c r="H153">
        <v>27.42</v>
      </c>
      <c r="I153">
        <v>18.399999999999999</v>
      </c>
      <c r="J153">
        <v>20.97</v>
      </c>
      <c r="K153" s="95"/>
      <c r="L153">
        <v>20</v>
      </c>
      <c r="M153">
        <v>34182.089999999997</v>
      </c>
      <c r="N153">
        <v>-1.93</v>
      </c>
      <c r="O153">
        <v>6.5</v>
      </c>
      <c r="P153">
        <v>-2.4900000000000002</v>
      </c>
      <c r="Q153">
        <v>790.76</v>
      </c>
      <c r="R153">
        <v>25.15</v>
      </c>
      <c r="S153">
        <v>27.76</v>
      </c>
      <c r="T153">
        <v>18.649999999999999</v>
      </c>
      <c r="U153">
        <v>21.27</v>
      </c>
      <c r="V153" s="94">
        <f t="shared" si="3"/>
        <v>0.98633555750232849</v>
      </c>
      <c r="W153" s="546">
        <v>20</v>
      </c>
      <c r="X153" s="546">
        <v>34754.57</v>
      </c>
      <c r="Y153" s="546">
        <v>-1.42</v>
      </c>
      <c r="Z153" s="546">
        <v>6.72</v>
      </c>
      <c r="AA153" s="546">
        <v>-5.66</v>
      </c>
      <c r="AB153" s="546">
        <v>918.1</v>
      </c>
      <c r="AC153" s="546">
        <v>30.23</v>
      </c>
      <c r="AD153" s="546">
        <v>29.13</v>
      </c>
      <c r="AE153" s="546">
        <v>23.51</v>
      </c>
      <c r="AF153" s="546">
        <v>22.4</v>
      </c>
    </row>
    <row r="154" spans="1:32" s="94" customFormat="1" x14ac:dyDescent="0.2">
      <c r="A154">
        <v>20.100000000000001</v>
      </c>
      <c r="B154">
        <v>34736.699999999997</v>
      </c>
      <c r="C154">
        <v>-2.2799999999999998</v>
      </c>
      <c r="D154">
        <v>6.48</v>
      </c>
      <c r="E154">
        <v>-2.5</v>
      </c>
      <c r="F154">
        <v>790.59</v>
      </c>
      <c r="G154">
        <v>24.83</v>
      </c>
      <c r="H154">
        <v>27.4</v>
      </c>
      <c r="I154">
        <v>18.350000000000001</v>
      </c>
      <c r="J154">
        <v>20.92</v>
      </c>
      <c r="K154" s="95"/>
      <c r="L154">
        <v>20.100000000000001</v>
      </c>
      <c r="M154">
        <v>34263.11</v>
      </c>
      <c r="N154">
        <v>-1.93</v>
      </c>
      <c r="O154">
        <v>6.53</v>
      </c>
      <c r="P154">
        <v>-2.4900000000000002</v>
      </c>
      <c r="Q154">
        <v>790.76</v>
      </c>
      <c r="R154">
        <v>25.14</v>
      </c>
      <c r="S154">
        <v>27.75</v>
      </c>
      <c r="T154">
        <v>18.61</v>
      </c>
      <c r="U154">
        <v>21.22</v>
      </c>
      <c r="V154" s="94">
        <f t="shared" si="3"/>
        <v>0.98636629271059151</v>
      </c>
      <c r="W154" s="546">
        <v>20.100000000000001</v>
      </c>
      <c r="X154" s="546">
        <v>34848.68</v>
      </c>
      <c r="Y154" s="546">
        <v>-1.43</v>
      </c>
      <c r="Z154" s="546">
        <v>6.76</v>
      </c>
      <c r="AA154" s="546">
        <v>-5.66</v>
      </c>
      <c r="AB154" s="546">
        <v>918.1</v>
      </c>
      <c r="AC154" s="546">
        <v>30.2</v>
      </c>
      <c r="AD154" s="546">
        <v>29.1</v>
      </c>
      <c r="AE154" s="546">
        <v>23.44</v>
      </c>
      <c r="AF154" s="546">
        <v>22.34</v>
      </c>
    </row>
    <row r="155" spans="1:32" s="94" customFormat="1" x14ac:dyDescent="0.2">
      <c r="A155">
        <v>20.2</v>
      </c>
      <c r="B155">
        <v>34817.72</v>
      </c>
      <c r="C155">
        <v>-2.29</v>
      </c>
      <c r="D155">
        <v>6.51</v>
      </c>
      <c r="E155">
        <v>-2.5</v>
      </c>
      <c r="F155">
        <v>790.59</v>
      </c>
      <c r="G155">
        <v>24.82</v>
      </c>
      <c r="H155">
        <v>27.39</v>
      </c>
      <c r="I155">
        <v>18.309999999999999</v>
      </c>
      <c r="J155">
        <v>20.87</v>
      </c>
      <c r="K155" s="95"/>
      <c r="L155">
        <v>20.2</v>
      </c>
      <c r="M155">
        <v>34344.17</v>
      </c>
      <c r="N155">
        <v>-1.93</v>
      </c>
      <c r="O155">
        <v>6.56</v>
      </c>
      <c r="P155">
        <v>-2.4900000000000002</v>
      </c>
      <c r="Q155">
        <v>790.76</v>
      </c>
      <c r="R155">
        <v>25.12</v>
      </c>
      <c r="S155">
        <v>27.73</v>
      </c>
      <c r="T155">
        <v>18.559999999999999</v>
      </c>
      <c r="U155">
        <v>21.17</v>
      </c>
      <c r="V155" s="94">
        <f t="shared" si="3"/>
        <v>0.98639916686101203</v>
      </c>
      <c r="W155" s="546">
        <v>20.2</v>
      </c>
      <c r="X155" s="546">
        <v>34942.78</v>
      </c>
      <c r="Y155" s="546">
        <v>-1.45</v>
      </c>
      <c r="Z155" s="546">
        <v>6.8</v>
      </c>
      <c r="AA155" s="546">
        <v>-5.66</v>
      </c>
      <c r="AB155" s="546">
        <v>918.1</v>
      </c>
      <c r="AC155" s="546">
        <v>30.17</v>
      </c>
      <c r="AD155" s="546">
        <v>29.08</v>
      </c>
      <c r="AE155" s="546">
        <v>23.38</v>
      </c>
      <c r="AF155" s="546">
        <v>22.28</v>
      </c>
    </row>
    <row r="156" spans="1:32" s="94" customFormat="1" x14ac:dyDescent="0.2">
      <c r="A156">
        <v>20.3</v>
      </c>
      <c r="B156">
        <v>34898.76</v>
      </c>
      <c r="C156">
        <v>-2.29</v>
      </c>
      <c r="D156">
        <v>6.54</v>
      </c>
      <c r="E156">
        <v>-2.5</v>
      </c>
      <c r="F156">
        <v>790.59</v>
      </c>
      <c r="G156">
        <v>24.81</v>
      </c>
      <c r="H156">
        <v>27.37</v>
      </c>
      <c r="I156">
        <v>18.27</v>
      </c>
      <c r="J156">
        <v>20.83</v>
      </c>
      <c r="K156" s="95"/>
      <c r="L156">
        <v>20.3</v>
      </c>
      <c r="M156">
        <v>34425.21</v>
      </c>
      <c r="N156">
        <v>-1.93</v>
      </c>
      <c r="O156">
        <v>6.59</v>
      </c>
      <c r="P156">
        <v>-2.4900000000000002</v>
      </c>
      <c r="Q156">
        <v>790.76</v>
      </c>
      <c r="R156">
        <v>25.11</v>
      </c>
      <c r="S156">
        <v>27.71</v>
      </c>
      <c r="T156">
        <v>18.52</v>
      </c>
      <c r="U156">
        <v>21.12</v>
      </c>
      <c r="V156" s="94">
        <f t="shared" si="3"/>
        <v>0.98643074997507063</v>
      </c>
      <c r="W156" s="546">
        <v>20.3</v>
      </c>
      <c r="X156" s="546">
        <v>35036.89</v>
      </c>
      <c r="Y156" s="546">
        <v>-1.46</v>
      </c>
      <c r="Z156" s="546">
        <v>6.83</v>
      </c>
      <c r="AA156" s="546">
        <v>-5.66</v>
      </c>
      <c r="AB156" s="546">
        <v>918.1</v>
      </c>
      <c r="AC156" s="546">
        <v>30.15</v>
      </c>
      <c r="AD156" s="546">
        <v>29.06</v>
      </c>
      <c r="AE156" s="546">
        <v>23.32</v>
      </c>
      <c r="AF156" s="546">
        <v>22.22</v>
      </c>
    </row>
    <row r="157" spans="1:32" s="94" customFormat="1" x14ac:dyDescent="0.2">
      <c r="A157">
        <v>20.399999999999999</v>
      </c>
      <c r="B157">
        <v>34979.79</v>
      </c>
      <c r="C157">
        <v>-2.29</v>
      </c>
      <c r="D157">
        <v>6.58</v>
      </c>
      <c r="E157">
        <v>-2.5</v>
      </c>
      <c r="F157">
        <v>790.59</v>
      </c>
      <c r="G157">
        <v>24.8</v>
      </c>
      <c r="H157">
        <v>27.35</v>
      </c>
      <c r="I157">
        <v>18.23</v>
      </c>
      <c r="J157">
        <v>20.78</v>
      </c>
      <c r="K157" s="95"/>
      <c r="L157">
        <v>20.399999999999999</v>
      </c>
      <c r="M157">
        <v>34506.28</v>
      </c>
      <c r="N157">
        <v>-1.93</v>
      </c>
      <c r="O157">
        <v>6.62</v>
      </c>
      <c r="P157">
        <v>-2.4900000000000002</v>
      </c>
      <c r="Q157">
        <v>790.77</v>
      </c>
      <c r="R157">
        <v>25.1</v>
      </c>
      <c r="S157">
        <v>27.69</v>
      </c>
      <c r="T157">
        <v>18.48</v>
      </c>
      <c r="U157">
        <v>21.07</v>
      </c>
      <c r="V157" s="94">
        <f t="shared" si="3"/>
        <v>0.9864633263950412</v>
      </c>
      <c r="W157" s="546">
        <v>20.399999999999999</v>
      </c>
      <c r="X157" s="546">
        <v>35131</v>
      </c>
      <c r="Y157" s="546">
        <v>-1.47</v>
      </c>
      <c r="Z157" s="546">
        <v>6.87</v>
      </c>
      <c r="AA157" s="546">
        <v>-5.66</v>
      </c>
      <c r="AB157" s="546">
        <v>918.1</v>
      </c>
      <c r="AC157" s="546">
        <v>30.12</v>
      </c>
      <c r="AD157" s="546">
        <v>29.03</v>
      </c>
      <c r="AE157" s="546">
        <v>23.25</v>
      </c>
      <c r="AF157" s="546">
        <v>22.16</v>
      </c>
    </row>
    <row r="158" spans="1:32" s="94" customFormat="1" x14ac:dyDescent="0.2">
      <c r="A158">
        <v>20.5</v>
      </c>
      <c r="B158">
        <v>35060.839999999997</v>
      </c>
      <c r="C158">
        <v>-2.29</v>
      </c>
      <c r="D158">
        <v>6.61</v>
      </c>
      <c r="E158">
        <v>-2.5</v>
      </c>
      <c r="F158">
        <v>790.59</v>
      </c>
      <c r="G158">
        <v>24.79</v>
      </c>
      <c r="H158">
        <v>27.34</v>
      </c>
      <c r="I158">
        <v>18.18</v>
      </c>
      <c r="J158">
        <v>20.73</v>
      </c>
      <c r="K158" s="95"/>
      <c r="L158">
        <v>20.5</v>
      </c>
      <c r="M158">
        <v>34587.33</v>
      </c>
      <c r="N158">
        <v>-1.93</v>
      </c>
      <c r="O158">
        <v>6.66</v>
      </c>
      <c r="P158">
        <v>-2.4900000000000002</v>
      </c>
      <c r="Q158">
        <v>790.77</v>
      </c>
      <c r="R158">
        <v>25.09</v>
      </c>
      <c r="S158">
        <v>27.68</v>
      </c>
      <c r="T158">
        <v>18.43</v>
      </c>
      <c r="U158">
        <v>21.02</v>
      </c>
      <c r="V158" s="94">
        <f t="shared" si="3"/>
        <v>0.98649461906788327</v>
      </c>
      <c r="W158" s="546">
        <v>20.5</v>
      </c>
      <c r="X158" s="546">
        <v>35225.11</v>
      </c>
      <c r="Y158" s="546">
        <v>-1.48</v>
      </c>
      <c r="Z158" s="546">
        <v>6.9</v>
      </c>
      <c r="AA158" s="546">
        <v>-5.66</v>
      </c>
      <c r="AB158" s="546">
        <v>918.1</v>
      </c>
      <c r="AC158" s="546">
        <v>30.1</v>
      </c>
      <c r="AD158" s="546">
        <v>29.01</v>
      </c>
      <c r="AE158" s="546">
        <v>23.19</v>
      </c>
      <c r="AF158" s="546">
        <v>22.11</v>
      </c>
    </row>
    <row r="159" spans="1:32" s="94" customFormat="1" x14ac:dyDescent="0.2">
      <c r="A159">
        <v>20.6</v>
      </c>
      <c r="B159">
        <v>35141.879999999997</v>
      </c>
      <c r="C159">
        <v>-2.29</v>
      </c>
      <c r="D159">
        <v>6.64</v>
      </c>
      <c r="E159">
        <v>-2.5</v>
      </c>
      <c r="F159">
        <v>790.59</v>
      </c>
      <c r="G159">
        <v>24.78</v>
      </c>
      <c r="H159">
        <v>27.32</v>
      </c>
      <c r="I159">
        <v>18.14</v>
      </c>
      <c r="J159">
        <v>20.68</v>
      </c>
      <c r="K159" s="95"/>
      <c r="L159">
        <v>20.6</v>
      </c>
      <c r="M159">
        <v>34668.379999999997</v>
      </c>
      <c r="N159">
        <v>-1.93</v>
      </c>
      <c r="O159">
        <v>6.69</v>
      </c>
      <c r="P159">
        <v>-2.4900000000000002</v>
      </c>
      <c r="Q159">
        <v>790.77</v>
      </c>
      <c r="R159">
        <v>25.08</v>
      </c>
      <c r="S159">
        <v>27.66</v>
      </c>
      <c r="T159">
        <v>18.39</v>
      </c>
      <c r="U159">
        <v>20.97</v>
      </c>
      <c r="V159" s="94">
        <f t="shared" si="3"/>
        <v>0.98652604812263889</v>
      </c>
      <c r="W159" s="546">
        <v>20.6</v>
      </c>
      <c r="X159" s="546">
        <v>35319.199999999997</v>
      </c>
      <c r="Y159" s="546">
        <v>-1.49</v>
      </c>
      <c r="Z159" s="546">
        <v>6.94</v>
      </c>
      <c r="AA159" s="546">
        <v>-5.66</v>
      </c>
      <c r="AB159" s="546">
        <v>918.1</v>
      </c>
      <c r="AC159" s="546">
        <v>30.07</v>
      </c>
      <c r="AD159" s="546">
        <v>28.99</v>
      </c>
      <c r="AE159" s="546">
        <v>23.13</v>
      </c>
      <c r="AF159" s="546">
        <v>22.05</v>
      </c>
    </row>
    <row r="160" spans="1:32" s="94" customFormat="1" x14ac:dyDescent="0.2">
      <c r="A160">
        <v>20.7</v>
      </c>
      <c r="B160">
        <v>35222.910000000003</v>
      </c>
      <c r="C160">
        <v>-2.29</v>
      </c>
      <c r="D160">
        <v>6.67</v>
      </c>
      <c r="E160">
        <v>-2.5</v>
      </c>
      <c r="F160">
        <v>790.59</v>
      </c>
      <c r="G160">
        <v>24.77</v>
      </c>
      <c r="H160">
        <v>27.31</v>
      </c>
      <c r="I160">
        <v>18.100000000000001</v>
      </c>
      <c r="J160">
        <v>20.63</v>
      </c>
      <c r="K160" s="95"/>
      <c r="L160">
        <v>20.7</v>
      </c>
      <c r="M160">
        <v>34749.43</v>
      </c>
      <c r="N160">
        <v>-1.94</v>
      </c>
      <c r="O160">
        <v>6.72</v>
      </c>
      <c r="P160">
        <v>-2.4900000000000002</v>
      </c>
      <c r="Q160">
        <v>790.77</v>
      </c>
      <c r="R160">
        <v>25.07</v>
      </c>
      <c r="S160">
        <v>27.64</v>
      </c>
      <c r="T160">
        <v>18.350000000000001</v>
      </c>
      <c r="U160">
        <v>20.92</v>
      </c>
      <c r="V160" s="94">
        <f t="shared" si="3"/>
        <v>0.98655761264472464</v>
      </c>
      <c r="W160" s="546">
        <v>20.7</v>
      </c>
      <c r="X160" s="546">
        <v>35413.300000000003</v>
      </c>
      <c r="Y160" s="546">
        <v>-1.5</v>
      </c>
      <c r="Z160" s="546">
        <v>6.98</v>
      </c>
      <c r="AA160" s="546">
        <v>-5.66</v>
      </c>
      <c r="AB160" s="546">
        <v>918.1</v>
      </c>
      <c r="AC160" s="546">
        <v>30.05</v>
      </c>
      <c r="AD160" s="546">
        <v>28.96</v>
      </c>
      <c r="AE160" s="546">
        <v>23.07</v>
      </c>
      <c r="AF160" s="546">
        <v>21.99</v>
      </c>
    </row>
    <row r="161" spans="1:32" s="94" customFormat="1" x14ac:dyDescent="0.2">
      <c r="A161">
        <v>20.8</v>
      </c>
      <c r="B161">
        <v>35303.94</v>
      </c>
      <c r="C161">
        <v>-2.29</v>
      </c>
      <c r="D161">
        <v>6.7</v>
      </c>
      <c r="E161">
        <v>-2.5</v>
      </c>
      <c r="F161">
        <v>790.59</v>
      </c>
      <c r="G161">
        <v>24.76</v>
      </c>
      <c r="H161">
        <v>27.29</v>
      </c>
      <c r="I161">
        <v>18.059999999999999</v>
      </c>
      <c r="J161">
        <v>20.59</v>
      </c>
      <c r="K161" s="95"/>
      <c r="L161">
        <v>20.8</v>
      </c>
      <c r="M161">
        <v>34830.49</v>
      </c>
      <c r="N161">
        <v>-1.94</v>
      </c>
      <c r="O161">
        <v>6.75</v>
      </c>
      <c r="P161">
        <v>-2.4900000000000002</v>
      </c>
      <c r="Q161">
        <v>790.78</v>
      </c>
      <c r="R161">
        <v>25.06</v>
      </c>
      <c r="S161">
        <v>27.63</v>
      </c>
      <c r="T161">
        <v>18.309999999999999</v>
      </c>
      <c r="U161">
        <v>20.87</v>
      </c>
      <c r="V161" s="94">
        <f t="shared" si="3"/>
        <v>0.98658931552682205</v>
      </c>
      <c r="W161" s="546">
        <v>20.8</v>
      </c>
      <c r="X161" s="546">
        <v>35507.410000000003</v>
      </c>
      <c r="Y161" s="546">
        <v>-1.51</v>
      </c>
      <c r="Z161" s="546">
        <v>7.01</v>
      </c>
      <c r="AA161" s="546">
        <v>-5.66</v>
      </c>
      <c r="AB161" s="546">
        <v>918.1</v>
      </c>
      <c r="AC161" s="546">
        <v>30.02</v>
      </c>
      <c r="AD161" s="546">
        <v>28.94</v>
      </c>
      <c r="AE161" s="546">
        <v>23.01</v>
      </c>
      <c r="AF161" s="546">
        <v>21.93</v>
      </c>
    </row>
    <row r="162" spans="1:32" s="94" customFormat="1" x14ac:dyDescent="0.2">
      <c r="A162">
        <v>20.9</v>
      </c>
      <c r="B162">
        <v>35384.980000000003</v>
      </c>
      <c r="C162">
        <v>-2.29</v>
      </c>
      <c r="D162">
        <v>6.74</v>
      </c>
      <c r="E162">
        <v>-2.5</v>
      </c>
      <c r="F162">
        <v>790.59</v>
      </c>
      <c r="G162">
        <v>24.75</v>
      </c>
      <c r="H162">
        <v>27.28</v>
      </c>
      <c r="I162">
        <v>18.02</v>
      </c>
      <c r="J162">
        <v>20.54</v>
      </c>
      <c r="K162" s="95"/>
      <c r="L162">
        <v>20.9</v>
      </c>
      <c r="M162">
        <v>34911.54</v>
      </c>
      <c r="N162">
        <v>-1.94</v>
      </c>
      <c r="O162">
        <v>6.79</v>
      </c>
      <c r="P162">
        <v>-2.4900000000000002</v>
      </c>
      <c r="Q162">
        <v>790.78</v>
      </c>
      <c r="R162">
        <v>25.05</v>
      </c>
      <c r="S162">
        <v>27.61</v>
      </c>
      <c r="T162">
        <v>18.260000000000002</v>
      </c>
      <c r="U162">
        <v>20.82</v>
      </c>
      <c r="V162" s="94">
        <f t="shared" si="3"/>
        <v>0.9866203117820046</v>
      </c>
      <c r="W162" s="546">
        <v>20.9</v>
      </c>
      <c r="X162" s="546">
        <v>35601.51</v>
      </c>
      <c r="Y162" s="546">
        <v>-1.52</v>
      </c>
      <c r="Z162" s="546">
        <v>7.05</v>
      </c>
      <c r="AA162" s="546">
        <v>-5.66</v>
      </c>
      <c r="AB162" s="546">
        <v>918.1</v>
      </c>
      <c r="AC162" s="546">
        <v>30</v>
      </c>
      <c r="AD162" s="546">
        <v>28.92</v>
      </c>
      <c r="AE162" s="546">
        <v>22.95</v>
      </c>
      <c r="AF162" s="546">
        <v>21.87</v>
      </c>
    </row>
    <row r="163" spans="1:32" s="94" customFormat="1" x14ac:dyDescent="0.2">
      <c r="A163">
        <v>21</v>
      </c>
      <c r="B163">
        <v>35466.03</v>
      </c>
      <c r="C163">
        <v>-2.29</v>
      </c>
      <c r="D163">
        <v>6.77</v>
      </c>
      <c r="E163">
        <v>-2.5</v>
      </c>
      <c r="F163">
        <v>790.58</v>
      </c>
      <c r="G163">
        <v>24.75</v>
      </c>
      <c r="H163">
        <v>27.26</v>
      </c>
      <c r="I163">
        <v>17.98</v>
      </c>
      <c r="J163">
        <v>20.49</v>
      </c>
      <c r="K163" s="95"/>
      <c r="L163">
        <v>21</v>
      </c>
      <c r="M163">
        <v>34992.61</v>
      </c>
      <c r="N163">
        <v>-1.94</v>
      </c>
      <c r="O163">
        <v>6.82</v>
      </c>
      <c r="P163">
        <v>-2.4900000000000002</v>
      </c>
      <c r="Q163">
        <v>790.78</v>
      </c>
      <c r="R163">
        <v>25.04</v>
      </c>
      <c r="S163">
        <v>27.6</v>
      </c>
      <c r="T163">
        <v>18.22</v>
      </c>
      <c r="U163">
        <v>20.78</v>
      </c>
      <c r="V163" s="94">
        <f t="shared" si="3"/>
        <v>0.98665145210783389</v>
      </c>
      <c r="W163" s="546">
        <v>21</v>
      </c>
      <c r="X163" s="546">
        <v>35695.629999999997</v>
      </c>
      <c r="Y163" s="546">
        <v>-1.53</v>
      </c>
      <c r="Z163" s="546">
        <v>7.09</v>
      </c>
      <c r="AA163" s="546">
        <v>-5.66</v>
      </c>
      <c r="AB163" s="546">
        <v>918.1</v>
      </c>
      <c r="AC163" s="546">
        <v>29.97</v>
      </c>
      <c r="AD163" s="546">
        <v>28.9</v>
      </c>
      <c r="AE163" s="546">
        <v>22.89</v>
      </c>
      <c r="AF163" s="546">
        <v>21.81</v>
      </c>
    </row>
    <row r="164" spans="1:32" s="94" customFormat="1" x14ac:dyDescent="0.2">
      <c r="A164">
        <v>21.1</v>
      </c>
      <c r="B164">
        <v>35547.06</v>
      </c>
      <c r="C164">
        <v>-2.29</v>
      </c>
      <c r="D164">
        <v>6.8</v>
      </c>
      <c r="E164">
        <v>-2.5</v>
      </c>
      <c r="F164">
        <v>790.58</v>
      </c>
      <c r="G164">
        <v>24.74</v>
      </c>
      <c r="H164">
        <v>27.25</v>
      </c>
      <c r="I164">
        <v>17.93</v>
      </c>
      <c r="J164">
        <v>20.45</v>
      </c>
      <c r="K164" s="95"/>
      <c r="L164">
        <v>21.1</v>
      </c>
      <c r="M164">
        <v>35073.660000000003</v>
      </c>
      <c r="N164">
        <v>-1.94</v>
      </c>
      <c r="O164">
        <v>6.85</v>
      </c>
      <c r="P164">
        <v>-2.4900000000000002</v>
      </c>
      <c r="Q164">
        <v>790.78</v>
      </c>
      <c r="R164">
        <v>25.03</v>
      </c>
      <c r="S164">
        <v>27.58</v>
      </c>
      <c r="T164">
        <v>18.18</v>
      </c>
      <c r="U164">
        <v>20.73</v>
      </c>
      <c r="V164" s="94">
        <f t="shared" si="3"/>
        <v>0.98668244293620921</v>
      </c>
      <c r="W164" s="546">
        <v>21.1</v>
      </c>
      <c r="X164" s="546">
        <v>35789.74</v>
      </c>
      <c r="Y164" s="546">
        <v>-1.54</v>
      </c>
      <c r="Z164" s="546">
        <v>7.12</v>
      </c>
      <c r="AA164" s="546">
        <v>-5.66</v>
      </c>
      <c r="AB164" s="546">
        <v>918.1</v>
      </c>
      <c r="AC164" s="546">
        <v>29.95</v>
      </c>
      <c r="AD164" s="546">
        <v>28.88</v>
      </c>
      <c r="AE164" s="546">
        <v>22.83</v>
      </c>
      <c r="AF164" s="546">
        <v>21.76</v>
      </c>
    </row>
    <row r="165" spans="1:32" s="94" customFormat="1" x14ac:dyDescent="0.2">
      <c r="A165">
        <v>21.2</v>
      </c>
      <c r="B165">
        <v>35628.080000000002</v>
      </c>
      <c r="C165">
        <v>-2.29</v>
      </c>
      <c r="D165">
        <v>6.83</v>
      </c>
      <c r="E165">
        <v>-2.5</v>
      </c>
      <c r="F165">
        <v>790.58</v>
      </c>
      <c r="G165">
        <v>24.73</v>
      </c>
      <c r="H165">
        <v>27.23</v>
      </c>
      <c r="I165">
        <v>17.89</v>
      </c>
      <c r="J165">
        <v>20.399999999999999</v>
      </c>
      <c r="K165" s="95"/>
      <c r="L165">
        <v>21.2</v>
      </c>
      <c r="M165">
        <v>35154.730000000003</v>
      </c>
      <c r="N165">
        <v>-1.94</v>
      </c>
      <c r="O165">
        <v>6.89</v>
      </c>
      <c r="P165">
        <v>-2.4900000000000002</v>
      </c>
      <c r="Q165">
        <v>790.79</v>
      </c>
      <c r="R165">
        <v>25.02</v>
      </c>
      <c r="S165">
        <v>27.57</v>
      </c>
      <c r="T165">
        <v>18.14</v>
      </c>
      <c r="U165">
        <v>20.68</v>
      </c>
      <c r="V165" s="94">
        <f t="shared" si="3"/>
        <v>0.98671413110108663</v>
      </c>
      <c r="W165" s="546">
        <v>21.2</v>
      </c>
      <c r="X165" s="546">
        <v>35883.839999999997</v>
      </c>
      <c r="Y165" s="546">
        <v>-1.56</v>
      </c>
      <c r="Z165" s="546">
        <v>7.16</v>
      </c>
      <c r="AA165" s="546">
        <v>-5.66</v>
      </c>
      <c r="AB165" s="546">
        <v>918.1</v>
      </c>
      <c r="AC165" s="546">
        <v>29.93</v>
      </c>
      <c r="AD165" s="546">
        <v>28.86</v>
      </c>
      <c r="AE165" s="546">
        <v>22.77</v>
      </c>
      <c r="AF165" s="546">
        <v>21.7</v>
      </c>
    </row>
    <row r="166" spans="1:32" s="94" customFormat="1" x14ac:dyDescent="0.2">
      <c r="A166">
        <v>21.3</v>
      </c>
      <c r="B166">
        <v>35709.089999999997</v>
      </c>
      <c r="C166">
        <v>-2.29</v>
      </c>
      <c r="D166">
        <v>6.87</v>
      </c>
      <c r="E166">
        <v>-2.5</v>
      </c>
      <c r="F166">
        <v>790.58</v>
      </c>
      <c r="G166">
        <v>24.72</v>
      </c>
      <c r="H166">
        <v>27.22</v>
      </c>
      <c r="I166">
        <v>17.850000000000001</v>
      </c>
      <c r="J166">
        <v>20.350000000000001</v>
      </c>
      <c r="K166" s="95"/>
      <c r="L166">
        <v>21.3</v>
      </c>
      <c r="M166">
        <v>35235.769999999997</v>
      </c>
      <c r="N166">
        <v>-1.94</v>
      </c>
      <c r="O166">
        <v>6.92</v>
      </c>
      <c r="P166">
        <v>-2.4900000000000002</v>
      </c>
      <c r="Q166">
        <v>790.79</v>
      </c>
      <c r="R166">
        <v>25.01</v>
      </c>
      <c r="S166">
        <v>27.55</v>
      </c>
      <c r="T166">
        <v>18.100000000000001</v>
      </c>
      <c r="U166">
        <v>20.63</v>
      </c>
      <c r="V166" s="94">
        <f t="shared" si="3"/>
        <v>0.98674511167884704</v>
      </c>
      <c r="W166" s="546">
        <v>21.3</v>
      </c>
      <c r="X166" s="546">
        <v>35977.949999999997</v>
      </c>
      <c r="Y166" s="546">
        <v>-1.57</v>
      </c>
      <c r="Z166" s="546">
        <v>7.2</v>
      </c>
      <c r="AA166" s="546">
        <v>-5.66</v>
      </c>
      <c r="AB166" s="546">
        <v>918.1</v>
      </c>
      <c r="AC166" s="546">
        <v>29.9</v>
      </c>
      <c r="AD166" s="546">
        <v>28.84</v>
      </c>
      <c r="AE166" s="546">
        <v>22.71</v>
      </c>
      <c r="AF166" s="546">
        <v>21.64</v>
      </c>
    </row>
    <row r="167" spans="1:32" s="94" customFormat="1" x14ac:dyDescent="0.2">
      <c r="A167">
        <v>21.4</v>
      </c>
      <c r="B167">
        <v>35790.18</v>
      </c>
      <c r="C167">
        <v>-2.29</v>
      </c>
      <c r="D167">
        <v>6.9</v>
      </c>
      <c r="E167">
        <v>-2.5</v>
      </c>
      <c r="F167">
        <v>790.58</v>
      </c>
      <c r="G167">
        <v>24.71</v>
      </c>
      <c r="H167">
        <v>27.21</v>
      </c>
      <c r="I167">
        <v>17.809999999999999</v>
      </c>
      <c r="J167">
        <v>20.309999999999999</v>
      </c>
      <c r="K167" s="95"/>
      <c r="L167">
        <v>21.4</v>
      </c>
      <c r="M167">
        <v>35316.82</v>
      </c>
      <c r="N167">
        <v>-1.94</v>
      </c>
      <c r="O167">
        <v>6.95</v>
      </c>
      <c r="P167">
        <v>-2.4900000000000002</v>
      </c>
      <c r="Q167">
        <v>790.79</v>
      </c>
      <c r="R167">
        <v>25.01</v>
      </c>
      <c r="S167">
        <v>27.54</v>
      </c>
      <c r="T167">
        <v>18.05</v>
      </c>
      <c r="U167">
        <v>20.59</v>
      </c>
      <c r="V167" s="94">
        <f t="shared" si="3"/>
        <v>0.98677402572437467</v>
      </c>
      <c r="W167" s="546">
        <v>21.4</v>
      </c>
      <c r="X167" s="546">
        <v>36072.050000000003</v>
      </c>
      <c r="Y167" s="546">
        <v>-1.58</v>
      </c>
      <c r="Z167" s="546">
        <v>7.23</v>
      </c>
      <c r="AA167" s="546">
        <v>-5.66</v>
      </c>
      <c r="AB167" s="546">
        <v>918.1</v>
      </c>
      <c r="AC167" s="546">
        <v>29.88</v>
      </c>
      <c r="AD167" s="546">
        <v>28.82</v>
      </c>
      <c r="AE167" s="546">
        <v>22.65</v>
      </c>
      <c r="AF167" s="546">
        <v>21.59</v>
      </c>
    </row>
    <row r="168" spans="1:32" s="94" customFormat="1" x14ac:dyDescent="0.2">
      <c r="A168">
        <v>21.5</v>
      </c>
      <c r="B168">
        <v>35871.199999999997</v>
      </c>
      <c r="C168">
        <v>-2.29</v>
      </c>
      <c r="D168">
        <v>6.93</v>
      </c>
      <c r="E168">
        <v>-2.5</v>
      </c>
      <c r="F168">
        <v>790.58</v>
      </c>
      <c r="G168">
        <v>24.71</v>
      </c>
      <c r="H168">
        <v>27.19</v>
      </c>
      <c r="I168">
        <v>17.77</v>
      </c>
      <c r="J168">
        <v>20.260000000000002</v>
      </c>
      <c r="K168" s="95"/>
      <c r="L168">
        <v>21.5</v>
      </c>
      <c r="M168">
        <v>35397.870000000003</v>
      </c>
      <c r="N168">
        <v>-1.95</v>
      </c>
      <c r="O168">
        <v>6.99</v>
      </c>
      <c r="P168">
        <v>-2.4900000000000002</v>
      </c>
      <c r="Q168">
        <v>790.79</v>
      </c>
      <c r="R168">
        <v>25</v>
      </c>
      <c r="S168">
        <v>27.52</v>
      </c>
      <c r="T168">
        <v>18.010000000000002</v>
      </c>
      <c r="U168">
        <v>20.54</v>
      </c>
      <c r="V168" s="94">
        <f t="shared" si="3"/>
        <v>0.98680473471754515</v>
      </c>
      <c r="W168" s="546">
        <v>21.5</v>
      </c>
      <c r="X168" s="546">
        <v>36166.160000000003</v>
      </c>
      <c r="Y168" s="546">
        <v>-1.59</v>
      </c>
      <c r="Z168" s="546">
        <v>7.27</v>
      </c>
      <c r="AA168" s="546">
        <v>-5.66</v>
      </c>
      <c r="AB168" s="546">
        <v>918.1</v>
      </c>
      <c r="AC168" s="546">
        <v>29.86</v>
      </c>
      <c r="AD168" s="546">
        <v>28.8</v>
      </c>
      <c r="AE168" s="546">
        <v>22.59</v>
      </c>
      <c r="AF168" s="546">
        <v>21.53</v>
      </c>
    </row>
    <row r="169" spans="1:32" s="94" customFormat="1" x14ac:dyDescent="0.2">
      <c r="A169">
        <v>21.6</v>
      </c>
      <c r="B169">
        <v>35952.21</v>
      </c>
      <c r="C169">
        <v>-2.29</v>
      </c>
      <c r="D169">
        <v>6.97</v>
      </c>
      <c r="E169">
        <v>-2.5</v>
      </c>
      <c r="F169">
        <v>790.58</v>
      </c>
      <c r="G169">
        <v>24.7</v>
      </c>
      <c r="H169">
        <v>27.18</v>
      </c>
      <c r="I169">
        <v>17.73</v>
      </c>
      <c r="J169">
        <v>20.22</v>
      </c>
      <c r="K169" s="95"/>
      <c r="L169">
        <v>21.6</v>
      </c>
      <c r="M169">
        <v>35478.93</v>
      </c>
      <c r="N169">
        <v>-1.95</v>
      </c>
      <c r="O169">
        <v>7.02</v>
      </c>
      <c r="P169">
        <v>-2.4900000000000002</v>
      </c>
      <c r="Q169">
        <v>790.8</v>
      </c>
      <c r="R169">
        <v>24.99</v>
      </c>
      <c r="S169">
        <v>27.51</v>
      </c>
      <c r="T169">
        <v>17.97</v>
      </c>
      <c r="U169">
        <v>20.49</v>
      </c>
      <c r="V169" s="94">
        <f t="shared" si="3"/>
        <v>0.98683585793474171</v>
      </c>
      <c r="W169" s="546">
        <v>21.6</v>
      </c>
      <c r="X169" s="546">
        <v>36260.269999999997</v>
      </c>
      <c r="Y169" s="546">
        <v>-1.6</v>
      </c>
      <c r="Z169" s="546">
        <v>7.31</v>
      </c>
      <c r="AA169" s="546">
        <v>-5.66</v>
      </c>
      <c r="AB169" s="546">
        <v>918.1</v>
      </c>
      <c r="AC169" s="546">
        <v>29.84</v>
      </c>
      <c r="AD169" s="546">
        <v>28.78</v>
      </c>
      <c r="AE169" s="546">
        <v>22.53</v>
      </c>
      <c r="AF169" s="546">
        <v>21.47</v>
      </c>
    </row>
    <row r="170" spans="1:32" s="94" customFormat="1" x14ac:dyDescent="0.2">
      <c r="A170">
        <v>21.7</v>
      </c>
      <c r="B170">
        <v>36033.25</v>
      </c>
      <c r="C170">
        <v>-2.29</v>
      </c>
      <c r="D170">
        <v>7</v>
      </c>
      <c r="E170">
        <v>-2.5</v>
      </c>
      <c r="F170">
        <v>790.58</v>
      </c>
      <c r="G170">
        <v>24.69</v>
      </c>
      <c r="H170">
        <v>27.17</v>
      </c>
      <c r="I170">
        <v>17.690000000000001</v>
      </c>
      <c r="J170">
        <v>20.170000000000002</v>
      </c>
      <c r="K170" s="95"/>
      <c r="L170">
        <v>21.7</v>
      </c>
      <c r="M170">
        <v>35560</v>
      </c>
      <c r="N170">
        <v>-1.95</v>
      </c>
      <c r="O170">
        <v>7.05</v>
      </c>
      <c r="P170">
        <v>-2.4900000000000002</v>
      </c>
      <c r="Q170">
        <v>790.8</v>
      </c>
      <c r="R170">
        <v>24.98</v>
      </c>
      <c r="S170">
        <v>27.5</v>
      </c>
      <c r="T170">
        <v>17.93</v>
      </c>
      <c r="U170">
        <v>20.440000000000001</v>
      </c>
      <c r="V170" s="94">
        <f t="shared" si="3"/>
        <v>0.98686629710059459</v>
      </c>
      <c r="W170" s="546">
        <v>21.7</v>
      </c>
      <c r="X170" s="546">
        <v>36354.370000000003</v>
      </c>
      <c r="Y170" s="546">
        <v>-1.61</v>
      </c>
      <c r="Z170" s="546">
        <v>7.34</v>
      </c>
      <c r="AA170" s="546">
        <v>-5.66</v>
      </c>
      <c r="AB170" s="546">
        <v>918.1</v>
      </c>
      <c r="AC170" s="546">
        <v>29.82</v>
      </c>
      <c r="AD170" s="546">
        <v>28.76</v>
      </c>
      <c r="AE170" s="546">
        <v>22.47</v>
      </c>
      <c r="AF170" s="546">
        <v>21.42</v>
      </c>
    </row>
    <row r="171" spans="1:32" s="94" customFormat="1" x14ac:dyDescent="0.2">
      <c r="A171">
        <v>21.8</v>
      </c>
      <c r="B171">
        <v>36114.29</v>
      </c>
      <c r="C171">
        <v>-2.29</v>
      </c>
      <c r="D171">
        <v>7.03</v>
      </c>
      <c r="E171">
        <v>-2.5</v>
      </c>
      <c r="F171">
        <v>790.58</v>
      </c>
      <c r="G171">
        <v>24.68</v>
      </c>
      <c r="H171">
        <v>27.16</v>
      </c>
      <c r="I171">
        <v>17.649999999999999</v>
      </c>
      <c r="J171">
        <v>20.13</v>
      </c>
      <c r="K171" s="95"/>
      <c r="L171">
        <v>21.8</v>
      </c>
      <c r="M171">
        <v>35641.040000000001</v>
      </c>
      <c r="N171">
        <v>-1.95</v>
      </c>
      <c r="O171">
        <v>7.09</v>
      </c>
      <c r="P171">
        <v>-2.4900000000000002</v>
      </c>
      <c r="Q171">
        <v>790.8</v>
      </c>
      <c r="R171">
        <v>24.97</v>
      </c>
      <c r="S171">
        <v>27.48</v>
      </c>
      <c r="T171">
        <v>17.89</v>
      </c>
      <c r="U171">
        <v>20.399999999999999</v>
      </c>
      <c r="V171" s="94">
        <f t="shared" si="3"/>
        <v>0.98689576896015396</v>
      </c>
      <c r="W171" s="546">
        <v>21.8</v>
      </c>
      <c r="X171" s="546">
        <v>36448.480000000003</v>
      </c>
      <c r="Y171" s="546">
        <v>-1.62</v>
      </c>
      <c r="Z171" s="546">
        <v>7.38</v>
      </c>
      <c r="AA171" s="546">
        <v>-5.66</v>
      </c>
      <c r="AB171" s="546">
        <v>918.1</v>
      </c>
      <c r="AC171" s="546">
        <v>29.8</v>
      </c>
      <c r="AD171" s="546">
        <v>28.75</v>
      </c>
      <c r="AE171" s="546">
        <v>22.41</v>
      </c>
      <c r="AF171" s="546">
        <v>21.36</v>
      </c>
    </row>
    <row r="172" spans="1:32" s="94" customFormat="1" x14ac:dyDescent="0.2">
      <c r="A172">
        <v>21.9</v>
      </c>
      <c r="B172">
        <v>36195.32</v>
      </c>
      <c r="C172">
        <v>-2.29</v>
      </c>
      <c r="D172">
        <v>7.07</v>
      </c>
      <c r="E172">
        <v>-2.5</v>
      </c>
      <c r="F172">
        <v>790.58</v>
      </c>
      <c r="G172">
        <v>24.68</v>
      </c>
      <c r="H172">
        <v>27.15</v>
      </c>
      <c r="I172">
        <v>17.61</v>
      </c>
      <c r="J172">
        <v>20.079999999999998</v>
      </c>
      <c r="K172" s="95"/>
      <c r="L172">
        <v>21.9</v>
      </c>
      <c r="M172">
        <v>35722.11</v>
      </c>
      <c r="N172">
        <v>-1.95</v>
      </c>
      <c r="O172">
        <v>7.12</v>
      </c>
      <c r="P172">
        <v>-2.4900000000000002</v>
      </c>
      <c r="Q172">
        <v>790.8</v>
      </c>
      <c r="R172">
        <v>24.97</v>
      </c>
      <c r="S172">
        <v>27.47</v>
      </c>
      <c r="T172">
        <v>17.850000000000001</v>
      </c>
      <c r="U172">
        <v>20.350000000000001</v>
      </c>
      <c r="V172" s="94">
        <f t="shared" si="3"/>
        <v>0.9869262103498464</v>
      </c>
      <c r="W172" s="546">
        <v>21.9</v>
      </c>
      <c r="X172" s="546">
        <v>36542.58</v>
      </c>
      <c r="Y172" s="546">
        <v>-1.63</v>
      </c>
      <c r="Z172" s="546">
        <v>7.42</v>
      </c>
      <c r="AA172" s="546">
        <v>-5.66</v>
      </c>
      <c r="AB172" s="546">
        <v>918.1</v>
      </c>
      <c r="AC172" s="546">
        <v>29.78</v>
      </c>
      <c r="AD172" s="546">
        <v>28.73</v>
      </c>
      <c r="AE172" s="546">
        <v>22.36</v>
      </c>
      <c r="AF172" s="546">
        <v>21.31</v>
      </c>
    </row>
    <row r="173" spans="1:32" s="94" customFormat="1" x14ac:dyDescent="0.2">
      <c r="A173">
        <v>22</v>
      </c>
      <c r="B173">
        <v>36276.36</v>
      </c>
      <c r="C173">
        <v>-2.29</v>
      </c>
      <c r="D173">
        <v>7.1</v>
      </c>
      <c r="E173">
        <v>-2.5</v>
      </c>
      <c r="F173">
        <v>790.58</v>
      </c>
      <c r="G173">
        <v>24.67</v>
      </c>
      <c r="H173">
        <v>27.13</v>
      </c>
      <c r="I173">
        <v>17.57</v>
      </c>
      <c r="J173">
        <v>20.04</v>
      </c>
      <c r="K173" s="95"/>
      <c r="L173">
        <v>22</v>
      </c>
      <c r="M173">
        <v>35803.18</v>
      </c>
      <c r="N173">
        <v>-1.95</v>
      </c>
      <c r="O173">
        <v>7.15</v>
      </c>
      <c r="P173">
        <v>-2.4900000000000002</v>
      </c>
      <c r="Q173">
        <v>790.8</v>
      </c>
      <c r="R173">
        <v>24.96</v>
      </c>
      <c r="S173">
        <v>27.46</v>
      </c>
      <c r="T173">
        <v>17.809999999999999</v>
      </c>
      <c r="U173">
        <v>20.309999999999999</v>
      </c>
      <c r="V173" s="94">
        <f t="shared" si="3"/>
        <v>0.98695624368045742</v>
      </c>
      <c r="W173" s="546">
        <v>22</v>
      </c>
      <c r="X173" s="546">
        <v>36636.69</v>
      </c>
      <c r="Y173" s="546">
        <v>-1.64</v>
      </c>
      <c r="Z173" s="546">
        <v>7.46</v>
      </c>
      <c r="AA173" s="546">
        <v>-5.66</v>
      </c>
      <c r="AB173" s="546">
        <v>918.1</v>
      </c>
      <c r="AC173" s="546">
        <v>29.76</v>
      </c>
      <c r="AD173" s="546">
        <v>28.71</v>
      </c>
      <c r="AE173" s="546">
        <v>22.3</v>
      </c>
      <c r="AF173" s="546">
        <v>21.25</v>
      </c>
    </row>
    <row r="174" spans="1:32" s="94" customFormat="1" x14ac:dyDescent="0.2">
      <c r="A174">
        <v>22.1</v>
      </c>
      <c r="B174">
        <v>36357.370000000003</v>
      </c>
      <c r="C174">
        <v>-2.29</v>
      </c>
      <c r="D174">
        <v>7.13</v>
      </c>
      <c r="E174">
        <v>-2.5</v>
      </c>
      <c r="F174">
        <v>790.58</v>
      </c>
      <c r="G174">
        <v>24.67</v>
      </c>
      <c r="H174">
        <v>27.12</v>
      </c>
      <c r="I174">
        <v>17.53</v>
      </c>
      <c r="J174">
        <v>19.989999999999998</v>
      </c>
      <c r="K174" s="95"/>
      <c r="L174">
        <v>22.1</v>
      </c>
      <c r="M174">
        <v>35884.22</v>
      </c>
      <c r="N174">
        <v>-1.95</v>
      </c>
      <c r="O174">
        <v>7.19</v>
      </c>
      <c r="P174">
        <v>-2.4900000000000002</v>
      </c>
      <c r="Q174">
        <v>790.81</v>
      </c>
      <c r="R174">
        <v>24.95</v>
      </c>
      <c r="S174">
        <v>27.45</v>
      </c>
      <c r="T174">
        <v>17.77</v>
      </c>
      <c r="U174">
        <v>20.260000000000002</v>
      </c>
      <c r="V174" s="94">
        <f t="shared" si="3"/>
        <v>0.98698613238526323</v>
      </c>
      <c r="W174" s="546">
        <v>22.1</v>
      </c>
      <c r="X174" s="546">
        <v>36730.78</v>
      </c>
      <c r="Y174" s="546">
        <v>-1.65</v>
      </c>
      <c r="Z174" s="546">
        <v>7.49</v>
      </c>
      <c r="AA174" s="546">
        <v>-5.66</v>
      </c>
      <c r="AB174" s="546">
        <v>918.1</v>
      </c>
      <c r="AC174" s="546">
        <v>29.74</v>
      </c>
      <c r="AD174" s="546">
        <v>28.69</v>
      </c>
      <c r="AE174" s="546">
        <v>22.24</v>
      </c>
      <c r="AF174" s="546">
        <v>21.2</v>
      </c>
    </row>
    <row r="175" spans="1:32" s="94" customFormat="1" x14ac:dyDescent="0.2">
      <c r="A175">
        <v>22.2</v>
      </c>
      <c r="B175">
        <v>36438.44</v>
      </c>
      <c r="C175">
        <v>-2.29</v>
      </c>
      <c r="D175">
        <v>7.17</v>
      </c>
      <c r="E175">
        <v>-2.5</v>
      </c>
      <c r="F175">
        <v>790.58</v>
      </c>
      <c r="G175">
        <v>24.66</v>
      </c>
      <c r="H175">
        <v>27.11</v>
      </c>
      <c r="I175">
        <v>17.5</v>
      </c>
      <c r="J175">
        <v>19.95</v>
      </c>
      <c r="K175" s="95"/>
      <c r="L175">
        <v>22.2</v>
      </c>
      <c r="M175">
        <v>35965.279999999999</v>
      </c>
      <c r="N175">
        <v>-1.95</v>
      </c>
      <c r="O175">
        <v>7.22</v>
      </c>
      <c r="P175">
        <v>-2.4900000000000002</v>
      </c>
      <c r="Q175">
        <v>790.81</v>
      </c>
      <c r="R175">
        <v>24.95</v>
      </c>
      <c r="S175">
        <v>27.43</v>
      </c>
      <c r="T175">
        <v>17.73</v>
      </c>
      <c r="U175">
        <v>20.21</v>
      </c>
      <c r="V175" s="94">
        <f t="shared" si="3"/>
        <v>0.98701481183058326</v>
      </c>
      <c r="W175" s="546">
        <v>22.2</v>
      </c>
      <c r="X175" s="546">
        <v>36824.89</v>
      </c>
      <c r="Y175" s="546">
        <v>-1.66</v>
      </c>
      <c r="Z175" s="546">
        <v>7.53</v>
      </c>
      <c r="AA175" s="546">
        <v>-5.66</v>
      </c>
      <c r="AB175" s="546">
        <v>918.1</v>
      </c>
      <c r="AC175" s="546">
        <v>29.72</v>
      </c>
      <c r="AD175" s="546">
        <v>28.68</v>
      </c>
      <c r="AE175" s="546">
        <v>22.18</v>
      </c>
      <c r="AF175" s="546">
        <v>21.15</v>
      </c>
    </row>
    <row r="176" spans="1:32" s="94" customFormat="1" x14ac:dyDescent="0.2">
      <c r="A176">
        <v>22.3</v>
      </c>
      <c r="B176">
        <v>36519.480000000003</v>
      </c>
      <c r="C176">
        <v>-2.2999999999999998</v>
      </c>
      <c r="D176">
        <v>7.2</v>
      </c>
      <c r="E176">
        <v>-2.5</v>
      </c>
      <c r="F176">
        <v>790.58</v>
      </c>
      <c r="G176">
        <v>24.66</v>
      </c>
      <c r="H176">
        <v>27.1</v>
      </c>
      <c r="I176">
        <v>17.46</v>
      </c>
      <c r="J176">
        <v>19.899999999999999</v>
      </c>
      <c r="K176" s="95"/>
      <c r="L176">
        <v>22.3</v>
      </c>
      <c r="M176">
        <v>36046.339999999997</v>
      </c>
      <c r="N176">
        <v>-1.96</v>
      </c>
      <c r="O176">
        <v>7.25</v>
      </c>
      <c r="P176">
        <v>-2.4900000000000002</v>
      </c>
      <c r="Q176">
        <v>790.81</v>
      </c>
      <c r="R176">
        <v>24.94</v>
      </c>
      <c r="S176">
        <v>27.42</v>
      </c>
      <c r="T176">
        <v>17.690000000000001</v>
      </c>
      <c r="U176">
        <v>20.170000000000002</v>
      </c>
      <c r="V176" s="94">
        <f t="shared" si="3"/>
        <v>0.9870441747801445</v>
      </c>
      <c r="W176" s="546">
        <v>22.3</v>
      </c>
      <c r="X176" s="546">
        <v>36919</v>
      </c>
      <c r="Y176" s="546">
        <v>-1.67</v>
      </c>
      <c r="Z176" s="546">
        <v>7.57</v>
      </c>
      <c r="AA176" s="546">
        <v>-5.66</v>
      </c>
      <c r="AB176" s="546">
        <v>918.1</v>
      </c>
      <c r="AC176" s="546">
        <v>29.7</v>
      </c>
      <c r="AD176" s="546">
        <v>28.66</v>
      </c>
      <c r="AE176" s="546">
        <v>22.13</v>
      </c>
      <c r="AF176" s="546">
        <v>21.09</v>
      </c>
    </row>
    <row r="177" spans="1:32" s="94" customFormat="1" x14ac:dyDescent="0.2">
      <c r="A177">
        <v>22.4</v>
      </c>
      <c r="B177">
        <v>36600.5</v>
      </c>
      <c r="C177">
        <v>-2.2999999999999998</v>
      </c>
      <c r="D177">
        <v>7.23</v>
      </c>
      <c r="E177">
        <v>-2.5</v>
      </c>
      <c r="F177">
        <v>790.58</v>
      </c>
      <c r="G177">
        <v>24.65</v>
      </c>
      <c r="H177">
        <v>27.09</v>
      </c>
      <c r="I177">
        <v>17.420000000000002</v>
      </c>
      <c r="J177">
        <v>19.86</v>
      </c>
      <c r="K177" s="95"/>
      <c r="L177">
        <v>22.4</v>
      </c>
      <c r="M177">
        <v>36127.39</v>
      </c>
      <c r="N177">
        <v>-1.96</v>
      </c>
      <c r="O177">
        <v>7.29</v>
      </c>
      <c r="P177">
        <v>-2.4900000000000002</v>
      </c>
      <c r="Q177">
        <v>790.81</v>
      </c>
      <c r="R177">
        <v>24.94</v>
      </c>
      <c r="S177">
        <v>27.41</v>
      </c>
      <c r="T177">
        <v>17.649999999999999</v>
      </c>
      <c r="U177">
        <v>20.12</v>
      </c>
      <c r="V177" s="94">
        <f t="shared" si="3"/>
        <v>0.98707367385691447</v>
      </c>
      <c r="W177" s="546">
        <v>22.4</v>
      </c>
      <c r="X177" s="546">
        <v>37013.089999999997</v>
      </c>
      <c r="Y177" s="546">
        <v>-1.68</v>
      </c>
      <c r="Z177" s="546">
        <v>7.61</v>
      </c>
      <c r="AA177" s="546">
        <v>-5.66</v>
      </c>
      <c r="AB177" s="546">
        <v>918.1</v>
      </c>
      <c r="AC177" s="546">
        <v>29.68</v>
      </c>
      <c r="AD177" s="546">
        <v>28.64</v>
      </c>
      <c r="AE177" s="546">
        <v>22.07</v>
      </c>
      <c r="AF177" s="546">
        <v>21.04</v>
      </c>
    </row>
    <row r="178" spans="1:32" s="94" customFormat="1" x14ac:dyDescent="0.2">
      <c r="A178">
        <v>22.5</v>
      </c>
      <c r="B178">
        <v>36681.53</v>
      </c>
      <c r="C178">
        <v>-2.2999999999999998</v>
      </c>
      <c r="D178">
        <v>7.27</v>
      </c>
      <c r="E178">
        <v>-2.5</v>
      </c>
      <c r="F178">
        <v>790.58</v>
      </c>
      <c r="G178">
        <v>24.65</v>
      </c>
      <c r="H178">
        <v>27.08</v>
      </c>
      <c r="I178">
        <v>17.38</v>
      </c>
      <c r="J178">
        <v>19.809999999999999</v>
      </c>
      <c r="K178" s="95"/>
      <c r="L178">
        <v>22.5</v>
      </c>
      <c r="M178">
        <v>36208.449999999997</v>
      </c>
      <c r="N178">
        <v>-1.96</v>
      </c>
      <c r="O178">
        <v>7.32</v>
      </c>
      <c r="P178">
        <v>-2.4900000000000002</v>
      </c>
      <c r="Q178">
        <v>790.82</v>
      </c>
      <c r="R178">
        <v>24.93</v>
      </c>
      <c r="S178">
        <v>27.4</v>
      </c>
      <c r="T178">
        <v>17.61</v>
      </c>
      <c r="U178">
        <v>20.079999999999998</v>
      </c>
      <c r="V178" s="94">
        <f t="shared" si="3"/>
        <v>0.98710304613793365</v>
      </c>
      <c r="W178" s="546">
        <v>22.5</v>
      </c>
      <c r="X178" s="546">
        <v>37107.230000000003</v>
      </c>
      <c r="Y178" s="546">
        <v>-1.69</v>
      </c>
      <c r="Z178" s="546">
        <v>7.64</v>
      </c>
      <c r="AA178" s="546">
        <v>-5.66</v>
      </c>
      <c r="AB178" s="546">
        <v>918.1</v>
      </c>
      <c r="AC178" s="546">
        <v>29.66</v>
      </c>
      <c r="AD178" s="546">
        <v>28.63</v>
      </c>
      <c r="AE178" s="546">
        <v>22.02</v>
      </c>
      <c r="AF178" s="546">
        <v>20.98</v>
      </c>
    </row>
    <row r="179" spans="1:32" s="94" customFormat="1" x14ac:dyDescent="0.2">
      <c r="A179">
        <v>22.6</v>
      </c>
      <c r="B179">
        <v>36762.57</v>
      </c>
      <c r="C179">
        <v>-2.2999999999999998</v>
      </c>
      <c r="D179">
        <v>7.3</v>
      </c>
      <c r="E179">
        <v>-2.5</v>
      </c>
      <c r="F179">
        <v>790.57</v>
      </c>
      <c r="G179">
        <v>24.64</v>
      </c>
      <c r="H179">
        <v>27.07</v>
      </c>
      <c r="I179">
        <v>17.34</v>
      </c>
      <c r="J179">
        <v>19.77</v>
      </c>
      <c r="K179" s="95"/>
      <c r="L179">
        <v>22.6</v>
      </c>
      <c r="M179">
        <v>36289.519999999997</v>
      </c>
      <c r="N179">
        <v>-1.96</v>
      </c>
      <c r="O179">
        <v>7.36</v>
      </c>
      <c r="P179">
        <v>-2.4900000000000002</v>
      </c>
      <c r="Q179">
        <v>790.82</v>
      </c>
      <c r="R179">
        <v>24.93</v>
      </c>
      <c r="S179">
        <v>27.39</v>
      </c>
      <c r="T179">
        <v>17.57</v>
      </c>
      <c r="U179">
        <v>20.03</v>
      </c>
      <c r="V179" s="94">
        <f t="shared" si="3"/>
        <v>0.98713229243766143</v>
      </c>
      <c r="W179" s="546">
        <v>22.6</v>
      </c>
      <c r="X179" s="546">
        <v>37201.32</v>
      </c>
      <c r="Y179" s="546">
        <v>-1.7</v>
      </c>
      <c r="Z179" s="546">
        <v>7.68</v>
      </c>
      <c r="AA179" s="546">
        <v>-5.66</v>
      </c>
      <c r="AB179" s="546">
        <v>918.1</v>
      </c>
      <c r="AC179" s="546">
        <v>29.64</v>
      </c>
      <c r="AD179" s="546">
        <v>28.61</v>
      </c>
      <c r="AE179" s="546">
        <v>21.96</v>
      </c>
      <c r="AF179" s="546">
        <v>20.93</v>
      </c>
    </row>
    <row r="180" spans="1:32" s="94" customFormat="1" x14ac:dyDescent="0.2">
      <c r="A180">
        <v>22.7</v>
      </c>
      <c r="B180">
        <v>36843.589999999997</v>
      </c>
      <c r="C180">
        <v>-2.2999999999999998</v>
      </c>
      <c r="D180">
        <v>7.33</v>
      </c>
      <c r="E180">
        <v>-2.5</v>
      </c>
      <c r="F180">
        <v>790.57</v>
      </c>
      <c r="G180">
        <v>24.64</v>
      </c>
      <c r="H180">
        <v>27.06</v>
      </c>
      <c r="I180">
        <v>17.3</v>
      </c>
      <c r="J180">
        <v>19.73</v>
      </c>
      <c r="K180" s="95"/>
      <c r="L180">
        <v>22.7</v>
      </c>
      <c r="M180">
        <v>36370.57</v>
      </c>
      <c r="N180">
        <v>-1.96</v>
      </c>
      <c r="O180">
        <v>7.39</v>
      </c>
      <c r="P180">
        <v>-2.4900000000000002</v>
      </c>
      <c r="Q180">
        <v>790.82</v>
      </c>
      <c r="R180">
        <v>24.92</v>
      </c>
      <c r="S180">
        <v>27.38</v>
      </c>
      <c r="T180">
        <v>17.53</v>
      </c>
      <c r="U180">
        <v>19.989999999999998</v>
      </c>
      <c r="V180" s="94">
        <f t="shared" si="3"/>
        <v>0.98716140310974043</v>
      </c>
      <c r="W180" s="546">
        <v>22.7</v>
      </c>
      <c r="X180" s="546">
        <v>37295.42</v>
      </c>
      <c r="Y180" s="546">
        <v>-1.71</v>
      </c>
      <c r="Z180" s="546">
        <v>7.72</v>
      </c>
      <c r="AA180" s="546">
        <v>-5.66</v>
      </c>
      <c r="AB180" s="546">
        <v>918.1</v>
      </c>
      <c r="AC180" s="546">
        <v>29.62</v>
      </c>
      <c r="AD180" s="546">
        <v>28.6</v>
      </c>
      <c r="AE180" s="546">
        <v>21.9</v>
      </c>
      <c r="AF180" s="546">
        <v>20.88</v>
      </c>
    </row>
    <row r="181" spans="1:32" s="94" customFormat="1" x14ac:dyDescent="0.2">
      <c r="A181">
        <v>22.8</v>
      </c>
      <c r="B181">
        <v>36924.629999999997</v>
      </c>
      <c r="C181">
        <v>-2.2999999999999998</v>
      </c>
      <c r="D181">
        <v>7.37</v>
      </c>
      <c r="E181">
        <v>-2.5</v>
      </c>
      <c r="F181">
        <v>790.57</v>
      </c>
      <c r="G181">
        <v>24.63</v>
      </c>
      <c r="H181">
        <v>27.05</v>
      </c>
      <c r="I181">
        <v>17.27</v>
      </c>
      <c r="J181">
        <v>19.68</v>
      </c>
      <c r="K181" s="95"/>
      <c r="L181">
        <v>22.8</v>
      </c>
      <c r="M181">
        <v>36451.620000000003</v>
      </c>
      <c r="N181">
        <v>-1.96</v>
      </c>
      <c r="O181">
        <v>7.42</v>
      </c>
      <c r="P181">
        <v>-2.4900000000000002</v>
      </c>
      <c r="Q181">
        <v>790.82</v>
      </c>
      <c r="R181">
        <v>24.92</v>
      </c>
      <c r="S181">
        <v>27.37</v>
      </c>
      <c r="T181">
        <v>17.489999999999998</v>
      </c>
      <c r="U181">
        <v>19.95</v>
      </c>
      <c r="V181" s="94">
        <f t="shared" si="3"/>
        <v>0.98718985132687875</v>
      </c>
      <c r="W181" s="546">
        <v>22.8</v>
      </c>
      <c r="X181" s="546">
        <v>37389.54</v>
      </c>
      <c r="Y181" s="546">
        <v>-1.72</v>
      </c>
      <c r="Z181" s="546">
        <v>7.76</v>
      </c>
      <c r="AA181" s="546">
        <v>-5.66</v>
      </c>
      <c r="AB181" s="546">
        <v>918.1</v>
      </c>
      <c r="AC181" s="546">
        <v>29.61</v>
      </c>
      <c r="AD181" s="546">
        <v>28.58</v>
      </c>
      <c r="AE181" s="546">
        <v>21.85</v>
      </c>
      <c r="AF181" s="546">
        <v>20.83</v>
      </c>
    </row>
    <row r="182" spans="1:32" s="94" customFormat="1" x14ac:dyDescent="0.2">
      <c r="A182">
        <v>22.9</v>
      </c>
      <c r="B182">
        <v>37005.67</v>
      </c>
      <c r="C182">
        <v>-2.2999999999999998</v>
      </c>
      <c r="D182">
        <v>7.4</v>
      </c>
      <c r="E182">
        <v>-2.5</v>
      </c>
      <c r="F182">
        <v>790.57</v>
      </c>
      <c r="G182">
        <v>24.63</v>
      </c>
      <c r="H182">
        <v>27.04</v>
      </c>
      <c r="I182">
        <v>17.23</v>
      </c>
      <c r="J182">
        <v>19.64</v>
      </c>
      <c r="K182" s="95"/>
      <c r="L182">
        <v>22.9</v>
      </c>
      <c r="M182">
        <v>36532.699999999997</v>
      </c>
      <c r="N182">
        <v>-1.96</v>
      </c>
      <c r="O182">
        <v>7.46</v>
      </c>
      <c r="P182">
        <v>-2.4900000000000002</v>
      </c>
      <c r="Q182">
        <v>790.82</v>
      </c>
      <c r="R182">
        <v>24.91</v>
      </c>
      <c r="S182">
        <v>27.36</v>
      </c>
      <c r="T182">
        <v>17.45</v>
      </c>
      <c r="U182">
        <v>19.899999999999999</v>
      </c>
      <c r="V182" s="94">
        <f t="shared" si="3"/>
        <v>0.98721898563112087</v>
      </c>
      <c r="W182" s="546">
        <v>22.9</v>
      </c>
      <c r="X182" s="546">
        <v>37483.64</v>
      </c>
      <c r="Y182" s="546">
        <v>-1.73</v>
      </c>
      <c r="Z182" s="546">
        <v>7.8</v>
      </c>
      <c r="AA182" s="546">
        <v>-5.66</v>
      </c>
      <c r="AB182" s="546">
        <v>918.1</v>
      </c>
      <c r="AC182" s="546">
        <v>29.59</v>
      </c>
      <c r="AD182" s="546">
        <v>28.57</v>
      </c>
      <c r="AE182" s="546">
        <v>21.79</v>
      </c>
      <c r="AF182" s="546">
        <v>20.77</v>
      </c>
    </row>
    <row r="183" spans="1:32" s="94" customFormat="1" x14ac:dyDescent="0.2">
      <c r="A183">
        <v>23</v>
      </c>
      <c r="B183">
        <v>37086.69</v>
      </c>
      <c r="C183">
        <v>-2.2999999999999998</v>
      </c>
      <c r="D183">
        <v>7.44</v>
      </c>
      <c r="E183">
        <v>-2.5</v>
      </c>
      <c r="F183">
        <v>790.57</v>
      </c>
      <c r="G183">
        <v>24.62</v>
      </c>
      <c r="H183">
        <v>27.03</v>
      </c>
      <c r="I183">
        <v>17.190000000000001</v>
      </c>
      <c r="J183">
        <v>19.600000000000001</v>
      </c>
      <c r="K183" s="95"/>
      <c r="L183">
        <v>23</v>
      </c>
      <c r="M183">
        <v>36613.760000000002</v>
      </c>
      <c r="N183">
        <v>-1.96</v>
      </c>
      <c r="O183">
        <v>7.49</v>
      </c>
      <c r="P183">
        <v>-2.4900000000000002</v>
      </c>
      <c r="Q183">
        <v>790.82</v>
      </c>
      <c r="R183">
        <v>24.91</v>
      </c>
      <c r="S183">
        <v>27.35</v>
      </c>
      <c r="T183">
        <v>17.41</v>
      </c>
      <c r="U183">
        <v>19.86</v>
      </c>
      <c r="V183" s="94">
        <f t="shared" si="3"/>
        <v>0.98724798573288697</v>
      </c>
      <c r="W183" s="546">
        <v>23</v>
      </c>
      <c r="X183" s="546">
        <v>37577.72</v>
      </c>
      <c r="Y183" s="546">
        <v>-1.74</v>
      </c>
      <c r="Z183" s="546">
        <v>7.83</v>
      </c>
      <c r="AA183" s="546">
        <v>-5.66</v>
      </c>
      <c r="AB183" s="546">
        <v>918.03</v>
      </c>
      <c r="AC183" s="546">
        <v>29.57</v>
      </c>
      <c r="AD183" s="546">
        <v>28.55</v>
      </c>
      <c r="AE183" s="546">
        <v>21.74</v>
      </c>
      <c r="AF183" s="546">
        <v>20.72</v>
      </c>
    </row>
    <row r="184" spans="1:32" s="94" customFormat="1" x14ac:dyDescent="0.2">
      <c r="A184">
        <v>23.1</v>
      </c>
      <c r="B184">
        <v>37167.72</v>
      </c>
      <c r="C184">
        <v>-2.2999999999999998</v>
      </c>
      <c r="D184">
        <v>7.47</v>
      </c>
      <c r="E184">
        <v>-2.5</v>
      </c>
      <c r="F184">
        <v>790.57</v>
      </c>
      <c r="G184">
        <v>24.62</v>
      </c>
      <c r="H184">
        <v>27.02</v>
      </c>
      <c r="I184">
        <v>17.149999999999999</v>
      </c>
      <c r="J184">
        <v>19.55</v>
      </c>
      <c r="K184" s="95"/>
      <c r="L184">
        <v>23.1</v>
      </c>
      <c r="M184">
        <v>36694.800000000003</v>
      </c>
      <c r="N184">
        <v>-1.96</v>
      </c>
      <c r="O184">
        <v>7.53</v>
      </c>
      <c r="P184">
        <v>-2.4900000000000002</v>
      </c>
      <c r="Q184">
        <v>790.83</v>
      </c>
      <c r="R184">
        <v>24.9</v>
      </c>
      <c r="S184">
        <v>27.34</v>
      </c>
      <c r="T184">
        <v>17.38</v>
      </c>
      <c r="U184">
        <v>19.809999999999999</v>
      </c>
      <c r="V184" s="94">
        <f t="shared" si="3"/>
        <v>0.98727605567411725</v>
      </c>
      <c r="W184" s="546">
        <v>23.1</v>
      </c>
      <c r="X184" s="546">
        <v>37671.47</v>
      </c>
      <c r="Y184" s="546">
        <v>-1.75</v>
      </c>
      <c r="Z184" s="546">
        <v>7.87</v>
      </c>
      <c r="AA184" s="546">
        <v>-5.49</v>
      </c>
      <c r="AB184" s="546">
        <v>911.13</v>
      </c>
      <c r="AC184" s="546">
        <v>29.27</v>
      </c>
      <c r="AD184" s="546">
        <v>28.44</v>
      </c>
      <c r="AE184" s="546">
        <v>21.4</v>
      </c>
      <c r="AF184" s="546">
        <v>20.57</v>
      </c>
    </row>
    <row r="185" spans="1:32" s="94" customFormat="1" x14ac:dyDescent="0.2">
      <c r="A185">
        <v>23.2</v>
      </c>
      <c r="B185">
        <v>37248.769999999997</v>
      </c>
      <c r="C185">
        <v>-2.2999999999999998</v>
      </c>
      <c r="D185">
        <v>7.5</v>
      </c>
      <c r="E185">
        <v>-2.5</v>
      </c>
      <c r="F185">
        <v>790.57</v>
      </c>
      <c r="G185">
        <v>24.62</v>
      </c>
      <c r="H185">
        <v>27.02</v>
      </c>
      <c r="I185">
        <v>17.12</v>
      </c>
      <c r="J185">
        <v>19.510000000000002</v>
      </c>
      <c r="K185" s="95"/>
      <c r="L185">
        <v>23.2</v>
      </c>
      <c r="M185">
        <v>36775.85</v>
      </c>
      <c r="N185">
        <v>-1.97</v>
      </c>
      <c r="O185">
        <v>7.56</v>
      </c>
      <c r="P185">
        <v>-2.4900000000000002</v>
      </c>
      <c r="Q185">
        <v>790.83</v>
      </c>
      <c r="R185">
        <v>24.9</v>
      </c>
      <c r="S185">
        <v>27.33</v>
      </c>
      <c r="T185">
        <v>17.34</v>
      </c>
      <c r="U185">
        <v>19.77</v>
      </c>
      <c r="V185" s="94">
        <f t="shared" si="3"/>
        <v>0.98730374184167702</v>
      </c>
      <c r="W185" s="546">
        <v>23.2</v>
      </c>
      <c r="X185" s="546">
        <v>37764.53</v>
      </c>
      <c r="Y185" s="546">
        <v>-1.76</v>
      </c>
      <c r="Z185" s="546">
        <v>7.91</v>
      </c>
      <c r="AA185" s="546">
        <v>-5.32</v>
      </c>
      <c r="AB185" s="546">
        <v>904.24</v>
      </c>
      <c r="AC185" s="546">
        <v>28.97</v>
      </c>
      <c r="AD185" s="546">
        <v>28.33</v>
      </c>
      <c r="AE185" s="546">
        <v>21.06</v>
      </c>
      <c r="AF185" s="546">
        <v>20.420000000000002</v>
      </c>
    </row>
    <row r="186" spans="1:32" s="94" customFormat="1" x14ac:dyDescent="0.2">
      <c r="A186">
        <v>23.3</v>
      </c>
      <c r="B186">
        <v>37329.79</v>
      </c>
      <c r="C186">
        <v>-2.2999999999999998</v>
      </c>
      <c r="D186">
        <v>7.54</v>
      </c>
      <c r="E186">
        <v>-2.5</v>
      </c>
      <c r="F186">
        <v>790.57</v>
      </c>
      <c r="G186">
        <v>24.62</v>
      </c>
      <c r="H186">
        <v>27.01</v>
      </c>
      <c r="I186">
        <v>17.079999999999998</v>
      </c>
      <c r="J186">
        <v>19.47</v>
      </c>
      <c r="K186" s="95"/>
      <c r="L186">
        <v>23.3</v>
      </c>
      <c r="M186">
        <v>36856.92</v>
      </c>
      <c r="N186">
        <v>-1.97</v>
      </c>
      <c r="O186">
        <v>7.6</v>
      </c>
      <c r="P186">
        <v>-2.4900000000000002</v>
      </c>
      <c r="Q186">
        <v>790.83</v>
      </c>
      <c r="R186">
        <v>24.9</v>
      </c>
      <c r="S186">
        <v>27.32</v>
      </c>
      <c r="T186">
        <v>17.3</v>
      </c>
      <c r="U186">
        <v>19.73</v>
      </c>
      <c r="V186" s="94">
        <f t="shared" si="3"/>
        <v>0.98733263701724538</v>
      </c>
      <c r="W186" s="546">
        <v>23.3</v>
      </c>
      <c r="X186" s="546">
        <v>37856.86</v>
      </c>
      <c r="Y186" s="546">
        <v>-1.77</v>
      </c>
      <c r="Z186" s="546">
        <v>7.95</v>
      </c>
      <c r="AA186" s="546">
        <v>-5.15</v>
      </c>
      <c r="AB186" s="546">
        <v>897.34</v>
      </c>
      <c r="AC186" s="546">
        <v>28.67</v>
      </c>
      <c r="AD186" s="546">
        <v>28.21</v>
      </c>
      <c r="AE186" s="546">
        <v>20.73</v>
      </c>
      <c r="AF186" s="546">
        <v>20.27</v>
      </c>
    </row>
    <row r="187" spans="1:32" s="94" customFormat="1" x14ac:dyDescent="0.2">
      <c r="A187">
        <v>23.4</v>
      </c>
      <c r="B187">
        <v>37410.83</v>
      </c>
      <c r="C187">
        <v>-2.2999999999999998</v>
      </c>
      <c r="D187">
        <v>7.57</v>
      </c>
      <c r="E187">
        <v>-2.5</v>
      </c>
      <c r="F187">
        <v>790.57</v>
      </c>
      <c r="G187">
        <v>24.61</v>
      </c>
      <c r="H187">
        <v>27</v>
      </c>
      <c r="I187">
        <v>17.04</v>
      </c>
      <c r="J187">
        <v>19.43</v>
      </c>
      <c r="K187" s="95"/>
      <c r="L187">
        <v>23.4</v>
      </c>
      <c r="M187">
        <v>36937.980000000003</v>
      </c>
      <c r="N187">
        <v>-1.97</v>
      </c>
      <c r="O187">
        <v>7.63</v>
      </c>
      <c r="P187">
        <v>-2.4900000000000002</v>
      </c>
      <c r="Q187">
        <v>790.83</v>
      </c>
      <c r="R187">
        <v>24.89</v>
      </c>
      <c r="S187">
        <v>27.31</v>
      </c>
      <c r="T187">
        <v>17.260000000000002</v>
      </c>
      <c r="U187">
        <v>19.68</v>
      </c>
      <c r="V187" s="94">
        <f t="shared" si="3"/>
        <v>0.98736061188698576</v>
      </c>
      <c r="W187" s="546">
        <v>23.4</v>
      </c>
      <c r="X187" s="546">
        <v>37948.51</v>
      </c>
      <c r="Y187" s="546">
        <v>-1.78</v>
      </c>
      <c r="Z187" s="546">
        <v>7.98</v>
      </c>
      <c r="AA187" s="546">
        <v>-4.97</v>
      </c>
      <c r="AB187" s="546">
        <v>890.44</v>
      </c>
      <c r="AC187" s="546">
        <v>28.38</v>
      </c>
      <c r="AD187" s="546">
        <v>28.1</v>
      </c>
      <c r="AE187" s="546">
        <v>20.39</v>
      </c>
      <c r="AF187" s="546">
        <v>20.12</v>
      </c>
    </row>
    <row r="188" spans="1:32" s="94" customFormat="1" x14ac:dyDescent="0.2">
      <c r="A188">
        <v>23.5</v>
      </c>
      <c r="B188">
        <v>37491.870000000003</v>
      </c>
      <c r="C188">
        <v>-2.2999999999999998</v>
      </c>
      <c r="D188">
        <v>7.61</v>
      </c>
      <c r="E188">
        <v>-2.5</v>
      </c>
      <c r="F188">
        <v>790.57</v>
      </c>
      <c r="G188">
        <v>24.61</v>
      </c>
      <c r="H188">
        <v>26.99</v>
      </c>
      <c r="I188">
        <v>17</v>
      </c>
      <c r="J188">
        <v>19.39</v>
      </c>
      <c r="K188" s="95"/>
      <c r="L188">
        <v>23.5</v>
      </c>
      <c r="M188">
        <v>37019.03</v>
      </c>
      <c r="N188">
        <v>-1.97</v>
      </c>
      <c r="O188">
        <v>7.66</v>
      </c>
      <c r="P188">
        <v>-2.4900000000000002</v>
      </c>
      <c r="Q188">
        <v>790.83</v>
      </c>
      <c r="R188">
        <v>24.89</v>
      </c>
      <c r="S188">
        <v>27.31</v>
      </c>
      <c r="T188">
        <v>17.22</v>
      </c>
      <c r="U188">
        <v>19.64</v>
      </c>
      <c r="V188" s="94">
        <f t="shared" si="3"/>
        <v>0.98738819909489706</v>
      </c>
      <c r="W188" s="546">
        <v>23.5</v>
      </c>
      <c r="X188" s="546">
        <v>38039.410000000003</v>
      </c>
      <c r="Y188" s="546">
        <v>-1.78</v>
      </c>
      <c r="Z188" s="546">
        <v>8.02</v>
      </c>
      <c r="AA188" s="546">
        <v>-4.8</v>
      </c>
      <c r="AB188" s="546">
        <v>883.54</v>
      </c>
      <c r="AC188" s="546">
        <v>28.09</v>
      </c>
      <c r="AD188" s="546">
        <v>27.99</v>
      </c>
      <c r="AE188" s="546">
        <v>20.07</v>
      </c>
      <c r="AF188" s="546">
        <v>19.97</v>
      </c>
    </row>
    <row r="189" spans="1:32" s="94" customFormat="1" x14ac:dyDescent="0.2">
      <c r="A189">
        <v>23.6</v>
      </c>
      <c r="B189">
        <v>37572.9</v>
      </c>
      <c r="C189">
        <v>-2.2999999999999998</v>
      </c>
      <c r="D189">
        <v>7.64</v>
      </c>
      <c r="E189">
        <v>-2.5</v>
      </c>
      <c r="F189">
        <v>790.57</v>
      </c>
      <c r="G189">
        <v>24.61</v>
      </c>
      <c r="H189">
        <v>26.98</v>
      </c>
      <c r="I189">
        <v>16.97</v>
      </c>
      <c r="J189">
        <v>19.34</v>
      </c>
      <c r="K189" s="95"/>
      <c r="L189">
        <v>23.6</v>
      </c>
      <c r="M189">
        <v>37100.14</v>
      </c>
      <c r="N189">
        <v>-1.97</v>
      </c>
      <c r="O189">
        <v>7.7</v>
      </c>
      <c r="P189">
        <v>-2.4900000000000002</v>
      </c>
      <c r="Q189">
        <v>790.84</v>
      </c>
      <c r="R189">
        <v>24.89</v>
      </c>
      <c r="S189">
        <v>27.3</v>
      </c>
      <c r="T189">
        <v>17.190000000000001</v>
      </c>
      <c r="U189">
        <v>19.600000000000001</v>
      </c>
      <c r="V189" s="94">
        <f t="shared" si="3"/>
        <v>0.98741752699418994</v>
      </c>
      <c r="W189" s="546">
        <v>23.6</v>
      </c>
      <c r="X189" s="546">
        <v>38129.589999999997</v>
      </c>
      <c r="Y189" s="546">
        <v>-1.79</v>
      </c>
      <c r="Z189" s="546">
        <v>8.06</v>
      </c>
      <c r="AA189" s="546">
        <v>-4.62</v>
      </c>
      <c r="AB189" s="546">
        <v>876.65</v>
      </c>
      <c r="AC189" s="546">
        <v>27.8</v>
      </c>
      <c r="AD189" s="546">
        <v>27.88</v>
      </c>
      <c r="AE189" s="546">
        <v>19.739999999999998</v>
      </c>
      <c r="AF189" s="546">
        <v>19.82</v>
      </c>
    </row>
    <row r="190" spans="1:32" s="94" customFormat="1" x14ac:dyDescent="0.2">
      <c r="A190">
        <v>23.7</v>
      </c>
      <c r="B190">
        <v>37653.96</v>
      </c>
      <c r="C190">
        <v>-2.2999999999999998</v>
      </c>
      <c r="D190">
        <v>7.67</v>
      </c>
      <c r="E190">
        <v>-2.5</v>
      </c>
      <c r="F190">
        <v>790.57</v>
      </c>
      <c r="G190">
        <v>24.61</v>
      </c>
      <c r="H190">
        <v>26.98</v>
      </c>
      <c r="I190">
        <v>16.93</v>
      </c>
      <c r="J190">
        <v>19.3</v>
      </c>
      <c r="K190" s="95"/>
      <c r="L190">
        <v>23.7</v>
      </c>
      <c r="M190">
        <v>37181.17</v>
      </c>
      <c r="N190">
        <v>-1.97</v>
      </c>
      <c r="O190">
        <v>7.73</v>
      </c>
      <c r="P190">
        <v>-2.4900000000000002</v>
      </c>
      <c r="Q190">
        <v>790.84</v>
      </c>
      <c r="R190">
        <v>24.88</v>
      </c>
      <c r="S190">
        <v>27.29</v>
      </c>
      <c r="T190">
        <v>17.149999999999999</v>
      </c>
      <c r="U190">
        <v>19.55</v>
      </c>
      <c r="V190" s="94">
        <f t="shared" si="3"/>
        <v>0.98744381733023567</v>
      </c>
      <c r="W190" s="546">
        <v>23.7</v>
      </c>
      <c r="X190" s="546">
        <v>38219.1</v>
      </c>
      <c r="Y190" s="546">
        <v>-1.8</v>
      </c>
      <c r="Z190" s="546">
        <v>8.09</v>
      </c>
      <c r="AA190" s="546">
        <v>-4.4400000000000004</v>
      </c>
      <c r="AB190" s="546">
        <v>869.75</v>
      </c>
      <c r="AC190" s="546">
        <v>27.51</v>
      </c>
      <c r="AD190" s="546">
        <v>27.76</v>
      </c>
      <c r="AE190" s="546">
        <v>19.420000000000002</v>
      </c>
      <c r="AF190" s="546">
        <v>19.670000000000002</v>
      </c>
    </row>
    <row r="191" spans="1:32" s="94" customFormat="1" x14ac:dyDescent="0.2">
      <c r="A191">
        <v>23.8</v>
      </c>
      <c r="B191">
        <v>37734.97</v>
      </c>
      <c r="C191">
        <v>-2.2999999999999998</v>
      </c>
      <c r="D191">
        <v>7.71</v>
      </c>
      <c r="E191">
        <v>-2.5</v>
      </c>
      <c r="F191">
        <v>790.57</v>
      </c>
      <c r="G191">
        <v>24.6</v>
      </c>
      <c r="H191">
        <v>26.97</v>
      </c>
      <c r="I191">
        <v>16.89</v>
      </c>
      <c r="J191">
        <v>19.260000000000002</v>
      </c>
      <c r="K191" s="95"/>
      <c r="L191">
        <v>23.8</v>
      </c>
      <c r="M191">
        <v>37262.22</v>
      </c>
      <c r="N191">
        <v>-1.97</v>
      </c>
      <c r="O191">
        <v>7.77</v>
      </c>
      <c r="P191">
        <v>-2.4900000000000002</v>
      </c>
      <c r="Q191">
        <v>790.84</v>
      </c>
      <c r="R191">
        <v>24.88</v>
      </c>
      <c r="S191">
        <v>27.28</v>
      </c>
      <c r="T191">
        <v>17.11</v>
      </c>
      <c r="U191">
        <v>19.510000000000002</v>
      </c>
      <c r="V191" s="94">
        <f t="shared" si="3"/>
        <v>0.98747183315635334</v>
      </c>
      <c r="W191" s="546">
        <v>23.8</v>
      </c>
      <c r="X191" s="546">
        <v>38307.9</v>
      </c>
      <c r="Y191" s="546">
        <v>-1.8</v>
      </c>
      <c r="Z191" s="546">
        <v>8.1300000000000008</v>
      </c>
      <c r="AA191" s="546">
        <v>-4.25</v>
      </c>
      <c r="AB191" s="546">
        <v>862.86</v>
      </c>
      <c r="AC191" s="546">
        <v>27.23</v>
      </c>
      <c r="AD191" s="546">
        <v>27.65</v>
      </c>
      <c r="AE191" s="546">
        <v>19.100000000000001</v>
      </c>
      <c r="AF191" s="546">
        <v>19.52</v>
      </c>
    </row>
    <row r="192" spans="1:32" s="94" customFormat="1" x14ac:dyDescent="0.2">
      <c r="A192">
        <v>23.9</v>
      </c>
      <c r="B192">
        <v>37815.99</v>
      </c>
      <c r="C192">
        <v>-2.2999999999999998</v>
      </c>
      <c r="D192">
        <v>7.74</v>
      </c>
      <c r="E192">
        <v>-2.5</v>
      </c>
      <c r="F192">
        <v>790.57</v>
      </c>
      <c r="G192">
        <v>24.6</v>
      </c>
      <c r="H192">
        <v>26.96</v>
      </c>
      <c r="I192">
        <v>16.86</v>
      </c>
      <c r="J192">
        <v>19.22</v>
      </c>
      <c r="K192" s="95"/>
      <c r="L192">
        <v>23.9</v>
      </c>
      <c r="M192">
        <v>37343.29</v>
      </c>
      <c r="N192">
        <v>-1.97</v>
      </c>
      <c r="O192">
        <v>7.8</v>
      </c>
      <c r="P192">
        <v>-2.48</v>
      </c>
      <c r="Q192">
        <v>790.84</v>
      </c>
      <c r="R192">
        <v>24.88</v>
      </c>
      <c r="S192">
        <v>27.27</v>
      </c>
      <c r="T192">
        <v>17.07</v>
      </c>
      <c r="U192">
        <v>19.47</v>
      </c>
      <c r="V192" s="94">
        <f t="shared" si="3"/>
        <v>0.98749999669452004</v>
      </c>
      <c r="W192" s="546">
        <v>23.9</v>
      </c>
      <c r="X192" s="546">
        <v>38396.019999999997</v>
      </c>
      <c r="Y192" s="546">
        <v>-1.81</v>
      </c>
      <c r="Z192" s="546">
        <v>8.17</v>
      </c>
      <c r="AA192" s="546">
        <v>-4.07</v>
      </c>
      <c r="AB192" s="546">
        <v>855.97</v>
      </c>
      <c r="AC192" s="546">
        <v>26.94</v>
      </c>
      <c r="AD192" s="546">
        <v>27.53</v>
      </c>
      <c r="AE192" s="546">
        <v>18.78</v>
      </c>
      <c r="AF192" s="546">
        <v>19.37</v>
      </c>
    </row>
    <row r="193" spans="1:32" s="94" customFormat="1" x14ac:dyDescent="0.2">
      <c r="A193">
        <v>24</v>
      </c>
      <c r="B193">
        <v>37897.019999999997</v>
      </c>
      <c r="C193">
        <v>-2.2999999999999998</v>
      </c>
      <c r="D193">
        <v>7.78</v>
      </c>
      <c r="E193">
        <v>-2.5</v>
      </c>
      <c r="F193">
        <v>790.57</v>
      </c>
      <c r="G193">
        <v>24.6</v>
      </c>
      <c r="H193">
        <v>26.96</v>
      </c>
      <c r="I193">
        <v>16.82</v>
      </c>
      <c r="J193">
        <v>19.18</v>
      </c>
      <c r="K193" s="95"/>
      <c r="L193">
        <v>24</v>
      </c>
      <c r="M193">
        <v>37424.36</v>
      </c>
      <c r="N193">
        <v>-1.98</v>
      </c>
      <c r="O193">
        <v>7.84</v>
      </c>
      <c r="P193">
        <v>-2.48</v>
      </c>
      <c r="Q193">
        <v>790.84</v>
      </c>
      <c r="R193">
        <v>24.88</v>
      </c>
      <c r="S193">
        <v>27.27</v>
      </c>
      <c r="T193">
        <v>17.04</v>
      </c>
      <c r="U193">
        <v>19.43</v>
      </c>
      <c r="V193" s="94">
        <f t="shared" si="3"/>
        <v>0.98752777922907931</v>
      </c>
      <c r="W193" s="546">
        <v>24</v>
      </c>
      <c r="X193" s="546">
        <v>38483.410000000003</v>
      </c>
      <c r="Y193" s="546">
        <v>-1.81</v>
      </c>
      <c r="Z193" s="546">
        <v>8.1999999999999993</v>
      </c>
      <c r="AA193" s="546">
        <v>-3.88</v>
      </c>
      <c r="AB193" s="546">
        <v>849.08</v>
      </c>
      <c r="AC193" s="546">
        <v>26.67</v>
      </c>
      <c r="AD193" s="546">
        <v>27.42</v>
      </c>
      <c r="AE193" s="546">
        <v>18.46</v>
      </c>
      <c r="AF193" s="546">
        <v>19.22</v>
      </c>
    </row>
    <row r="194" spans="1:32" s="94" customFormat="1" x14ac:dyDescent="0.2">
      <c r="A194">
        <v>24.1</v>
      </c>
      <c r="B194">
        <v>37978.050000000003</v>
      </c>
      <c r="C194">
        <v>-2.2999999999999998</v>
      </c>
      <c r="D194">
        <v>7.81</v>
      </c>
      <c r="E194">
        <v>-2.5</v>
      </c>
      <c r="F194">
        <v>790.57</v>
      </c>
      <c r="G194">
        <v>24.6</v>
      </c>
      <c r="H194">
        <v>26.95</v>
      </c>
      <c r="I194">
        <v>16.79</v>
      </c>
      <c r="J194">
        <v>19.14</v>
      </c>
      <c r="K194" s="95"/>
      <c r="L194">
        <v>24.1</v>
      </c>
      <c r="M194">
        <v>37505.43</v>
      </c>
      <c r="N194">
        <v>-1.98</v>
      </c>
      <c r="O194">
        <v>7.87</v>
      </c>
      <c r="P194">
        <v>-2.48</v>
      </c>
      <c r="Q194">
        <v>790.84</v>
      </c>
      <c r="R194">
        <v>24.87</v>
      </c>
      <c r="S194">
        <v>27.26</v>
      </c>
      <c r="T194">
        <v>17</v>
      </c>
      <c r="U194">
        <v>19.39</v>
      </c>
      <c r="V194" s="94">
        <f t="shared" si="3"/>
        <v>0.98755544320995936</v>
      </c>
      <c r="W194" s="546">
        <v>24.1</v>
      </c>
      <c r="X194" s="546">
        <v>38570.06</v>
      </c>
      <c r="Y194" s="546">
        <v>-1.82</v>
      </c>
      <c r="Z194" s="546">
        <v>8.24</v>
      </c>
      <c r="AA194" s="546">
        <v>-3.69</v>
      </c>
      <c r="AB194" s="546">
        <v>842.18</v>
      </c>
      <c r="AC194" s="546">
        <v>26.39</v>
      </c>
      <c r="AD194" s="546">
        <v>27.31</v>
      </c>
      <c r="AE194" s="546">
        <v>18.149999999999999</v>
      </c>
      <c r="AF194" s="546">
        <v>19.07</v>
      </c>
    </row>
    <row r="195" spans="1:32" s="94" customFormat="1" x14ac:dyDescent="0.2">
      <c r="A195">
        <v>24.2</v>
      </c>
      <c r="B195">
        <v>38059.11</v>
      </c>
      <c r="C195">
        <v>-2.2999999999999998</v>
      </c>
      <c r="D195">
        <v>7.85</v>
      </c>
      <c r="E195">
        <v>-2.5</v>
      </c>
      <c r="F195">
        <v>790.57</v>
      </c>
      <c r="G195">
        <v>24.6</v>
      </c>
      <c r="H195">
        <v>26.94</v>
      </c>
      <c r="I195">
        <v>16.75</v>
      </c>
      <c r="J195">
        <v>19.100000000000001</v>
      </c>
      <c r="K195" s="95"/>
      <c r="L195">
        <v>24.2</v>
      </c>
      <c r="M195">
        <v>37586.47</v>
      </c>
      <c r="N195">
        <v>-1.98</v>
      </c>
      <c r="O195">
        <v>7.91</v>
      </c>
      <c r="P195">
        <v>-2.48</v>
      </c>
      <c r="Q195">
        <v>790.84</v>
      </c>
      <c r="R195">
        <v>24.87</v>
      </c>
      <c r="S195">
        <v>27.25</v>
      </c>
      <c r="T195">
        <v>16.96</v>
      </c>
      <c r="U195">
        <v>19.34</v>
      </c>
      <c r="V195" s="94">
        <f t="shared" si="3"/>
        <v>0.98758142268697302</v>
      </c>
      <c r="W195" s="546">
        <v>24.2</v>
      </c>
      <c r="X195" s="546">
        <v>38656.03</v>
      </c>
      <c r="Y195" s="546">
        <v>-1.82</v>
      </c>
      <c r="Z195" s="546">
        <v>8.27</v>
      </c>
      <c r="AA195" s="546">
        <v>-3.49</v>
      </c>
      <c r="AB195" s="546">
        <v>835.29</v>
      </c>
      <c r="AC195" s="546">
        <v>26.11</v>
      </c>
      <c r="AD195" s="546">
        <v>27.19</v>
      </c>
      <c r="AE195" s="546">
        <v>17.84</v>
      </c>
      <c r="AF195" s="546">
        <v>18.920000000000002</v>
      </c>
    </row>
    <row r="196" spans="1:32" s="94" customFormat="1" x14ac:dyDescent="0.2">
      <c r="A196">
        <v>24.3</v>
      </c>
      <c r="B196">
        <v>38140.14</v>
      </c>
      <c r="C196">
        <v>-2.2999999999999998</v>
      </c>
      <c r="D196">
        <v>7.88</v>
      </c>
      <c r="E196">
        <v>-2.5</v>
      </c>
      <c r="F196">
        <v>790.57</v>
      </c>
      <c r="G196">
        <v>24.6</v>
      </c>
      <c r="H196">
        <v>26.94</v>
      </c>
      <c r="I196">
        <v>16.71</v>
      </c>
      <c r="J196">
        <v>19.059999999999999</v>
      </c>
      <c r="K196" s="95"/>
      <c r="L196">
        <v>24.3</v>
      </c>
      <c r="M196">
        <v>37667.519999999997</v>
      </c>
      <c r="N196">
        <v>-1.98</v>
      </c>
      <c r="O196">
        <v>7.94</v>
      </c>
      <c r="P196">
        <v>-2.48</v>
      </c>
      <c r="Q196">
        <v>790.85</v>
      </c>
      <c r="R196">
        <v>24.87</v>
      </c>
      <c r="S196">
        <v>27.25</v>
      </c>
      <c r="T196">
        <v>16.93</v>
      </c>
      <c r="U196">
        <v>19.3</v>
      </c>
      <c r="V196" s="94">
        <f t="shared" si="3"/>
        <v>0.98760833075075227</v>
      </c>
      <c r="W196" s="546">
        <v>24.3</v>
      </c>
      <c r="X196" s="546">
        <v>38741.29</v>
      </c>
      <c r="Y196" s="546">
        <v>-1.82</v>
      </c>
      <c r="Z196" s="546">
        <v>8.31</v>
      </c>
      <c r="AA196" s="546">
        <v>-3.3</v>
      </c>
      <c r="AB196" s="546">
        <v>828.4</v>
      </c>
      <c r="AC196" s="546">
        <v>25.84</v>
      </c>
      <c r="AD196" s="546">
        <v>27.08</v>
      </c>
      <c r="AE196" s="546">
        <v>17.53</v>
      </c>
      <c r="AF196" s="546">
        <v>18.77</v>
      </c>
    </row>
    <row r="197" spans="1:32" s="94" customFormat="1" x14ac:dyDescent="0.2">
      <c r="A197">
        <v>24.4</v>
      </c>
      <c r="B197">
        <v>38221.18</v>
      </c>
      <c r="C197">
        <v>-2.2999999999999998</v>
      </c>
      <c r="D197">
        <v>7.92</v>
      </c>
      <c r="E197">
        <v>-2.5</v>
      </c>
      <c r="F197">
        <v>790.57</v>
      </c>
      <c r="G197">
        <v>24.6</v>
      </c>
      <c r="H197">
        <v>26.93</v>
      </c>
      <c r="I197">
        <v>16.68</v>
      </c>
      <c r="J197">
        <v>19.02</v>
      </c>
      <c r="K197" s="95"/>
      <c r="L197">
        <v>24.4</v>
      </c>
      <c r="M197">
        <v>37748.58</v>
      </c>
      <c r="N197">
        <v>-1.98</v>
      </c>
      <c r="O197">
        <v>7.98</v>
      </c>
      <c r="P197">
        <v>-2.48</v>
      </c>
      <c r="Q197">
        <v>790.85</v>
      </c>
      <c r="R197">
        <v>24.87</v>
      </c>
      <c r="S197">
        <v>27.24</v>
      </c>
      <c r="T197">
        <v>16.89</v>
      </c>
      <c r="U197">
        <v>19.260000000000002</v>
      </c>
      <c r="V197" s="94">
        <f t="shared" si="3"/>
        <v>0.98763512795784958</v>
      </c>
      <c r="W197" s="546">
        <v>24.4</v>
      </c>
      <c r="X197" s="546">
        <v>38825.839999999997</v>
      </c>
      <c r="Y197" s="546">
        <v>-1.83</v>
      </c>
      <c r="Z197" s="546">
        <v>8.34</v>
      </c>
      <c r="AA197" s="546">
        <v>-3.1</v>
      </c>
      <c r="AB197" s="546">
        <v>821.52</v>
      </c>
      <c r="AC197" s="546">
        <v>25.57</v>
      </c>
      <c r="AD197" s="546">
        <v>26.96</v>
      </c>
      <c r="AE197" s="546">
        <v>17.23</v>
      </c>
      <c r="AF197" s="546">
        <v>18.62</v>
      </c>
    </row>
    <row r="198" spans="1:32" s="94" customFormat="1" x14ac:dyDescent="0.2">
      <c r="A198">
        <v>24.5</v>
      </c>
      <c r="B198">
        <v>38302.19</v>
      </c>
      <c r="C198">
        <v>-2.2999999999999998</v>
      </c>
      <c r="D198">
        <v>7.95</v>
      </c>
      <c r="E198">
        <v>-2.5</v>
      </c>
      <c r="F198">
        <v>790.57</v>
      </c>
      <c r="G198">
        <v>24.6</v>
      </c>
      <c r="H198">
        <v>26.93</v>
      </c>
      <c r="I198">
        <v>16.64</v>
      </c>
      <c r="J198">
        <v>18.98</v>
      </c>
      <c r="K198" s="95"/>
      <c r="L198">
        <v>24.5</v>
      </c>
      <c r="M198">
        <v>37829.64</v>
      </c>
      <c r="N198">
        <v>-1.98</v>
      </c>
      <c r="O198">
        <v>8.01</v>
      </c>
      <c r="P198">
        <v>-2.48</v>
      </c>
      <c r="Q198">
        <v>790.85</v>
      </c>
      <c r="R198">
        <v>24.87</v>
      </c>
      <c r="S198">
        <v>27.24</v>
      </c>
      <c r="T198">
        <v>16.850000000000001</v>
      </c>
      <c r="U198">
        <v>19.22</v>
      </c>
      <c r="V198" s="94">
        <f t="shared" si="3"/>
        <v>0.98766258535086371</v>
      </c>
      <c r="W198" s="546">
        <v>24.5</v>
      </c>
      <c r="X198" s="546">
        <v>38909.68</v>
      </c>
      <c r="Y198" s="546">
        <v>-1.83</v>
      </c>
      <c r="Z198" s="546">
        <v>8.3800000000000008</v>
      </c>
      <c r="AA198" s="546">
        <v>-2.89</v>
      </c>
      <c r="AB198" s="546">
        <v>814.63</v>
      </c>
      <c r="AC198" s="546">
        <v>25.3</v>
      </c>
      <c r="AD198" s="546">
        <v>26.85</v>
      </c>
      <c r="AE198" s="546">
        <v>16.920000000000002</v>
      </c>
      <c r="AF198" s="546">
        <v>18.47</v>
      </c>
    </row>
    <row r="199" spans="1:32" s="94" customFormat="1" x14ac:dyDescent="0.2">
      <c r="A199">
        <v>24.6</v>
      </c>
      <c r="B199">
        <v>38383.25</v>
      </c>
      <c r="C199">
        <v>-2.2999999999999998</v>
      </c>
      <c r="D199">
        <v>7.99</v>
      </c>
      <c r="E199">
        <v>-2.5</v>
      </c>
      <c r="F199">
        <v>790.57</v>
      </c>
      <c r="G199">
        <v>24.6</v>
      </c>
      <c r="H199">
        <v>26.92</v>
      </c>
      <c r="I199">
        <v>16.61</v>
      </c>
      <c r="J199">
        <v>18.940000000000001</v>
      </c>
      <c r="K199" s="95"/>
      <c r="L199">
        <v>24.6</v>
      </c>
      <c r="M199">
        <v>37910.71</v>
      </c>
      <c r="N199">
        <v>-1.98</v>
      </c>
      <c r="O199">
        <v>8.0500000000000007</v>
      </c>
      <c r="P199">
        <v>-2.48</v>
      </c>
      <c r="Q199">
        <v>790.85</v>
      </c>
      <c r="R199">
        <v>24.87</v>
      </c>
      <c r="S199">
        <v>27.23</v>
      </c>
      <c r="T199">
        <v>16.82</v>
      </c>
      <c r="U199">
        <v>19.18</v>
      </c>
      <c r="V199" s="94">
        <f t="shared" si="3"/>
        <v>0.98768890075749183</v>
      </c>
      <c r="W199" s="546">
        <v>24.6</v>
      </c>
      <c r="X199" s="546">
        <v>38992.839999999997</v>
      </c>
      <c r="Y199" s="546">
        <v>-1.83</v>
      </c>
      <c r="Z199" s="546">
        <v>8.41</v>
      </c>
      <c r="AA199" s="546">
        <v>-2.69</v>
      </c>
      <c r="AB199" s="546">
        <v>807.74</v>
      </c>
      <c r="AC199" s="546">
        <v>25.04</v>
      </c>
      <c r="AD199" s="546">
        <v>26.73</v>
      </c>
      <c r="AE199" s="546">
        <v>16.62</v>
      </c>
      <c r="AF199" s="546">
        <v>18.32</v>
      </c>
    </row>
    <row r="200" spans="1:32" s="94" customFormat="1" x14ac:dyDescent="0.2">
      <c r="A200">
        <v>24.7</v>
      </c>
      <c r="B200">
        <v>38464.25</v>
      </c>
      <c r="C200">
        <v>-2.31</v>
      </c>
      <c r="D200">
        <v>8.02</v>
      </c>
      <c r="E200">
        <v>-2.5</v>
      </c>
      <c r="F200">
        <v>790.57</v>
      </c>
      <c r="G200">
        <v>24.6</v>
      </c>
      <c r="H200">
        <v>26.92</v>
      </c>
      <c r="I200">
        <v>16.57</v>
      </c>
      <c r="J200">
        <v>18.899999999999999</v>
      </c>
      <c r="K200" s="95"/>
      <c r="L200">
        <v>24.7</v>
      </c>
      <c r="M200">
        <v>37991.78</v>
      </c>
      <c r="N200">
        <v>-1.98</v>
      </c>
      <c r="O200">
        <v>8.09</v>
      </c>
      <c r="P200">
        <v>-2.48</v>
      </c>
      <c r="Q200">
        <v>790.85</v>
      </c>
      <c r="R200">
        <v>24.87</v>
      </c>
      <c r="S200">
        <v>27.22</v>
      </c>
      <c r="T200">
        <v>16.78</v>
      </c>
      <c r="U200">
        <v>19.14</v>
      </c>
      <c r="V200" s="94">
        <f t="shared" si="3"/>
        <v>0.98771664597645858</v>
      </c>
      <c r="W200" s="546">
        <v>24.7</v>
      </c>
      <c r="X200" s="546">
        <v>39075.31</v>
      </c>
      <c r="Y200" s="546">
        <v>-1.83</v>
      </c>
      <c r="Z200" s="546">
        <v>8.4499999999999993</v>
      </c>
      <c r="AA200" s="546">
        <v>-2.48</v>
      </c>
      <c r="AB200" s="546">
        <v>800.85</v>
      </c>
      <c r="AC200" s="546">
        <v>24.77</v>
      </c>
      <c r="AD200" s="546">
        <v>26.61</v>
      </c>
      <c r="AE200" s="546">
        <v>16.32</v>
      </c>
      <c r="AF200" s="546">
        <v>18.170000000000002</v>
      </c>
    </row>
    <row r="201" spans="1:32" s="94" customFormat="1" x14ac:dyDescent="0.2">
      <c r="A201">
        <v>24.8</v>
      </c>
      <c r="B201">
        <v>38545.300000000003</v>
      </c>
      <c r="C201">
        <v>-2.31</v>
      </c>
      <c r="D201">
        <v>8.06</v>
      </c>
      <c r="E201">
        <v>-2.5</v>
      </c>
      <c r="F201">
        <v>790.56</v>
      </c>
      <c r="G201">
        <v>24.6</v>
      </c>
      <c r="H201">
        <v>26.91</v>
      </c>
      <c r="I201">
        <v>16.54</v>
      </c>
      <c r="J201">
        <v>18.86</v>
      </c>
      <c r="K201" s="95"/>
      <c r="L201">
        <v>24.8</v>
      </c>
      <c r="M201">
        <v>38072.85</v>
      </c>
      <c r="N201">
        <v>-1.98</v>
      </c>
      <c r="O201">
        <v>8.1199999999999992</v>
      </c>
      <c r="P201">
        <v>-2.48</v>
      </c>
      <c r="Q201">
        <v>790.85</v>
      </c>
      <c r="R201">
        <v>24.87</v>
      </c>
      <c r="S201">
        <v>27.22</v>
      </c>
      <c r="T201">
        <v>16.75</v>
      </c>
      <c r="U201">
        <v>19.100000000000001</v>
      </c>
      <c r="V201" s="94">
        <f t="shared" si="3"/>
        <v>0.98774299330917115</v>
      </c>
      <c r="W201" s="546">
        <v>24.8</v>
      </c>
      <c r="X201" s="546">
        <v>39157.019999999997</v>
      </c>
      <c r="Y201" s="546">
        <v>-1.83</v>
      </c>
      <c r="Z201" s="546">
        <v>8.48</v>
      </c>
      <c r="AA201" s="546">
        <v>-2.27</v>
      </c>
      <c r="AB201" s="546">
        <v>793.97</v>
      </c>
      <c r="AC201" s="546">
        <v>24.51</v>
      </c>
      <c r="AD201" s="546">
        <v>26.5</v>
      </c>
      <c r="AE201" s="546">
        <v>16.03</v>
      </c>
      <c r="AF201" s="546">
        <v>18.02</v>
      </c>
    </row>
    <row r="202" spans="1:32" s="94" customFormat="1" x14ac:dyDescent="0.2">
      <c r="A202">
        <v>24.9</v>
      </c>
      <c r="B202">
        <v>38626.32</v>
      </c>
      <c r="C202">
        <v>-2.31</v>
      </c>
      <c r="D202">
        <v>8.09</v>
      </c>
      <c r="E202">
        <v>-2.5</v>
      </c>
      <c r="F202">
        <v>790.56</v>
      </c>
      <c r="G202">
        <v>24.6</v>
      </c>
      <c r="H202">
        <v>26.91</v>
      </c>
      <c r="I202">
        <v>16.5</v>
      </c>
      <c r="J202">
        <v>18.82</v>
      </c>
      <c r="K202" s="95"/>
      <c r="L202">
        <v>24.9</v>
      </c>
      <c r="M202">
        <v>38153.879999999997</v>
      </c>
      <c r="N202">
        <v>-1.98</v>
      </c>
      <c r="O202">
        <v>8.16</v>
      </c>
      <c r="P202">
        <v>-2.48</v>
      </c>
      <c r="Q202">
        <v>790.85</v>
      </c>
      <c r="R202">
        <v>24.87</v>
      </c>
      <c r="S202">
        <v>27.21</v>
      </c>
      <c r="T202">
        <v>16.71</v>
      </c>
      <c r="U202">
        <v>19.059999999999999</v>
      </c>
      <c r="V202" s="94">
        <f t="shared" si="3"/>
        <v>0.98776896168208617</v>
      </c>
      <c r="W202" s="546">
        <v>24.9</v>
      </c>
      <c r="X202" s="546">
        <v>39238.050000000003</v>
      </c>
      <c r="Y202" s="546">
        <v>-1.84</v>
      </c>
      <c r="Z202" s="546">
        <v>8.51</v>
      </c>
      <c r="AA202" s="546">
        <v>-2.0499999999999998</v>
      </c>
      <c r="AB202" s="546">
        <v>787.09</v>
      </c>
      <c r="AC202" s="546">
        <v>24.25</v>
      </c>
      <c r="AD202" s="546">
        <v>26.38</v>
      </c>
      <c r="AE202" s="546">
        <v>15.73</v>
      </c>
      <c r="AF202" s="546">
        <v>17.86</v>
      </c>
    </row>
    <row r="203" spans="1:32" s="94" customFormat="1" x14ac:dyDescent="0.2">
      <c r="A203" t="s">
        <v>571</v>
      </c>
      <c r="B203"/>
      <c r="C203"/>
      <c r="D203"/>
      <c r="E203"/>
      <c r="F203"/>
      <c r="G203"/>
      <c r="H203"/>
      <c r="I203"/>
      <c r="J203"/>
      <c r="K203" s="95"/>
      <c r="L203" t="s">
        <v>571</v>
      </c>
      <c r="M203"/>
      <c r="N203"/>
      <c r="O203"/>
      <c r="P203"/>
      <c r="Q203"/>
      <c r="R203"/>
      <c r="S203"/>
      <c r="T203"/>
      <c r="U203"/>
      <c r="W203" t="s">
        <v>571</v>
      </c>
      <c r="X203"/>
      <c r="Y203"/>
      <c r="Z203"/>
      <c r="AA203"/>
      <c r="AB203"/>
      <c r="AC203"/>
      <c r="AD203"/>
      <c r="AE203"/>
      <c r="AF203"/>
    </row>
    <row r="204" spans="1:32" s="94" customFormat="1" x14ac:dyDescent="0.2">
      <c r="A204"/>
      <c r="B204"/>
      <c r="C204"/>
      <c r="D204"/>
      <c r="E204"/>
      <c r="F204"/>
      <c r="G204"/>
      <c r="H204"/>
      <c r="I204"/>
      <c r="J204"/>
      <c r="K204" s="95"/>
      <c r="L204" s="95"/>
      <c r="M204" s="95"/>
    </row>
    <row r="205" spans="1:32" s="94" customFormat="1" x14ac:dyDescent="0.2">
      <c r="A205"/>
      <c r="B205"/>
      <c r="C205"/>
      <c r="D205"/>
      <c r="E205"/>
      <c r="F205"/>
      <c r="G205"/>
      <c r="H205"/>
      <c r="I205"/>
      <c r="J205"/>
      <c r="K205" s="95"/>
      <c r="L205" s="95"/>
      <c r="M205" s="95"/>
    </row>
    <row r="206" spans="1:32" s="94" customFormat="1" x14ac:dyDescent="0.2">
      <c r="A206"/>
      <c r="B206"/>
      <c r="C206"/>
      <c r="D206"/>
      <c r="E206"/>
      <c r="F206"/>
      <c r="G206"/>
      <c r="H206"/>
      <c r="I206"/>
      <c r="J206"/>
      <c r="K206" s="95"/>
      <c r="L206" s="95"/>
      <c r="M206" s="95"/>
    </row>
    <row r="207" spans="1:32" s="94" customFormat="1" x14ac:dyDescent="0.2">
      <c r="A207"/>
      <c r="B207"/>
      <c r="C207"/>
      <c r="D207"/>
      <c r="E207"/>
      <c r="F207"/>
      <c r="G207"/>
      <c r="H207"/>
      <c r="I207"/>
      <c r="J207"/>
      <c r="K207" s="95"/>
      <c r="L207" s="95"/>
      <c r="M207" s="95"/>
    </row>
    <row r="208" spans="1:32" s="94" customFormat="1" x14ac:dyDescent="0.2">
      <c r="A208"/>
      <c r="B208"/>
      <c r="C208"/>
      <c r="D208"/>
      <c r="E208"/>
      <c r="F208"/>
      <c r="G208"/>
      <c r="H208"/>
      <c r="I208"/>
      <c r="J208"/>
      <c r="K208" s="95"/>
      <c r="L208" s="95"/>
      <c r="M208" s="95"/>
    </row>
    <row r="209" spans="1:13" s="94" customFormat="1" x14ac:dyDescent="0.2">
      <c r="A209"/>
      <c r="B209"/>
      <c r="C209"/>
      <c r="D209"/>
      <c r="E209"/>
      <c r="F209"/>
      <c r="G209"/>
      <c r="H209"/>
      <c r="I209"/>
      <c r="J209"/>
      <c r="K209" s="95"/>
      <c r="L209" s="95"/>
      <c r="M209" s="95"/>
    </row>
    <row r="210" spans="1:13" s="94" customFormat="1" x14ac:dyDescent="0.2">
      <c r="A210"/>
      <c r="B210"/>
      <c r="C210"/>
      <c r="D210"/>
      <c r="E210"/>
      <c r="F210"/>
      <c r="G210"/>
      <c r="H210"/>
      <c r="I210"/>
      <c r="J210"/>
      <c r="K210" s="95"/>
      <c r="L210" s="95"/>
      <c r="M210" s="95"/>
    </row>
    <row r="211" spans="1:13" s="94" customFormat="1" x14ac:dyDescent="0.2">
      <c r="A211"/>
      <c r="B211"/>
      <c r="C211"/>
      <c r="D211"/>
      <c r="E211"/>
      <c r="F211"/>
      <c r="G211"/>
      <c r="H211"/>
      <c r="I211"/>
      <c r="J211"/>
      <c r="K211" s="95"/>
      <c r="L211" s="95"/>
      <c r="M211" s="95"/>
    </row>
    <row r="212" spans="1:13" s="94" customFormat="1" x14ac:dyDescent="0.2">
      <c r="A212"/>
      <c r="B212"/>
      <c r="C212"/>
      <c r="D212"/>
      <c r="E212"/>
      <c r="F212"/>
      <c r="G212"/>
      <c r="H212"/>
      <c r="I212"/>
      <c r="J212"/>
      <c r="K212" s="95"/>
      <c r="L212" s="95"/>
      <c r="M212" s="95"/>
    </row>
    <row r="213" spans="1:13" s="94" customFormat="1" x14ac:dyDescent="0.2">
      <c r="A213"/>
      <c r="B213"/>
      <c r="C213"/>
      <c r="D213"/>
      <c r="E213"/>
      <c r="F213"/>
      <c r="G213"/>
      <c r="H213"/>
      <c r="I213"/>
      <c r="J213"/>
      <c r="K213" s="95"/>
      <c r="L213" s="95"/>
      <c r="M213" s="95"/>
    </row>
    <row r="214" spans="1:13" s="94" customFormat="1" x14ac:dyDescent="0.2">
      <c r="A214"/>
      <c r="B214"/>
      <c r="C214"/>
      <c r="D214"/>
      <c r="E214"/>
      <c r="F214"/>
      <c r="G214"/>
      <c r="H214"/>
      <c r="I214"/>
      <c r="J214"/>
      <c r="K214" s="95"/>
      <c r="L214" s="95"/>
      <c r="M214" s="95"/>
    </row>
    <row r="215" spans="1:13" s="94" customFormat="1" x14ac:dyDescent="0.2">
      <c r="A215"/>
      <c r="B215"/>
      <c r="C215"/>
      <c r="D215"/>
      <c r="E215"/>
      <c r="F215"/>
      <c r="G215"/>
      <c r="H215"/>
      <c r="I215"/>
      <c r="J215"/>
      <c r="K215" s="95"/>
      <c r="L215" s="95"/>
      <c r="M215" s="95"/>
    </row>
    <row r="216" spans="1:13" s="94" customFormat="1" x14ac:dyDescent="0.2">
      <c r="A216"/>
      <c r="B216"/>
      <c r="C216"/>
      <c r="D216"/>
      <c r="E216"/>
      <c r="F216"/>
      <c r="G216"/>
      <c r="H216"/>
      <c r="I216"/>
      <c r="J216"/>
      <c r="K216" s="95"/>
      <c r="L216" s="95"/>
      <c r="M216" s="95"/>
    </row>
    <row r="217" spans="1:13" s="94" customFormat="1" x14ac:dyDescent="0.2">
      <c r="A217"/>
      <c r="B217"/>
      <c r="C217"/>
      <c r="D217"/>
      <c r="E217"/>
      <c r="F217"/>
      <c r="G217"/>
      <c r="H217"/>
      <c r="I217"/>
      <c r="J217"/>
      <c r="K217" s="95"/>
      <c r="L217" s="95"/>
      <c r="M217" s="95"/>
    </row>
    <row r="218" spans="1:13" s="94" customFormat="1" x14ac:dyDescent="0.2">
      <c r="A218"/>
      <c r="B218"/>
      <c r="C218"/>
      <c r="D218"/>
      <c r="E218"/>
      <c r="F218"/>
      <c r="G218"/>
      <c r="H218"/>
      <c r="I218"/>
      <c r="J218"/>
      <c r="K218" s="95"/>
      <c r="L218" s="95"/>
      <c r="M218" s="95"/>
    </row>
    <row r="219" spans="1:13" s="94" customFormat="1" x14ac:dyDescent="0.2">
      <c r="A219"/>
      <c r="B219"/>
      <c r="C219"/>
      <c r="D219"/>
      <c r="E219"/>
      <c r="F219"/>
      <c r="G219"/>
      <c r="H219"/>
      <c r="I219"/>
      <c r="J219"/>
      <c r="K219" s="95"/>
      <c r="L219" s="95"/>
      <c r="M219" s="95"/>
    </row>
    <row r="220" spans="1:13" s="94" customFormat="1" x14ac:dyDescent="0.2">
      <c r="A220"/>
      <c r="B220"/>
      <c r="C220"/>
      <c r="D220"/>
      <c r="E220"/>
      <c r="F220"/>
      <c r="G220"/>
      <c r="H220"/>
      <c r="I220"/>
      <c r="J220"/>
      <c r="K220" s="95"/>
      <c r="L220" s="95"/>
      <c r="M220" s="95"/>
    </row>
    <row r="221" spans="1:13" s="94" customFormat="1" x14ac:dyDescent="0.2">
      <c r="A221"/>
      <c r="B221"/>
      <c r="C221"/>
      <c r="D221"/>
      <c r="E221"/>
      <c r="F221"/>
      <c r="G221"/>
      <c r="H221"/>
      <c r="I221"/>
      <c r="J221"/>
      <c r="K221" s="95"/>
      <c r="L221" s="95"/>
      <c r="M221" s="95"/>
    </row>
    <row r="222" spans="1:13" s="94" customFormat="1" x14ac:dyDescent="0.2">
      <c r="A222"/>
      <c r="B222"/>
      <c r="C222"/>
      <c r="D222"/>
      <c r="E222"/>
      <c r="F222"/>
      <c r="G222"/>
      <c r="H222"/>
      <c r="I222"/>
      <c r="J222"/>
      <c r="K222" s="95"/>
      <c r="L222" s="95"/>
      <c r="M222" s="95"/>
    </row>
    <row r="223" spans="1:13" s="94" customFormat="1" x14ac:dyDescent="0.2">
      <c r="A223"/>
      <c r="B223"/>
      <c r="C223"/>
      <c r="D223"/>
      <c r="E223"/>
      <c r="F223"/>
      <c r="G223"/>
      <c r="H223"/>
      <c r="I223"/>
      <c r="J223"/>
      <c r="K223" s="95"/>
      <c r="L223" s="95"/>
      <c r="M223" s="95"/>
    </row>
    <row r="224" spans="1:13" s="94" customFormat="1" x14ac:dyDescent="0.2">
      <c r="A224"/>
      <c r="B224"/>
      <c r="C224"/>
      <c r="D224"/>
      <c r="E224"/>
      <c r="F224"/>
      <c r="G224"/>
      <c r="H224"/>
      <c r="I224"/>
      <c r="J224"/>
      <c r="K224" s="95"/>
      <c r="L224" s="95"/>
      <c r="M224" s="95"/>
    </row>
    <row r="225" spans="1:13" s="94" customFormat="1" x14ac:dyDescent="0.2">
      <c r="A225"/>
      <c r="B225"/>
      <c r="C225"/>
      <c r="D225"/>
      <c r="E225"/>
      <c r="F225"/>
      <c r="G225"/>
      <c r="H225"/>
      <c r="I225"/>
      <c r="J225"/>
      <c r="K225" s="95"/>
      <c r="L225" s="95"/>
      <c r="M225" s="95"/>
    </row>
    <row r="226" spans="1:13" s="94" customFormat="1" x14ac:dyDescent="0.2">
      <c r="A226"/>
      <c r="B226"/>
      <c r="C226"/>
      <c r="D226"/>
      <c r="E226"/>
      <c r="F226"/>
      <c r="G226"/>
      <c r="H226"/>
      <c r="I226"/>
      <c r="J226"/>
      <c r="K226" s="95"/>
      <c r="L226" s="95"/>
      <c r="M226" s="95"/>
    </row>
    <row r="227" spans="1:13" s="94" customFormat="1" x14ac:dyDescent="0.2">
      <c r="A227"/>
      <c r="B227"/>
      <c r="C227"/>
      <c r="D227"/>
      <c r="E227"/>
      <c r="F227"/>
      <c r="G227"/>
      <c r="H227"/>
      <c r="I227"/>
      <c r="J227"/>
      <c r="K227" s="95"/>
      <c r="L227" s="95"/>
      <c r="M227" s="95"/>
    </row>
    <row r="228" spans="1:13" s="94" customFormat="1" x14ac:dyDescent="0.2">
      <c r="A228"/>
      <c r="B228"/>
      <c r="C228"/>
      <c r="D228"/>
      <c r="E228"/>
      <c r="F228"/>
      <c r="G228"/>
      <c r="H228"/>
      <c r="I228"/>
      <c r="J228"/>
      <c r="K228" s="95"/>
      <c r="L228" s="95"/>
      <c r="M228" s="95"/>
    </row>
    <row r="229" spans="1:13" s="94" customFormat="1" x14ac:dyDescent="0.2">
      <c r="A229"/>
      <c r="B229"/>
      <c r="C229"/>
      <c r="D229"/>
      <c r="E229"/>
      <c r="F229"/>
      <c r="G229"/>
      <c r="H229"/>
      <c r="I229"/>
      <c r="J229"/>
      <c r="K229" s="95"/>
      <c r="L229" s="95"/>
      <c r="M229" s="95"/>
    </row>
    <row r="230" spans="1:13" s="94" customFormat="1" x14ac:dyDescent="0.2">
      <c r="A230"/>
      <c r="B230"/>
      <c r="C230"/>
      <c r="D230"/>
      <c r="E230"/>
      <c r="F230"/>
      <c r="G230"/>
      <c r="H230"/>
      <c r="I230"/>
      <c r="J230"/>
      <c r="K230" s="95"/>
      <c r="L230" s="95"/>
      <c r="M230" s="95"/>
    </row>
    <row r="231" spans="1:13" s="94" customFormat="1" x14ac:dyDescent="0.2">
      <c r="A231"/>
      <c r="B231"/>
      <c r="C231"/>
      <c r="D231"/>
      <c r="E231"/>
      <c r="F231"/>
      <c r="G231"/>
      <c r="H231"/>
      <c r="I231"/>
      <c r="J231"/>
      <c r="K231" s="95"/>
      <c r="L231" s="95"/>
      <c r="M231" s="95"/>
    </row>
    <row r="232" spans="1:13" s="94" customFormat="1" x14ac:dyDescent="0.2">
      <c r="A232"/>
      <c r="B232"/>
      <c r="C232"/>
      <c r="D232"/>
      <c r="E232"/>
      <c r="F232"/>
      <c r="G232"/>
      <c r="H232"/>
      <c r="I232"/>
      <c r="J232"/>
      <c r="K232" s="95"/>
      <c r="L232" s="95"/>
      <c r="M232" s="95"/>
    </row>
    <row r="233" spans="1:13" s="94" customFormat="1" x14ac:dyDescent="0.2">
      <c r="A233"/>
      <c r="B233"/>
      <c r="C233"/>
      <c r="D233"/>
      <c r="E233"/>
      <c r="F233"/>
      <c r="G233"/>
      <c r="H233"/>
      <c r="I233"/>
      <c r="J233"/>
      <c r="K233" s="95"/>
      <c r="L233" s="95"/>
      <c r="M233" s="95"/>
    </row>
    <row r="234" spans="1:13" s="94" customFormat="1" x14ac:dyDescent="0.2">
      <c r="A234"/>
      <c r="B234"/>
      <c r="C234"/>
      <c r="D234"/>
      <c r="E234"/>
      <c r="F234"/>
      <c r="G234"/>
      <c r="H234"/>
      <c r="I234"/>
      <c r="J234"/>
      <c r="K234" s="95"/>
      <c r="L234" s="95"/>
      <c r="M234" s="95"/>
    </row>
    <row r="235" spans="1:13" s="94" customFormat="1" x14ac:dyDescent="0.2">
      <c r="A235"/>
      <c r="B235"/>
      <c r="C235"/>
      <c r="D235"/>
      <c r="E235"/>
      <c r="F235"/>
      <c r="G235"/>
      <c r="H235"/>
      <c r="I235"/>
      <c r="J235"/>
      <c r="K235" s="95"/>
      <c r="L235" s="95"/>
      <c r="M235" s="95"/>
    </row>
    <row r="236" spans="1:13" s="94" customFormat="1" x14ac:dyDescent="0.2">
      <c r="A236"/>
      <c r="B236"/>
      <c r="C236"/>
      <c r="D236"/>
      <c r="E236"/>
      <c r="F236"/>
      <c r="G236"/>
      <c r="H236"/>
      <c r="I236"/>
      <c r="J236"/>
      <c r="K236" s="95"/>
      <c r="L236" s="95"/>
      <c r="M236" s="95"/>
    </row>
    <row r="237" spans="1:13" s="94" customFormat="1" x14ac:dyDescent="0.2">
      <c r="A237"/>
      <c r="B237"/>
      <c r="C237"/>
      <c r="D237"/>
      <c r="E237"/>
      <c r="F237"/>
      <c r="G237"/>
      <c r="H237"/>
      <c r="I237"/>
      <c r="J237"/>
      <c r="K237" s="95"/>
      <c r="L237" s="95"/>
      <c r="M237" s="95"/>
    </row>
    <row r="238" spans="1:13" s="94" customFormat="1" x14ac:dyDescent="0.2">
      <c r="A238"/>
      <c r="B238"/>
      <c r="C238"/>
      <c r="D238"/>
      <c r="E238"/>
      <c r="F238"/>
      <c r="G238"/>
      <c r="H238"/>
      <c r="I238"/>
      <c r="J238"/>
      <c r="K238" s="95"/>
      <c r="L238" s="95"/>
      <c r="M238" s="95"/>
    </row>
    <row r="239" spans="1:13" s="94" customFormat="1" x14ac:dyDescent="0.2">
      <c r="A239"/>
      <c r="B239"/>
      <c r="C239"/>
      <c r="D239"/>
      <c r="E239"/>
      <c r="F239"/>
      <c r="G239"/>
      <c r="H239"/>
      <c r="I239"/>
      <c r="J239"/>
      <c r="K239" s="95"/>
      <c r="L239" s="95"/>
      <c r="M239" s="95"/>
    </row>
    <row r="240" spans="1:13" s="94" customFormat="1" x14ac:dyDescent="0.2">
      <c r="A240"/>
      <c r="B240"/>
      <c r="C240"/>
      <c r="D240"/>
      <c r="E240"/>
      <c r="F240"/>
      <c r="G240"/>
      <c r="H240"/>
      <c r="I240"/>
      <c r="J240"/>
      <c r="K240" s="95"/>
      <c r="L240" s="95"/>
      <c r="M240" s="95"/>
    </row>
    <row r="241" spans="1:13" s="94" customFormat="1" x14ac:dyDescent="0.2">
      <c r="A241"/>
      <c r="B241"/>
      <c r="C241"/>
      <c r="D241"/>
      <c r="E241"/>
      <c r="F241"/>
      <c r="G241"/>
      <c r="H241"/>
      <c r="I241"/>
      <c r="J241"/>
      <c r="K241" s="95"/>
      <c r="L241" s="95"/>
      <c r="M241" s="95"/>
    </row>
    <row r="242" spans="1:13" s="94" customFormat="1" x14ac:dyDescent="0.2">
      <c r="A242"/>
      <c r="B242"/>
      <c r="C242"/>
      <c r="D242"/>
      <c r="E242"/>
      <c r="F242"/>
      <c r="G242"/>
      <c r="H242"/>
      <c r="I242"/>
      <c r="J242"/>
      <c r="K242" s="95"/>
      <c r="L242" s="95"/>
      <c r="M242" s="95"/>
    </row>
    <row r="243" spans="1:13" x14ac:dyDescent="0.2">
      <c r="A243"/>
      <c r="B243"/>
      <c r="C243"/>
      <c r="D243"/>
      <c r="E243"/>
      <c r="F243"/>
      <c r="G243"/>
      <c r="H243"/>
      <c r="I243"/>
      <c r="J243"/>
    </row>
    <row r="244" spans="1:13" x14ac:dyDescent="0.2">
      <c r="A244"/>
      <c r="B244"/>
      <c r="C244"/>
      <c r="D244"/>
      <c r="E244"/>
      <c r="F244"/>
      <c r="G244"/>
      <c r="H244"/>
      <c r="I244"/>
      <c r="J244"/>
    </row>
    <row r="245" spans="1:13" x14ac:dyDescent="0.2">
      <c r="A245"/>
      <c r="B245"/>
      <c r="C245"/>
      <c r="D245"/>
      <c r="E245"/>
      <c r="F245"/>
      <c r="G245"/>
      <c r="H245"/>
      <c r="I245"/>
      <c r="J245"/>
    </row>
    <row r="246" spans="1:13" x14ac:dyDescent="0.2">
      <c r="A246"/>
      <c r="B246"/>
      <c r="C246"/>
      <c r="D246"/>
      <c r="E246"/>
      <c r="F246"/>
      <c r="G246"/>
      <c r="H246"/>
      <c r="I246"/>
      <c r="J246"/>
    </row>
    <row r="247" spans="1:13" x14ac:dyDescent="0.2">
      <c r="A247"/>
      <c r="B247"/>
      <c r="C247"/>
      <c r="D247"/>
      <c r="E247"/>
      <c r="F247"/>
      <c r="G247"/>
      <c r="H247"/>
      <c r="I247"/>
      <c r="J247"/>
    </row>
    <row r="248" spans="1:13" x14ac:dyDescent="0.2">
      <c r="A248"/>
      <c r="B248"/>
      <c r="C248"/>
      <c r="D248"/>
      <c r="E248"/>
      <c r="F248"/>
      <c r="G248"/>
      <c r="H248"/>
      <c r="I248"/>
      <c r="J248"/>
    </row>
    <row r="249" spans="1:13" x14ac:dyDescent="0.2">
      <c r="A249"/>
      <c r="B249"/>
      <c r="C249"/>
      <c r="D249"/>
      <c r="E249"/>
      <c r="F249"/>
      <c r="G249"/>
      <c r="H249"/>
      <c r="I249"/>
      <c r="J249"/>
    </row>
    <row r="250" spans="1:13" x14ac:dyDescent="0.2">
      <c r="A250"/>
      <c r="B250"/>
      <c r="C250"/>
      <c r="D250"/>
      <c r="E250"/>
      <c r="F250"/>
      <c r="G250"/>
      <c r="H250"/>
      <c r="I250"/>
      <c r="J250"/>
    </row>
    <row r="251" spans="1:13" x14ac:dyDescent="0.2">
      <c r="A251"/>
      <c r="B251"/>
      <c r="C251"/>
      <c r="D251"/>
      <c r="E251"/>
      <c r="F251"/>
      <c r="G251"/>
      <c r="H251"/>
      <c r="I251"/>
      <c r="J251"/>
    </row>
    <row r="252" spans="1:13" x14ac:dyDescent="0.2">
      <c r="A252"/>
      <c r="B252"/>
      <c r="C252"/>
      <c r="D252"/>
      <c r="E252"/>
      <c r="F252"/>
      <c r="G252"/>
      <c r="H252"/>
      <c r="I252"/>
      <c r="J252"/>
    </row>
    <row r="253" spans="1:13" x14ac:dyDescent="0.2">
      <c r="A253"/>
      <c r="B253"/>
      <c r="C253"/>
      <c r="D253"/>
      <c r="E253"/>
      <c r="F253"/>
      <c r="G253"/>
      <c r="H253"/>
      <c r="I253"/>
      <c r="J253"/>
    </row>
    <row r="254" spans="1:13" x14ac:dyDescent="0.2">
      <c r="A254"/>
      <c r="B254"/>
      <c r="C254"/>
      <c r="D254"/>
      <c r="E254"/>
      <c r="F254"/>
      <c r="G254"/>
      <c r="H254"/>
      <c r="I254"/>
      <c r="J254"/>
    </row>
    <row r="255" spans="1:13" x14ac:dyDescent="0.2">
      <c r="A255"/>
      <c r="B255"/>
      <c r="C255"/>
      <c r="D255"/>
      <c r="E255"/>
      <c r="F255"/>
      <c r="G255"/>
      <c r="H255"/>
      <c r="I255"/>
      <c r="J255"/>
    </row>
    <row r="256" spans="1:13" x14ac:dyDescent="0.2">
      <c r="A256"/>
      <c r="B256"/>
      <c r="C256"/>
      <c r="D256"/>
      <c r="E256"/>
      <c r="F256"/>
      <c r="G256"/>
      <c r="H256"/>
      <c r="I256"/>
      <c r="J256"/>
    </row>
    <row r="257" spans="1:10" x14ac:dyDescent="0.2">
      <c r="A257"/>
      <c r="B257"/>
      <c r="C257"/>
      <c r="D257"/>
      <c r="E257"/>
      <c r="F257"/>
      <c r="G257"/>
      <c r="H257"/>
      <c r="I257"/>
      <c r="J257"/>
    </row>
    <row r="258" spans="1:10" x14ac:dyDescent="0.2">
      <c r="A258"/>
      <c r="B258"/>
      <c r="C258"/>
      <c r="D258"/>
      <c r="E258"/>
      <c r="F258"/>
      <c r="G258"/>
      <c r="H258"/>
      <c r="I258"/>
      <c r="J258"/>
    </row>
    <row r="259" spans="1:10" x14ac:dyDescent="0.2">
      <c r="A259"/>
      <c r="B259"/>
      <c r="C259"/>
      <c r="D259"/>
      <c r="E259"/>
      <c r="F259"/>
      <c r="G259"/>
      <c r="H259"/>
      <c r="I259"/>
      <c r="J259"/>
    </row>
    <row r="260" spans="1:10" x14ac:dyDescent="0.2">
      <c r="A260"/>
      <c r="B260"/>
      <c r="C260"/>
      <c r="D260"/>
      <c r="E260"/>
      <c r="F260"/>
      <c r="G260"/>
      <c r="H260"/>
      <c r="I260"/>
      <c r="J260"/>
    </row>
    <row r="261" spans="1:10" x14ac:dyDescent="0.2">
      <c r="A261"/>
      <c r="B261"/>
      <c r="C261"/>
      <c r="D261"/>
      <c r="E261"/>
      <c r="F261"/>
      <c r="G261"/>
      <c r="H261"/>
      <c r="I261"/>
      <c r="J261"/>
    </row>
    <row r="262" spans="1:10" x14ac:dyDescent="0.2">
      <c r="A262"/>
      <c r="B262"/>
      <c r="C262"/>
      <c r="D262"/>
      <c r="E262"/>
      <c r="F262"/>
      <c r="G262"/>
      <c r="H262"/>
      <c r="I262"/>
      <c r="J262"/>
    </row>
    <row r="263" spans="1:10" x14ac:dyDescent="0.2">
      <c r="A263"/>
      <c r="B263"/>
      <c r="C263"/>
      <c r="D263"/>
      <c r="E263"/>
      <c r="F263"/>
      <c r="G263"/>
      <c r="H263"/>
      <c r="I263"/>
      <c r="J263"/>
    </row>
    <row r="264" spans="1:10" x14ac:dyDescent="0.2">
      <c r="A264"/>
      <c r="B264"/>
      <c r="C264"/>
      <c r="D264"/>
      <c r="E264"/>
      <c r="F264"/>
      <c r="G264"/>
      <c r="H264"/>
      <c r="I264"/>
      <c r="J264"/>
    </row>
    <row r="265" spans="1:10" x14ac:dyDescent="0.2">
      <c r="A265"/>
      <c r="B265"/>
      <c r="C265"/>
      <c r="D265"/>
      <c r="E265"/>
      <c r="F265"/>
      <c r="G265"/>
      <c r="H265"/>
      <c r="I265"/>
      <c r="J265"/>
    </row>
    <row r="266" spans="1:10" x14ac:dyDescent="0.2">
      <c r="A266"/>
      <c r="B266"/>
      <c r="C266"/>
      <c r="D266"/>
      <c r="E266"/>
      <c r="F266"/>
      <c r="G266"/>
      <c r="H266"/>
      <c r="I266"/>
      <c r="J266"/>
    </row>
    <row r="267" spans="1:10" x14ac:dyDescent="0.2">
      <c r="A267"/>
      <c r="B267"/>
      <c r="C267"/>
      <c r="D267"/>
      <c r="E267"/>
      <c r="F267"/>
      <c r="G267"/>
      <c r="H267"/>
      <c r="I267"/>
      <c r="J267"/>
    </row>
    <row r="268" spans="1:10" x14ac:dyDescent="0.2">
      <c r="A268"/>
      <c r="B268"/>
      <c r="C268"/>
      <c r="D268"/>
      <c r="E268"/>
      <c r="F268"/>
      <c r="G268"/>
      <c r="H268"/>
      <c r="I268"/>
      <c r="J268"/>
    </row>
    <row r="269" spans="1:10" x14ac:dyDescent="0.2">
      <c r="A269"/>
      <c r="B269"/>
      <c r="C269"/>
      <c r="D269"/>
      <c r="E269"/>
      <c r="F269"/>
      <c r="G269"/>
      <c r="H269"/>
      <c r="I269"/>
      <c r="J269"/>
    </row>
    <row r="270" spans="1:10" x14ac:dyDescent="0.2">
      <c r="A270"/>
      <c r="B270"/>
      <c r="C270"/>
      <c r="D270"/>
      <c r="E270"/>
      <c r="F270"/>
      <c r="G270"/>
      <c r="H270"/>
      <c r="I270"/>
      <c r="J270"/>
    </row>
    <row r="271" spans="1:10" x14ac:dyDescent="0.2">
      <c r="A271"/>
      <c r="B271"/>
      <c r="C271"/>
      <c r="D271"/>
      <c r="E271"/>
      <c r="F271"/>
      <c r="G271"/>
      <c r="H271"/>
      <c r="I271"/>
      <c r="J271"/>
    </row>
    <row r="272" spans="1:10" x14ac:dyDescent="0.2">
      <c r="A272"/>
      <c r="B272"/>
      <c r="C272"/>
      <c r="D272"/>
      <c r="E272"/>
      <c r="F272"/>
      <c r="G272"/>
      <c r="H272"/>
      <c r="I272"/>
      <c r="J272"/>
    </row>
    <row r="273" spans="1:10" x14ac:dyDescent="0.2">
      <c r="A273"/>
      <c r="B273"/>
      <c r="C273"/>
      <c r="D273"/>
      <c r="E273"/>
      <c r="F273"/>
      <c r="G273"/>
      <c r="H273"/>
      <c r="I273"/>
      <c r="J273"/>
    </row>
  </sheetData>
  <phoneticPr fontId="38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/>
  </sheetPr>
  <dimension ref="A1:I28"/>
  <sheetViews>
    <sheetView zoomScaleNormal="100" workbookViewId="0">
      <selection activeCell="C6" sqref="C6"/>
    </sheetView>
  </sheetViews>
  <sheetFormatPr defaultRowHeight="12.75" x14ac:dyDescent="0.2"/>
  <cols>
    <col min="1" max="5" width="10.7109375" style="94" customWidth="1"/>
    <col min="6" max="6" width="19.5703125" style="122" bestFit="1" customWidth="1"/>
    <col min="7" max="9" width="13.85546875" style="106" customWidth="1"/>
    <col min="10" max="16384" width="9.140625" style="94"/>
  </cols>
  <sheetData>
    <row r="1" spans="1:7" ht="35.1" customHeight="1" thickBot="1" x14ac:dyDescent="0.25">
      <c r="A1" s="101" t="s">
        <v>42</v>
      </c>
      <c r="B1" s="102" t="s">
        <v>43</v>
      </c>
      <c r="C1" s="103" t="s">
        <v>44</v>
      </c>
      <c r="D1" s="103" t="s">
        <v>45</v>
      </c>
      <c r="E1" s="104" t="s">
        <v>46</v>
      </c>
      <c r="F1" s="104" t="s">
        <v>7</v>
      </c>
      <c r="G1" s="105" t="s">
        <v>47</v>
      </c>
    </row>
    <row r="2" spans="1:7" x14ac:dyDescent="0.2">
      <c r="A2" s="107" t="s">
        <v>48</v>
      </c>
      <c r="B2" s="108" t="s">
        <v>49</v>
      </c>
      <c r="C2" s="109">
        <v>41.35</v>
      </c>
      <c r="D2" s="109">
        <v>8.1</v>
      </c>
      <c r="E2" s="110">
        <v>35.6</v>
      </c>
      <c r="F2" s="109" t="s">
        <v>50</v>
      </c>
      <c r="G2" s="111"/>
    </row>
    <row r="3" spans="1:7" x14ac:dyDescent="0.2">
      <c r="A3" s="112" t="s">
        <v>51</v>
      </c>
      <c r="B3" s="113" t="s">
        <v>52</v>
      </c>
      <c r="C3" s="114">
        <v>41.35</v>
      </c>
      <c r="D3" s="114">
        <v>-8.1</v>
      </c>
      <c r="E3" s="115">
        <v>35.6</v>
      </c>
      <c r="F3" s="114" t="s">
        <v>53</v>
      </c>
      <c r="G3" s="116"/>
    </row>
    <row r="4" spans="1:7" x14ac:dyDescent="0.2">
      <c r="A4" s="112" t="s">
        <v>54</v>
      </c>
      <c r="B4" s="113" t="s">
        <v>55</v>
      </c>
      <c r="C4" s="114">
        <v>-36.450000000000003</v>
      </c>
      <c r="D4" s="114">
        <v>0</v>
      </c>
      <c r="E4" s="115">
        <v>35.6</v>
      </c>
      <c r="F4" s="114" t="s">
        <v>56</v>
      </c>
      <c r="G4" s="116" t="s">
        <v>57</v>
      </c>
    </row>
    <row r="5" spans="1:7" x14ac:dyDescent="0.2">
      <c r="A5" s="112" t="s">
        <v>58</v>
      </c>
      <c r="B5" s="113" t="s">
        <v>59</v>
      </c>
      <c r="C5" s="114">
        <v>-36.450000000000003</v>
      </c>
      <c r="D5" s="114">
        <v>10</v>
      </c>
      <c r="E5" s="115">
        <v>35.6</v>
      </c>
      <c r="F5" s="114" t="s">
        <v>60</v>
      </c>
      <c r="G5" s="116" t="s">
        <v>57</v>
      </c>
    </row>
    <row r="6" spans="1:7" x14ac:dyDescent="0.2">
      <c r="A6" s="112" t="s">
        <v>61</v>
      </c>
      <c r="B6" s="113" t="s">
        <v>49</v>
      </c>
      <c r="C6" s="114">
        <f>29.65-0.5</f>
        <v>29.15</v>
      </c>
      <c r="D6" s="114">
        <v>8.1</v>
      </c>
      <c r="E6" s="115">
        <v>27.8</v>
      </c>
      <c r="F6" s="114" t="s">
        <v>62</v>
      </c>
      <c r="G6" s="116" t="s">
        <v>63</v>
      </c>
    </row>
    <row r="7" spans="1:7" x14ac:dyDescent="0.2">
      <c r="A7" s="112" t="s">
        <v>64</v>
      </c>
      <c r="B7" s="113" t="s">
        <v>52</v>
      </c>
      <c r="C7" s="114">
        <f>29.65-0.5</f>
        <v>29.15</v>
      </c>
      <c r="D7" s="114">
        <v>-8.1</v>
      </c>
      <c r="E7" s="115">
        <v>27.8</v>
      </c>
      <c r="F7" s="114" t="s">
        <v>65</v>
      </c>
      <c r="G7" s="116" t="s">
        <v>63</v>
      </c>
    </row>
    <row r="8" spans="1:7" x14ac:dyDescent="0.2">
      <c r="A8" s="112" t="s">
        <v>66</v>
      </c>
      <c r="B8" s="113" t="s">
        <v>55</v>
      </c>
      <c r="C8" s="114">
        <f>-16.35+0.5</f>
        <v>-15.850000000000001</v>
      </c>
      <c r="D8" s="114">
        <v>25.2</v>
      </c>
      <c r="E8" s="115">
        <v>27.8</v>
      </c>
      <c r="F8" s="114" t="s">
        <v>67</v>
      </c>
      <c r="G8" s="116" t="s">
        <v>63</v>
      </c>
    </row>
    <row r="9" spans="1:7" ht="13.5" thickBot="1" x14ac:dyDescent="0.25">
      <c r="A9" s="117" t="s">
        <v>68</v>
      </c>
      <c r="B9" s="118" t="s">
        <v>59</v>
      </c>
      <c r="C9" s="119">
        <f>-16.35+0.5</f>
        <v>-15.850000000000001</v>
      </c>
      <c r="D9" s="119">
        <v>-25.2</v>
      </c>
      <c r="E9" s="120">
        <v>27.8</v>
      </c>
      <c r="F9" s="119" t="s">
        <v>69</v>
      </c>
      <c r="G9" s="121" t="s">
        <v>63</v>
      </c>
    </row>
    <row r="28" spans="4:4" x14ac:dyDescent="0.2">
      <c r="D28" s="94">
        <f>1.2</f>
        <v>1.2</v>
      </c>
    </row>
  </sheetData>
  <phoneticPr fontId="38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T28"/>
  <sheetViews>
    <sheetView zoomScaleNormal="100" zoomScaleSheetLayoutView="100" workbookViewId="0">
      <selection activeCell="D8" sqref="D8"/>
    </sheetView>
  </sheetViews>
  <sheetFormatPr defaultRowHeight="12.75" x14ac:dyDescent="0.2"/>
  <cols>
    <col min="1" max="1" width="33.42578125" style="134" bestFit="1" customWidth="1"/>
    <col min="2" max="2" width="9" style="134" bestFit="1" customWidth="1"/>
    <col min="3" max="3" width="6.42578125" style="134" bestFit="1" customWidth="1"/>
    <col min="4" max="4" width="8" style="135" bestFit="1" customWidth="1"/>
    <col min="5" max="5" width="8" style="135" customWidth="1"/>
    <col min="6" max="8" width="9.7109375" style="136" customWidth="1"/>
    <col min="9" max="16384" width="9.140625" style="94"/>
  </cols>
  <sheetData>
    <row r="1" spans="1:20" ht="32.25" customHeight="1" x14ac:dyDescent="0.2">
      <c r="A1" s="123" t="s">
        <v>71</v>
      </c>
      <c r="B1" s="124" t="s">
        <v>25</v>
      </c>
      <c r="C1" s="124" t="s">
        <v>72</v>
      </c>
      <c r="D1" s="125" t="s">
        <v>73</v>
      </c>
      <c r="E1" s="125" t="s">
        <v>18</v>
      </c>
      <c r="F1" s="126" t="s">
        <v>44</v>
      </c>
      <c r="G1" s="126" t="s">
        <v>45</v>
      </c>
      <c r="H1" s="127" t="s">
        <v>74</v>
      </c>
    </row>
    <row r="2" spans="1:20" x14ac:dyDescent="0.2">
      <c r="A2" s="128" t="s">
        <v>75</v>
      </c>
      <c r="B2" s="128" t="s">
        <v>76</v>
      </c>
      <c r="C2" s="129">
        <v>0.85</v>
      </c>
      <c r="D2" s="96">
        <v>743</v>
      </c>
      <c r="E2" s="96">
        <v>761.4</v>
      </c>
      <c r="F2" s="96">
        <v>29.65</v>
      </c>
      <c r="G2" s="96">
        <v>0</v>
      </c>
      <c r="H2" s="96">
        <v>3</v>
      </c>
      <c r="R2" s="130"/>
    </row>
    <row r="3" spans="1:20" x14ac:dyDescent="0.2">
      <c r="A3" s="128" t="s">
        <v>77</v>
      </c>
      <c r="B3" s="128" t="s">
        <v>78</v>
      </c>
      <c r="C3" s="129">
        <v>0.95</v>
      </c>
      <c r="D3" s="96">
        <v>142.9</v>
      </c>
      <c r="E3" s="96">
        <v>146.4</v>
      </c>
      <c r="F3" s="96">
        <v>44.8</v>
      </c>
      <c r="G3" s="96">
        <v>0</v>
      </c>
      <c r="H3" s="96">
        <v>3</v>
      </c>
    </row>
    <row r="4" spans="1:20" x14ac:dyDescent="0.2">
      <c r="A4" s="128" t="s">
        <v>79</v>
      </c>
      <c r="B4" s="128" t="s">
        <v>80</v>
      </c>
      <c r="C4" s="129">
        <v>0.95</v>
      </c>
      <c r="D4" s="96">
        <v>371.5</v>
      </c>
      <c r="E4" s="96">
        <v>380.7</v>
      </c>
      <c r="F4" s="96">
        <v>-28.5</v>
      </c>
      <c r="G4" s="96">
        <v>37.200000000000003</v>
      </c>
      <c r="H4" s="96">
        <v>3</v>
      </c>
    </row>
    <row r="5" spans="1:20" x14ac:dyDescent="0.2">
      <c r="A5" s="128" t="s">
        <v>81</v>
      </c>
      <c r="B5" s="128" t="s">
        <v>82</v>
      </c>
      <c r="C5" s="129">
        <v>0.95</v>
      </c>
      <c r="D5" s="96">
        <v>371.5</v>
      </c>
      <c r="E5" s="96">
        <v>380.7</v>
      </c>
      <c r="F5" s="96">
        <v>-28.5</v>
      </c>
      <c r="G5" s="96">
        <v>29.4</v>
      </c>
      <c r="H5" s="96">
        <v>3</v>
      </c>
    </row>
    <row r="6" spans="1:20" x14ac:dyDescent="0.2">
      <c r="A6" s="128" t="s">
        <v>83</v>
      </c>
      <c r="B6" s="128" t="s">
        <v>84</v>
      </c>
      <c r="C6" s="129">
        <v>0.95</v>
      </c>
      <c r="D6" s="96">
        <v>635</v>
      </c>
      <c r="E6" s="96">
        <v>650.70000000000005</v>
      </c>
      <c r="F6" s="96">
        <v>18.55</v>
      </c>
      <c r="G6" s="96">
        <v>19.670000000000002</v>
      </c>
      <c r="H6" s="96">
        <v>3</v>
      </c>
      <c r="S6" s="130"/>
    </row>
    <row r="7" spans="1:20" x14ac:dyDescent="0.2">
      <c r="A7" s="128" t="s">
        <v>85</v>
      </c>
      <c r="B7" s="128" t="s">
        <v>86</v>
      </c>
      <c r="C7" s="129">
        <v>0.95</v>
      </c>
      <c r="D7" s="96">
        <v>635.4</v>
      </c>
      <c r="E7" s="96">
        <v>651.1</v>
      </c>
      <c r="F7" s="96">
        <v>10.28</v>
      </c>
      <c r="G7" s="96">
        <v>23.22</v>
      </c>
      <c r="H7" s="96">
        <v>3</v>
      </c>
      <c r="S7" s="130"/>
    </row>
    <row r="8" spans="1:20" x14ac:dyDescent="0.2">
      <c r="A8" s="128" t="s">
        <v>87</v>
      </c>
      <c r="B8" s="128" t="s">
        <v>88</v>
      </c>
      <c r="C8" s="129">
        <v>0.95</v>
      </c>
      <c r="D8" s="96">
        <v>529.20000000000005</v>
      </c>
      <c r="E8" s="96">
        <v>542.29999999999995</v>
      </c>
      <c r="F8" s="96">
        <v>26.13</v>
      </c>
      <c r="G8" s="96">
        <v>16.420000000000002</v>
      </c>
      <c r="H8" s="96">
        <v>3</v>
      </c>
      <c r="S8" s="130"/>
    </row>
    <row r="9" spans="1:20" x14ac:dyDescent="0.2">
      <c r="A9" s="128" t="s">
        <v>89</v>
      </c>
      <c r="B9" s="128" t="s">
        <v>90</v>
      </c>
      <c r="C9" s="129">
        <v>0.95</v>
      </c>
      <c r="D9" s="96">
        <v>634.70000000000005</v>
      </c>
      <c r="E9" s="96">
        <v>650.4</v>
      </c>
      <c r="F9" s="96">
        <v>2</v>
      </c>
      <c r="G9" s="96">
        <v>26.77</v>
      </c>
      <c r="H9" s="96">
        <v>3</v>
      </c>
      <c r="S9" s="130"/>
    </row>
    <row r="10" spans="1:20" x14ac:dyDescent="0.2">
      <c r="A10" s="128" t="s">
        <v>91</v>
      </c>
      <c r="B10" s="128" t="s">
        <v>92</v>
      </c>
      <c r="C10" s="129">
        <v>0.95</v>
      </c>
      <c r="D10" s="96">
        <v>529.20000000000005</v>
      </c>
      <c r="E10" s="96">
        <v>542.29999999999995</v>
      </c>
      <c r="F10" s="96">
        <v>-5.05</v>
      </c>
      <c r="G10" s="96">
        <v>30.02</v>
      </c>
      <c r="H10" s="96">
        <v>3</v>
      </c>
      <c r="S10" s="130"/>
    </row>
    <row r="11" spans="1:20" x14ac:dyDescent="0.2">
      <c r="A11" s="128" t="s">
        <v>93</v>
      </c>
      <c r="B11" s="128" t="s">
        <v>94</v>
      </c>
      <c r="C11" s="129">
        <v>0.95</v>
      </c>
      <c r="D11" s="96">
        <v>635</v>
      </c>
      <c r="E11" s="96">
        <v>650.70000000000005</v>
      </c>
      <c r="F11" s="96">
        <v>-30.45</v>
      </c>
      <c r="G11" s="96">
        <v>13.5</v>
      </c>
      <c r="H11" s="96">
        <v>3</v>
      </c>
      <c r="T11" s="130"/>
    </row>
    <row r="12" spans="1:20" x14ac:dyDescent="0.2">
      <c r="A12" s="128" t="s">
        <v>95</v>
      </c>
      <c r="B12" s="128" t="s">
        <v>96</v>
      </c>
      <c r="C12" s="129">
        <v>0.95</v>
      </c>
      <c r="D12" s="96">
        <v>635</v>
      </c>
      <c r="E12" s="96">
        <v>650.70000000000005</v>
      </c>
      <c r="F12" s="96">
        <v>-30.45</v>
      </c>
      <c r="G12" s="96">
        <v>4.5</v>
      </c>
      <c r="H12" s="96">
        <v>3</v>
      </c>
      <c r="T12" s="130"/>
    </row>
    <row r="13" spans="1:20" x14ac:dyDescent="0.2">
      <c r="A13" s="128" t="s">
        <v>97</v>
      </c>
      <c r="B13" s="128" t="s">
        <v>98</v>
      </c>
      <c r="C13" s="129">
        <v>0.95</v>
      </c>
      <c r="D13" s="96">
        <v>371.5</v>
      </c>
      <c r="E13" s="96">
        <v>380.7</v>
      </c>
      <c r="F13" s="96">
        <v>41.65</v>
      </c>
      <c r="G13" s="96">
        <v>4.05</v>
      </c>
      <c r="H13" s="96">
        <v>3</v>
      </c>
    </row>
    <row r="14" spans="1:20" x14ac:dyDescent="0.2">
      <c r="A14" s="131" t="s">
        <v>99</v>
      </c>
      <c r="B14" s="128" t="s">
        <v>100</v>
      </c>
      <c r="C14" s="129">
        <v>0.95</v>
      </c>
      <c r="D14" s="96">
        <v>636.4</v>
      </c>
      <c r="E14" s="96">
        <v>652.1</v>
      </c>
      <c r="F14" s="96">
        <v>38.04</v>
      </c>
      <c r="G14" s="96">
        <v>12</v>
      </c>
      <c r="H14" s="96">
        <v>3</v>
      </c>
      <c r="T14" s="130"/>
    </row>
    <row r="15" spans="1:20" x14ac:dyDescent="0.2">
      <c r="A15" s="128" t="s">
        <v>101</v>
      </c>
      <c r="B15" s="128" t="s">
        <v>102</v>
      </c>
      <c r="C15" s="129">
        <v>0.85</v>
      </c>
      <c r="D15" s="96">
        <v>743</v>
      </c>
      <c r="E15" s="96">
        <v>761.4</v>
      </c>
      <c r="F15" s="96">
        <v>-20.399999999999999</v>
      </c>
      <c r="G15" s="96">
        <v>33.299999999999997</v>
      </c>
      <c r="H15" s="96">
        <v>3</v>
      </c>
      <c r="S15" s="130"/>
    </row>
    <row r="16" spans="1:20" x14ac:dyDescent="0.2">
      <c r="A16" s="128" t="s">
        <v>103</v>
      </c>
      <c r="B16" s="128" t="s">
        <v>104</v>
      </c>
      <c r="C16" s="129">
        <v>0.95</v>
      </c>
      <c r="D16" s="96">
        <v>371.5</v>
      </c>
      <c r="E16" s="96">
        <v>380.7</v>
      </c>
      <c r="F16" s="96">
        <v>-28.5</v>
      </c>
      <c r="G16" s="96">
        <v>-37.200000000000003</v>
      </c>
      <c r="H16" s="96">
        <v>3</v>
      </c>
    </row>
    <row r="17" spans="1:20" x14ac:dyDescent="0.2">
      <c r="A17" s="128" t="s">
        <v>105</v>
      </c>
      <c r="B17" s="128" t="s">
        <v>106</v>
      </c>
      <c r="C17" s="129">
        <v>0.95</v>
      </c>
      <c r="D17" s="96">
        <v>371.5</v>
      </c>
      <c r="E17" s="96">
        <v>380.7</v>
      </c>
      <c r="F17" s="96">
        <v>-28.5</v>
      </c>
      <c r="G17" s="96">
        <v>-29.4</v>
      </c>
      <c r="H17" s="96">
        <v>3</v>
      </c>
    </row>
    <row r="18" spans="1:20" x14ac:dyDescent="0.2">
      <c r="A18" s="128" t="s">
        <v>107</v>
      </c>
      <c r="B18" s="128" t="s">
        <v>108</v>
      </c>
      <c r="C18" s="129">
        <v>0.85</v>
      </c>
      <c r="D18" s="96">
        <v>635</v>
      </c>
      <c r="E18" s="96">
        <v>650.70000000000005</v>
      </c>
      <c r="F18" s="96">
        <v>18.55</v>
      </c>
      <c r="G18" s="96">
        <v>-19.670000000000002</v>
      </c>
      <c r="H18" s="96">
        <v>3</v>
      </c>
      <c r="S18" s="130"/>
    </row>
    <row r="19" spans="1:20" x14ac:dyDescent="0.2">
      <c r="A19" s="128" t="s">
        <v>109</v>
      </c>
      <c r="B19" s="128" t="s">
        <v>110</v>
      </c>
      <c r="C19" s="129">
        <v>0.95</v>
      </c>
      <c r="D19" s="96">
        <v>635.4</v>
      </c>
      <c r="E19" s="96">
        <v>651.1</v>
      </c>
      <c r="F19" s="96">
        <v>10.28</v>
      </c>
      <c r="G19" s="96">
        <v>-23.22</v>
      </c>
      <c r="H19" s="96">
        <v>3</v>
      </c>
      <c r="S19" s="130"/>
    </row>
    <row r="20" spans="1:20" x14ac:dyDescent="0.2">
      <c r="A20" s="128" t="s">
        <v>111</v>
      </c>
      <c r="B20" s="128" t="s">
        <v>112</v>
      </c>
      <c r="C20" s="129">
        <v>0.95</v>
      </c>
      <c r="D20" s="96">
        <v>635</v>
      </c>
      <c r="E20" s="96">
        <v>650.70000000000005</v>
      </c>
      <c r="F20" s="96">
        <v>-30.45</v>
      </c>
      <c r="G20" s="96">
        <v>-4.5</v>
      </c>
      <c r="H20" s="96">
        <v>3</v>
      </c>
      <c r="T20" s="130"/>
    </row>
    <row r="21" spans="1:20" x14ac:dyDescent="0.2">
      <c r="A21" s="128" t="s">
        <v>113</v>
      </c>
      <c r="B21" s="128" t="s">
        <v>114</v>
      </c>
      <c r="C21" s="129">
        <v>0.95</v>
      </c>
      <c r="D21" s="96">
        <v>529.20000000000005</v>
      </c>
      <c r="E21" s="96">
        <v>542.29999999999995</v>
      </c>
      <c r="F21" s="96">
        <v>26.13</v>
      </c>
      <c r="G21" s="96">
        <v>-16.420000000000002</v>
      </c>
      <c r="H21" s="96">
        <v>3</v>
      </c>
      <c r="S21" s="130"/>
    </row>
    <row r="22" spans="1:20" x14ac:dyDescent="0.2">
      <c r="A22" s="128" t="s">
        <v>115</v>
      </c>
      <c r="B22" s="128" t="s">
        <v>116</v>
      </c>
      <c r="C22" s="129">
        <v>0.95</v>
      </c>
      <c r="D22" s="96">
        <v>634.70000000000005</v>
      </c>
      <c r="E22" s="96">
        <v>650.4</v>
      </c>
      <c r="F22" s="96">
        <v>2</v>
      </c>
      <c r="G22" s="96">
        <v>-26.77</v>
      </c>
      <c r="H22" s="96">
        <v>3</v>
      </c>
      <c r="S22" s="130"/>
    </row>
    <row r="23" spans="1:20" x14ac:dyDescent="0.2">
      <c r="A23" s="128" t="s">
        <v>117</v>
      </c>
      <c r="B23" s="128" t="s">
        <v>118</v>
      </c>
      <c r="C23" s="129">
        <v>0.95</v>
      </c>
      <c r="D23" s="96">
        <v>529.20000000000005</v>
      </c>
      <c r="E23" s="96">
        <v>542.29999999999995</v>
      </c>
      <c r="F23" s="96">
        <v>-5.05</v>
      </c>
      <c r="G23" s="96">
        <v>-30.02</v>
      </c>
      <c r="H23" s="96">
        <v>3</v>
      </c>
      <c r="S23" s="130"/>
    </row>
    <row r="24" spans="1:20" x14ac:dyDescent="0.2">
      <c r="A24" s="128" t="s">
        <v>119</v>
      </c>
      <c r="B24" s="128" t="s">
        <v>120</v>
      </c>
      <c r="C24" s="129">
        <v>0.95</v>
      </c>
      <c r="D24" s="96">
        <v>635</v>
      </c>
      <c r="E24" s="96">
        <v>650.70000000000005</v>
      </c>
      <c r="F24" s="96">
        <v>-30.45</v>
      </c>
      <c r="G24" s="96">
        <v>-13.5</v>
      </c>
      <c r="H24" s="96">
        <v>3</v>
      </c>
      <c r="T24" s="130"/>
    </row>
    <row r="25" spans="1:20" x14ac:dyDescent="0.2">
      <c r="A25" s="131" t="s">
        <v>121</v>
      </c>
      <c r="B25" s="131" t="s">
        <v>122</v>
      </c>
      <c r="C25" s="129">
        <v>0.95</v>
      </c>
      <c r="D25" s="96">
        <v>371.5</v>
      </c>
      <c r="E25" s="96">
        <v>380.7</v>
      </c>
      <c r="F25" s="96">
        <v>41.65</v>
      </c>
      <c r="G25" s="96">
        <v>-4.05</v>
      </c>
      <c r="H25" s="96">
        <v>3</v>
      </c>
    </row>
    <row r="26" spans="1:20" x14ac:dyDescent="0.2">
      <c r="A26" s="128" t="s">
        <v>124</v>
      </c>
      <c r="B26" s="128" t="s">
        <v>123</v>
      </c>
      <c r="C26" s="129">
        <v>0.95</v>
      </c>
      <c r="D26" s="96">
        <v>635.6</v>
      </c>
      <c r="E26" s="96">
        <v>651.29999999999995</v>
      </c>
      <c r="F26" s="96">
        <v>38.090000000000003</v>
      </c>
      <c r="G26" s="96">
        <v>-12</v>
      </c>
      <c r="H26" s="96">
        <v>3</v>
      </c>
      <c r="T26" s="130"/>
    </row>
    <row r="27" spans="1:20" x14ac:dyDescent="0.2">
      <c r="A27" s="128" t="s">
        <v>125</v>
      </c>
      <c r="B27" s="128" t="s">
        <v>126</v>
      </c>
      <c r="C27" s="129">
        <v>0.85</v>
      </c>
      <c r="D27" s="96">
        <v>743</v>
      </c>
      <c r="E27" s="96">
        <v>761.4</v>
      </c>
      <c r="F27" s="96">
        <v>-20.399999999999999</v>
      </c>
      <c r="G27" s="96">
        <v>-33.299999999999997</v>
      </c>
      <c r="H27" s="96">
        <v>3</v>
      </c>
      <c r="S27" s="130"/>
    </row>
    <row r="28" spans="1:20" x14ac:dyDescent="0.2">
      <c r="A28" s="129"/>
      <c r="B28" s="129"/>
      <c r="C28" s="129"/>
      <c r="D28" s="132"/>
      <c r="E28" s="132"/>
      <c r="F28" s="133"/>
      <c r="G28" s="133"/>
      <c r="H28" s="133"/>
    </row>
  </sheetData>
  <phoneticPr fontId="38" type="noConversion"/>
  <pageMargins left="0.75" right="0.75" top="1" bottom="1" header="0.5" footer="0.5"/>
  <pageSetup scale="55" orientation="portrait" r:id="rId1"/>
  <headerFooter alignWithMargins="0"/>
  <colBreaks count="1" manualBreakCount="1">
    <brk id="8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  <pageSetUpPr fitToPage="1"/>
  </sheetPr>
  <dimension ref="B1:U692"/>
  <sheetViews>
    <sheetView topLeftCell="B1" zoomScale="85" zoomScaleNormal="85" zoomScaleSheetLayoutView="85" workbookViewId="0">
      <pane ySplit="10" topLeftCell="A38" activePane="bottomLeft" state="frozen"/>
      <selection activeCell="Q2" sqref="C2:U36"/>
      <selection pane="bottomLeft" activeCell="D32" sqref="D32:D36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558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548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529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54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5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17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6"/>
      <c r="G8" s="611"/>
      <c r="H8" s="611"/>
      <c r="I8" s="611"/>
      <c r="J8" s="611"/>
      <c r="K8" s="611"/>
      <c r="L8" s="611"/>
      <c r="M8" s="618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550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19"/>
      <c r="O9" s="417"/>
    </row>
    <row r="10" spans="2:21" ht="15.95" customHeight="1" thickTop="1" x14ac:dyDescent="0.2">
      <c r="B10" s="418"/>
      <c r="C10" s="419"/>
      <c r="D10" s="477"/>
      <c r="E10" s="419"/>
      <c r="F10" s="551"/>
      <c r="G10" s="419"/>
      <c r="H10" s="419"/>
      <c r="I10" s="419"/>
      <c r="J10" s="419"/>
      <c r="K10" s="419"/>
      <c r="L10" s="419"/>
      <c r="M10" s="420"/>
    </row>
    <row r="11" spans="2:21" s="429" customFormat="1" ht="15.95" customHeight="1" x14ac:dyDescent="0.2">
      <c r="B11" s="463"/>
      <c r="C11" s="470" t="s">
        <v>528</v>
      </c>
      <c r="D11" s="478"/>
      <c r="E11" s="465"/>
      <c r="F11" s="552"/>
      <c r="G11" s="467"/>
      <c r="H11" s="468"/>
      <c r="I11" s="468"/>
      <c r="J11" s="468"/>
      <c r="K11" s="468"/>
      <c r="L11" s="468"/>
      <c r="M11" s="469"/>
      <c r="N11" s="381"/>
      <c r="O11" s="445"/>
      <c r="P11" s="446"/>
      <c r="Q11" s="446"/>
      <c r="R11" s="446"/>
      <c r="S11" s="446"/>
      <c r="T11" s="446"/>
      <c r="U11" s="447"/>
    </row>
    <row r="12" spans="2:21" s="429" customFormat="1" ht="15.95" customHeight="1" x14ac:dyDescent="0.2">
      <c r="B12" s="59" t="s">
        <v>88</v>
      </c>
      <c r="C12" s="29" t="s">
        <v>456</v>
      </c>
      <c r="D12" s="316">
        <v>1</v>
      </c>
      <c r="E12" s="218">
        <v>1.0249999999999999</v>
      </c>
      <c r="F12" s="271">
        <f>(0.5*PI()*3.3^2*9+(11.1-3.3)*9*6.6)*$Q$3</f>
        <v>586.41006058970936</v>
      </c>
      <c r="G12" s="24">
        <f>E12*F12*D12</f>
        <v>601.070312104452</v>
      </c>
      <c r="H12" s="16">
        <v>-27.6</v>
      </c>
      <c r="I12" s="16">
        <v>13.5</v>
      </c>
      <c r="J12" s="16">
        <v>3.3</v>
      </c>
      <c r="K12" s="169">
        <v>0</v>
      </c>
      <c r="L12" s="169">
        <v>0</v>
      </c>
      <c r="M12" s="430"/>
      <c r="N12" s="381"/>
      <c r="O12" s="426"/>
      <c r="P12" s="427"/>
      <c r="Q12" s="427"/>
      <c r="R12" s="427"/>
      <c r="S12" s="427"/>
      <c r="T12" s="427"/>
      <c r="U12" s="428"/>
    </row>
    <row r="13" spans="2:21" s="429" customFormat="1" ht="15.95" customHeight="1" x14ac:dyDescent="0.2">
      <c r="B13" s="59" t="s">
        <v>90</v>
      </c>
      <c r="C13" s="29" t="s">
        <v>468</v>
      </c>
      <c r="D13" s="316">
        <v>1</v>
      </c>
      <c r="E13" s="218">
        <v>1.0249999999999999</v>
      </c>
      <c r="F13" s="271">
        <f t="shared" ref="F13:F15" si="0">(0.5*PI()*3.3^2*9+(11.1-3.3)*9*6.6)*$Q$3</f>
        <v>586.41006058970936</v>
      </c>
      <c r="G13" s="24">
        <f t="shared" ref="G13:G19" si="1">E13*F13*D13</f>
        <v>601.070312104452</v>
      </c>
      <c r="H13" s="16">
        <v>-27.6</v>
      </c>
      <c r="I13" s="16">
        <v>4.5</v>
      </c>
      <c r="J13" s="16">
        <v>3.3</v>
      </c>
      <c r="K13" s="169">
        <v>0</v>
      </c>
      <c r="L13" s="169">
        <v>0</v>
      </c>
      <c r="M13" s="430"/>
      <c r="N13" s="381"/>
      <c r="O13" s="426"/>
      <c r="P13" s="427"/>
      <c r="Q13" s="427"/>
      <c r="R13" s="427"/>
      <c r="S13" s="427"/>
      <c r="T13" s="427"/>
      <c r="U13" s="428"/>
    </row>
    <row r="14" spans="2:21" s="429" customFormat="1" ht="15.95" customHeight="1" x14ac:dyDescent="0.2">
      <c r="B14" s="59" t="s">
        <v>467</v>
      </c>
      <c r="C14" s="29" t="s">
        <v>469</v>
      </c>
      <c r="D14" s="316">
        <v>1</v>
      </c>
      <c r="E14" s="218">
        <v>1.0249999999999999</v>
      </c>
      <c r="F14" s="271">
        <f t="shared" si="0"/>
        <v>586.41006058970936</v>
      </c>
      <c r="G14" s="24">
        <f t="shared" si="1"/>
        <v>601.070312104452</v>
      </c>
      <c r="H14" s="16">
        <v>-27.6</v>
      </c>
      <c r="I14" s="16">
        <v>-4.5</v>
      </c>
      <c r="J14" s="16">
        <v>3.3</v>
      </c>
      <c r="K14" s="169">
        <v>0</v>
      </c>
      <c r="L14" s="169">
        <v>0</v>
      </c>
      <c r="M14" s="430"/>
      <c r="N14" s="381"/>
      <c r="O14" s="426"/>
      <c r="P14" s="427"/>
      <c r="Q14" s="427"/>
      <c r="R14" s="427"/>
      <c r="S14" s="427"/>
      <c r="T14" s="427"/>
      <c r="U14" s="428"/>
    </row>
    <row r="15" spans="2:21" s="429" customFormat="1" ht="15.95" customHeight="1" x14ac:dyDescent="0.2">
      <c r="B15" s="59" t="s">
        <v>114</v>
      </c>
      <c r="C15" s="29" t="s">
        <v>470</v>
      </c>
      <c r="D15" s="316">
        <v>1</v>
      </c>
      <c r="E15" s="218">
        <v>1.0249999999999999</v>
      </c>
      <c r="F15" s="271">
        <f t="shared" si="0"/>
        <v>586.41006058970936</v>
      </c>
      <c r="G15" s="24">
        <f t="shared" si="1"/>
        <v>601.070312104452</v>
      </c>
      <c r="H15" s="16">
        <v>-27.6</v>
      </c>
      <c r="I15" s="16">
        <v>-13.5</v>
      </c>
      <c r="J15" s="16">
        <v>3.3</v>
      </c>
      <c r="K15" s="169">
        <v>0</v>
      </c>
      <c r="L15" s="169">
        <v>0</v>
      </c>
      <c r="M15" s="430"/>
      <c r="N15" s="381"/>
      <c r="O15" s="426"/>
      <c r="P15" s="427"/>
      <c r="Q15" s="427"/>
      <c r="R15" s="427"/>
      <c r="S15" s="427"/>
      <c r="T15" s="427"/>
      <c r="U15" s="428"/>
    </row>
    <row r="16" spans="2:21" s="429" customFormat="1" ht="15.95" customHeight="1" x14ac:dyDescent="0.2">
      <c r="B16" s="59" t="s">
        <v>294</v>
      </c>
      <c r="C16" s="29" t="s">
        <v>474</v>
      </c>
      <c r="D16" s="316">
        <v>1</v>
      </c>
      <c r="E16" s="218">
        <v>1.0249999999999999</v>
      </c>
      <c r="F16" s="271">
        <f>((2.1*6.6-(1-1/4*PI())*3.3^2)*15+9*15*2.1)*$Q$3</f>
        <v>433.52755049142451</v>
      </c>
      <c r="G16" s="24">
        <f t="shared" si="1"/>
        <v>444.3657392537101</v>
      </c>
      <c r="H16" s="16">
        <v>-31.6</v>
      </c>
      <c r="I16" s="16">
        <v>33.700000000000003</v>
      </c>
      <c r="J16" s="16">
        <v>2.5</v>
      </c>
      <c r="K16" s="169">
        <v>0</v>
      </c>
      <c r="L16" s="169">
        <v>0</v>
      </c>
      <c r="M16" s="430"/>
      <c r="N16" s="381"/>
      <c r="O16" s="426"/>
      <c r="P16" s="427"/>
      <c r="Q16" s="427"/>
      <c r="R16" s="427"/>
      <c r="S16" s="427"/>
      <c r="T16" s="427"/>
      <c r="U16" s="428"/>
    </row>
    <row r="17" spans="2:21" s="429" customFormat="1" ht="15.95" customHeight="1" x14ac:dyDescent="0.2">
      <c r="B17" s="58" t="s">
        <v>299</v>
      </c>
      <c r="C17" s="56" t="s">
        <v>476</v>
      </c>
      <c r="D17" s="316">
        <v>1</v>
      </c>
      <c r="E17" s="218">
        <v>1.0249999999999999</v>
      </c>
      <c r="F17" s="271">
        <f>(0.5*PI()*3.3^2*8.4+(9+1.5-1.8-3.3)*8.4*6.6)*$Q$3</f>
        <v>420.91285655039542</v>
      </c>
      <c r="G17" s="24">
        <f t="shared" si="1"/>
        <v>431.43567796415527</v>
      </c>
      <c r="H17" s="16">
        <v>-16.8</v>
      </c>
      <c r="I17" s="16">
        <v>23.22</v>
      </c>
      <c r="J17" s="16">
        <v>3.3</v>
      </c>
      <c r="K17" s="169">
        <v>0</v>
      </c>
      <c r="L17" s="169">
        <v>0</v>
      </c>
      <c r="M17" s="430"/>
      <c r="N17" s="381"/>
      <c r="O17" s="426"/>
      <c r="P17" s="427"/>
      <c r="Q17" s="427"/>
      <c r="R17" s="427"/>
      <c r="S17" s="427"/>
      <c r="T17" s="427"/>
      <c r="U17" s="428"/>
    </row>
    <row r="18" spans="2:21" s="429" customFormat="1" ht="15.95" customHeight="1" x14ac:dyDescent="0.2">
      <c r="B18" s="59" t="s">
        <v>295</v>
      </c>
      <c r="C18" s="29" t="s">
        <v>475</v>
      </c>
      <c r="D18" s="316">
        <v>1</v>
      </c>
      <c r="E18" s="218">
        <v>1.0249999999999999</v>
      </c>
      <c r="F18" s="271">
        <f>((2.1*6.6-(1-1/4*PI())*3.3^2)*15+9*15*2.1)*$Q$3</f>
        <v>433.52755049142451</v>
      </c>
      <c r="G18" s="24">
        <f t="shared" si="1"/>
        <v>444.3657392537101</v>
      </c>
      <c r="H18" s="16">
        <v>-31.6</v>
      </c>
      <c r="I18" s="16">
        <v>-33.700000000000003</v>
      </c>
      <c r="J18" s="16">
        <v>2.5</v>
      </c>
      <c r="K18" s="169">
        <v>0</v>
      </c>
      <c r="L18" s="169">
        <v>0</v>
      </c>
      <c r="M18" s="430"/>
      <c r="N18" s="381"/>
      <c r="O18" s="445"/>
      <c r="P18" s="446"/>
      <c r="Q18" s="446"/>
      <c r="R18" s="446"/>
      <c r="S18" s="446"/>
      <c r="T18" s="446"/>
      <c r="U18" s="447"/>
    </row>
    <row r="19" spans="2:21" s="429" customFormat="1" ht="15.95" customHeight="1" x14ac:dyDescent="0.2">
      <c r="B19" s="59" t="s">
        <v>300</v>
      </c>
      <c r="C19" s="56" t="s">
        <v>477</v>
      </c>
      <c r="D19" s="316">
        <v>1</v>
      </c>
      <c r="E19" s="218">
        <v>1.0249999999999999</v>
      </c>
      <c r="F19" s="271">
        <f>(0.5*PI()*3.3^2*8.4+(9+1.5-1.8-3.3)*8.4*6.6)*$Q$3</f>
        <v>420.91285655039542</v>
      </c>
      <c r="G19" s="24">
        <f t="shared" si="1"/>
        <v>431.43567796415527</v>
      </c>
      <c r="H19" s="16">
        <v>-16.8</v>
      </c>
      <c r="I19" s="16">
        <v>-23.22</v>
      </c>
      <c r="J19" s="16">
        <v>3.3</v>
      </c>
      <c r="K19" s="169">
        <v>0</v>
      </c>
      <c r="L19" s="169">
        <v>0</v>
      </c>
      <c r="M19" s="430"/>
      <c r="N19" s="381"/>
      <c r="O19" s="426"/>
      <c r="P19" s="427"/>
      <c r="Q19" s="427"/>
      <c r="R19" s="427"/>
      <c r="S19" s="427"/>
      <c r="T19" s="427"/>
      <c r="U19" s="428"/>
    </row>
    <row r="20" spans="2:21" s="429" customFormat="1" ht="15.95" customHeight="1" thickBot="1" x14ac:dyDescent="0.25">
      <c r="B20" s="431"/>
      <c r="C20" s="432"/>
      <c r="D20" s="316"/>
      <c r="E20" s="433"/>
      <c r="F20" s="434"/>
      <c r="G20" s="435"/>
      <c r="H20" s="436"/>
      <c r="I20" s="436"/>
      <c r="J20" s="436"/>
      <c r="K20" s="436"/>
      <c r="L20" s="436"/>
      <c r="M20" s="437"/>
      <c r="N20" s="454"/>
      <c r="O20" s="426"/>
      <c r="P20" s="427"/>
      <c r="Q20" s="427"/>
      <c r="R20" s="427"/>
      <c r="S20" s="427"/>
      <c r="T20" s="427"/>
      <c r="U20" s="428"/>
    </row>
    <row r="21" spans="2:21" s="429" customFormat="1" ht="15.95" customHeight="1" thickTop="1" x14ac:dyDescent="0.2">
      <c r="B21" s="438"/>
      <c r="C21" s="439"/>
      <c r="D21" s="479"/>
      <c r="E21" s="440"/>
      <c r="F21" s="553" t="s">
        <v>33</v>
      </c>
      <c r="G21" s="442">
        <f>SUBTOTAL(9,G12:G20)</f>
        <v>4155.8840828535394</v>
      </c>
      <c r="H21" s="443">
        <f>IF($G21=0,0,SUMPRODUCT($G12:$G20,H12:H20)/$G21)</f>
        <v>-26.21303043706688</v>
      </c>
      <c r="I21" s="443">
        <f>IF($G21=0,0,SUMPRODUCT($G12:$G20,I12:I20)/$G21)</f>
        <v>-4.3769012014812752E-16</v>
      </c>
      <c r="J21" s="443">
        <f>IF($G21=0,0,SUMPRODUCT($G12:$G20,J12:J20)/$G21)</f>
        <v>3.1289208340195667</v>
      </c>
      <c r="K21" s="443">
        <f>SUBTOTAL(9,K12:K20)</f>
        <v>0</v>
      </c>
      <c r="L21" s="443">
        <f>SUBTOTAL(9,L12:L20)</f>
        <v>0</v>
      </c>
      <c r="M21" s="444"/>
      <c r="N21" s="454"/>
      <c r="O21" s="445" t="s">
        <v>563</v>
      </c>
      <c r="P21" s="446">
        <f t="shared" ref="P21:U21" si="2">G21</f>
        <v>4155.8840828535394</v>
      </c>
      <c r="Q21" s="446">
        <f t="shared" si="2"/>
        <v>-26.21303043706688</v>
      </c>
      <c r="R21" s="446">
        <f t="shared" si="2"/>
        <v>-4.3769012014812752E-16</v>
      </c>
      <c r="S21" s="446">
        <f t="shared" si="2"/>
        <v>3.1289208340195667</v>
      </c>
      <c r="T21" s="446">
        <f t="shared" si="2"/>
        <v>0</v>
      </c>
      <c r="U21" s="447">
        <f t="shared" si="2"/>
        <v>0</v>
      </c>
    </row>
    <row r="22" spans="2:21" s="429" customFormat="1" ht="15.95" customHeight="1" x14ac:dyDescent="0.2">
      <c r="B22" s="456"/>
      <c r="C22" s="448"/>
      <c r="D22" s="480"/>
      <c r="E22" s="449"/>
      <c r="F22" s="554"/>
      <c r="G22" s="461"/>
      <c r="H22" s="462"/>
      <c r="I22" s="462"/>
      <c r="J22" s="462"/>
      <c r="K22" s="462"/>
      <c r="L22" s="462"/>
      <c r="M22" s="460"/>
      <c r="N22" s="454"/>
      <c r="O22" s="426"/>
      <c r="P22" s="427"/>
      <c r="Q22" s="427"/>
      <c r="R22" s="427"/>
      <c r="S22" s="427"/>
      <c r="T22" s="427"/>
      <c r="U22" s="428"/>
    </row>
    <row r="23" spans="2:21" s="429" customFormat="1" ht="15.95" customHeight="1" x14ac:dyDescent="0.2">
      <c r="B23" s="463"/>
      <c r="C23" s="470" t="s">
        <v>544</v>
      </c>
      <c r="D23" s="478"/>
      <c r="E23" s="465"/>
      <c r="F23" s="552"/>
      <c r="G23" s="467"/>
      <c r="H23" s="468"/>
      <c r="I23" s="468"/>
      <c r="J23" s="468"/>
      <c r="K23" s="468"/>
      <c r="L23" s="468"/>
      <c r="M23" s="469"/>
      <c r="N23" s="454"/>
      <c r="O23" s="426"/>
      <c r="P23" s="427"/>
      <c r="Q23" s="427"/>
      <c r="R23" s="427"/>
      <c r="S23" s="427"/>
      <c r="T23" s="427"/>
      <c r="U23" s="428"/>
    </row>
    <row r="24" spans="2:21" ht="15.95" customHeight="1" x14ac:dyDescent="0.2">
      <c r="B24" s="59" t="s">
        <v>471</v>
      </c>
      <c r="C24" s="29" t="s">
        <v>288</v>
      </c>
      <c r="D24" s="316">
        <v>0.73</v>
      </c>
      <c r="E24" s="218">
        <v>1.0249999999999999</v>
      </c>
      <c r="F24" s="271">
        <f>9*(0.5*PI()*3.3^2+(12-3.3)*6.6)*$Q$3</f>
        <v>637.19706058970939</v>
      </c>
      <c r="G24" s="24">
        <f>E24*F24*D24</f>
        <v>476.78270058624997</v>
      </c>
      <c r="H24" s="16">
        <v>-2.94</v>
      </c>
      <c r="I24" s="16">
        <v>29.71</v>
      </c>
      <c r="J24" s="16">
        <v>3.3</v>
      </c>
      <c r="K24" s="169">
        <v>0</v>
      </c>
      <c r="L24" s="169">
        <v>0</v>
      </c>
      <c r="M24" s="273" t="s">
        <v>407</v>
      </c>
    </row>
    <row r="25" spans="2:21" ht="15.95" customHeight="1" x14ac:dyDescent="0.2">
      <c r="B25" s="58" t="s">
        <v>472</v>
      </c>
      <c r="C25" s="56" t="s">
        <v>503</v>
      </c>
      <c r="D25" s="316">
        <v>0.73</v>
      </c>
      <c r="E25" s="218">
        <v>1.0249999999999999</v>
      </c>
      <c r="F25" s="271">
        <f>9*(0.5*PI()*3.3^2+(12-3.3)*6.6)*$Q$3</f>
        <v>637.19706058970939</v>
      </c>
      <c r="G25" s="24">
        <f>E25*F25*D25</f>
        <v>476.78270058624997</v>
      </c>
      <c r="H25" s="16">
        <v>5.3</v>
      </c>
      <c r="I25" s="16">
        <v>26.17</v>
      </c>
      <c r="J25" s="16">
        <v>3.3</v>
      </c>
      <c r="K25" s="169">
        <v>0</v>
      </c>
      <c r="L25" s="169">
        <v>0</v>
      </c>
      <c r="M25" s="273" t="s">
        <v>407</v>
      </c>
    </row>
    <row r="26" spans="2:21" ht="15.95" customHeight="1" x14ac:dyDescent="0.2">
      <c r="B26" s="59" t="s">
        <v>94</v>
      </c>
      <c r="C26" s="29" t="s">
        <v>502</v>
      </c>
      <c r="D26" s="316">
        <v>0.73</v>
      </c>
      <c r="E26" s="218">
        <v>1.0249999999999999</v>
      </c>
      <c r="F26" s="271">
        <f>10.8*(0.5*PI()*3.3^2+(12-3.3)*6.6)*$Q$3</f>
        <v>764.63647270765125</v>
      </c>
      <c r="G26" s="24">
        <f>E26*F26*D26</f>
        <v>572.13924070349992</v>
      </c>
      <c r="H26" s="16">
        <v>21.05</v>
      </c>
      <c r="I26" s="16">
        <v>19.434999999999999</v>
      </c>
      <c r="J26" s="16">
        <v>3.3</v>
      </c>
      <c r="K26" s="169">
        <v>0</v>
      </c>
      <c r="L26" s="169">
        <v>0</v>
      </c>
      <c r="M26" s="273" t="s">
        <v>407</v>
      </c>
    </row>
    <row r="27" spans="2:21" ht="15.95" customHeight="1" x14ac:dyDescent="0.2">
      <c r="B27" s="58" t="s">
        <v>292</v>
      </c>
      <c r="C27" s="56" t="s">
        <v>478</v>
      </c>
      <c r="D27" s="316">
        <v>0.73</v>
      </c>
      <c r="E27" s="218">
        <v>1.0249999999999999</v>
      </c>
      <c r="F27" s="271">
        <f>7.2*(0.5*PI()*3.3^2+(12-3.3)*6.6)*$Q$3</f>
        <v>509.75764847176754</v>
      </c>
      <c r="G27" s="24">
        <f>E27*F27*D27</f>
        <v>381.42616046899997</v>
      </c>
      <c r="H27" s="16">
        <v>47</v>
      </c>
      <c r="I27" s="16">
        <v>7</v>
      </c>
      <c r="J27" s="16">
        <v>3.3</v>
      </c>
      <c r="K27" s="169">
        <v>0</v>
      </c>
      <c r="L27" s="169">
        <v>0</v>
      </c>
      <c r="M27" s="273" t="s">
        <v>316</v>
      </c>
    </row>
    <row r="28" spans="2:21" ht="15.95" customHeight="1" thickBot="1" x14ac:dyDescent="0.25">
      <c r="B28" s="255"/>
      <c r="C28" s="252"/>
      <c r="D28" s="316"/>
      <c r="E28" s="256"/>
      <c r="F28" s="272"/>
      <c r="G28" s="253"/>
      <c r="H28" s="250"/>
      <c r="I28" s="250"/>
      <c r="J28" s="250"/>
      <c r="K28" s="250"/>
      <c r="L28" s="250"/>
      <c r="M28" s="276"/>
    </row>
    <row r="29" spans="2:21" ht="15.95" customHeight="1" thickTop="1" x14ac:dyDescent="0.2">
      <c r="B29" s="318"/>
      <c r="C29" s="319"/>
      <c r="D29" s="481"/>
      <c r="E29" s="321"/>
      <c r="F29" s="555" t="s">
        <v>33</v>
      </c>
      <c r="G29" s="323">
        <f>SUBTOTAL(9,G24:G28)</f>
        <v>1907.1308023449999</v>
      </c>
      <c r="H29" s="324">
        <f>IF($G29=0,0,SUMPRODUCT($G24:$G28,H24:H28)/$G29)</f>
        <v>16.305</v>
      </c>
      <c r="I29" s="324">
        <f>IF($G29=0,0,SUMPRODUCT($G24:$G28,I24:I28)/$G29)</f>
        <v>21.200499999999998</v>
      </c>
      <c r="J29" s="324">
        <f>IF($G29=0,0,SUMPRODUCT($G24:$G28,J24:J28)/$G29)</f>
        <v>3.3</v>
      </c>
      <c r="K29" s="324">
        <f>SUBTOTAL(9,K24:K28)</f>
        <v>0</v>
      </c>
      <c r="L29" s="324">
        <f>SUBTOTAL(9,L24:L28)</f>
        <v>0</v>
      </c>
      <c r="M29" s="444"/>
      <c r="N29" s="454"/>
      <c r="O29" s="445" t="s">
        <v>532</v>
      </c>
      <c r="P29" s="446">
        <f t="shared" ref="P29:U29" si="3">G29</f>
        <v>1907.1308023449999</v>
      </c>
      <c r="Q29" s="446">
        <f t="shared" si="3"/>
        <v>16.305</v>
      </c>
      <c r="R29" s="446">
        <f t="shared" si="3"/>
        <v>21.200499999999998</v>
      </c>
      <c r="S29" s="446">
        <f t="shared" si="3"/>
        <v>3.3</v>
      </c>
      <c r="T29" s="446">
        <f t="shared" si="3"/>
        <v>0</v>
      </c>
      <c r="U29" s="447">
        <f t="shared" si="3"/>
        <v>0</v>
      </c>
    </row>
    <row r="30" spans="2:21" ht="15.95" customHeight="1" x14ac:dyDescent="0.2">
      <c r="B30" s="456"/>
      <c r="C30" s="448"/>
      <c r="D30" s="480"/>
      <c r="E30" s="449"/>
      <c r="F30" s="556"/>
      <c r="G30" s="473"/>
      <c r="H30" s="474"/>
      <c r="I30" s="474"/>
      <c r="J30" s="474"/>
      <c r="K30" s="474"/>
      <c r="L30" s="474"/>
      <c r="M30" s="460"/>
    </row>
    <row r="31" spans="2:21" ht="15.95" customHeight="1" x14ac:dyDescent="0.2">
      <c r="B31" s="463"/>
      <c r="C31" s="470" t="s">
        <v>545</v>
      </c>
      <c r="D31" s="478"/>
      <c r="E31" s="465"/>
      <c r="F31" s="552"/>
      <c r="G31" s="467"/>
      <c r="H31" s="468"/>
      <c r="I31" s="468"/>
      <c r="J31" s="468"/>
      <c r="K31" s="468"/>
      <c r="L31" s="468"/>
      <c r="M31" s="469"/>
    </row>
    <row r="32" spans="2:21" ht="15.95" customHeight="1" x14ac:dyDescent="0.2">
      <c r="B32" s="59" t="s">
        <v>108</v>
      </c>
      <c r="C32" s="29" t="s">
        <v>479</v>
      </c>
      <c r="D32" s="316">
        <v>0.73</v>
      </c>
      <c r="E32" s="218">
        <v>1.0249999999999999</v>
      </c>
      <c r="F32" s="271">
        <f>7.2*(0.5*PI()*3.3^2+(12-3.3)*6.6)*$Q$3</f>
        <v>509.75764847176754</v>
      </c>
      <c r="G32" s="24">
        <f>E32*F32*D32</f>
        <v>381.42616046899997</v>
      </c>
      <c r="H32" s="16">
        <v>29.32</v>
      </c>
      <c r="I32" s="16">
        <v>15.9</v>
      </c>
      <c r="J32" s="16">
        <v>3.3</v>
      </c>
      <c r="K32" s="169">
        <v>0</v>
      </c>
      <c r="L32" s="169">
        <v>0</v>
      </c>
      <c r="M32" s="273"/>
    </row>
    <row r="33" spans="2:21" ht="15.95" customHeight="1" x14ac:dyDescent="0.2">
      <c r="B33" s="59" t="s">
        <v>473</v>
      </c>
      <c r="C33" s="29" t="s">
        <v>291</v>
      </c>
      <c r="D33" s="316">
        <v>0.73</v>
      </c>
      <c r="E33" s="218">
        <v>1.0249999999999999</v>
      </c>
      <c r="F33" s="271">
        <f>9*(0.5*PI()*3.3^2+(12-3.3)*6.6)*$Q$3</f>
        <v>637.19706058970939</v>
      </c>
      <c r="G33" s="24">
        <f>E33*F33*D33</f>
        <v>476.78270058624997</v>
      </c>
      <c r="H33" s="16">
        <v>-2.94</v>
      </c>
      <c r="I33" s="16">
        <v>-29.71</v>
      </c>
      <c r="J33" s="16">
        <v>3.3</v>
      </c>
      <c r="K33" s="169">
        <v>0</v>
      </c>
      <c r="L33" s="169">
        <v>0</v>
      </c>
      <c r="M33" s="273"/>
    </row>
    <row r="34" spans="2:21" ht="15.95" customHeight="1" x14ac:dyDescent="0.2">
      <c r="B34" s="58" t="s">
        <v>120</v>
      </c>
      <c r="C34" s="56" t="s">
        <v>290</v>
      </c>
      <c r="D34" s="316">
        <v>0.73</v>
      </c>
      <c r="E34" s="218">
        <v>1.0249999999999999</v>
      </c>
      <c r="F34" s="271">
        <f>9*(0.5*PI()*3.3^2+(12-3.3)*6.6)*$Q$3</f>
        <v>637.19706058970939</v>
      </c>
      <c r="G34" s="24">
        <f>E34*F34*D34</f>
        <v>476.78270058624997</v>
      </c>
      <c r="H34" s="16">
        <v>5.3</v>
      </c>
      <c r="I34" s="16">
        <v>-26.17</v>
      </c>
      <c r="J34" s="16">
        <v>3.3</v>
      </c>
      <c r="K34" s="169">
        <v>0</v>
      </c>
      <c r="L34" s="169">
        <v>0</v>
      </c>
      <c r="M34" s="273"/>
    </row>
    <row r="35" spans="2:21" ht="15.95" customHeight="1" x14ac:dyDescent="0.2">
      <c r="B35" s="59" t="s">
        <v>112</v>
      </c>
      <c r="C35" s="29" t="s">
        <v>289</v>
      </c>
      <c r="D35" s="316">
        <v>0.73</v>
      </c>
      <c r="E35" s="218">
        <v>1.0249999999999999</v>
      </c>
      <c r="F35" s="271">
        <f>10.8*(0.5*PI()*3.3^2+(12-3.3)*6.6)*$Q$3</f>
        <v>764.63647270765125</v>
      </c>
      <c r="G35" s="24">
        <f>E35*F35*D35</f>
        <v>572.13924070349992</v>
      </c>
      <c r="H35" s="16">
        <v>21.05</v>
      </c>
      <c r="I35" s="16">
        <v>-19.434999999999999</v>
      </c>
      <c r="J35" s="16">
        <v>3.3</v>
      </c>
      <c r="K35" s="169">
        <v>0</v>
      </c>
      <c r="L35" s="169">
        <v>0</v>
      </c>
      <c r="M35" s="273"/>
    </row>
    <row r="36" spans="2:21" ht="15.95" customHeight="1" x14ac:dyDescent="0.2">
      <c r="B36" s="58" t="s">
        <v>293</v>
      </c>
      <c r="C36" s="56" t="s">
        <v>478</v>
      </c>
      <c r="D36" s="316">
        <v>0.73</v>
      </c>
      <c r="E36" s="218">
        <v>1.0249999999999999</v>
      </c>
      <c r="F36" s="271">
        <f>((47+33.1)*6.6*0.5+8.1*16.2*2.1)*$Q$3</f>
        <v>512.89740000000006</v>
      </c>
      <c r="G36" s="24">
        <f>E36*F36*D36</f>
        <v>383.77547955</v>
      </c>
      <c r="H36" s="16">
        <v>47</v>
      </c>
      <c r="I36" s="16">
        <v>-7</v>
      </c>
      <c r="J36" s="16">
        <v>3.3</v>
      </c>
      <c r="K36" s="169">
        <v>0</v>
      </c>
      <c r="L36" s="169">
        <v>0</v>
      </c>
      <c r="M36" s="273" t="s">
        <v>509</v>
      </c>
    </row>
    <row r="37" spans="2:21" ht="15.95" customHeight="1" thickBot="1" x14ac:dyDescent="0.25">
      <c r="B37" s="255"/>
      <c r="C37" s="252"/>
      <c r="D37" s="316"/>
      <c r="E37" s="256"/>
      <c r="F37" s="272"/>
      <c r="G37" s="253"/>
      <c r="H37" s="250"/>
      <c r="I37" s="250"/>
      <c r="J37" s="250"/>
      <c r="K37" s="250"/>
      <c r="L37" s="250"/>
      <c r="M37" s="276"/>
    </row>
    <row r="38" spans="2:21" ht="15.95" customHeight="1" thickTop="1" x14ac:dyDescent="0.2">
      <c r="B38" s="318"/>
      <c r="C38" s="319"/>
      <c r="D38" s="481"/>
      <c r="E38" s="321"/>
      <c r="F38" s="555" t="s">
        <v>33</v>
      </c>
      <c r="G38" s="323">
        <f>SUBTOTAL(9,G32:G37)</f>
        <v>2290.9062818949997</v>
      </c>
      <c r="H38" s="324">
        <f>IF($G38=0,0,SUMPRODUCT($G32:$G37,H32:H37)/$G38)</f>
        <v>18.503419842617625</v>
      </c>
      <c r="I38" s="324">
        <f>IF($G38=0,0,SUMPRODUCT($G32:$G37,I32:I37)/$G38)</f>
        <v>-15.008861832961273</v>
      </c>
      <c r="J38" s="324">
        <f>IF($G38=0,0,SUMPRODUCT($G32:$G37,J32:J37)/$G38)</f>
        <v>3.3</v>
      </c>
      <c r="K38" s="324">
        <f>SUBTOTAL(9,K32:K37)</f>
        <v>0</v>
      </c>
      <c r="L38" s="324">
        <f>SUBTOTAL(9,L32:L37)</f>
        <v>0</v>
      </c>
      <c r="M38" s="444"/>
      <c r="N38" s="454"/>
      <c r="O38" s="445" t="s">
        <v>559</v>
      </c>
      <c r="P38" s="446">
        <f t="shared" ref="P38:U38" si="4">G38</f>
        <v>2290.9062818949997</v>
      </c>
      <c r="Q38" s="446">
        <f t="shared" si="4"/>
        <v>18.503419842617625</v>
      </c>
      <c r="R38" s="446">
        <f t="shared" si="4"/>
        <v>-15.008861832961273</v>
      </c>
      <c r="S38" s="446">
        <f t="shared" si="4"/>
        <v>3.3</v>
      </c>
      <c r="T38" s="446">
        <f t="shared" si="4"/>
        <v>0</v>
      </c>
      <c r="U38" s="447">
        <f t="shared" si="4"/>
        <v>0</v>
      </c>
    </row>
    <row r="39" spans="2:21" ht="15.95" customHeight="1" x14ac:dyDescent="0.2">
      <c r="B39" s="243"/>
      <c r="C39" s="244"/>
      <c r="D39" s="482"/>
      <c r="E39" s="246"/>
      <c r="F39" s="557"/>
      <c r="G39" s="247"/>
      <c r="H39" s="248"/>
      <c r="I39" s="248"/>
      <c r="J39" s="248"/>
      <c r="K39" s="248"/>
      <c r="L39" s="248"/>
      <c r="M39" s="282"/>
    </row>
    <row r="40" spans="2:21" ht="15.95" customHeight="1" x14ac:dyDescent="0.2">
      <c r="B40" s="463"/>
      <c r="C40" s="470" t="s">
        <v>548</v>
      </c>
      <c r="D40" s="478"/>
      <c r="E40" s="465"/>
      <c r="F40" s="552"/>
      <c r="G40" s="467"/>
      <c r="H40" s="468"/>
      <c r="I40" s="468"/>
      <c r="J40" s="468"/>
      <c r="K40" s="468"/>
      <c r="L40" s="468"/>
      <c r="M40" s="469"/>
    </row>
    <row r="41" spans="2:21" ht="15.95" customHeight="1" x14ac:dyDescent="0.2">
      <c r="B41" s="58" t="s">
        <v>302</v>
      </c>
      <c r="C41" s="56" t="s">
        <v>451</v>
      </c>
      <c r="D41" s="316">
        <v>0</v>
      </c>
      <c r="E41" s="218">
        <v>1.0249999999999999</v>
      </c>
      <c r="F41" s="271">
        <f>(18*(1.8+1.8)+(1.8+1.8)*(15-(3.6+1.8)))*(15-6.6)*$Q$3</f>
        <v>792.89279999999997</v>
      </c>
      <c r="G41" s="24">
        <f>E41*F41*D41</f>
        <v>0</v>
      </c>
      <c r="H41" s="16">
        <v>-15.1</v>
      </c>
      <c r="I41" s="16">
        <v>25.64</v>
      </c>
      <c r="J41" s="16">
        <v>10.8</v>
      </c>
      <c r="K41" s="16">
        <v>4</v>
      </c>
      <c r="L41" s="16">
        <v>5</v>
      </c>
      <c r="M41" s="312"/>
    </row>
    <row r="42" spans="2:21" ht="15.95" customHeight="1" x14ac:dyDescent="0.2">
      <c r="B42" s="59" t="s">
        <v>304</v>
      </c>
      <c r="C42" s="30" t="s">
        <v>452</v>
      </c>
      <c r="D42" s="316">
        <v>0</v>
      </c>
      <c r="E42" s="218">
        <v>1.0249999999999999</v>
      </c>
      <c r="F42" s="271">
        <f>2*2*16.2*8*0.95</f>
        <v>492.47999999999996</v>
      </c>
      <c r="G42" s="24">
        <f t="shared" ref="G42:G43" si="5">E42*F42*D42</f>
        <v>0</v>
      </c>
      <c r="H42" s="16">
        <v>-34</v>
      </c>
      <c r="I42" s="16">
        <v>41.4</v>
      </c>
      <c r="J42" s="16">
        <v>19</v>
      </c>
      <c r="K42" s="9">
        <v>4</v>
      </c>
      <c r="L42" s="9">
        <v>5</v>
      </c>
      <c r="M42" s="313"/>
    </row>
    <row r="43" spans="2:21" ht="15.95" customHeight="1" x14ac:dyDescent="0.2">
      <c r="B43" s="559" t="s">
        <v>576</v>
      </c>
      <c r="C43" s="56" t="s">
        <v>451</v>
      </c>
      <c r="D43" s="316">
        <v>0</v>
      </c>
      <c r="E43" s="218">
        <v>1.0249999999999999</v>
      </c>
      <c r="F43" s="271">
        <f>(18*(1.8+1.8)+(1.8+1.8)*(15-(3.6+1.8)))*(23-15)*$Q$3</f>
        <v>755.13599999999997</v>
      </c>
      <c r="G43" s="24">
        <f t="shared" si="5"/>
        <v>0</v>
      </c>
      <c r="H43" s="16">
        <v>-15.1</v>
      </c>
      <c r="I43" s="16">
        <v>25.64</v>
      </c>
      <c r="J43" s="16">
        <v>19</v>
      </c>
      <c r="K43" s="16">
        <v>4</v>
      </c>
      <c r="L43" s="16">
        <v>5</v>
      </c>
      <c r="M43" s="560"/>
    </row>
    <row r="44" spans="2:21" ht="15.95" customHeight="1" thickBot="1" x14ac:dyDescent="0.25">
      <c r="B44" s="255"/>
      <c r="C44" s="252"/>
      <c r="D44" s="316"/>
      <c r="E44" s="256"/>
      <c r="F44" s="272"/>
      <c r="G44" s="253"/>
      <c r="H44" s="250"/>
      <c r="I44" s="250"/>
      <c r="J44" s="250"/>
      <c r="K44" s="250"/>
      <c r="L44" s="250"/>
      <c r="M44" s="276"/>
    </row>
    <row r="45" spans="2:21" ht="15.95" customHeight="1" thickTop="1" x14ac:dyDescent="0.2">
      <c r="B45" s="318"/>
      <c r="C45" s="319"/>
      <c r="D45" s="481"/>
      <c r="E45" s="321"/>
      <c r="F45" s="555" t="s">
        <v>33</v>
      </c>
      <c r="G45" s="323">
        <f>SUBTOTAL(9,G41:G44)</f>
        <v>0</v>
      </c>
      <c r="H45" s="324">
        <f>IF($G45=0,0,SUMPRODUCT($G41:$G44,H41:H44)/$G45)</f>
        <v>0</v>
      </c>
      <c r="I45" s="324">
        <f>IF($G45=0,0,SUMPRODUCT($G41:$G44,I41:I44)/$G45)</f>
        <v>0</v>
      </c>
      <c r="J45" s="324">
        <f>IF($G45=0,0,SUMPRODUCT($G41:$G44,J41:J44)/$G45)</f>
        <v>0</v>
      </c>
      <c r="K45" s="324">
        <f>SUBTOTAL(9,K41:K44)</f>
        <v>12</v>
      </c>
      <c r="L45" s="324">
        <f>SUBTOTAL(9,L41:L44)</f>
        <v>15</v>
      </c>
      <c r="M45" s="444"/>
      <c r="N45" s="454"/>
      <c r="O45" s="445" t="s">
        <v>560</v>
      </c>
      <c r="P45" s="446">
        <f t="shared" ref="P45:U45" si="6">G45</f>
        <v>0</v>
      </c>
      <c r="Q45" s="446">
        <f t="shared" si="6"/>
        <v>0</v>
      </c>
      <c r="R45" s="446">
        <f t="shared" si="6"/>
        <v>0</v>
      </c>
      <c r="S45" s="446">
        <f t="shared" si="6"/>
        <v>0</v>
      </c>
      <c r="T45" s="446">
        <f t="shared" si="6"/>
        <v>12</v>
      </c>
      <c r="U45" s="447">
        <f t="shared" si="6"/>
        <v>15</v>
      </c>
    </row>
    <row r="46" spans="2:21" ht="15.95" customHeight="1" x14ac:dyDescent="0.2">
      <c r="B46" s="456"/>
      <c r="C46" s="448"/>
      <c r="D46" s="480"/>
      <c r="E46" s="449"/>
      <c r="F46" s="556"/>
      <c r="G46" s="473"/>
      <c r="H46" s="474"/>
      <c r="I46" s="474"/>
      <c r="J46" s="474"/>
      <c r="K46" s="474"/>
      <c r="L46" s="474"/>
      <c r="M46" s="460"/>
    </row>
    <row r="47" spans="2:21" ht="15.95" customHeight="1" x14ac:dyDescent="0.2">
      <c r="B47" s="463"/>
      <c r="C47" s="470" t="s">
        <v>549</v>
      </c>
      <c r="D47" s="478"/>
      <c r="E47" s="465"/>
      <c r="F47" s="552"/>
      <c r="G47" s="467"/>
      <c r="H47" s="468"/>
      <c r="I47" s="468"/>
      <c r="J47" s="468"/>
      <c r="K47" s="468"/>
      <c r="L47" s="468"/>
      <c r="M47" s="469"/>
    </row>
    <row r="48" spans="2:21" ht="15.95" customHeight="1" x14ac:dyDescent="0.2">
      <c r="B48" s="59" t="s">
        <v>303</v>
      </c>
      <c r="C48" s="29" t="s">
        <v>453</v>
      </c>
      <c r="D48" s="317">
        <v>0</v>
      </c>
      <c r="E48" s="218">
        <v>1.0249999999999999</v>
      </c>
      <c r="F48" s="271">
        <f>(18*(1.8+1.8)+(1.8+1.8)*(15-(3.6+1.8)))*(15-6.6)*$Q$3</f>
        <v>792.89279999999997</v>
      </c>
      <c r="G48" s="24">
        <f>E48*F48*D48</f>
        <v>0</v>
      </c>
      <c r="H48" s="16">
        <v>-15.1</v>
      </c>
      <c r="I48" s="16">
        <v>-25.64</v>
      </c>
      <c r="J48" s="16">
        <v>10.8</v>
      </c>
      <c r="K48" s="16">
        <v>4</v>
      </c>
      <c r="L48" s="16">
        <v>5</v>
      </c>
      <c r="M48" s="273"/>
    </row>
    <row r="49" spans="2:21" ht="15.95" customHeight="1" x14ac:dyDescent="0.2">
      <c r="B49" s="59" t="s">
        <v>305</v>
      </c>
      <c r="C49" s="30" t="s">
        <v>454</v>
      </c>
      <c r="D49" s="316">
        <v>0</v>
      </c>
      <c r="E49" s="218">
        <v>1.0249999999999999</v>
      </c>
      <c r="F49" s="271">
        <f>2*2*16.2*8*0.95</f>
        <v>492.47999999999996</v>
      </c>
      <c r="G49" s="24">
        <f>E49*F49*D49</f>
        <v>0</v>
      </c>
      <c r="H49" s="16">
        <v>-34</v>
      </c>
      <c r="I49" s="16">
        <v>-41.4</v>
      </c>
      <c r="J49" s="16">
        <v>19</v>
      </c>
      <c r="K49" s="9">
        <v>4</v>
      </c>
      <c r="L49" s="9">
        <v>5</v>
      </c>
      <c r="M49" s="273"/>
    </row>
    <row r="50" spans="2:21" ht="15.95" customHeight="1" x14ac:dyDescent="0.2">
      <c r="B50" s="559" t="s">
        <v>577</v>
      </c>
      <c r="C50" s="56" t="s">
        <v>451</v>
      </c>
      <c r="D50" s="316">
        <v>0</v>
      </c>
      <c r="E50" s="218">
        <v>1.0249999999999999</v>
      </c>
      <c r="F50" s="271">
        <f>(18*(1.8+1.8)+(1.8+1.8)*(15-(3.6+1.8)))*(23-15)*$Q$3</f>
        <v>755.13599999999997</v>
      </c>
      <c r="G50" s="24">
        <f t="shared" ref="G50" si="7">E50*F50*D50</f>
        <v>0</v>
      </c>
      <c r="H50" s="16">
        <v>-15.1</v>
      </c>
      <c r="I50" s="16">
        <v>-25.64</v>
      </c>
      <c r="J50" s="16">
        <v>19</v>
      </c>
      <c r="K50" s="16">
        <v>4</v>
      </c>
      <c r="L50" s="16">
        <v>5</v>
      </c>
      <c r="M50" s="560"/>
    </row>
    <row r="51" spans="2:21" ht="15.95" customHeight="1" thickBot="1" x14ac:dyDescent="0.25">
      <c r="B51" s="255"/>
      <c r="C51" s="252"/>
      <c r="D51" s="316"/>
      <c r="E51" s="256"/>
      <c r="F51" s="272"/>
      <c r="G51" s="253"/>
      <c r="H51" s="250"/>
      <c r="I51" s="250"/>
      <c r="J51" s="250"/>
      <c r="K51" s="250"/>
      <c r="L51" s="250"/>
      <c r="M51" s="276"/>
    </row>
    <row r="52" spans="2:21" ht="15.95" customHeight="1" thickTop="1" x14ac:dyDescent="0.2">
      <c r="B52" s="318"/>
      <c r="C52" s="319"/>
      <c r="D52" s="481"/>
      <c r="E52" s="321"/>
      <c r="F52" s="555" t="s">
        <v>33</v>
      </c>
      <c r="G52" s="323">
        <f>SUBTOTAL(9,G48:G51)</f>
        <v>0</v>
      </c>
      <c r="H52" s="324">
        <f>IF($G52=0,0,SUMPRODUCT($G48:$G51,H48:H51)/$G52)</f>
        <v>0</v>
      </c>
      <c r="I52" s="324">
        <f>IF($G52=0,0,SUMPRODUCT($G48:$G51,I48:I51)/$G52)</f>
        <v>0</v>
      </c>
      <c r="J52" s="324">
        <f>IF($G52=0,0,SUMPRODUCT($G48:$G51,J48:J51)/$G52)</f>
        <v>0</v>
      </c>
      <c r="K52" s="324">
        <f>SUBTOTAL(9,K48:K51)</f>
        <v>12</v>
      </c>
      <c r="L52" s="324">
        <f>SUBTOTAL(9,L48:L51)</f>
        <v>15</v>
      </c>
      <c r="M52" s="444"/>
      <c r="N52" s="454"/>
      <c r="O52" s="445" t="s">
        <v>561</v>
      </c>
      <c r="P52" s="446">
        <f t="shared" ref="P52:U52" si="8">G52</f>
        <v>0</v>
      </c>
      <c r="Q52" s="446">
        <f t="shared" si="8"/>
        <v>0</v>
      </c>
      <c r="R52" s="446">
        <f t="shared" si="8"/>
        <v>0</v>
      </c>
      <c r="S52" s="446">
        <f t="shared" si="8"/>
        <v>0</v>
      </c>
      <c r="T52" s="446">
        <f t="shared" si="8"/>
        <v>12</v>
      </c>
      <c r="U52" s="447">
        <f t="shared" si="8"/>
        <v>15</v>
      </c>
    </row>
    <row r="53" spans="2:21" ht="15.95" customHeight="1" x14ac:dyDescent="0.2">
      <c r="B53" s="456"/>
      <c r="C53" s="448"/>
      <c r="D53" s="480"/>
      <c r="E53" s="449"/>
      <c r="F53" s="556"/>
      <c r="G53" s="473"/>
      <c r="H53" s="474"/>
      <c r="I53" s="474"/>
      <c r="J53" s="474"/>
      <c r="K53" s="474"/>
      <c r="L53" s="474"/>
      <c r="M53" s="460"/>
    </row>
    <row r="54" spans="2:21" ht="15.95" customHeight="1" x14ac:dyDescent="0.2">
      <c r="B54" s="463"/>
      <c r="C54" s="470" t="s">
        <v>550</v>
      </c>
      <c r="D54" s="478"/>
      <c r="E54" s="465"/>
      <c r="F54" s="552"/>
      <c r="G54" s="467"/>
      <c r="H54" s="468"/>
      <c r="I54" s="468"/>
      <c r="J54" s="468"/>
      <c r="K54" s="468"/>
      <c r="L54" s="468"/>
      <c r="M54" s="469"/>
    </row>
    <row r="55" spans="2:21" ht="15.95" customHeight="1" x14ac:dyDescent="0.2">
      <c r="B55" s="59" t="s">
        <v>301</v>
      </c>
      <c r="C55" s="29" t="s">
        <v>450</v>
      </c>
      <c r="D55" s="317">
        <v>0.5</v>
      </c>
      <c r="E55" s="218">
        <v>1.0249999999999999</v>
      </c>
      <c r="F55" s="271">
        <f>(15*(2.7*2)+1.8*(18-(2.7*2)))*(15-6.6)*$Q$3</f>
        <v>827.36640000000011</v>
      </c>
      <c r="G55" s="24">
        <f>E55*F55*D55</f>
        <v>424.02528000000001</v>
      </c>
      <c r="H55" s="16">
        <v>40.9</v>
      </c>
      <c r="I55" s="16">
        <v>0</v>
      </c>
      <c r="J55" s="16">
        <v>10.8</v>
      </c>
      <c r="K55" s="16">
        <v>4</v>
      </c>
      <c r="L55" s="16">
        <v>5</v>
      </c>
      <c r="M55" s="275"/>
    </row>
    <row r="56" spans="2:21" ht="15.95" customHeight="1" x14ac:dyDescent="0.2">
      <c r="B56" s="559" t="s">
        <v>578</v>
      </c>
      <c r="C56" s="56" t="s">
        <v>575</v>
      </c>
      <c r="D56" s="316">
        <v>0.5</v>
      </c>
      <c r="E56" s="218">
        <v>1.0249999999999999</v>
      </c>
      <c r="F56" s="271">
        <f>(15*(2.7*2)+1.8*(18-(2.7*2)))*(23-15)*$Q$3</f>
        <v>787.96799999999996</v>
      </c>
      <c r="G56" s="24">
        <f t="shared" ref="G56" si="9">E56*F56*D56</f>
        <v>403.83359999999993</v>
      </c>
      <c r="H56" s="16">
        <v>40.9</v>
      </c>
      <c r="I56" s="16">
        <v>0</v>
      </c>
      <c r="J56" s="16">
        <f>15+4</f>
        <v>19</v>
      </c>
      <c r="K56" s="16">
        <v>4</v>
      </c>
      <c r="L56" s="16">
        <v>5</v>
      </c>
      <c r="M56" s="276"/>
    </row>
    <row r="57" spans="2:21" ht="15.95" customHeight="1" thickBot="1" x14ac:dyDescent="0.25">
      <c r="B57" s="255"/>
      <c r="C57" s="252"/>
      <c r="D57" s="316"/>
      <c r="E57" s="256"/>
      <c r="F57" s="272"/>
      <c r="G57" s="253"/>
      <c r="H57" s="250"/>
      <c r="I57" s="250"/>
      <c r="J57" s="250"/>
      <c r="K57" s="250"/>
      <c r="L57" s="250"/>
      <c r="M57" s="276"/>
    </row>
    <row r="58" spans="2:21" ht="15.95" customHeight="1" thickTop="1" x14ac:dyDescent="0.2">
      <c r="B58" s="318"/>
      <c r="C58" s="319"/>
      <c r="D58" s="481"/>
      <c r="E58" s="321"/>
      <c r="F58" s="555" t="s">
        <v>33</v>
      </c>
      <c r="G58" s="323">
        <f>SUBTOTAL(9,G55:G57)</f>
        <v>827.85888</v>
      </c>
      <c r="H58" s="324">
        <f>IF($G58=0,0,SUMPRODUCT($G55:$G57,H55:H57)/$G58)</f>
        <v>40.899999999999991</v>
      </c>
      <c r="I58" s="324">
        <f>IF($G58=0,0,SUMPRODUCT($G55:$G57,I55:I57)/$G58)</f>
        <v>0</v>
      </c>
      <c r="J58" s="324">
        <v>3.5</v>
      </c>
      <c r="K58" s="324">
        <f>SUBTOTAL(9,K55:K57)</f>
        <v>8</v>
      </c>
      <c r="L58" s="324">
        <f>SUBTOTAL(9,L55:L57)</f>
        <v>10</v>
      </c>
      <c r="M58" s="444"/>
      <c r="N58" s="454"/>
      <c r="O58" s="445" t="s">
        <v>562</v>
      </c>
      <c r="P58" s="446">
        <f t="shared" ref="P58:U58" si="10">G58</f>
        <v>827.85888</v>
      </c>
      <c r="Q58" s="446">
        <f t="shared" si="10"/>
        <v>40.899999999999991</v>
      </c>
      <c r="R58" s="446">
        <f t="shared" si="10"/>
        <v>0</v>
      </c>
      <c r="S58" s="446">
        <f t="shared" si="10"/>
        <v>3.5</v>
      </c>
      <c r="T58" s="446">
        <f t="shared" si="10"/>
        <v>8</v>
      </c>
      <c r="U58" s="447">
        <f t="shared" si="10"/>
        <v>10</v>
      </c>
    </row>
    <row r="59" spans="2:21" ht="15.95" customHeight="1" x14ac:dyDescent="0.2">
      <c r="E59" s="452"/>
      <c r="G59" s="451"/>
      <c r="M59" s="453"/>
    </row>
    <row r="60" spans="2:21" ht="15.95" customHeight="1" x14ac:dyDescent="0.2">
      <c r="E60" s="452"/>
      <c r="G60" s="451"/>
      <c r="M60" s="453"/>
    </row>
    <row r="61" spans="2:21" ht="15.95" customHeight="1" x14ac:dyDescent="0.2">
      <c r="E61" s="452"/>
      <c r="G61" s="451"/>
      <c r="M61" s="453"/>
    </row>
    <row r="62" spans="2:21" ht="15.95" customHeight="1" x14ac:dyDescent="0.2">
      <c r="E62" s="452"/>
      <c r="G62" s="451"/>
      <c r="M62" s="453"/>
    </row>
    <row r="63" spans="2:21" ht="15.95" customHeight="1" x14ac:dyDescent="0.2">
      <c r="E63" s="452"/>
      <c r="G63" s="451"/>
      <c r="M63" s="453"/>
    </row>
    <row r="64" spans="2:21" ht="15.95" customHeight="1" x14ac:dyDescent="0.2">
      <c r="E64" s="452"/>
      <c r="G64" s="451"/>
      <c r="M64" s="453"/>
    </row>
    <row r="65" spans="5:13" ht="15.95" customHeight="1" x14ac:dyDescent="0.2">
      <c r="E65" s="452"/>
      <c r="G65" s="451"/>
      <c r="M65" s="453"/>
    </row>
    <row r="66" spans="5:13" ht="15.95" customHeight="1" x14ac:dyDescent="0.2">
      <c r="E66" s="452"/>
      <c r="G66" s="451"/>
      <c r="M66" s="453"/>
    </row>
    <row r="67" spans="5:13" ht="15.95" customHeight="1" x14ac:dyDescent="0.2">
      <c r="E67" s="452"/>
      <c r="G67" s="451"/>
      <c r="M67" s="453"/>
    </row>
    <row r="68" spans="5:13" ht="15.95" customHeight="1" x14ac:dyDescent="0.2">
      <c r="E68" s="452"/>
      <c r="G68" s="451"/>
      <c r="M68" s="453"/>
    </row>
    <row r="69" spans="5:13" ht="15.95" customHeight="1" x14ac:dyDescent="0.2">
      <c r="E69" s="452"/>
      <c r="G69" s="451"/>
      <c r="M69" s="453"/>
    </row>
    <row r="70" spans="5:13" ht="15.95" customHeight="1" x14ac:dyDescent="0.2">
      <c r="E70" s="452"/>
      <c r="G70" s="451"/>
      <c r="M70" s="453"/>
    </row>
    <row r="71" spans="5:13" ht="15.95" customHeight="1" x14ac:dyDescent="0.2">
      <c r="E71" s="452"/>
      <c r="G71" s="451"/>
      <c r="M71" s="453"/>
    </row>
    <row r="72" spans="5:13" ht="15.95" customHeight="1" x14ac:dyDescent="0.2">
      <c r="E72" s="452"/>
      <c r="G72" s="451"/>
      <c r="M72" s="453"/>
    </row>
    <row r="73" spans="5:13" ht="15.95" customHeight="1" x14ac:dyDescent="0.2">
      <c r="E73" s="452"/>
      <c r="G73" s="451"/>
      <c r="M73" s="453"/>
    </row>
    <row r="74" spans="5:13" ht="15.95" customHeight="1" x14ac:dyDescent="0.2">
      <c r="E74" s="452"/>
      <c r="G74" s="451"/>
      <c r="M74" s="453"/>
    </row>
    <row r="75" spans="5:13" ht="15.95" customHeight="1" x14ac:dyDescent="0.2">
      <c r="E75" s="452"/>
      <c r="G75" s="451"/>
      <c r="M75" s="453"/>
    </row>
    <row r="76" spans="5:13" ht="15.95" customHeight="1" x14ac:dyDescent="0.2">
      <c r="E76" s="452"/>
      <c r="G76" s="451"/>
      <c r="M76" s="453"/>
    </row>
    <row r="77" spans="5:13" ht="15.95" customHeight="1" x14ac:dyDescent="0.2">
      <c r="E77" s="452"/>
      <c r="G77" s="451"/>
      <c r="M77" s="453"/>
    </row>
    <row r="78" spans="5:13" ht="15.95" customHeight="1" x14ac:dyDescent="0.2">
      <c r="E78" s="452"/>
      <c r="G78" s="451"/>
      <c r="M78" s="453"/>
    </row>
    <row r="79" spans="5:13" ht="15.95" customHeight="1" x14ac:dyDescent="0.2">
      <c r="E79" s="452"/>
      <c r="G79" s="451"/>
      <c r="M79" s="453"/>
    </row>
    <row r="80" spans="5:13" ht="15.95" customHeight="1" x14ac:dyDescent="0.2">
      <c r="E80" s="452"/>
      <c r="G80" s="451"/>
      <c r="M80" s="453"/>
    </row>
    <row r="81" spans="5:13" ht="15.95" customHeight="1" x14ac:dyDescent="0.2">
      <c r="E81" s="452"/>
      <c r="G81" s="451"/>
      <c r="M81" s="453"/>
    </row>
    <row r="82" spans="5:13" ht="15.95" customHeight="1" x14ac:dyDescent="0.2">
      <c r="E82" s="452"/>
      <c r="G82" s="451"/>
      <c r="M82" s="453"/>
    </row>
    <row r="83" spans="5:13" ht="15.95" customHeight="1" x14ac:dyDescent="0.2">
      <c r="E83" s="452"/>
      <c r="G83" s="451"/>
      <c r="M83" s="453"/>
    </row>
    <row r="84" spans="5:13" ht="15.95" customHeight="1" x14ac:dyDescent="0.2">
      <c r="E84" s="452"/>
      <c r="G84" s="451"/>
      <c r="M84" s="453"/>
    </row>
    <row r="85" spans="5:13" ht="15.95" customHeight="1" x14ac:dyDescent="0.2">
      <c r="E85" s="452"/>
      <c r="G85" s="451"/>
      <c r="M85" s="453"/>
    </row>
    <row r="86" spans="5:13" ht="15.95" customHeight="1" x14ac:dyDescent="0.2">
      <c r="E86" s="452"/>
      <c r="G86" s="451"/>
      <c r="M86" s="453"/>
    </row>
    <row r="87" spans="5:13" ht="15.95" customHeight="1" x14ac:dyDescent="0.2">
      <c r="E87" s="452"/>
      <c r="G87" s="451"/>
      <c r="M87" s="453"/>
    </row>
    <row r="88" spans="5:13" ht="15.95" customHeight="1" x14ac:dyDescent="0.2">
      <c r="E88" s="452"/>
      <c r="G88" s="451"/>
      <c r="M88" s="453"/>
    </row>
    <row r="89" spans="5:13" ht="15.95" customHeight="1" x14ac:dyDescent="0.2">
      <c r="E89" s="452"/>
      <c r="G89" s="451"/>
      <c r="M89" s="453"/>
    </row>
    <row r="90" spans="5:13" ht="15.95" customHeight="1" x14ac:dyDescent="0.2">
      <c r="E90" s="452"/>
      <c r="G90" s="451"/>
      <c r="M90" s="453"/>
    </row>
    <row r="91" spans="5:13" ht="15.95" customHeight="1" x14ac:dyDescent="0.2">
      <c r="E91" s="452"/>
      <c r="G91" s="451"/>
      <c r="M91" s="453"/>
    </row>
    <row r="92" spans="5:13" ht="15.95" customHeight="1" x14ac:dyDescent="0.2">
      <c r="E92" s="452"/>
      <c r="G92" s="451"/>
      <c r="M92" s="453"/>
    </row>
    <row r="93" spans="5:13" ht="15.95" customHeight="1" x14ac:dyDescent="0.2">
      <c r="E93" s="452"/>
      <c r="G93" s="451"/>
      <c r="M93" s="453"/>
    </row>
    <row r="94" spans="5:13" ht="15.95" customHeight="1" x14ac:dyDescent="0.2">
      <c r="E94" s="452"/>
      <c r="G94" s="451"/>
      <c r="M94" s="453"/>
    </row>
    <row r="95" spans="5:13" ht="15.95" customHeight="1" x14ac:dyDescent="0.2">
      <c r="E95" s="452"/>
      <c r="G95" s="451"/>
      <c r="M95" s="453"/>
    </row>
    <row r="96" spans="5:13" ht="15.95" customHeight="1" x14ac:dyDescent="0.2">
      <c r="E96" s="452"/>
      <c r="G96" s="451"/>
      <c r="M96" s="453"/>
    </row>
    <row r="97" spans="5:13" ht="15.95" customHeight="1" x14ac:dyDescent="0.2">
      <c r="E97" s="452"/>
      <c r="G97" s="451"/>
      <c r="M97" s="453"/>
    </row>
    <row r="98" spans="5:13" ht="15.95" customHeight="1" x14ac:dyDescent="0.2">
      <c r="E98" s="452"/>
      <c r="G98" s="451"/>
      <c r="M98" s="453"/>
    </row>
    <row r="99" spans="5:13" ht="15.95" customHeight="1" x14ac:dyDescent="0.2">
      <c r="E99" s="452"/>
      <c r="G99" s="451"/>
      <c r="M99" s="453"/>
    </row>
    <row r="100" spans="5:13" ht="15.95" customHeight="1" x14ac:dyDescent="0.2">
      <c r="E100" s="452"/>
      <c r="G100" s="451"/>
      <c r="M100" s="453"/>
    </row>
    <row r="101" spans="5:13" ht="15.95" customHeight="1" x14ac:dyDescent="0.2">
      <c r="E101" s="452"/>
      <c r="G101" s="451"/>
      <c r="M101" s="453"/>
    </row>
    <row r="102" spans="5:13" ht="15.95" customHeight="1" x14ac:dyDescent="0.2">
      <c r="E102" s="452"/>
      <c r="G102" s="451"/>
      <c r="M102" s="453"/>
    </row>
    <row r="103" spans="5:13" ht="15.95" customHeight="1" x14ac:dyDescent="0.2">
      <c r="E103" s="452"/>
      <c r="G103" s="451"/>
      <c r="M103" s="453"/>
    </row>
    <row r="104" spans="5:13" ht="15.95" customHeight="1" x14ac:dyDescent="0.2">
      <c r="E104" s="452"/>
      <c r="G104" s="451"/>
      <c r="M104" s="453"/>
    </row>
    <row r="105" spans="5:13" ht="15.95" customHeight="1" x14ac:dyDescent="0.2">
      <c r="E105" s="452"/>
      <c r="G105" s="451"/>
      <c r="M105" s="453"/>
    </row>
    <row r="106" spans="5:13" ht="15.95" customHeight="1" x14ac:dyDescent="0.2">
      <c r="E106" s="452"/>
      <c r="G106" s="451"/>
      <c r="M106" s="453"/>
    </row>
    <row r="107" spans="5:13" ht="15.95" customHeight="1" x14ac:dyDescent="0.2">
      <c r="E107" s="452"/>
      <c r="G107" s="451"/>
      <c r="M107" s="453"/>
    </row>
    <row r="108" spans="5:13" ht="15.95" customHeight="1" x14ac:dyDescent="0.2">
      <c r="E108" s="452"/>
      <c r="G108" s="451"/>
      <c r="M108" s="453"/>
    </row>
    <row r="109" spans="5:13" ht="15.95" customHeight="1" x14ac:dyDescent="0.2">
      <c r="E109" s="452"/>
      <c r="G109" s="451"/>
      <c r="M109" s="453"/>
    </row>
    <row r="110" spans="5:13" ht="15.95" customHeight="1" x14ac:dyDescent="0.2">
      <c r="E110" s="452"/>
      <c r="G110" s="451"/>
      <c r="M110" s="453"/>
    </row>
    <row r="111" spans="5:13" ht="15.95" customHeight="1" x14ac:dyDescent="0.2">
      <c r="E111" s="452"/>
      <c r="G111" s="451"/>
      <c r="M111" s="453"/>
    </row>
    <row r="112" spans="5:13" ht="15.95" customHeight="1" x14ac:dyDescent="0.2">
      <c r="E112" s="452"/>
      <c r="G112" s="451"/>
      <c r="M112" s="453"/>
    </row>
    <row r="113" spans="5:13" ht="15.95" customHeight="1" x14ac:dyDescent="0.2">
      <c r="E113" s="452"/>
      <c r="G113" s="451"/>
      <c r="M113" s="453"/>
    </row>
    <row r="114" spans="5:13" ht="15.95" customHeight="1" x14ac:dyDescent="0.2"/>
    <row r="115" spans="5:13" ht="15.95" customHeight="1" x14ac:dyDescent="0.2"/>
    <row r="116" spans="5:13" ht="15.95" customHeight="1" x14ac:dyDescent="0.2"/>
    <row r="117" spans="5:13" ht="15.95" customHeight="1" x14ac:dyDescent="0.2"/>
    <row r="118" spans="5:13" ht="15.95" customHeight="1" x14ac:dyDescent="0.2"/>
    <row r="119" spans="5:13" ht="15.95" customHeight="1" x14ac:dyDescent="0.2"/>
    <row r="120" spans="5:13" ht="15.95" customHeight="1" x14ac:dyDescent="0.2"/>
    <row r="121" spans="5:13" ht="15.95" customHeight="1" x14ac:dyDescent="0.2"/>
    <row r="122" spans="5:13" ht="15.95" customHeight="1" x14ac:dyDescent="0.2"/>
    <row r="123" spans="5:13" ht="15.95" customHeight="1" x14ac:dyDescent="0.2"/>
    <row r="124" spans="5:13" ht="15.95" customHeight="1" x14ac:dyDescent="0.2"/>
    <row r="125" spans="5:13" ht="15.95" customHeight="1" x14ac:dyDescent="0.2"/>
    <row r="126" spans="5:13" ht="15.95" customHeight="1" x14ac:dyDescent="0.2"/>
    <row r="127" spans="5:13" ht="15.95" customHeight="1" x14ac:dyDescent="0.2"/>
    <row r="128" spans="5:13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</sheetData>
  <dataConsolidate/>
  <mergeCells count="15">
    <mergeCell ref="D2:I3"/>
    <mergeCell ref="D4:I5"/>
    <mergeCell ref="B7:B9"/>
    <mergeCell ref="C7:C9"/>
    <mergeCell ref="D7:D8"/>
    <mergeCell ref="E7:E8"/>
    <mergeCell ref="J7:J8"/>
    <mergeCell ref="O7:U7"/>
    <mergeCell ref="F7:F8"/>
    <mergeCell ref="G7:G8"/>
    <mergeCell ref="H7:H8"/>
    <mergeCell ref="I7:I8"/>
    <mergeCell ref="K7:K8"/>
    <mergeCell ref="L7:L8"/>
    <mergeCell ref="M7:M9"/>
  </mergeCells>
  <phoneticPr fontId="4" type="noConversion"/>
  <conditionalFormatting sqref="E58 E52 E45 E38:E39 E29 E24:F28 E32:F37 E51:F51 E55:F55 E57:F57 E48:F49 E41:F44">
    <cfRule type="expression" dxfId="54" priority="5" stopIfTrue="1">
      <formula>#REF!="B"</formula>
    </cfRule>
  </conditionalFormatting>
  <conditionalFormatting sqref="E53:E54 E46:E47 E40 E30:E31 E21:E23 E11 E12:F20">
    <cfRule type="expression" dxfId="53" priority="6" stopIfTrue="1">
      <formula>#REF!="B"</formula>
    </cfRule>
  </conditionalFormatting>
  <conditionalFormatting sqref="E50">
    <cfRule type="expression" dxfId="52" priority="4" stopIfTrue="1">
      <formula>#REF!="B"</formula>
    </cfRule>
  </conditionalFormatting>
  <conditionalFormatting sqref="E56">
    <cfRule type="expression" dxfId="51" priority="3" stopIfTrue="1">
      <formula>#REF!="B"</formula>
    </cfRule>
  </conditionalFormatting>
  <conditionalFormatting sqref="F50">
    <cfRule type="expression" dxfId="50" priority="2" stopIfTrue="1">
      <formula>#REF!="B"</formula>
    </cfRule>
  </conditionalFormatting>
  <conditionalFormatting sqref="F56">
    <cfRule type="expression" dxfId="49" priority="1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3"/>
  </sheetPr>
  <dimension ref="A1:I15"/>
  <sheetViews>
    <sheetView workbookViewId="0">
      <selection activeCell="C6" sqref="C6"/>
    </sheetView>
  </sheetViews>
  <sheetFormatPr defaultRowHeight="12.75" x14ac:dyDescent="0.2"/>
  <cols>
    <col min="1" max="16384" width="9.140625" style="12"/>
  </cols>
  <sheetData>
    <row r="1" spans="1:9" ht="16.5" thickBot="1" x14ac:dyDescent="0.25">
      <c r="A1" s="641" t="s">
        <v>195</v>
      </c>
      <c r="B1" s="641"/>
      <c r="C1" s="641"/>
      <c r="D1" s="641"/>
      <c r="E1" s="641"/>
      <c r="F1" s="641"/>
      <c r="G1" s="641"/>
      <c r="H1" s="641"/>
      <c r="I1" s="641"/>
    </row>
    <row r="2" spans="1:9" ht="64.5" thickBot="1" x14ac:dyDescent="0.25">
      <c r="A2" s="137" t="s">
        <v>196</v>
      </c>
      <c r="B2" s="138" t="s">
        <v>197</v>
      </c>
      <c r="C2" s="104" t="s">
        <v>198</v>
      </c>
      <c r="D2" s="104" t="s">
        <v>199</v>
      </c>
      <c r="E2" s="104" t="s">
        <v>200</v>
      </c>
      <c r="F2" s="104" t="s">
        <v>201</v>
      </c>
      <c r="G2" s="104" t="s">
        <v>255</v>
      </c>
      <c r="H2" s="104" t="s">
        <v>202</v>
      </c>
      <c r="I2" s="105" t="s">
        <v>203</v>
      </c>
    </row>
    <row r="3" spans="1:9" x14ac:dyDescent="0.2">
      <c r="A3" s="642" t="s">
        <v>204</v>
      </c>
      <c r="B3" s="139">
        <v>6.3</v>
      </c>
      <c r="C3" s="348">
        <v>0</v>
      </c>
      <c r="D3" s="349">
        <v>28</v>
      </c>
      <c r="E3" s="142">
        <v>41.5</v>
      </c>
      <c r="F3" s="349">
        <v>1.3</v>
      </c>
      <c r="G3" s="349">
        <v>0.01</v>
      </c>
      <c r="H3" s="349">
        <v>3.97</v>
      </c>
      <c r="I3" s="350">
        <v>20.72</v>
      </c>
    </row>
    <row r="4" spans="1:9" x14ac:dyDescent="0.2">
      <c r="A4" s="643"/>
      <c r="B4" s="144">
        <v>13</v>
      </c>
      <c r="C4" s="145">
        <v>60</v>
      </c>
      <c r="D4" s="146">
        <v>37.79</v>
      </c>
      <c r="E4" s="147">
        <v>24.9</v>
      </c>
      <c r="F4" s="146">
        <v>1.41</v>
      </c>
      <c r="G4" s="146">
        <v>0.01</v>
      </c>
      <c r="H4" s="146">
        <v>12.33</v>
      </c>
      <c r="I4" s="148">
        <v>14.18</v>
      </c>
    </row>
    <row r="5" spans="1:9" ht="13.5" thickBot="1" x14ac:dyDescent="0.25">
      <c r="A5" s="643"/>
      <c r="B5" s="144">
        <v>18</v>
      </c>
      <c r="C5" s="145">
        <v>60</v>
      </c>
      <c r="D5" s="146">
        <v>28</v>
      </c>
      <c r="E5" s="147">
        <v>22.17</v>
      </c>
      <c r="F5" s="146">
        <v>1.3</v>
      </c>
      <c r="G5" s="146">
        <v>4.08</v>
      </c>
      <c r="H5" s="146">
        <v>4.34</v>
      </c>
      <c r="I5" s="148">
        <v>13.65</v>
      </c>
    </row>
    <row r="6" spans="1:9" x14ac:dyDescent="0.2">
      <c r="A6" s="642" t="s">
        <v>205</v>
      </c>
      <c r="B6" s="139">
        <v>5.5</v>
      </c>
      <c r="C6" s="140">
        <v>0</v>
      </c>
      <c r="D6" s="141"/>
      <c r="E6" s="142"/>
      <c r="F6" s="141"/>
      <c r="G6" s="141"/>
      <c r="H6" s="141"/>
      <c r="I6" s="143"/>
    </row>
    <row r="7" spans="1:9" x14ac:dyDescent="0.2">
      <c r="A7" s="643"/>
      <c r="B7" s="144">
        <v>13</v>
      </c>
      <c r="C7" s="145">
        <v>0</v>
      </c>
      <c r="D7" s="146"/>
      <c r="E7" s="147"/>
      <c r="F7" s="146"/>
      <c r="G7" s="146"/>
      <c r="H7" s="146"/>
      <c r="I7" s="148"/>
    </row>
    <row r="8" spans="1:9" x14ac:dyDescent="0.2">
      <c r="A8" s="643"/>
      <c r="B8" s="144">
        <v>18</v>
      </c>
      <c r="C8" s="145">
        <v>0</v>
      </c>
      <c r="D8" s="146"/>
      <c r="E8" s="147"/>
      <c r="F8" s="146"/>
      <c r="G8" s="146"/>
      <c r="H8" s="146"/>
      <c r="I8" s="148"/>
    </row>
    <row r="9" spans="1:9" x14ac:dyDescent="0.2">
      <c r="A9" s="643"/>
      <c r="B9" s="144"/>
      <c r="C9" s="145"/>
      <c r="D9" s="146"/>
      <c r="E9" s="147"/>
      <c r="F9" s="146"/>
      <c r="G9" s="146"/>
      <c r="H9" s="146"/>
      <c r="I9" s="148"/>
    </row>
    <row r="10" spans="1:9" ht="13.5" thickBot="1" x14ac:dyDescent="0.25">
      <c r="A10" s="644"/>
      <c r="B10" s="149"/>
      <c r="C10" s="150"/>
      <c r="D10" s="151"/>
      <c r="E10" s="152"/>
      <c r="F10" s="151"/>
      <c r="G10" s="151"/>
      <c r="H10" s="151"/>
      <c r="I10" s="153"/>
    </row>
    <row r="11" spans="1:9" x14ac:dyDescent="0.2">
      <c r="A11" s="642" t="s">
        <v>206</v>
      </c>
      <c r="B11" s="139">
        <v>5.5</v>
      </c>
      <c r="C11" s="140">
        <v>0</v>
      </c>
      <c r="D11" s="141"/>
      <c r="E11" s="142"/>
      <c r="F11" s="141"/>
      <c r="G11" s="141"/>
      <c r="H11" s="141"/>
      <c r="I11" s="143"/>
    </row>
    <row r="12" spans="1:9" x14ac:dyDescent="0.2">
      <c r="A12" s="643"/>
      <c r="B12" s="144">
        <v>13</v>
      </c>
      <c r="C12" s="145">
        <v>0</v>
      </c>
      <c r="D12" s="146"/>
      <c r="E12" s="147"/>
      <c r="F12" s="146"/>
      <c r="G12" s="146"/>
      <c r="H12" s="146"/>
      <c r="I12" s="148"/>
    </row>
    <row r="13" spans="1:9" x14ac:dyDescent="0.2">
      <c r="A13" s="643"/>
      <c r="B13" s="144">
        <v>18</v>
      </c>
      <c r="C13" s="145">
        <v>0</v>
      </c>
      <c r="D13" s="146"/>
      <c r="E13" s="147"/>
      <c r="F13" s="146"/>
      <c r="G13" s="146"/>
      <c r="H13" s="146"/>
      <c r="I13" s="148"/>
    </row>
    <row r="14" spans="1:9" x14ac:dyDescent="0.2">
      <c r="A14" s="643"/>
      <c r="B14" s="144"/>
      <c r="C14" s="145"/>
      <c r="D14" s="146"/>
      <c r="E14" s="147"/>
      <c r="F14" s="146"/>
      <c r="G14" s="146"/>
      <c r="H14" s="146"/>
      <c r="I14" s="148"/>
    </row>
    <row r="15" spans="1:9" ht="13.5" thickBot="1" x14ac:dyDescent="0.25">
      <c r="A15" s="644"/>
      <c r="B15" s="154"/>
      <c r="C15" s="155"/>
      <c r="D15" s="156"/>
      <c r="E15" s="157"/>
      <c r="F15" s="156"/>
      <c r="G15" s="156"/>
      <c r="H15" s="156"/>
      <c r="I15" s="158"/>
    </row>
  </sheetData>
  <mergeCells count="4">
    <mergeCell ref="A1:I1"/>
    <mergeCell ref="A3:A5"/>
    <mergeCell ref="A6:A10"/>
    <mergeCell ref="A11:A15"/>
  </mergeCells>
  <phoneticPr fontId="50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15"/>
  <sheetViews>
    <sheetView workbookViewId="0">
      <selection activeCell="B3" sqref="B3"/>
    </sheetView>
  </sheetViews>
  <sheetFormatPr defaultRowHeight="12.75" x14ac:dyDescent="0.2"/>
  <cols>
    <col min="1" max="1" width="8.42578125" style="159" bestFit="1" customWidth="1"/>
    <col min="2" max="2" width="5" style="159" bestFit="1" customWidth="1"/>
    <col min="3" max="3" width="5.85546875" style="159" bestFit="1" customWidth="1"/>
    <col min="4" max="4" width="7" style="159" bestFit="1" customWidth="1"/>
    <col min="5" max="5" width="7.140625" style="159" customWidth="1"/>
    <col min="6" max="6" width="6.42578125" style="159" bestFit="1" customWidth="1"/>
    <col min="7" max="7" width="6.85546875" style="159" customWidth="1"/>
    <col min="8" max="8" width="7.5703125" style="159" customWidth="1"/>
    <col min="9" max="16384" width="9.140625" style="159"/>
  </cols>
  <sheetData>
    <row r="1" spans="1:11" s="161" customFormat="1" ht="44.25" customHeight="1" x14ac:dyDescent="0.2">
      <c r="A1" s="210" t="s">
        <v>253</v>
      </c>
      <c r="B1" s="208" t="s">
        <v>70</v>
      </c>
      <c r="C1" s="208" t="s">
        <v>314</v>
      </c>
      <c r="D1" s="208" t="s">
        <v>275</v>
      </c>
      <c r="E1" s="208" t="s">
        <v>276</v>
      </c>
      <c r="F1" s="208"/>
    </row>
    <row r="2" spans="1:11" ht="16.5" customHeight="1" x14ac:dyDescent="0.2">
      <c r="A2" s="210"/>
      <c r="B2" s="537">
        <v>13</v>
      </c>
      <c r="C2" s="204">
        <f>IF($B$2=18,-3,$I$10)</f>
        <v>4.4384783798576901</v>
      </c>
      <c r="D2" s="207">
        <v>1</v>
      </c>
      <c r="E2" s="205">
        <f>D2*0.5144</f>
        <v>0.51439999999999997</v>
      </c>
      <c r="F2" s="206"/>
    </row>
    <row r="3" spans="1:11" x14ac:dyDescent="0.2">
      <c r="A3" s="209"/>
      <c r="B3" s="207"/>
      <c r="C3" s="204"/>
      <c r="D3" s="207"/>
      <c r="E3" s="205"/>
      <c r="F3" s="206"/>
    </row>
    <row r="4" spans="1:11" s="161" customFormat="1" ht="38.25" x14ac:dyDescent="0.2">
      <c r="A4" s="178" t="s">
        <v>208</v>
      </c>
      <c r="B4" s="178" t="s">
        <v>209</v>
      </c>
      <c r="C4" s="176" t="s">
        <v>212</v>
      </c>
      <c r="D4" s="176" t="s">
        <v>210</v>
      </c>
      <c r="E4" s="176" t="s">
        <v>211</v>
      </c>
      <c r="F4" s="221" t="s">
        <v>213</v>
      </c>
      <c r="G4" s="221" t="s">
        <v>214</v>
      </c>
      <c r="H4" s="176" t="s">
        <v>254</v>
      </c>
      <c r="I4" s="222" t="s">
        <v>312</v>
      </c>
      <c r="J4" s="223" t="s">
        <v>268</v>
      </c>
      <c r="K4" s="223" t="s">
        <v>269</v>
      </c>
    </row>
    <row r="5" spans="1:11" s="161" customFormat="1" x14ac:dyDescent="0.2">
      <c r="A5" s="175"/>
      <c r="B5" s="175"/>
      <c r="C5" s="180" t="s">
        <v>135</v>
      </c>
      <c r="D5" s="202" t="s">
        <v>135</v>
      </c>
      <c r="E5" s="202" t="s">
        <v>135</v>
      </c>
      <c r="F5" s="203"/>
      <c r="G5" s="203" t="s">
        <v>135</v>
      </c>
      <c r="H5" s="180" t="s">
        <v>267</v>
      </c>
      <c r="I5" s="196" t="s">
        <v>135</v>
      </c>
      <c r="J5" s="197" t="s">
        <v>131</v>
      </c>
      <c r="K5" s="197" t="s">
        <v>224</v>
      </c>
    </row>
    <row r="6" spans="1:11" s="161" customFormat="1" x14ac:dyDescent="0.2">
      <c r="A6" s="166" t="s">
        <v>263</v>
      </c>
      <c r="B6" s="161">
        <v>1</v>
      </c>
      <c r="C6" s="162">
        <f>82.2</f>
        <v>82.2</v>
      </c>
      <c r="D6" s="162">
        <v>0</v>
      </c>
      <c r="E6" s="162">
        <v>6.6</v>
      </c>
      <c r="F6" s="198">
        <v>0.8</v>
      </c>
      <c r="G6" s="162">
        <f>MIN($B$2,E6)-MIN($B$2,D6)</f>
        <v>6.6</v>
      </c>
      <c r="H6" s="162">
        <f>B6*C6*G6</f>
        <v>542.52</v>
      </c>
      <c r="I6" s="162">
        <f>AVERAGE(MIN($B$2,D6),MIN($B$2,E6))</f>
        <v>3.3</v>
      </c>
      <c r="J6" s="162">
        <f>0.1045/2*C6*F6*$E$2^2*G6</f>
        <v>6.0005900107929584</v>
      </c>
      <c r="K6" s="165">
        <f>J6*I6</f>
        <v>19.801947035616763</v>
      </c>
    </row>
    <row r="7" spans="1:11" s="161" customFormat="1" x14ac:dyDescent="0.2">
      <c r="A7" s="166" t="s">
        <v>264</v>
      </c>
      <c r="B7" s="161">
        <v>3</v>
      </c>
      <c r="C7" s="162">
        <f>18</f>
        <v>18</v>
      </c>
      <c r="D7" s="162">
        <f>E6</f>
        <v>6.6</v>
      </c>
      <c r="E7" s="162">
        <v>29</v>
      </c>
      <c r="F7" s="198">
        <v>0.8</v>
      </c>
      <c r="G7" s="162">
        <f>MIN($B$2,E7)-MIN($B$2,D7)</f>
        <v>6.4</v>
      </c>
      <c r="H7" s="162">
        <f>B7*C7*G7</f>
        <v>345.6</v>
      </c>
      <c r="I7" s="162">
        <f>AVERAGE(MIN($B$2,D7),MIN($B$2,E7))</f>
        <v>9.8000000000000007</v>
      </c>
      <c r="J7" s="162">
        <f>0.1045/2*C7*F7*$E$2^2*G7</f>
        <v>1.2741796970496</v>
      </c>
      <c r="K7" s="165">
        <f>J7*I7</f>
        <v>12.48696103108608</v>
      </c>
    </row>
    <row r="8" spans="1:11" s="161" customFormat="1" x14ac:dyDescent="0.2">
      <c r="A8" s="166"/>
      <c r="C8" s="162"/>
      <c r="D8" s="162"/>
      <c r="E8" s="162"/>
      <c r="F8" s="198"/>
      <c r="G8" s="162"/>
      <c r="H8" s="165"/>
      <c r="I8" s="162"/>
      <c r="J8" s="199">
        <f>SUM(J6:J7)</f>
        <v>7.2747697078425588</v>
      </c>
      <c r="K8" s="165">
        <f>SUM(K6:K7)</f>
        <v>32.288908066702845</v>
      </c>
    </row>
    <row r="9" spans="1:11" s="161" customFormat="1" x14ac:dyDescent="0.2">
      <c r="A9" s="166"/>
      <c r="C9" s="162"/>
      <c r="D9" s="162"/>
      <c r="E9" s="162"/>
      <c r="F9" s="162"/>
      <c r="G9" s="162"/>
      <c r="I9" s="162"/>
      <c r="J9" s="199"/>
      <c r="K9" s="165"/>
    </row>
    <row r="10" spans="1:11" s="161" customFormat="1" x14ac:dyDescent="0.2">
      <c r="C10" s="164"/>
      <c r="D10" s="200"/>
      <c r="E10" s="165"/>
      <c r="H10" s="174" t="s">
        <v>313</v>
      </c>
      <c r="I10" s="201">
        <f>K8/J8</f>
        <v>4.4384783798576901</v>
      </c>
      <c r="J10" s="166" t="s">
        <v>135</v>
      </c>
      <c r="K10" s="163"/>
    </row>
    <row r="11" spans="1:11" s="161" customFormat="1" x14ac:dyDescent="0.2">
      <c r="C11" s="164"/>
      <c r="D11" s="200"/>
      <c r="E11" s="165"/>
      <c r="I11" s="167" t="s">
        <v>265</v>
      </c>
      <c r="J11" s="166"/>
      <c r="K11" s="163"/>
    </row>
    <row r="12" spans="1:11" s="161" customFormat="1" x14ac:dyDescent="0.2">
      <c r="C12" s="164"/>
      <c r="D12" s="200"/>
      <c r="E12" s="165"/>
      <c r="I12" s="165"/>
    </row>
    <row r="13" spans="1:11" s="161" customFormat="1" x14ac:dyDescent="0.2">
      <c r="C13" s="164"/>
      <c r="D13" s="200"/>
      <c r="E13" s="165"/>
      <c r="H13" s="167" t="s">
        <v>266</v>
      </c>
      <c r="I13" s="162">
        <f>J8*2/D2^2</f>
        <v>14.549539415685118</v>
      </c>
      <c r="J13" s="165" t="s">
        <v>270</v>
      </c>
    </row>
    <row r="14" spans="1:11" s="161" customFormat="1" x14ac:dyDescent="0.2">
      <c r="C14" s="164"/>
      <c r="D14" s="200"/>
      <c r="E14" s="165"/>
      <c r="H14" s="167"/>
      <c r="I14" s="162"/>
      <c r="J14" s="165"/>
    </row>
    <row r="15" spans="1:11" s="161" customFormat="1" x14ac:dyDescent="0.2">
      <c r="C15" s="164"/>
      <c r="D15" s="200"/>
      <c r="E15" s="165"/>
      <c r="H15" s="167"/>
      <c r="I15" s="162"/>
      <c r="J15" s="165"/>
    </row>
  </sheetData>
  <phoneticPr fontId="50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R76"/>
  <sheetViews>
    <sheetView topLeftCell="A25" workbookViewId="0">
      <selection activeCell="D3" sqref="D3"/>
    </sheetView>
  </sheetViews>
  <sheetFormatPr defaultRowHeight="12.75" x14ac:dyDescent="0.2"/>
  <cols>
    <col min="1" max="1" width="28.5703125" style="172" customWidth="1"/>
    <col min="2" max="2" width="5" style="172" bestFit="1" customWidth="1"/>
    <col min="3" max="3" width="8.42578125" style="172" customWidth="1"/>
    <col min="4" max="4" width="8.7109375" style="172" customWidth="1"/>
    <col min="5" max="5" width="12.7109375" style="172" customWidth="1"/>
    <col min="6" max="12" width="8.7109375" style="172" customWidth="1"/>
    <col min="13" max="16384" width="9.140625" style="172"/>
  </cols>
  <sheetData>
    <row r="1" spans="1:18" ht="38.25" x14ac:dyDescent="0.2">
      <c r="A1" s="645" t="s">
        <v>253</v>
      </c>
      <c r="B1" s="208" t="s">
        <v>70</v>
      </c>
      <c r="C1" s="208" t="s">
        <v>274</v>
      </c>
      <c r="D1" s="208" t="s">
        <v>271</v>
      </c>
      <c r="E1" s="208" t="s">
        <v>272</v>
      </c>
      <c r="F1" s="208" t="s">
        <v>273</v>
      </c>
      <c r="J1" s="171"/>
      <c r="K1" s="173"/>
      <c r="L1" s="160"/>
      <c r="M1" s="160"/>
      <c r="N1" s="160"/>
      <c r="O1" s="160"/>
      <c r="P1" s="160"/>
      <c r="Q1" s="160"/>
    </row>
    <row r="2" spans="1:18" x14ac:dyDescent="0.2">
      <c r="A2" s="645"/>
      <c r="B2" s="204">
        <f>'Current-y'!B2</f>
        <v>13</v>
      </c>
      <c r="C2" s="204">
        <f>'Current-y'!C2</f>
        <v>4.4384783798576901</v>
      </c>
      <c r="D2" s="204">
        <v>100</v>
      </c>
      <c r="E2" s="205">
        <f>D2*0.5144</f>
        <v>51.44</v>
      </c>
      <c r="F2" s="206">
        <f>VLOOKUP($B$2,Hydrostatic!A3:J272,2,0)</f>
        <v>28982.93</v>
      </c>
      <c r="H2" s="171"/>
      <c r="I2" s="171"/>
      <c r="J2" s="171"/>
      <c r="K2" s="171"/>
      <c r="L2" s="160"/>
      <c r="M2" s="160"/>
      <c r="N2" s="160"/>
      <c r="O2" s="160"/>
      <c r="P2" s="160"/>
      <c r="Q2" s="160"/>
    </row>
    <row r="3" spans="1:18" ht="27" customHeight="1" x14ac:dyDescent="0.2">
      <c r="A3" s="175" t="s">
        <v>208</v>
      </c>
      <c r="B3" s="175" t="s">
        <v>209</v>
      </c>
      <c r="C3" s="176" t="s">
        <v>210</v>
      </c>
      <c r="D3" s="176" t="s">
        <v>211</v>
      </c>
      <c r="E3" s="177" t="s">
        <v>212</v>
      </c>
      <c r="F3" s="646" t="s">
        <v>213</v>
      </c>
      <c r="G3" s="646"/>
      <c r="H3" s="176" t="s">
        <v>214</v>
      </c>
      <c r="I3" s="177" t="s">
        <v>254</v>
      </c>
      <c r="J3" s="176" t="s">
        <v>215</v>
      </c>
      <c r="K3" s="177" t="s">
        <v>216</v>
      </c>
      <c r="L3" s="178" t="s">
        <v>217</v>
      </c>
      <c r="M3" s="178"/>
      <c r="N3" s="178" t="s">
        <v>218</v>
      </c>
      <c r="O3" s="175" t="s">
        <v>219</v>
      </c>
      <c r="P3" s="175" t="s">
        <v>220</v>
      </c>
      <c r="Q3" s="170" t="s">
        <v>221</v>
      </c>
    </row>
    <row r="4" spans="1:18" ht="15" x14ac:dyDescent="0.2">
      <c r="A4" s="179"/>
      <c r="B4" s="179"/>
      <c r="C4" s="180" t="s">
        <v>135</v>
      </c>
      <c r="D4" s="180" t="s">
        <v>135</v>
      </c>
      <c r="E4" s="180" t="s">
        <v>135</v>
      </c>
      <c r="F4" s="180" t="s">
        <v>222</v>
      </c>
      <c r="G4" s="180" t="s">
        <v>223</v>
      </c>
      <c r="H4" s="180" t="s">
        <v>135</v>
      </c>
      <c r="I4" s="180" t="s">
        <v>257</v>
      </c>
      <c r="J4" s="180" t="s">
        <v>135</v>
      </c>
      <c r="K4" s="180" t="s">
        <v>131</v>
      </c>
      <c r="L4" s="179" t="s">
        <v>224</v>
      </c>
      <c r="M4" s="179"/>
      <c r="N4" s="180" t="s">
        <v>135</v>
      </c>
      <c r="O4" s="160"/>
      <c r="P4" s="160"/>
      <c r="Q4" s="160"/>
    </row>
    <row r="5" spans="1:18" x14ac:dyDescent="0.2">
      <c r="A5" s="213" t="s">
        <v>281</v>
      </c>
      <c r="B5" s="179">
        <v>1</v>
      </c>
      <c r="C5" s="219">
        <v>0</v>
      </c>
      <c r="D5" s="219">
        <v>6.6</v>
      </c>
      <c r="E5" s="219">
        <v>81.900000000000006</v>
      </c>
      <c r="F5" s="214">
        <v>1</v>
      </c>
      <c r="G5" s="180">
        <v>1</v>
      </c>
      <c r="H5" s="171">
        <f>MAX(D5,$B$2)-MAX(C5,$B$2)</f>
        <v>0</v>
      </c>
      <c r="I5" s="171">
        <f>MAX(0,B5*E5*H5)</f>
        <v>0</v>
      </c>
      <c r="J5" s="171">
        <f>AVERAGE(MAX(D5,$B$2),MAX(C5,$B$2))-$C$2</f>
        <v>8.5615216201423099</v>
      </c>
      <c r="K5" s="171">
        <f t="shared" ref="K5:K24" si="0">0.0623*I5*G5*F5*$E$2^2/1000</f>
        <v>0</v>
      </c>
      <c r="L5" s="182">
        <f>K5*J5</f>
        <v>0</v>
      </c>
      <c r="M5" s="179"/>
      <c r="N5" s="180"/>
      <c r="O5" s="160"/>
      <c r="P5" s="160"/>
      <c r="Q5" s="160"/>
    </row>
    <row r="6" spans="1:18" ht="15" x14ac:dyDescent="0.25">
      <c r="A6" s="181" t="s">
        <v>225</v>
      </c>
      <c r="B6" s="179">
        <v>3</v>
      </c>
      <c r="C6" s="168">
        <f>D5</f>
        <v>6.6</v>
      </c>
      <c r="D6" s="168">
        <v>29</v>
      </c>
      <c r="E6" s="168">
        <v>18</v>
      </c>
      <c r="F6" s="171">
        <v>0.8</v>
      </c>
      <c r="G6" s="171">
        <v>1</v>
      </c>
      <c r="H6" s="171">
        <f t="shared" ref="H6:H24" si="1">MAX(D6,$B$2)-MAX(C6,$B$2)</f>
        <v>16</v>
      </c>
      <c r="I6" s="171">
        <f>MAX(0,B6*E6*H6)</f>
        <v>864</v>
      </c>
      <c r="J6" s="171">
        <f t="shared" ref="J6:J24" si="2">AVERAGE(MAX(D6,$B$2),MAX(C6,$B$2))-$C$2</f>
        <v>16.561521620142308</v>
      </c>
      <c r="K6" s="171">
        <f t="shared" si="0"/>
        <v>113.94458630553598</v>
      </c>
      <c r="L6" s="182">
        <f>K6*J6</f>
        <v>1887.0957295973053</v>
      </c>
      <c r="M6" s="182"/>
      <c r="N6" s="171">
        <f t="shared" ref="N6:N24" si="3">0.5*(D6+C6)-$B$2</f>
        <v>4.8000000000000007</v>
      </c>
      <c r="O6" s="171">
        <f>IF(N6&lt;=50,1,IF(N6&lt;=100,1.1,IF(N6&lt;=150,1.2,IF(N6&lt;=200,1.3,IF(N6&lt;=250,1.37,IF(N6&lt;=300,1.43,1.48))))))</f>
        <v>1</v>
      </c>
      <c r="P6" s="171">
        <f>IF(N6&lt;=50,1,IF(N6&lt;=100,1.18,IF(N6&lt;=150,1.31,IF(N6&lt;=200,1.4,IF(N6&lt;=250,1.47,IF(N6&lt;=300,1.53,1.58))))))</f>
        <v>1</v>
      </c>
      <c r="Q6" s="171">
        <f>(N6)^(1/10)</f>
        <v>1.1698336881100935</v>
      </c>
      <c r="R6" s="212" t="s">
        <v>280</v>
      </c>
    </row>
    <row r="7" spans="1:18" ht="15" x14ac:dyDescent="0.25">
      <c r="A7" s="160" t="s">
        <v>226</v>
      </c>
      <c r="B7" s="179">
        <v>1</v>
      </c>
      <c r="C7" s="168">
        <f>D6</f>
        <v>29</v>
      </c>
      <c r="D7" s="168">
        <f>C7+7.6</f>
        <v>36.6</v>
      </c>
      <c r="E7" s="168">
        <v>81.900000000000006</v>
      </c>
      <c r="F7" s="171">
        <v>0.9</v>
      </c>
      <c r="G7" s="171">
        <v>1.1000000000000001</v>
      </c>
      <c r="H7" s="171">
        <f t="shared" si="1"/>
        <v>7.6000000000000014</v>
      </c>
      <c r="I7" s="171">
        <f t="shared" ref="I7:I24" si="4">MAX(0,B7*E7*(D7-MAX(C7,$B$2)))</f>
        <v>622.44000000000017</v>
      </c>
      <c r="J7" s="171">
        <f t="shared" si="2"/>
        <v>28.361521620142305</v>
      </c>
      <c r="K7" s="171">
        <f t="shared" si="0"/>
        <v>101.5833790755464</v>
      </c>
      <c r="L7" s="182">
        <f t="shared" ref="L7:L24" si="5">K7*J7</f>
        <v>2881.0592018982206</v>
      </c>
      <c r="M7" s="182"/>
      <c r="N7" s="171">
        <f t="shared" si="3"/>
        <v>19.799999999999997</v>
      </c>
      <c r="O7" s="171">
        <f t="shared" ref="O7:O23" si="6">IF(N7&lt;=50,1,IF(N7&lt;=100,1.1,IF(N7&lt;=150,1.2,IF(N7&lt;=200,1.3,IF(N7&lt;=250,1.37,IF(N7&lt;=300,1.43,1.48))))))</f>
        <v>1</v>
      </c>
      <c r="P7" s="171">
        <f t="shared" ref="P7:P24" si="7">IF(N7&lt;=50,1,IF(N7&lt;=100,1.18,IF(N7&lt;=150,1.31,IF(N7&lt;=200,1.4,IF(N7&lt;=250,1.47,IF(N7&lt;=300,1.53,1.58))))))</f>
        <v>1</v>
      </c>
      <c r="Q7" s="171">
        <f t="shared" ref="Q7:Q24" si="8">(N7)^(1/10)</f>
        <v>1.3479274543175259</v>
      </c>
    </row>
    <row r="8" spans="1:18" ht="15" x14ac:dyDescent="0.25">
      <c r="A8" s="181" t="s">
        <v>227</v>
      </c>
      <c r="B8" s="179">
        <v>1</v>
      </c>
      <c r="C8" s="171">
        <f>D7</f>
        <v>36.6</v>
      </c>
      <c r="D8" s="168">
        <f>C8+6.6</f>
        <v>43.2</v>
      </c>
      <c r="E8" s="168">
        <v>10.663</v>
      </c>
      <c r="F8" s="171">
        <v>1</v>
      </c>
      <c r="G8" s="171">
        <v>1.1000000000000001</v>
      </c>
      <c r="H8" s="171">
        <f t="shared" si="1"/>
        <v>6.6000000000000014</v>
      </c>
      <c r="I8" s="171">
        <f t="shared" si="4"/>
        <v>70.375800000000012</v>
      </c>
      <c r="J8" s="171">
        <f t="shared" si="2"/>
        <v>35.461521620142314</v>
      </c>
      <c r="K8" s="171">
        <f t="shared" si="0"/>
        <v>12.761625518827049</v>
      </c>
      <c r="L8" s="182">
        <f t="shared" si="5"/>
        <v>452.54665924404526</v>
      </c>
      <c r="M8" s="182"/>
      <c r="N8" s="171">
        <f t="shared" si="3"/>
        <v>26.900000000000006</v>
      </c>
      <c r="O8" s="171">
        <f t="shared" si="6"/>
        <v>1</v>
      </c>
      <c r="P8" s="171">
        <f>IF(N8&lt;=50,1,IF(N8&lt;=100,1.18,IF(N8&lt;=150,1.31,IF(N8&lt;=200,1.4,IF(N8&lt;=250,1.47,IF(N8&lt;=300,1.53,1.58))))))</f>
        <v>1</v>
      </c>
      <c r="Q8" s="171">
        <f t="shared" si="8"/>
        <v>1.3898733510803851</v>
      </c>
    </row>
    <row r="9" spans="1:18" ht="15" x14ac:dyDescent="0.25">
      <c r="A9" s="211" t="s">
        <v>228</v>
      </c>
      <c r="B9" s="179">
        <v>1</v>
      </c>
      <c r="C9" s="171">
        <f>C8</f>
        <v>36.6</v>
      </c>
      <c r="D9" s="168">
        <f>C9+2.9</f>
        <v>39.5</v>
      </c>
      <c r="E9" s="168">
        <v>30</v>
      </c>
      <c r="F9" s="215">
        <v>1</v>
      </c>
      <c r="G9" s="215">
        <v>1.1000000000000001</v>
      </c>
      <c r="H9" s="171">
        <f t="shared" si="1"/>
        <v>2.8999999999999986</v>
      </c>
      <c r="I9" s="215">
        <f t="shared" si="4"/>
        <v>86.999999999999957</v>
      </c>
      <c r="J9" s="171">
        <f t="shared" si="2"/>
        <v>33.611521620142305</v>
      </c>
      <c r="K9" s="215">
        <f t="shared" si="0"/>
        <v>15.776181871295993</v>
      </c>
      <c r="L9" s="182">
        <f t="shared" si="5"/>
        <v>530.26147805036237</v>
      </c>
      <c r="M9" s="182"/>
      <c r="N9" s="171">
        <f t="shared" si="3"/>
        <v>25.049999999999997</v>
      </c>
      <c r="O9" s="171">
        <f t="shared" si="6"/>
        <v>1</v>
      </c>
      <c r="P9" s="171">
        <f t="shared" si="7"/>
        <v>1</v>
      </c>
      <c r="Q9" s="171">
        <f t="shared" si="8"/>
        <v>1.3800053593562909</v>
      </c>
      <c r="R9" s="212" t="s">
        <v>286</v>
      </c>
    </row>
    <row r="10" spans="1:18" ht="15" x14ac:dyDescent="0.25">
      <c r="A10" s="160" t="s">
        <v>229</v>
      </c>
      <c r="B10" s="179">
        <v>1</v>
      </c>
      <c r="C10" s="168">
        <f>C9</f>
        <v>36.6</v>
      </c>
      <c r="D10" s="168">
        <f>C10+8.9</f>
        <v>45.5</v>
      </c>
      <c r="E10" s="217">
        <f>+(24.6-E8)/2</f>
        <v>6.9685000000000006</v>
      </c>
      <c r="F10" s="171">
        <v>0.75</v>
      </c>
      <c r="G10" s="171">
        <v>1.2</v>
      </c>
      <c r="H10" s="171">
        <f t="shared" si="1"/>
        <v>8.8999999999999986</v>
      </c>
      <c r="I10" s="171">
        <f t="shared" si="4"/>
        <v>62.019649999999999</v>
      </c>
      <c r="J10" s="171">
        <f t="shared" si="2"/>
        <v>36.611521620142305</v>
      </c>
      <c r="K10" s="171">
        <f t="shared" si="0"/>
        <v>9.2015668776876751</v>
      </c>
      <c r="L10" s="182">
        <f t="shared" si="5"/>
        <v>336.88336468164766</v>
      </c>
      <c r="M10" s="182"/>
      <c r="N10" s="171">
        <f t="shared" si="3"/>
        <v>28.049999999999997</v>
      </c>
      <c r="O10" s="171">
        <f t="shared" si="6"/>
        <v>1</v>
      </c>
      <c r="P10" s="171">
        <f t="shared" si="7"/>
        <v>1</v>
      </c>
      <c r="Q10" s="171">
        <f t="shared" si="8"/>
        <v>1.3957038823744152</v>
      </c>
    </row>
    <row r="11" spans="1:18" ht="15" x14ac:dyDescent="0.25">
      <c r="A11" s="160" t="s">
        <v>230</v>
      </c>
      <c r="B11" s="179">
        <v>1</v>
      </c>
      <c r="C11" s="168">
        <f>D10</f>
        <v>45.5</v>
      </c>
      <c r="D11" s="168">
        <f>C11+0.7</f>
        <v>46.2</v>
      </c>
      <c r="E11" s="168">
        <v>27.3</v>
      </c>
      <c r="F11" s="171">
        <v>0.75</v>
      </c>
      <c r="G11" s="171">
        <v>1.2</v>
      </c>
      <c r="H11" s="171">
        <f t="shared" si="1"/>
        <v>0.70000000000000284</v>
      </c>
      <c r="I11" s="171">
        <f t="shared" si="4"/>
        <v>19.110000000000078</v>
      </c>
      <c r="J11" s="171">
        <f t="shared" si="2"/>
        <v>41.41152162014231</v>
      </c>
      <c r="K11" s="171">
        <f t="shared" si="0"/>
        <v>2.8352617764307309</v>
      </c>
      <c r="L11" s="182">
        <f t="shared" si="5"/>
        <v>117.4125043534243</v>
      </c>
      <c r="M11" s="182"/>
      <c r="N11" s="171">
        <f t="shared" si="3"/>
        <v>32.85</v>
      </c>
      <c r="O11" s="171">
        <f t="shared" si="6"/>
        <v>1</v>
      </c>
      <c r="P11" s="171">
        <f t="shared" si="7"/>
        <v>1</v>
      </c>
      <c r="Q11" s="171">
        <f t="shared" si="8"/>
        <v>1.4179259063071215</v>
      </c>
    </row>
    <row r="12" spans="1:18" ht="15" x14ac:dyDescent="0.25">
      <c r="A12" s="183" t="s">
        <v>231</v>
      </c>
      <c r="B12" s="179">
        <v>1</v>
      </c>
      <c r="C12" s="168">
        <f>D7+1.2</f>
        <v>37.800000000000004</v>
      </c>
      <c r="D12" s="168">
        <f>C12+25.4</f>
        <v>63.2</v>
      </c>
      <c r="E12" s="168">
        <v>6.8</v>
      </c>
      <c r="F12" s="171">
        <v>0.5</v>
      </c>
      <c r="G12" s="171">
        <v>1.1000000000000001</v>
      </c>
      <c r="H12" s="171">
        <f t="shared" si="1"/>
        <v>25.4</v>
      </c>
      <c r="I12" s="171">
        <f t="shared" si="4"/>
        <v>172.72</v>
      </c>
      <c r="J12" s="171">
        <f t="shared" si="2"/>
        <v>46.061521620142308</v>
      </c>
      <c r="K12" s="171">
        <f t="shared" si="0"/>
        <v>15.660127200058877</v>
      </c>
      <c r="L12" s="182">
        <f t="shared" si="5"/>
        <v>721.32928759969059</v>
      </c>
      <c r="M12" s="182"/>
      <c r="N12" s="171">
        <f t="shared" si="3"/>
        <v>37.5</v>
      </c>
      <c r="O12" s="171">
        <f t="shared" si="6"/>
        <v>1</v>
      </c>
      <c r="P12" s="171">
        <f>IF(N12&lt;=50,1,IF(N12&lt;=100,1.18,IF(N12&lt;=150,1.31,IF(N12&lt;=200,1.4,IF(N12&lt;=250,1.47,IF(N12&lt;=300,1.53,1.58))))))</f>
        <v>1</v>
      </c>
      <c r="Q12" s="171">
        <f t="shared" si="8"/>
        <v>1.4368225216312154</v>
      </c>
    </row>
    <row r="13" spans="1:18" ht="15" x14ac:dyDescent="0.25">
      <c r="A13" s="160" t="s">
        <v>232</v>
      </c>
      <c r="B13" s="179">
        <v>1</v>
      </c>
      <c r="C13" s="168">
        <f>D12</f>
        <v>63.2</v>
      </c>
      <c r="D13" s="168">
        <v>59.1</v>
      </c>
      <c r="E13" s="168">
        <v>4.4000000000000004</v>
      </c>
      <c r="F13" s="171">
        <v>1</v>
      </c>
      <c r="G13" s="171">
        <v>1.1000000000000001</v>
      </c>
      <c r="H13" s="171">
        <f t="shared" si="1"/>
        <v>-4.1000000000000014</v>
      </c>
      <c r="I13" s="171">
        <f t="shared" si="4"/>
        <v>0</v>
      </c>
      <c r="J13" s="171">
        <f t="shared" si="2"/>
        <v>56.711521620142314</v>
      </c>
      <c r="K13" s="171">
        <f t="shared" si="0"/>
        <v>0</v>
      </c>
      <c r="L13" s="182">
        <f t="shared" si="5"/>
        <v>0</v>
      </c>
      <c r="M13" s="182"/>
      <c r="N13" s="171">
        <f t="shared" si="3"/>
        <v>48.150000000000006</v>
      </c>
      <c r="O13" s="171">
        <f t="shared" si="6"/>
        <v>1</v>
      </c>
      <c r="P13" s="171">
        <f>IF(N13&lt;=50,1,IF(N13&lt;=100,1.18,IF(N13&lt;=150,1.31,IF(N13&lt;=200,1.4,IF(N13&lt;=250,1.47,IF(N13&lt;=300,1.53,1.58))))))</f>
        <v>1</v>
      </c>
      <c r="Q13" s="171">
        <f t="shared" si="8"/>
        <v>1.4731929407896582</v>
      </c>
    </row>
    <row r="14" spans="1:18" ht="15" x14ac:dyDescent="0.25">
      <c r="A14" s="160" t="s">
        <v>233</v>
      </c>
      <c r="B14" s="179">
        <v>1</v>
      </c>
      <c r="C14" s="168">
        <f>D12</f>
        <v>63.2</v>
      </c>
      <c r="D14" s="168">
        <v>72.900000000000006</v>
      </c>
      <c r="E14" s="168">
        <v>4.5</v>
      </c>
      <c r="F14" s="171">
        <v>0.6</v>
      </c>
      <c r="G14" s="171">
        <v>1.2</v>
      </c>
      <c r="H14" s="171">
        <f t="shared" si="1"/>
        <v>9.7000000000000028</v>
      </c>
      <c r="I14" s="171">
        <f t="shared" si="4"/>
        <v>43.650000000000013</v>
      </c>
      <c r="J14" s="171">
        <f t="shared" si="2"/>
        <v>63.611521620142319</v>
      </c>
      <c r="K14" s="171">
        <f t="shared" si="0"/>
        <v>5.1809179085798407</v>
      </c>
      <c r="L14" s="182">
        <f t="shared" si="5"/>
        <v>329.56607155380908</v>
      </c>
      <c r="M14" s="182"/>
      <c r="N14" s="171">
        <f t="shared" si="3"/>
        <v>55.050000000000011</v>
      </c>
      <c r="O14" s="171">
        <f t="shared" si="6"/>
        <v>1.1000000000000001</v>
      </c>
      <c r="P14" s="171">
        <f>IF(N14&lt;=50,1,IF(N14&lt;=100,1.18,IF(N14&lt;=150,1.31,IF(N14&lt;=200,1.4,IF(N14&lt;=250,1.47,IF(N14&lt;=300,1.53,1.58))))))</f>
        <v>1.18</v>
      </c>
      <c r="Q14" s="171">
        <f t="shared" si="8"/>
        <v>1.4930547459691046</v>
      </c>
    </row>
    <row r="15" spans="1:18" ht="15" x14ac:dyDescent="0.25">
      <c r="A15" s="160" t="s">
        <v>234</v>
      </c>
      <c r="B15" s="179">
        <v>1</v>
      </c>
      <c r="C15" s="168">
        <f>D12</f>
        <v>63.2</v>
      </c>
      <c r="D15" s="168">
        <v>73.849999999999994</v>
      </c>
      <c r="E15" s="168">
        <v>6</v>
      </c>
      <c r="F15" s="171">
        <v>0.75</v>
      </c>
      <c r="G15" s="171">
        <v>1.3</v>
      </c>
      <c r="H15" s="171">
        <f t="shared" si="1"/>
        <v>10.649999999999991</v>
      </c>
      <c r="I15" s="171">
        <f t="shared" si="4"/>
        <v>63.899999999999949</v>
      </c>
      <c r="J15" s="171">
        <f t="shared" si="2"/>
        <v>64.086521620142321</v>
      </c>
      <c r="K15" s="171">
        <f t="shared" si="0"/>
        <v>10.270591128907192</v>
      </c>
      <c r="L15" s="182">
        <f t="shared" si="5"/>
        <v>658.20646043435272</v>
      </c>
      <c r="M15" s="182"/>
      <c r="N15" s="171">
        <f t="shared" si="3"/>
        <v>55.525000000000006</v>
      </c>
      <c r="O15" s="171">
        <f t="shared" si="6"/>
        <v>1.1000000000000001</v>
      </c>
      <c r="P15" s="171">
        <f>IF(N15&lt;=50,1,IF(N15&lt;=100,1.18,IF(N15&lt;=150,1.31,IF(N15&lt;=200,1.4,IF(N15&lt;=250,1.47,IF(N15&lt;=300,1.53,1.58))))))</f>
        <v>1.18</v>
      </c>
      <c r="Q15" s="171">
        <f t="shared" si="8"/>
        <v>1.4943380561407349</v>
      </c>
    </row>
    <row r="16" spans="1:18" ht="15" x14ac:dyDescent="0.25">
      <c r="A16" s="183" t="s">
        <v>235</v>
      </c>
      <c r="B16" s="179">
        <v>2</v>
      </c>
      <c r="C16" s="168">
        <f>C12</f>
        <v>37.800000000000004</v>
      </c>
      <c r="D16" s="168">
        <v>54.2</v>
      </c>
      <c r="E16" s="168">
        <v>2.5</v>
      </c>
      <c r="F16" s="171">
        <v>0.5</v>
      </c>
      <c r="G16" s="171">
        <v>1.1000000000000001</v>
      </c>
      <c r="H16" s="171">
        <f t="shared" si="1"/>
        <v>16.399999999999999</v>
      </c>
      <c r="I16" s="171">
        <f t="shared" si="4"/>
        <v>82</v>
      </c>
      <c r="J16" s="171">
        <f t="shared" si="2"/>
        <v>41.561521620142308</v>
      </c>
      <c r="K16" s="171">
        <f t="shared" si="0"/>
        <v>7.4347523761279994</v>
      </c>
      <c r="L16" s="182">
        <f t="shared" si="5"/>
        <v>308.99962162084825</v>
      </c>
      <c r="M16" s="182"/>
      <c r="N16" s="171">
        <f t="shared" si="3"/>
        <v>33</v>
      </c>
      <c r="O16" s="171">
        <f t="shared" si="6"/>
        <v>1</v>
      </c>
      <c r="P16" s="171">
        <f>IF(N16&lt;=50,1,IF(N16&lt;=100,1.18,IF(N16&lt;=150,1.31,IF(N16&lt;=200,1.4,IF(N16&lt;=250,1.47,IF(N16&lt;=300,1.53,1.58))))))</f>
        <v>1</v>
      </c>
      <c r="Q16" s="171">
        <f t="shared" si="8"/>
        <v>1.4185720345070807</v>
      </c>
    </row>
    <row r="17" spans="1:18" ht="15" x14ac:dyDescent="0.25">
      <c r="A17" s="160" t="s">
        <v>236</v>
      </c>
      <c r="B17" s="179">
        <v>2</v>
      </c>
      <c r="C17" s="168">
        <f>D16</f>
        <v>54.2</v>
      </c>
      <c r="D17" s="168">
        <v>61.7</v>
      </c>
      <c r="E17" s="168">
        <v>3</v>
      </c>
      <c r="F17" s="171">
        <v>0.75</v>
      </c>
      <c r="G17" s="171">
        <v>1.2</v>
      </c>
      <c r="H17" s="171">
        <f t="shared" si="1"/>
        <v>7.5</v>
      </c>
      <c r="I17" s="171">
        <f t="shared" si="4"/>
        <v>45</v>
      </c>
      <c r="J17" s="171">
        <f t="shared" si="2"/>
        <v>53.511521620142311</v>
      </c>
      <c r="K17" s="171">
        <f t="shared" si="0"/>
        <v>6.6764406038399988</v>
      </c>
      <c r="L17" s="182">
        <f t="shared" si="5"/>
        <v>357.26649571798009</v>
      </c>
      <c r="M17" s="182"/>
      <c r="N17" s="171">
        <f t="shared" si="3"/>
        <v>44.95</v>
      </c>
      <c r="O17" s="171">
        <f t="shared" si="6"/>
        <v>1</v>
      </c>
      <c r="P17" s="171">
        <f t="shared" si="7"/>
        <v>1</v>
      </c>
      <c r="Q17" s="171">
        <f t="shared" si="8"/>
        <v>1.4630964939627229</v>
      </c>
    </row>
    <row r="18" spans="1:18" ht="15" x14ac:dyDescent="0.25">
      <c r="A18" s="160" t="s">
        <v>237</v>
      </c>
      <c r="B18" s="179">
        <v>2</v>
      </c>
      <c r="C18" s="168">
        <v>41.1</v>
      </c>
      <c r="D18" s="168">
        <f>C18+7</f>
        <v>48.1</v>
      </c>
      <c r="E18" s="168">
        <v>2.7</v>
      </c>
      <c r="F18" s="171">
        <v>0.6</v>
      </c>
      <c r="G18" s="171">
        <v>1.2</v>
      </c>
      <c r="H18" s="171">
        <f t="shared" si="1"/>
        <v>7</v>
      </c>
      <c r="I18" s="171">
        <f t="shared" si="4"/>
        <v>37.800000000000004</v>
      </c>
      <c r="J18" s="171">
        <f t="shared" si="2"/>
        <v>40.16152162014231</v>
      </c>
      <c r="K18" s="171">
        <f t="shared" si="0"/>
        <v>4.4865680857804797</v>
      </c>
      <c r="L18" s="182">
        <f t="shared" si="5"/>
        <v>180.18740117731323</v>
      </c>
      <c r="M18" s="182"/>
      <c r="N18" s="171">
        <f t="shared" si="3"/>
        <v>31.6</v>
      </c>
      <c r="O18" s="171">
        <f t="shared" si="6"/>
        <v>1</v>
      </c>
      <c r="P18" s="171">
        <f t="shared" si="7"/>
        <v>1</v>
      </c>
      <c r="Q18" s="171">
        <f t="shared" si="8"/>
        <v>1.4124357722897107</v>
      </c>
    </row>
    <row r="19" spans="1:18" ht="15" x14ac:dyDescent="0.25">
      <c r="A19" s="160" t="s">
        <v>238</v>
      </c>
      <c r="B19" s="179">
        <v>1</v>
      </c>
      <c r="C19" s="171">
        <v>49.6</v>
      </c>
      <c r="D19" s="168">
        <v>53.6</v>
      </c>
      <c r="E19" s="168">
        <v>27</v>
      </c>
      <c r="F19" s="171">
        <v>1</v>
      </c>
      <c r="G19" s="171">
        <v>1.1000000000000001</v>
      </c>
      <c r="H19" s="171">
        <f t="shared" si="1"/>
        <v>4</v>
      </c>
      <c r="I19" s="171">
        <f t="shared" si="4"/>
        <v>108</v>
      </c>
      <c r="J19" s="171">
        <f t="shared" si="2"/>
        <v>47.16152162014231</v>
      </c>
      <c r="K19" s="171">
        <f t="shared" si="0"/>
        <v>19.584225771263998</v>
      </c>
      <c r="L19" s="182">
        <f t="shared" si="5"/>
        <v>923.62188712521527</v>
      </c>
      <c r="M19" s="182"/>
      <c r="N19" s="171">
        <f t="shared" si="3"/>
        <v>38.6</v>
      </c>
      <c r="O19" s="171">
        <f t="shared" si="6"/>
        <v>1</v>
      </c>
      <c r="P19" s="171">
        <f t="shared" si="7"/>
        <v>1</v>
      </c>
      <c r="Q19" s="171">
        <f t="shared" si="8"/>
        <v>1.4409825793226911</v>
      </c>
      <c r="R19" s="212" t="s">
        <v>285</v>
      </c>
    </row>
    <row r="20" spans="1:18" ht="15" x14ac:dyDescent="0.25">
      <c r="A20" s="160" t="s">
        <v>287</v>
      </c>
      <c r="B20" s="179">
        <v>1</v>
      </c>
      <c r="C20" s="171">
        <v>49.6</v>
      </c>
      <c r="D20" s="168">
        <v>54.6</v>
      </c>
      <c r="E20" s="168">
        <v>20.9</v>
      </c>
      <c r="F20" s="171">
        <v>1</v>
      </c>
      <c r="G20" s="171">
        <v>1.1000000000000001</v>
      </c>
      <c r="H20" s="171">
        <f t="shared" si="1"/>
        <v>5</v>
      </c>
      <c r="I20" s="171">
        <f t="shared" si="4"/>
        <v>104.5</v>
      </c>
      <c r="J20" s="171">
        <f t="shared" si="2"/>
        <v>47.66152162014231</v>
      </c>
      <c r="K20" s="171">
        <f t="shared" si="0"/>
        <v>18.949551787935999</v>
      </c>
      <c r="L20" s="182">
        <f>K20*J20</f>
        <v>903.16447223271791</v>
      </c>
      <c r="M20" s="182"/>
      <c r="N20" s="171">
        <f t="shared" si="3"/>
        <v>39.1</v>
      </c>
      <c r="O20" s="171">
        <f t="shared" si="6"/>
        <v>1</v>
      </c>
      <c r="P20" s="171">
        <f t="shared" si="7"/>
        <v>1</v>
      </c>
      <c r="Q20" s="171">
        <f t="shared" si="8"/>
        <v>1.4428383453028826</v>
      </c>
      <c r="R20" s="212"/>
    </row>
    <row r="21" spans="1:18" ht="15" x14ac:dyDescent="0.25">
      <c r="A21" s="160" t="s">
        <v>284</v>
      </c>
      <c r="B21" s="179">
        <v>1</v>
      </c>
      <c r="C21" s="171">
        <v>40.4</v>
      </c>
      <c r="D21" s="168">
        <v>54.6</v>
      </c>
      <c r="E21" s="168">
        <v>22</v>
      </c>
      <c r="F21" s="171">
        <v>0.75</v>
      </c>
      <c r="G21" s="171">
        <v>1.1000000000000001</v>
      </c>
      <c r="H21" s="171">
        <f t="shared" si="1"/>
        <v>14.200000000000003</v>
      </c>
      <c r="I21" s="171">
        <f t="shared" si="4"/>
        <v>312.40000000000009</v>
      </c>
      <c r="J21" s="171">
        <f t="shared" si="2"/>
        <v>43.061521620142308</v>
      </c>
      <c r="K21" s="171">
        <f t="shared" si="0"/>
        <v>42.486889798214413</v>
      </c>
      <c r="L21" s="182">
        <f t="shared" si="5"/>
        <v>1829.5501236184136</v>
      </c>
      <c r="M21" s="182"/>
      <c r="N21" s="171">
        <f t="shared" si="3"/>
        <v>34.5</v>
      </c>
      <c r="O21" s="171">
        <f t="shared" si="6"/>
        <v>1</v>
      </c>
      <c r="P21" s="171">
        <f t="shared" si="7"/>
        <v>1</v>
      </c>
      <c r="Q21" s="171">
        <f t="shared" si="8"/>
        <v>1.4248918732258955</v>
      </c>
    </row>
    <row r="22" spans="1:18" ht="15" x14ac:dyDescent="0.25">
      <c r="A22" s="211" t="s">
        <v>283</v>
      </c>
      <c r="B22" s="179">
        <v>1</v>
      </c>
      <c r="C22" s="171">
        <f>D7</f>
        <v>36.6</v>
      </c>
      <c r="D22" s="168">
        <v>40.17</v>
      </c>
      <c r="E22" s="168">
        <v>12.19</v>
      </c>
      <c r="F22" s="171">
        <v>0.75</v>
      </c>
      <c r="G22" s="171">
        <v>1.1000000000000001</v>
      </c>
      <c r="H22" s="171">
        <f t="shared" si="1"/>
        <v>3.5700000000000003</v>
      </c>
      <c r="I22" s="171">
        <f t="shared" si="4"/>
        <v>43.518300000000004</v>
      </c>
      <c r="J22" s="171">
        <f t="shared" si="2"/>
        <v>33.946521620142313</v>
      </c>
      <c r="K22" s="171">
        <f t="shared" si="0"/>
        <v>5.918557030427765</v>
      </c>
      <c r="L22" s="182">
        <f>K22*J22</f>
        <v>200.9144241934614</v>
      </c>
      <c r="M22" s="182"/>
      <c r="N22" s="171">
        <f t="shared" si="3"/>
        <v>25.385000000000005</v>
      </c>
      <c r="O22" s="171">
        <f t="shared" si="6"/>
        <v>1</v>
      </c>
      <c r="P22" s="171">
        <f t="shared" si="7"/>
        <v>1</v>
      </c>
      <c r="Q22" s="171">
        <f t="shared" si="8"/>
        <v>1.3818398624199315</v>
      </c>
    </row>
    <row r="23" spans="1:18" ht="15" x14ac:dyDescent="0.25">
      <c r="A23" s="211" t="s">
        <v>282</v>
      </c>
      <c r="B23" s="179">
        <v>1</v>
      </c>
      <c r="C23" s="171">
        <v>43</v>
      </c>
      <c r="D23" s="168">
        <v>45</v>
      </c>
      <c r="E23" s="168">
        <v>10.6</v>
      </c>
      <c r="F23" s="171">
        <v>0.75</v>
      </c>
      <c r="G23" s="171">
        <v>1.1000000000000001</v>
      </c>
      <c r="H23" s="171">
        <f t="shared" si="1"/>
        <v>2</v>
      </c>
      <c r="I23" s="171">
        <f t="shared" si="4"/>
        <v>21.2</v>
      </c>
      <c r="J23" s="171">
        <f t="shared" si="2"/>
        <v>39.561521620142308</v>
      </c>
      <c r="K23" s="171">
        <f t="shared" si="0"/>
        <v>2.8832332385471999</v>
      </c>
      <c r="L23" s="182">
        <f>K23*J23</f>
        <v>114.06509410269797</v>
      </c>
      <c r="M23" s="182"/>
      <c r="N23" s="171">
        <f t="shared" si="3"/>
        <v>31</v>
      </c>
      <c r="O23" s="171">
        <f t="shared" si="6"/>
        <v>1</v>
      </c>
      <c r="P23" s="171">
        <f t="shared" si="7"/>
        <v>1</v>
      </c>
      <c r="Q23" s="171">
        <f t="shared" si="8"/>
        <v>1.4097307383555409</v>
      </c>
    </row>
    <row r="24" spans="1:18" ht="15" x14ac:dyDescent="0.25">
      <c r="A24" s="160" t="s">
        <v>239</v>
      </c>
      <c r="B24" s="179">
        <v>1</v>
      </c>
      <c r="C24" s="171">
        <v>49.5</v>
      </c>
      <c r="D24" s="168">
        <v>107.94</v>
      </c>
      <c r="E24" s="168">
        <v>4.0999999999999996</v>
      </c>
      <c r="F24" s="171">
        <v>1</v>
      </c>
      <c r="G24" s="171">
        <v>1.3</v>
      </c>
      <c r="H24" s="171">
        <f t="shared" si="1"/>
        <v>58.44</v>
      </c>
      <c r="I24" s="171">
        <f t="shared" si="4"/>
        <v>239.60399999999996</v>
      </c>
      <c r="J24" s="171">
        <f t="shared" si="2"/>
        <v>74.281521620142314</v>
      </c>
      <c r="K24" s="171">
        <f t="shared" si="0"/>
        <v>51.348455229017837</v>
      </c>
      <c r="L24" s="182">
        <f t="shared" si="5"/>
        <v>3814.2413872551983</v>
      </c>
      <c r="M24" s="182"/>
      <c r="N24" s="171">
        <f t="shared" si="3"/>
        <v>65.72</v>
      </c>
      <c r="O24" s="171">
        <f>IF(N24&lt;=50,1,IF(N24&lt;=100,1.1,IF(N24&lt;=150,1.2,IF(N24&lt;=200,1.3,IF(N24&lt;=250,1.37,IF(N24&lt;=300,1.43,1.48))))))</f>
        <v>1.1000000000000001</v>
      </c>
      <c r="P24" s="171">
        <f t="shared" si="7"/>
        <v>1.18</v>
      </c>
      <c r="Q24" s="171">
        <f t="shared" si="8"/>
        <v>1.5197416135414443</v>
      </c>
    </row>
    <row r="25" spans="1:18" x14ac:dyDescent="0.2">
      <c r="A25" s="160" t="s">
        <v>240</v>
      </c>
      <c r="B25" s="160"/>
      <c r="C25" s="171"/>
      <c r="D25" s="171"/>
      <c r="E25" s="171"/>
      <c r="F25" s="171"/>
      <c r="G25" s="171"/>
      <c r="H25" s="171"/>
      <c r="I25" s="171"/>
      <c r="J25" s="171">
        <f>L25/K25</f>
        <v>37.017906581303961</v>
      </c>
      <c r="K25" s="171">
        <f>SUM(K6:K24)</f>
        <v>446.98291158402543</v>
      </c>
      <c r="L25" s="184">
        <f>SUM(L6:L24)</f>
        <v>16546.371664456703</v>
      </c>
      <c r="M25" s="160"/>
      <c r="N25" s="160"/>
      <c r="O25" s="160"/>
      <c r="P25" s="160"/>
      <c r="Q25" s="160"/>
    </row>
    <row r="26" spans="1:18" x14ac:dyDescent="0.2">
      <c r="A26" s="160"/>
      <c r="B26" s="160"/>
      <c r="C26" s="171"/>
      <c r="D26" s="171"/>
      <c r="E26" s="171"/>
      <c r="F26" s="171"/>
      <c r="G26" s="171"/>
      <c r="H26" s="171"/>
      <c r="I26" s="171"/>
      <c r="J26" s="171"/>
      <c r="K26" s="171"/>
      <c r="L26" s="160"/>
      <c r="M26" s="160"/>
      <c r="N26" s="160"/>
      <c r="O26" s="160"/>
      <c r="P26" s="160"/>
      <c r="Q26" s="160"/>
    </row>
    <row r="27" spans="1:18" x14ac:dyDescent="0.2">
      <c r="A27" s="160" t="s">
        <v>241</v>
      </c>
      <c r="B27" s="160"/>
      <c r="C27" s="171"/>
      <c r="D27" s="171"/>
      <c r="E27" s="171"/>
      <c r="F27" s="171"/>
      <c r="G27" s="171"/>
      <c r="H27" s="171"/>
      <c r="I27" s="171"/>
      <c r="J27" s="171"/>
      <c r="K27" s="171">
        <f>0.1*K25</f>
        <v>44.698291158402547</v>
      </c>
      <c r="L27" s="182">
        <f>0.1*L25</f>
        <v>1654.6371664456703</v>
      </c>
      <c r="M27" s="160"/>
      <c r="N27" s="160"/>
      <c r="O27" s="160"/>
      <c r="P27" s="160"/>
      <c r="Q27" s="160"/>
    </row>
    <row r="28" spans="1:18" x14ac:dyDescent="0.2">
      <c r="A28" s="170" t="s">
        <v>242</v>
      </c>
      <c r="B28" s="160"/>
      <c r="C28" s="171"/>
      <c r="D28" s="171"/>
      <c r="E28" s="171"/>
      <c r="F28" s="171"/>
      <c r="G28" s="171"/>
      <c r="H28" s="171"/>
      <c r="I28" s="171"/>
      <c r="J28" s="171"/>
      <c r="K28" s="185">
        <f>K25+K27</f>
        <v>491.68120274242796</v>
      </c>
      <c r="L28" s="186">
        <f>L25+L27</f>
        <v>18201.008830902374</v>
      </c>
      <c r="M28" s="160"/>
      <c r="N28" s="160"/>
      <c r="O28" s="160"/>
      <c r="P28" s="160"/>
      <c r="Q28" s="160"/>
    </row>
    <row r="29" spans="1:18" ht="15" x14ac:dyDescent="0.2">
      <c r="A29" s="183" t="s">
        <v>243</v>
      </c>
      <c r="B29" s="160"/>
      <c r="C29" s="220">
        <f>4223.2+538</f>
        <v>4761.2</v>
      </c>
      <c r="D29" s="187" t="s">
        <v>257</v>
      </c>
      <c r="E29" s="171"/>
      <c r="F29" s="171"/>
      <c r="G29" s="171"/>
      <c r="H29" s="171"/>
      <c r="I29" s="647" t="s">
        <v>244</v>
      </c>
      <c r="J29" s="647"/>
      <c r="K29" s="188">
        <f>K28/E2^2</f>
        <v>0.18581539181012502</v>
      </c>
      <c r="L29" s="160" t="s">
        <v>245</v>
      </c>
      <c r="M29" s="160"/>
      <c r="N29" s="160"/>
      <c r="O29" s="160"/>
      <c r="P29" s="160"/>
      <c r="Q29" s="160"/>
    </row>
    <row r="30" spans="1:18" ht="15" x14ac:dyDescent="0.2">
      <c r="A30" s="160" t="s">
        <v>246</v>
      </c>
      <c r="B30" s="160"/>
      <c r="C30" s="182">
        <f>0.1*C29</f>
        <v>476.12</v>
      </c>
      <c r="D30" s="187" t="s">
        <v>257</v>
      </c>
      <c r="E30" s="171"/>
      <c r="F30" s="171"/>
      <c r="G30" s="171"/>
      <c r="H30" s="171"/>
      <c r="I30" s="171"/>
      <c r="J30" s="171"/>
      <c r="K30" s="189"/>
      <c r="L30" s="160"/>
      <c r="M30" s="160"/>
      <c r="N30" s="160"/>
      <c r="O30" s="160"/>
      <c r="P30" s="160"/>
      <c r="Q30" s="160"/>
    </row>
    <row r="31" spans="1:18" ht="15" x14ac:dyDescent="0.2">
      <c r="A31" s="181" t="s">
        <v>242</v>
      </c>
      <c r="B31" s="160"/>
      <c r="C31" s="182">
        <f>SUM(C29:C30)</f>
        <v>5237.32</v>
      </c>
      <c r="D31" s="187" t="s">
        <v>257</v>
      </c>
      <c r="E31" s="171"/>
      <c r="F31" s="171"/>
      <c r="G31" s="171"/>
      <c r="H31" s="171"/>
      <c r="I31" s="171"/>
      <c r="J31" s="171"/>
      <c r="K31" s="171"/>
      <c r="L31" s="171"/>
      <c r="M31" s="160"/>
      <c r="N31" s="160"/>
      <c r="O31" s="160"/>
      <c r="P31" s="160"/>
      <c r="Q31" s="160"/>
    </row>
    <row r="32" spans="1:18" x14ac:dyDescent="0.2">
      <c r="A32" s="160"/>
      <c r="B32" s="160"/>
      <c r="C32" s="171"/>
      <c r="D32" s="171"/>
      <c r="E32" s="171"/>
      <c r="F32" s="171"/>
      <c r="G32" s="171"/>
      <c r="H32" s="171"/>
      <c r="I32" s="171"/>
      <c r="J32" s="171"/>
      <c r="K32" s="171"/>
      <c r="L32" s="160"/>
      <c r="M32" s="160"/>
      <c r="N32" s="160"/>
      <c r="O32" s="160"/>
      <c r="P32" s="160"/>
      <c r="Q32" s="160"/>
    </row>
    <row r="33" spans="1:17" ht="14.25" x14ac:dyDescent="0.25">
      <c r="A33" s="190" t="s">
        <v>258</v>
      </c>
      <c r="B33" s="160"/>
      <c r="C33" s="182">
        <f>L28</f>
        <v>18201.008830902374</v>
      </c>
      <c r="D33" s="171" t="s">
        <v>224</v>
      </c>
      <c r="E33" s="171"/>
      <c r="F33" s="171"/>
      <c r="G33" s="171"/>
      <c r="H33" s="171"/>
      <c r="I33" s="171"/>
      <c r="J33" s="171"/>
      <c r="K33" s="171"/>
      <c r="L33" s="160"/>
      <c r="M33" s="160"/>
      <c r="N33" s="160"/>
      <c r="O33" s="160"/>
      <c r="P33" s="160"/>
      <c r="Q33" s="160"/>
    </row>
    <row r="34" spans="1:17" ht="14.25" x14ac:dyDescent="0.25">
      <c r="A34" s="190" t="s">
        <v>259</v>
      </c>
      <c r="B34" s="160"/>
      <c r="C34" s="182">
        <f>C31*(36.5-$C$2)*1.3*0.0623*$E$2^2/1000</f>
        <v>35985.418580152742</v>
      </c>
      <c r="D34" s="171" t="s">
        <v>224</v>
      </c>
      <c r="E34" s="171" t="s">
        <v>317</v>
      </c>
      <c r="F34" s="171"/>
      <c r="G34" s="171"/>
      <c r="H34" s="171"/>
      <c r="I34" s="171"/>
      <c r="J34" s="171"/>
      <c r="K34" s="171"/>
      <c r="L34" s="160"/>
      <c r="M34" s="160"/>
      <c r="N34" s="160"/>
      <c r="O34" s="160"/>
      <c r="P34" s="160"/>
      <c r="Q34" s="160"/>
    </row>
    <row r="35" spans="1:17" x14ac:dyDescent="0.2">
      <c r="A35" s="190"/>
      <c r="B35" s="160"/>
      <c r="C35" s="182"/>
      <c r="D35" s="171"/>
      <c r="E35" s="171"/>
      <c r="F35" s="171"/>
      <c r="G35" s="171"/>
      <c r="H35" s="171"/>
      <c r="I35" s="171"/>
      <c r="J35" s="171"/>
      <c r="K35" s="171"/>
      <c r="L35" s="160"/>
      <c r="M35" s="160"/>
      <c r="N35" s="160"/>
      <c r="O35" s="160"/>
      <c r="P35" s="160"/>
      <c r="Q35" s="160"/>
    </row>
    <row r="36" spans="1:17" ht="15.75" x14ac:dyDescent="0.25">
      <c r="A36" s="191" t="s">
        <v>260</v>
      </c>
      <c r="B36" s="192"/>
      <c r="C36" s="193"/>
      <c r="D36" s="171"/>
      <c r="E36" s="171"/>
      <c r="F36" s="171"/>
      <c r="G36" s="171"/>
      <c r="H36" s="171"/>
      <c r="I36" s="171"/>
      <c r="J36" s="171"/>
      <c r="K36" s="171"/>
      <c r="L36" s="160"/>
      <c r="M36" s="160"/>
      <c r="N36" s="160"/>
      <c r="O36" s="160"/>
      <c r="P36" s="160"/>
      <c r="Q36" s="160"/>
    </row>
    <row r="37" spans="1:17" x14ac:dyDescent="0.2">
      <c r="A37" s="160"/>
      <c r="B37" s="160"/>
      <c r="C37" s="171"/>
      <c r="D37" s="171"/>
      <c r="E37" s="171"/>
      <c r="F37" s="171"/>
      <c r="G37" s="171"/>
      <c r="H37" s="171"/>
      <c r="I37" s="171"/>
      <c r="J37" s="171"/>
      <c r="K37" s="171"/>
      <c r="L37" s="160"/>
      <c r="M37" s="160"/>
      <c r="N37" s="160"/>
      <c r="O37" s="160"/>
      <c r="P37" s="160"/>
      <c r="Q37" s="160"/>
    </row>
    <row r="38" spans="1:17" ht="15" x14ac:dyDescent="0.2">
      <c r="A38" s="190" t="s">
        <v>261</v>
      </c>
      <c r="B38" s="160"/>
      <c r="C38" s="187" t="s">
        <v>262</v>
      </c>
      <c r="D38" s="171"/>
      <c r="E38" s="171"/>
      <c r="F38" s="171"/>
      <c r="G38" s="171"/>
      <c r="H38" s="171"/>
      <c r="I38" s="171"/>
      <c r="J38" s="171"/>
      <c r="K38" s="171"/>
      <c r="L38" s="160"/>
      <c r="M38" s="160"/>
      <c r="N38" s="160"/>
      <c r="O38" s="160"/>
      <c r="P38" s="160"/>
      <c r="Q38" s="160"/>
    </row>
    <row r="39" spans="1:17" x14ac:dyDescent="0.2">
      <c r="A39" s="190"/>
      <c r="B39" s="160"/>
      <c r="C39" s="180" t="s">
        <v>247</v>
      </c>
      <c r="D39" s="171"/>
      <c r="E39" s="171"/>
      <c r="F39" s="171"/>
      <c r="G39" s="171"/>
      <c r="H39" s="171"/>
      <c r="I39" s="171"/>
      <c r="J39" s="171"/>
      <c r="K39" s="171"/>
      <c r="L39" s="160"/>
      <c r="M39" s="160"/>
      <c r="N39" s="160"/>
      <c r="O39" s="160"/>
      <c r="P39" s="160"/>
      <c r="Q39" s="160"/>
    </row>
    <row r="40" spans="1:17" x14ac:dyDescent="0.2">
      <c r="A40" s="174" t="s">
        <v>248</v>
      </c>
      <c r="B40" s="160"/>
      <c r="C40" s="180" t="s">
        <v>249</v>
      </c>
      <c r="D40" s="171" t="s">
        <v>279</v>
      </c>
      <c r="E40" s="171" t="s">
        <v>277</v>
      </c>
      <c r="F40" s="171" t="s">
        <v>278</v>
      </c>
      <c r="G40" s="171"/>
      <c r="H40" s="171"/>
      <c r="I40" s="171"/>
      <c r="J40" s="171"/>
      <c r="K40" s="171"/>
      <c r="L40" s="160"/>
      <c r="M40" s="160"/>
      <c r="N40" s="160"/>
      <c r="O40" s="160"/>
      <c r="P40" s="160"/>
      <c r="Q40" s="160"/>
    </row>
    <row r="41" spans="1:17" x14ac:dyDescent="0.2">
      <c r="A41" s="173">
        <v>0</v>
      </c>
      <c r="B41" s="160"/>
      <c r="C41" s="194">
        <f t="shared" ref="C41:C55" si="9">($C$33*COS(A41*PI()/180)^2+$C$34*COS(A41*PI()/180)*SIN(A41*PI()/180))/$D$2^2</f>
        <v>1.8201008830902374</v>
      </c>
      <c r="D41" s="184">
        <f t="shared" ref="D41:D55" si="10">C41*$D$2^2</f>
        <v>18201.008830902374</v>
      </c>
      <c r="E41" s="171">
        <f t="shared" ref="E41:E55" si="11">D41/$F$2</f>
        <v>0.62799064245410574</v>
      </c>
      <c r="F41" s="171">
        <v>0.31</v>
      </c>
      <c r="G41" s="171"/>
      <c r="H41" s="171"/>
      <c r="I41" s="171"/>
      <c r="J41" s="171"/>
      <c r="K41" s="171"/>
      <c r="L41" s="160"/>
      <c r="M41" s="160"/>
      <c r="N41" s="160"/>
      <c r="O41" s="160"/>
      <c r="P41" s="160"/>
      <c r="Q41" s="160"/>
    </row>
    <row r="42" spans="1:17" x14ac:dyDescent="0.2">
      <c r="A42" s="173">
        <f>A41+2</f>
        <v>2</v>
      </c>
      <c r="B42" s="160"/>
      <c r="C42" s="194">
        <f t="shared" si="9"/>
        <v>1.9433948412714981</v>
      </c>
      <c r="D42" s="184">
        <f t="shared" si="10"/>
        <v>19433.948412714981</v>
      </c>
      <c r="E42" s="171">
        <f t="shared" si="11"/>
        <v>0.67053084048834888</v>
      </c>
      <c r="F42" s="171">
        <v>0.32</v>
      </c>
      <c r="G42" s="171"/>
      <c r="H42" s="171"/>
      <c r="I42" s="171"/>
      <c r="J42" s="171"/>
      <c r="K42" s="171"/>
      <c r="L42" s="160"/>
      <c r="M42" s="160"/>
      <c r="N42" s="160"/>
      <c r="O42" s="160"/>
      <c r="P42" s="160"/>
      <c r="Q42" s="160"/>
    </row>
    <row r="43" spans="1:17" x14ac:dyDescent="0.2">
      <c r="A43" s="173">
        <f t="shared" ref="A43:A55" si="12">A42+2</f>
        <v>4</v>
      </c>
      <c r="B43" s="160"/>
      <c r="C43" s="194">
        <f t="shared" si="9"/>
        <v>2.0616544494087075</v>
      </c>
      <c r="D43" s="184">
        <f t="shared" si="10"/>
        <v>20616.544494087073</v>
      </c>
      <c r="E43" s="171">
        <f t="shared" si="11"/>
        <v>0.71133403331157596</v>
      </c>
      <c r="F43" s="171">
        <v>0.33</v>
      </c>
      <c r="G43" s="171"/>
      <c r="H43" s="171"/>
      <c r="I43" s="171"/>
      <c r="J43" s="171"/>
      <c r="K43" s="171"/>
      <c r="L43" s="160"/>
      <c r="M43" s="160"/>
      <c r="N43" s="160"/>
      <c r="O43" s="160"/>
      <c r="P43" s="160"/>
      <c r="Q43" s="160"/>
    </row>
    <row r="44" spans="1:17" x14ac:dyDescent="0.2">
      <c r="A44" s="173">
        <f t="shared" si="12"/>
        <v>6</v>
      </c>
      <c r="B44" s="160"/>
      <c r="C44" s="194">
        <f t="shared" si="9"/>
        <v>2.1743035585784352</v>
      </c>
      <c r="D44" s="184">
        <f t="shared" si="10"/>
        <v>21743.035585784353</v>
      </c>
      <c r="E44" s="171">
        <f t="shared" si="11"/>
        <v>0.75020143186987487</v>
      </c>
      <c r="F44" s="171">
        <v>0.33</v>
      </c>
      <c r="G44" s="171"/>
      <c r="H44" s="171"/>
      <c r="I44" s="171"/>
      <c r="J44" s="171"/>
      <c r="K44" s="171"/>
      <c r="L44" s="160"/>
      <c r="M44" s="160"/>
      <c r="N44" s="160"/>
      <c r="O44" s="160"/>
      <c r="P44" s="160"/>
      <c r="Q44" s="160"/>
    </row>
    <row r="45" spans="1:17" x14ac:dyDescent="0.2">
      <c r="A45" s="173">
        <f t="shared" si="12"/>
        <v>8</v>
      </c>
      <c r="B45" s="160"/>
      <c r="C45" s="194">
        <f t="shared" si="9"/>
        <v>2.2807933536442566</v>
      </c>
      <c r="D45" s="184">
        <f t="shared" si="10"/>
        <v>22807.933536442568</v>
      </c>
      <c r="E45" s="171">
        <f t="shared" si="11"/>
        <v>0.78694367810440724</v>
      </c>
      <c r="F45" s="171">
        <v>0.34</v>
      </c>
      <c r="G45" s="171"/>
      <c r="H45" s="171"/>
      <c r="I45" s="171"/>
      <c r="J45" s="171"/>
      <c r="K45" s="171"/>
      <c r="L45" s="160"/>
      <c r="M45" s="160"/>
      <c r="N45" s="160"/>
      <c r="O45" s="160"/>
      <c r="P45" s="160"/>
      <c r="Q45" s="160"/>
    </row>
    <row r="46" spans="1:17" x14ac:dyDescent="0.2">
      <c r="A46" s="173">
        <f t="shared" si="12"/>
        <v>10</v>
      </c>
      <c r="B46" s="160"/>
      <c r="C46" s="194">
        <f t="shared" si="9"/>
        <v>2.3806050270289254</v>
      </c>
      <c r="D46" s="184">
        <f t="shared" si="10"/>
        <v>23806.050270289255</v>
      </c>
      <c r="E46" s="171">
        <f t="shared" si="11"/>
        <v>0.82138176748483527</v>
      </c>
      <c r="F46" s="171">
        <v>0.34</v>
      </c>
      <c r="G46" s="171"/>
      <c r="H46" s="171"/>
      <c r="I46" s="171"/>
      <c r="J46" s="171"/>
      <c r="K46" s="171"/>
      <c r="L46" s="160"/>
      <c r="M46" s="160"/>
      <c r="N46" s="160"/>
      <c r="O46" s="160"/>
      <c r="P46" s="160"/>
      <c r="Q46" s="160"/>
    </row>
    <row r="47" spans="1:17" x14ac:dyDescent="0.2">
      <c r="A47" s="173">
        <f t="shared" si="12"/>
        <v>12</v>
      </c>
      <c r="B47" s="160"/>
      <c r="C47" s="194">
        <f t="shared" si="9"/>
        <v>2.4732523062927481</v>
      </c>
      <c r="D47" s="184">
        <f t="shared" si="10"/>
        <v>24732.523062927481</v>
      </c>
      <c r="E47" s="171">
        <f t="shared" si="11"/>
        <v>0.85334792110140278</v>
      </c>
      <c r="F47" s="171">
        <v>0.34</v>
      </c>
      <c r="G47" s="171"/>
      <c r="H47" s="171"/>
      <c r="I47" s="171"/>
      <c r="J47" s="171"/>
      <c r="K47" s="171"/>
      <c r="L47" s="160"/>
      <c r="M47" s="160"/>
      <c r="N47" s="160"/>
      <c r="O47" s="160"/>
      <c r="P47" s="160"/>
      <c r="Q47" s="160"/>
    </row>
    <row r="48" spans="1:17" x14ac:dyDescent="0.2">
      <c r="A48" s="173">
        <f t="shared" si="12"/>
        <v>14</v>
      </c>
      <c r="B48" s="160"/>
      <c r="C48" s="194">
        <f t="shared" si="9"/>
        <v>2.5582838232040217</v>
      </c>
      <c r="D48" s="184">
        <f t="shared" si="10"/>
        <v>25582.838232040216</v>
      </c>
      <c r="E48" s="171">
        <f t="shared" si="11"/>
        <v>0.88268640306691615</v>
      </c>
      <c r="F48" s="171"/>
      <c r="G48" s="171"/>
      <c r="H48" s="171"/>
      <c r="I48" s="171"/>
      <c r="J48" s="171"/>
      <c r="K48" s="171"/>
      <c r="L48" s="160"/>
      <c r="M48" s="160"/>
      <c r="N48" s="160"/>
      <c r="O48" s="160"/>
      <c r="P48" s="160"/>
      <c r="Q48" s="160"/>
    </row>
    <row r="49" spans="1:17" x14ac:dyDescent="0.2">
      <c r="A49" s="173">
        <f t="shared" si="12"/>
        <v>16</v>
      </c>
      <c r="B49" s="160"/>
      <c r="C49" s="194">
        <f t="shared" si="9"/>
        <v>2.6352853127596938</v>
      </c>
      <c r="D49" s="184">
        <f t="shared" si="10"/>
        <v>26352.853127596936</v>
      </c>
      <c r="E49" s="171">
        <f t="shared" si="11"/>
        <v>0.90925427924633351</v>
      </c>
      <c r="F49" s="171"/>
      <c r="G49" s="171"/>
      <c r="H49" s="171"/>
      <c r="I49" s="171"/>
      <c r="J49" s="171"/>
      <c r="K49" s="171"/>
      <c r="L49" s="160"/>
      <c r="M49" s="160"/>
      <c r="N49" s="160"/>
      <c r="O49" s="160"/>
      <c r="P49" s="160"/>
      <c r="Q49" s="160"/>
    </row>
    <row r="50" spans="1:17" x14ac:dyDescent="0.2">
      <c r="A50" s="173">
        <f t="shared" si="12"/>
        <v>18</v>
      </c>
      <c r="B50" s="160"/>
      <c r="C50" s="194">
        <f t="shared" si="9"/>
        <v>2.7038816314428105</v>
      </c>
      <c r="D50" s="184">
        <f t="shared" si="10"/>
        <v>27038.816314428106</v>
      </c>
      <c r="E50" s="171">
        <f t="shared" si="11"/>
        <v>0.93292211361750199</v>
      </c>
      <c r="F50" s="171"/>
      <c r="G50" s="171"/>
      <c r="H50" s="171"/>
      <c r="I50" s="171"/>
      <c r="J50" s="171"/>
      <c r="K50" s="171"/>
      <c r="L50" s="160"/>
      <c r="M50" s="160"/>
      <c r="N50" s="160"/>
      <c r="O50" s="160"/>
      <c r="P50" s="160"/>
      <c r="Q50" s="160"/>
    </row>
    <row r="51" spans="1:17" x14ac:dyDescent="0.2">
      <c r="A51" s="173">
        <f t="shared" si="12"/>
        <v>20</v>
      </c>
      <c r="B51" s="160"/>
      <c r="C51" s="194">
        <f t="shared" si="9"/>
        <v>2.7637385848840275</v>
      </c>
      <c r="D51" s="184">
        <f t="shared" si="10"/>
        <v>27637.385848840273</v>
      </c>
      <c r="E51" s="171">
        <f t="shared" si="11"/>
        <v>0.95357459887044793</v>
      </c>
      <c r="F51" s="171"/>
      <c r="G51" s="171"/>
      <c r="H51" s="171"/>
      <c r="I51" s="171"/>
      <c r="J51" s="171"/>
      <c r="K51" s="171"/>
      <c r="L51" s="160"/>
      <c r="M51" s="160"/>
      <c r="N51" s="160"/>
      <c r="O51" s="160"/>
      <c r="P51" s="160"/>
      <c r="Q51" s="160"/>
    </row>
    <row r="52" spans="1:17" x14ac:dyDescent="0.2">
      <c r="A52" s="173">
        <f t="shared" si="12"/>
        <v>22</v>
      </c>
      <c r="B52" s="160"/>
      <c r="C52" s="194">
        <f t="shared" si="9"/>
        <v>2.8145645560229773</v>
      </c>
      <c r="D52" s="184">
        <f t="shared" si="10"/>
        <v>28145.645560229772</v>
      </c>
      <c r="E52" s="171">
        <f t="shared" si="11"/>
        <v>0.97111111817299944</v>
      </c>
      <c r="F52" s="171"/>
      <c r="G52" s="171"/>
      <c r="H52" s="171"/>
      <c r="I52" s="171"/>
      <c r="J52" s="171"/>
      <c r="K52" s="171"/>
      <c r="L52" s="160"/>
      <c r="M52" s="160"/>
      <c r="N52" s="160"/>
      <c r="O52" s="160"/>
      <c r="P52" s="160"/>
      <c r="Q52" s="160"/>
    </row>
    <row r="53" spans="1:17" x14ac:dyDescent="0.2">
      <c r="A53" s="173">
        <f t="shared" si="12"/>
        <v>24</v>
      </c>
      <c r="B53" s="160"/>
      <c r="C53" s="194">
        <f t="shared" si="9"/>
        <v>2.8561119258372796</v>
      </c>
      <c r="D53" s="184">
        <f t="shared" si="10"/>
        <v>28561.119258372797</v>
      </c>
      <c r="E53" s="171">
        <f t="shared" si="11"/>
        <v>0.98544623536587905</v>
      </c>
      <c r="F53" s="171"/>
      <c r="G53" s="171"/>
      <c r="H53" s="171"/>
      <c r="I53" s="171"/>
      <c r="J53" s="171"/>
      <c r="K53" s="171"/>
      <c r="L53" s="160"/>
      <c r="M53" s="160"/>
      <c r="N53" s="160"/>
      <c r="O53" s="160"/>
      <c r="P53" s="160"/>
      <c r="Q53" s="160"/>
    </row>
    <row r="54" spans="1:17" x14ac:dyDescent="0.2">
      <c r="A54" s="173">
        <f t="shared" si="12"/>
        <v>26</v>
      </c>
      <c r="B54" s="160"/>
      <c r="C54" s="194">
        <f t="shared" si="9"/>
        <v>2.8881782797175286</v>
      </c>
      <c r="D54" s="184">
        <f t="shared" si="10"/>
        <v>28881.782797175285</v>
      </c>
      <c r="E54" s="171">
        <f t="shared" si="11"/>
        <v>0.99651011119908461</v>
      </c>
      <c r="F54" s="171"/>
      <c r="G54" s="171"/>
      <c r="H54" s="171"/>
      <c r="I54" s="171"/>
      <c r="J54" s="171"/>
      <c r="K54" s="171"/>
      <c r="L54" s="160"/>
      <c r="M54" s="160"/>
      <c r="N54" s="160"/>
      <c r="O54" s="160"/>
      <c r="P54" s="160"/>
      <c r="Q54" s="160"/>
    </row>
    <row r="55" spans="1:17" x14ac:dyDescent="0.2">
      <c r="A55" s="173">
        <f t="shared" si="12"/>
        <v>28</v>
      </c>
      <c r="B55" s="160"/>
      <c r="C55" s="194">
        <f t="shared" si="9"/>
        <v>2.9106073936109156</v>
      </c>
      <c r="D55" s="184">
        <f t="shared" si="10"/>
        <v>29106.073936109155</v>
      </c>
      <c r="E55" s="171">
        <f t="shared" si="11"/>
        <v>1.004248843581693</v>
      </c>
      <c r="F55" s="171"/>
      <c r="G55" s="171"/>
      <c r="H55" s="171"/>
      <c r="I55" s="171"/>
      <c r="J55" s="171"/>
      <c r="K55" s="171"/>
      <c r="L55" s="160"/>
      <c r="M55" s="160"/>
      <c r="N55" s="160"/>
      <c r="O55" s="160"/>
      <c r="P55" s="160"/>
      <c r="Q55" s="160"/>
    </row>
    <row r="56" spans="1:17" x14ac:dyDescent="0.2">
      <c r="A56" s="160"/>
      <c r="B56" s="160" t="s">
        <v>250</v>
      </c>
      <c r="C56" s="195">
        <f>INDEX(LINEST(C$41:C$55,$A$41:$A$55^{1,2}),1,3)</f>
        <v>1.8124764976568701</v>
      </c>
      <c r="D56" s="171"/>
      <c r="E56" s="171"/>
      <c r="F56" s="171"/>
      <c r="G56" s="171"/>
      <c r="H56" s="171"/>
      <c r="I56" s="171"/>
      <c r="J56" s="171"/>
      <c r="K56" s="171"/>
      <c r="L56" s="160"/>
      <c r="M56" s="160"/>
      <c r="N56" s="160"/>
      <c r="O56" s="160"/>
      <c r="P56" s="160"/>
      <c r="Q56" s="160"/>
    </row>
    <row r="57" spans="1:17" x14ac:dyDescent="0.2">
      <c r="A57" s="160"/>
      <c r="B57" s="160" t="s">
        <v>251</v>
      </c>
      <c r="C57" s="195">
        <f>INDEX(LINEST(C$41:C$55,$A$41:$A$55^{1,2}),1,2)</f>
        <v>6.7032302563869495E-2</v>
      </c>
      <c r="D57" s="171"/>
      <c r="E57" s="171"/>
      <c r="F57" s="171"/>
      <c r="G57" s="171"/>
      <c r="H57" s="171"/>
      <c r="I57" s="171"/>
      <c r="J57" s="171"/>
      <c r="K57" s="171"/>
      <c r="L57" s="160"/>
      <c r="M57" s="160"/>
      <c r="N57" s="160"/>
      <c r="O57" s="160"/>
      <c r="P57" s="160"/>
      <c r="Q57" s="160"/>
    </row>
    <row r="58" spans="1:17" x14ac:dyDescent="0.2">
      <c r="A58" s="160"/>
      <c r="B58" s="160" t="s">
        <v>252</v>
      </c>
      <c r="C58" s="195">
        <f>INDEX(LINEST(C$41:C$55,$A$41:$A$55^{1,2}),1)</f>
        <v>-9.850184917417678E-4</v>
      </c>
      <c r="D58" s="171"/>
      <c r="E58" s="171"/>
      <c r="F58" s="171"/>
      <c r="G58" s="171"/>
      <c r="H58" s="171"/>
      <c r="I58" s="171"/>
      <c r="J58" s="171"/>
      <c r="K58" s="171"/>
      <c r="L58" s="160"/>
      <c r="M58" s="160"/>
      <c r="N58" s="160"/>
      <c r="O58" s="160"/>
      <c r="P58" s="160"/>
      <c r="Q58" s="160"/>
    </row>
    <row r="59" spans="1:17" x14ac:dyDescent="0.2">
      <c r="A59" s="160"/>
      <c r="B59" s="160"/>
      <c r="C59" s="171"/>
      <c r="D59" s="171"/>
      <c r="E59" s="171"/>
      <c r="F59" s="171"/>
      <c r="G59" s="171"/>
      <c r="H59" s="171"/>
      <c r="I59" s="171"/>
      <c r="J59" s="171"/>
      <c r="K59" s="160"/>
      <c r="L59" s="160"/>
      <c r="M59" s="160"/>
      <c r="N59" s="160"/>
      <c r="O59" s="160"/>
      <c r="P59" s="160"/>
      <c r="Q59" s="160"/>
    </row>
    <row r="60" spans="1:17" x14ac:dyDescent="0.2">
      <c r="A60" s="160"/>
      <c r="B60" s="160"/>
      <c r="C60" s="171"/>
      <c r="D60" s="180"/>
      <c r="E60" s="171"/>
      <c r="F60" s="171"/>
      <c r="G60" s="171"/>
      <c r="H60" s="171"/>
      <c r="I60" s="171"/>
      <c r="J60" s="171"/>
      <c r="K60" s="160"/>
      <c r="L60" s="160"/>
      <c r="M60" s="160"/>
      <c r="N60" s="160"/>
      <c r="O60" s="160"/>
      <c r="P60" s="160"/>
      <c r="Q60" s="160"/>
    </row>
    <row r="61" spans="1:17" x14ac:dyDescent="0.2">
      <c r="A61" s="160"/>
      <c r="B61" s="173"/>
      <c r="E61" s="171"/>
      <c r="F61" s="171"/>
      <c r="G61" s="171"/>
      <c r="H61" s="171"/>
      <c r="I61" s="171"/>
      <c r="J61" s="171"/>
      <c r="K61" s="160"/>
      <c r="L61" s="160"/>
      <c r="M61" s="160"/>
      <c r="N61" s="160"/>
      <c r="O61" s="160"/>
      <c r="P61" s="160"/>
      <c r="Q61" s="160"/>
    </row>
    <row r="62" spans="1:17" x14ac:dyDescent="0.2">
      <c r="A62" s="160"/>
      <c r="B62" s="173"/>
      <c r="E62" s="171"/>
      <c r="F62" s="171"/>
      <c r="G62" s="171"/>
      <c r="H62" s="171"/>
      <c r="I62" s="171"/>
      <c r="J62" s="171"/>
      <c r="K62" s="160"/>
      <c r="L62" s="160"/>
      <c r="M62" s="160"/>
      <c r="N62" s="160"/>
      <c r="O62" s="160"/>
      <c r="P62" s="160"/>
      <c r="Q62" s="160"/>
    </row>
    <row r="63" spans="1:17" x14ac:dyDescent="0.2">
      <c r="A63" s="160"/>
      <c r="B63" s="173"/>
      <c r="E63" s="171"/>
      <c r="F63" s="171"/>
      <c r="G63" s="171"/>
      <c r="H63" s="171"/>
      <c r="I63" s="171"/>
      <c r="J63" s="171"/>
      <c r="K63" s="160"/>
      <c r="L63" s="160"/>
      <c r="M63" s="160"/>
      <c r="N63" s="160"/>
      <c r="O63" s="160"/>
      <c r="P63" s="160"/>
      <c r="Q63" s="160"/>
    </row>
    <row r="64" spans="1:17" x14ac:dyDescent="0.2">
      <c r="A64" s="160"/>
      <c r="B64" s="173"/>
      <c r="E64" s="171"/>
      <c r="F64" s="171"/>
      <c r="G64" s="171"/>
      <c r="H64" s="171"/>
      <c r="I64" s="171"/>
      <c r="J64" s="171"/>
      <c r="K64" s="160"/>
      <c r="L64" s="160"/>
      <c r="M64" s="160"/>
      <c r="N64" s="160"/>
      <c r="O64" s="160"/>
      <c r="P64" s="160"/>
      <c r="Q64" s="160"/>
    </row>
    <row r="65" spans="1:17" x14ac:dyDescent="0.2">
      <c r="A65" s="160"/>
      <c r="B65" s="173"/>
      <c r="E65" s="171"/>
      <c r="F65" s="171"/>
      <c r="G65" s="171"/>
      <c r="H65" s="171"/>
      <c r="I65" s="171"/>
      <c r="J65" s="171"/>
      <c r="K65" s="160"/>
      <c r="L65" s="160"/>
      <c r="M65" s="160"/>
      <c r="N65" s="160"/>
      <c r="O65" s="160"/>
      <c r="P65" s="160"/>
      <c r="Q65" s="160"/>
    </row>
    <row r="66" spans="1:17" x14ac:dyDescent="0.2">
      <c r="A66" s="160"/>
      <c r="B66" s="173"/>
      <c r="E66" s="171"/>
      <c r="F66" s="171"/>
      <c r="G66" s="171"/>
      <c r="H66" s="171"/>
      <c r="I66" s="171"/>
      <c r="J66" s="171"/>
      <c r="K66" s="160"/>
      <c r="L66" s="160"/>
      <c r="M66" s="160"/>
      <c r="N66" s="160"/>
      <c r="O66" s="160"/>
      <c r="P66" s="160"/>
      <c r="Q66" s="160"/>
    </row>
    <row r="67" spans="1:17" x14ac:dyDescent="0.2">
      <c r="A67" s="160"/>
      <c r="B67" s="173"/>
      <c r="E67" s="171"/>
      <c r="F67" s="171"/>
      <c r="G67" s="171"/>
      <c r="H67" s="171"/>
      <c r="I67" s="171"/>
      <c r="J67" s="171"/>
      <c r="K67" s="160"/>
      <c r="L67" s="160"/>
      <c r="M67" s="160"/>
      <c r="N67" s="160"/>
      <c r="O67" s="160"/>
      <c r="P67" s="160"/>
      <c r="Q67" s="160"/>
    </row>
    <row r="68" spans="1:17" x14ac:dyDescent="0.2">
      <c r="A68" s="160"/>
      <c r="B68" s="173"/>
      <c r="E68" s="171"/>
      <c r="F68" s="171"/>
      <c r="G68" s="171"/>
      <c r="H68" s="171"/>
      <c r="I68" s="171"/>
      <c r="J68" s="171"/>
      <c r="K68" s="160"/>
      <c r="L68" s="160"/>
      <c r="M68" s="160"/>
      <c r="N68" s="160"/>
      <c r="O68" s="160"/>
      <c r="P68" s="160"/>
      <c r="Q68" s="160"/>
    </row>
    <row r="69" spans="1:17" x14ac:dyDescent="0.2">
      <c r="A69" s="160"/>
      <c r="B69" s="173"/>
      <c r="E69" s="171"/>
      <c r="F69" s="171"/>
      <c r="G69" s="171"/>
      <c r="H69" s="171"/>
      <c r="I69" s="171"/>
      <c r="J69" s="171"/>
      <c r="K69" s="160"/>
      <c r="L69" s="160"/>
      <c r="M69" s="160"/>
      <c r="N69" s="160"/>
      <c r="O69" s="160"/>
      <c r="P69" s="160"/>
      <c r="Q69" s="160"/>
    </row>
    <row r="70" spans="1:17" x14ac:dyDescent="0.2">
      <c r="A70" s="160"/>
      <c r="B70" s="173"/>
      <c r="E70" s="171"/>
      <c r="F70" s="171"/>
      <c r="G70" s="171"/>
      <c r="H70" s="171"/>
      <c r="I70" s="171"/>
      <c r="J70" s="171"/>
      <c r="K70" s="160"/>
      <c r="L70" s="160"/>
      <c r="M70" s="160"/>
      <c r="N70" s="160"/>
      <c r="O70" s="160"/>
      <c r="P70" s="160"/>
      <c r="Q70" s="160"/>
    </row>
    <row r="71" spans="1:17" x14ac:dyDescent="0.2">
      <c r="A71" s="160"/>
      <c r="B71" s="173"/>
      <c r="E71" s="171"/>
      <c r="F71" s="171"/>
      <c r="G71" s="171"/>
      <c r="H71" s="171"/>
      <c r="I71" s="171"/>
      <c r="J71" s="171"/>
      <c r="K71" s="160"/>
      <c r="L71" s="160"/>
      <c r="M71" s="160"/>
      <c r="N71" s="160"/>
      <c r="O71" s="160"/>
      <c r="P71" s="160"/>
      <c r="Q71" s="160"/>
    </row>
    <row r="72" spans="1:17" x14ac:dyDescent="0.2">
      <c r="A72" s="160"/>
      <c r="B72" s="173"/>
      <c r="E72" s="171"/>
      <c r="F72" s="171"/>
      <c r="G72" s="171"/>
      <c r="H72" s="171"/>
      <c r="I72" s="171"/>
      <c r="J72" s="171"/>
      <c r="K72" s="160"/>
      <c r="L72" s="160"/>
      <c r="M72" s="160"/>
      <c r="N72" s="160"/>
      <c r="O72" s="160"/>
      <c r="P72" s="160"/>
      <c r="Q72" s="160"/>
    </row>
    <row r="73" spans="1:17" x14ac:dyDescent="0.2">
      <c r="A73" s="160"/>
      <c r="B73" s="173"/>
      <c r="E73" s="171"/>
      <c r="F73" s="171"/>
      <c r="G73" s="171"/>
      <c r="H73" s="171"/>
      <c r="I73" s="171"/>
      <c r="J73" s="171"/>
      <c r="K73" s="160"/>
      <c r="L73" s="160"/>
      <c r="M73" s="160"/>
      <c r="N73" s="160"/>
      <c r="O73" s="160"/>
      <c r="P73" s="160"/>
      <c r="Q73" s="160"/>
    </row>
    <row r="74" spans="1:17" x14ac:dyDescent="0.2">
      <c r="A74" s="160"/>
      <c r="B74" s="173"/>
      <c r="E74" s="171"/>
      <c r="F74" s="171"/>
      <c r="G74" s="171"/>
      <c r="H74" s="171"/>
      <c r="I74" s="171"/>
      <c r="J74" s="171"/>
      <c r="K74" s="160"/>
      <c r="L74" s="160"/>
      <c r="M74" s="160"/>
      <c r="N74" s="160"/>
      <c r="O74" s="160"/>
      <c r="P74" s="160"/>
      <c r="Q74" s="160"/>
    </row>
    <row r="75" spans="1:17" x14ac:dyDescent="0.2">
      <c r="A75" s="160"/>
      <c r="B75" s="173">
        <f>B74+5</f>
        <v>5</v>
      </c>
      <c r="E75" s="171"/>
      <c r="F75" s="171"/>
      <c r="G75" s="171"/>
      <c r="H75" s="171"/>
      <c r="I75" s="171"/>
      <c r="J75" s="171"/>
      <c r="K75" s="160"/>
      <c r="L75" s="160"/>
      <c r="M75" s="160"/>
      <c r="N75" s="160"/>
      <c r="O75" s="160"/>
      <c r="P75" s="160"/>
      <c r="Q75" s="160"/>
    </row>
    <row r="76" spans="1:17" x14ac:dyDescent="0.2">
      <c r="A76" s="160"/>
      <c r="B76" s="160"/>
      <c r="C76" s="171"/>
      <c r="D76" s="171"/>
      <c r="E76" s="171"/>
      <c r="F76" s="171"/>
      <c r="G76" s="171"/>
      <c r="H76" s="171"/>
      <c r="I76" s="171"/>
      <c r="J76" s="171"/>
      <c r="K76" s="171"/>
      <c r="L76" s="160"/>
      <c r="M76" s="160"/>
      <c r="N76" s="160"/>
      <c r="O76" s="160"/>
      <c r="P76" s="160"/>
      <c r="Q76" s="160"/>
    </row>
  </sheetData>
  <mergeCells count="3">
    <mergeCell ref="A1:A2"/>
    <mergeCell ref="F3:G3"/>
    <mergeCell ref="I29:J29"/>
  </mergeCells>
  <phoneticPr fontId="51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15"/>
  <sheetViews>
    <sheetView workbookViewId="0">
      <selection activeCell="B2" sqref="B2"/>
    </sheetView>
  </sheetViews>
  <sheetFormatPr defaultRowHeight="12.75" x14ac:dyDescent="0.2"/>
  <cols>
    <col min="1" max="1" width="8.85546875" style="159" customWidth="1"/>
    <col min="2" max="2" width="5" style="159" bestFit="1" customWidth="1"/>
    <col min="3" max="3" width="5.85546875" style="159" bestFit="1" customWidth="1"/>
    <col min="4" max="4" width="7" style="159" bestFit="1" customWidth="1"/>
    <col min="5" max="5" width="7.140625" style="159" customWidth="1"/>
    <col min="6" max="6" width="6.42578125" style="159" bestFit="1" customWidth="1"/>
    <col min="7" max="7" width="6.85546875" style="159" customWidth="1"/>
    <col min="8" max="8" width="7.5703125" style="159" customWidth="1"/>
    <col min="9" max="16384" width="9.140625" style="159"/>
  </cols>
  <sheetData>
    <row r="1" spans="1:11" s="161" customFormat="1" ht="44.25" customHeight="1" x14ac:dyDescent="0.2">
      <c r="A1" s="210" t="s">
        <v>253</v>
      </c>
      <c r="B1" s="208" t="s">
        <v>70</v>
      </c>
      <c r="C1" s="208" t="s">
        <v>314</v>
      </c>
      <c r="D1" s="208" t="s">
        <v>275</v>
      </c>
      <c r="E1" s="208" t="s">
        <v>276</v>
      </c>
      <c r="F1" s="208"/>
    </row>
    <row r="2" spans="1:11" ht="16.5" customHeight="1" x14ac:dyDescent="0.2">
      <c r="A2" s="210"/>
      <c r="B2" s="207">
        <f>'Wind-x'!B2</f>
        <v>13</v>
      </c>
      <c r="C2" s="204">
        <f>IF($B$2=18,-3,$I$10)</f>
        <v>4.2772599135500844</v>
      </c>
      <c r="D2" s="207">
        <v>1</v>
      </c>
      <c r="E2" s="205">
        <f>D2*0.5144</f>
        <v>0.51439999999999997</v>
      </c>
      <c r="F2" s="206"/>
    </row>
    <row r="3" spans="1:11" x14ac:dyDescent="0.2">
      <c r="A3" s="209"/>
      <c r="B3" s="207"/>
      <c r="C3" s="204"/>
      <c r="D3" s="207"/>
      <c r="E3" s="205"/>
      <c r="F3" s="206"/>
    </row>
    <row r="4" spans="1:11" s="161" customFormat="1" ht="38.25" x14ac:dyDescent="0.2">
      <c r="A4" s="178" t="s">
        <v>208</v>
      </c>
      <c r="B4" s="178" t="s">
        <v>209</v>
      </c>
      <c r="C4" s="176" t="s">
        <v>212</v>
      </c>
      <c r="D4" s="176" t="s">
        <v>210</v>
      </c>
      <c r="E4" s="176" t="s">
        <v>211</v>
      </c>
      <c r="F4" s="221" t="s">
        <v>213</v>
      </c>
      <c r="G4" s="221" t="s">
        <v>214</v>
      </c>
      <c r="H4" s="176" t="s">
        <v>254</v>
      </c>
      <c r="I4" s="222" t="s">
        <v>312</v>
      </c>
      <c r="J4" s="223" t="s">
        <v>268</v>
      </c>
      <c r="K4" s="223" t="s">
        <v>269</v>
      </c>
    </row>
    <row r="5" spans="1:11" s="161" customFormat="1" x14ac:dyDescent="0.2">
      <c r="A5" s="175"/>
      <c r="B5" s="175"/>
      <c r="C5" s="180" t="s">
        <v>135</v>
      </c>
      <c r="D5" s="202" t="s">
        <v>135</v>
      </c>
      <c r="E5" s="202" t="s">
        <v>135</v>
      </c>
      <c r="F5" s="203"/>
      <c r="G5" s="203" t="s">
        <v>135</v>
      </c>
      <c r="H5" s="180" t="s">
        <v>267</v>
      </c>
      <c r="I5" s="196" t="s">
        <v>135</v>
      </c>
      <c r="J5" s="197" t="s">
        <v>131</v>
      </c>
      <c r="K5" s="197" t="s">
        <v>224</v>
      </c>
    </row>
    <row r="6" spans="1:11" s="161" customFormat="1" x14ac:dyDescent="0.2">
      <c r="A6" s="166" t="s">
        <v>263</v>
      </c>
      <c r="B6" s="161">
        <v>1</v>
      </c>
      <c r="C6" s="162">
        <f>82.2</f>
        <v>82.2</v>
      </c>
      <c r="D6" s="162">
        <v>0</v>
      </c>
      <c r="E6" s="162">
        <v>6.6</v>
      </c>
      <c r="F6" s="198">
        <v>0.8</v>
      </c>
      <c r="G6" s="162">
        <f>MIN($B$2,E6)-MIN($B$2,D6)</f>
        <v>6.6</v>
      </c>
      <c r="H6" s="162">
        <f>B6*C6*G6</f>
        <v>542.52</v>
      </c>
      <c r="I6" s="162">
        <f>AVERAGE(MIN($B$2,D6),MIN($B$2,E6))</f>
        <v>3.3</v>
      </c>
      <c r="J6" s="162">
        <f>0.1045/2*C6*F6*$E$2^2*G6</f>
        <v>6.0005900107929584</v>
      </c>
      <c r="K6" s="165">
        <f>J6*I6</f>
        <v>19.801947035616763</v>
      </c>
    </row>
    <row r="7" spans="1:11" s="161" customFormat="1" x14ac:dyDescent="0.2">
      <c r="A7" s="166" t="s">
        <v>264</v>
      </c>
      <c r="B7" s="161">
        <v>3</v>
      </c>
      <c r="C7" s="162">
        <v>15</v>
      </c>
      <c r="D7" s="162">
        <f>E6</f>
        <v>6.6</v>
      </c>
      <c r="E7" s="162">
        <v>29</v>
      </c>
      <c r="F7" s="198">
        <v>0.8</v>
      </c>
      <c r="G7" s="162">
        <f>MIN($B$2,E7)-MIN($B$2,D7)</f>
        <v>6.4</v>
      </c>
      <c r="H7" s="162">
        <f>B7*C7*G7</f>
        <v>288</v>
      </c>
      <c r="I7" s="162">
        <f>AVERAGE(MIN($B$2,D7),MIN($B$2,E7))</f>
        <v>9.8000000000000007</v>
      </c>
      <c r="J7" s="162">
        <f>0.1045/2*C7*F7*$E$2^2*G7</f>
        <v>1.0618164142079998</v>
      </c>
      <c r="K7" s="165">
        <f>J7*I7</f>
        <v>10.405800859238399</v>
      </c>
    </row>
    <row r="8" spans="1:11" s="161" customFormat="1" x14ac:dyDescent="0.2">
      <c r="A8" s="166"/>
      <c r="C8" s="162"/>
      <c r="D8" s="162"/>
      <c r="E8" s="162"/>
      <c r="F8" s="198"/>
      <c r="G8" s="162"/>
      <c r="H8" s="165"/>
      <c r="I8" s="162"/>
      <c r="J8" s="199">
        <f>SUM(J6:J7)</f>
        <v>7.0624064250009582</v>
      </c>
      <c r="K8" s="165">
        <f>SUM(K6:K7)</f>
        <v>30.20774789485516</v>
      </c>
    </row>
    <row r="9" spans="1:11" s="161" customFormat="1" x14ac:dyDescent="0.2">
      <c r="A9" s="166"/>
      <c r="C9" s="162"/>
      <c r="D9" s="162"/>
      <c r="E9" s="162"/>
      <c r="F9" s="162"/>
      <c r="G9" s="162"/>
      <c r="I9" s="162"/>
      <c r="J9" s="199"/>
      <c r="K9" s="165"/>
    </row>
    <row r="10" spans="1:11" s="161" customFormat="1" x14ac:dyDescent="0.2">
      <c r="C10" s="164"/>
      <c r="D10" s="200"/>
      <c r="E10" s="165"/>
      <c r="H10" s="174" t="s">
        <v>313</v>
      </c>
      <c r="I10" s="201">
        <f>K8/J8</f>
        <v>4.2772599135500844</v>
      </c>
      <c r="J10" s="166" t="s">
        <v>135</v>
      </c>
      <c r="K10" s="163"/>
    </row>
    <row r="11" spans="1:11" s="161" customFormat="1" x14ac:dyDescent="0.2">
      <c r="C11" s="164"/>
      <c r="D11" s="200"/>
      <c r="E11" s="165"/>
      <c r="I11" s="167" t="s">
        <v>265</v>
      </c>
      <c r="J11" s="166"/>
      <c r="K11" s="163"/>
    </row>
    <row r="12" spans="1:11" s="161" customFormat="1" x14ac:dyDescent="0.2">
      <c r="C12" s="164"/>
      <c r="D12" s="200"/>
      <c r="E12" s="165"/>
      <c r="I12" s="165"/>
    </row>
    <row r="13" spans="1:11" s="161" customFormat="1" x14ac:dyDescent="0.2">
      <c r="C13" s="164"/>
      <c r="D13" s="200"/>
      <c r="E13" s="165"/>
      <c r="H13" s="167" t="s">
        <v>266</v>
      </c>
      <c r="I13" s="162">
        <f>J8*2/D2^2</f>
        <v>14.124812850001916</v>
      </c>
      <c r="J13" s="165" t="s">
        <v>270</v>
      </c>
    </row>
    <row r="14" spans="1:11" s="161" customFormat="1" x14ac:dyDescent="0.2">
      <c r="C14" s="164"/>
      <c r="D14" s="200"/>
      <c r="E14" s="165"/>
      <c r="H14" s="167"/>
      <c r="I14" s="162"/>
      <c r="J14" s="165"/>
    </row>
    <row r="15" spans="1:11" s="161" customFormat="1" x14ac:dyDescent="0.2">
      <c r="C15" s="164"/>
      <c r="D15" s="200"/>
      <c r="E15" s="165"/>
      <c r="H15" s="167"/>
      <c r="I15" s="162"/>
      <c r="J15" s="165"/>
    </row>
  </sheetData>
  <phoneticPr fontId="53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76"/>
  <sheetViews>
    <sheetView topLeftCell="A31" workbookViewId="0">
      <selection activeCell="C56" sqref="C56"/>
    </sheetView>
  </sheetViews>
  <sheetFormatPr defaultRowHeight="12.75" x14ac:dyDescent="0.2"/>
  <cols>
    <col min="1" max="1" width="28.5703125" style="172" customWidth="1"/>
    <col min="2" max="2" width="5" style="172" bestFit="1" customWidth="1"/>
    <col min="3" max="3" width="8.42578125" style="172" customWidth="1"/>
    <col min="4" max="4" width="8.7109375" style="172" customWidth="1"/>
    <col min="5" max="5" width="12.7109375" style="172" customWidth="1"/>
    <col min="6" max="12" width="8.7109375" style="172" customWidth="1"/>
    <col min="13" max="16384" width="9.140625" style="172"/>
  </cols>
  <sheetData>
    <row r="1" spans="1:18" ht="38.25" x14ac:dyDescent="0.2">
      <c r="A1" s="645" t="s">
        <v>253</v>
      </c>
      <c r="B1" s="208" t="s">
        <v>315</v>
      </c>
      <c r="C1" s="208" t="s">
        <v>274</v>
      </c>
      <c r="D1" s="208" t="s">
        <v>271</v>
      </c>
      <c r="E1" s="208" t="s">
        <v>272</v>
      </c>
      <c r="F1" s="208" t="s">
        <v>273</v>
      </c>
      <c r="J1" s="171"/>
      <c r="K1" s="173"/>
      <c r="L1" s="160"/>
      <c r="M1" s="160"/>
      <c r="N1" s="160"/>
      <c r="O1" s="160"/>
      <c r="P1" s="160"/>
      <c r="Q1" s="160"/>
    </row>
    <row r="2" spans="1:18" x14ac:dyDescent="0.2">
      <c r="A2" s="645"/>
      <c r="B2" s="204">
        <f>'Current-y'!B2</f>
        <v>13</v>
      </c>
      <c r="C2" s="204">
        <f>'Current-x'!C2</f>
        <v>4.2772599135500844</v>
      </c>
      <c r="D2" s="204">
        <v>100</v>
      </c>
      <c r="E2" s="205">
        <f>D2*0.5144</f>
        <v>51.44</v>
      </c>
      <c r="F2" s="206">
        <f>VLOOKUP($B$2,Hydrostatic!A3:J272,2,0)</f>
        <v>28982.93</v>
      </c>
      <c r="H2" s="171"/>
      <c r="I2" s="171"/>
      <c r="J2" s="171"/>
      <c r="K2" s="171"/>
      <c r="L2" s="160"/>
      <c r="M2" s="160"/>
      <c r="N2" s="160"/>
      <c r="O2" s="160"/>
      <c r="P2" s="160"/>
      <c r="Q2" s="160"/>
    </row>
    <row r="3" spans="1:18" ht="27" customHeight="1" x14ac:dyDescent="0.2">
      <c r="A3" s="175" t="s">
        <v>208</v>
      </c>
      <c r="B3" s="175" t="s">
        <v>209</v>
      </c>
      <c r="C3" s="176" t="s">
        <v>210</v>
      </c>
      <c r="D3" s="176" t="s">
        <v>211</v>
      </c>
      <c r="E3" s="177" t="s">
        <v>212</v>
      </c>
      <c r="F3" s="646" t="s">
        <v>213</v>
      </c>
      <c r="G3" s="646"/>
      <c r="H3" s="176" t="s">
        <v>214</v>
      </c>
      <c r="I3" s="177" t="s">
        <v>254</v>
      </c>
      <c r="J3" s="176" t="s">
        <v>215</v>
      </c>
      <c r="K3" s="177" t="s">
        <v>216</v>
      </c>
      <c r="L3" s="178" t="s">
        <v>217</v>
      </c>
      <c r="M3" s="178"/>
      <c r="N3" s="178" t="s">
        <v>218</v>
      </c>
      <c r="O3" s="175" t="s">
        <v>219</v>
      </c>
      <c r="P3" s="175" t="s">
        <v>220</v>
      </c>
      <c r="Q3" s="170" t="s">
        <v>221</v>
      </c>
    </row>
    <row r="4" spans="1:18" ht="15" x14ac:dyDescent="0.2">
      <c r="A4" s="179"/>
      <c r="B4" s="179"/>
      <c r="C4" s="180" t="s">
        <v>135</v>
      </c>
      <c r="D4" s="180" t="s">
        <v>135</v>
      </c>
      <c r="E4" s="180" t="s">
        <v>135</v>
      </c>
      <c r="F4" s="180" t="s">
        <v>222</v>
      </c>
      <c r="G4" s="180" t="s">
        <v>223</v>
      </c>
      <c r="H4" s="180" t="s">
        <v>135</v>
      </c>
      <c r="I4" s="180" t="s">
        <v>257</v>
      </c>
      <c r="J4" s="180" t="s">
        <v>135</v>
      </c>
      <c r="K4" s="180" t="s">
        <v>131</v>
      </c>
      <c r="L4" s="179" t="s">
        <v>224</v>
      </c>
      <c r="M4" s="179"/>
      <c r="N4" s="180" t="s">
        <v>135</v>
      </c>
      <c r="O4" s="160"/>
      <c r="P4" s="160"/>
      <c r="Q4" s="160"/>
    </row>
    <row r="5" spans="1:18" x14ac:dyDescent="0.2">
      <c r="A5" s="181" t="s">
        <v>281</v>
      </c>
      <c r="B5" s="174">
        <v>1</v>
      </c>
      <c r="C5" s="219">
        <v>0</v>
      </c>
      <c r="D5" s="219">
        <v>6</v>
      </c>
      <c r="E5" s="219">
        <v>82.8</v>
      </c>
      <c r="F5" s="180">
        <v>1</v>
      </c>
      <c r="G5" s="180">
        <v>1</v>
      </c>
      <c r="H5" s="171">
        <f>MAX(D5,$B$2)-MAX(C5,$B$2)</f>
        <v>0</v>
      </c>
      <c r="I5" s="162">
        <f>MAX(0,B5*E5*H5)</f>
        <v>0</v>
      </c>
      <c r="J5" s="171">
        <f>AVERAGE(MAX(D5,$B$2),MAX(C5,$B$2))-$C$2</f>
        <v>8.7227400864499156</v>
      </c>
      <c r="K5" s="162">
        <f t="shared" ref="K5:K24" si="0">0.0623*I5*G5*F5*$E$2^2/1000</f>
        <v>0</v>
      </c>
      <c r="L5" s="165">
        <f>K5*J5</f>
        <v>0</v>
      </c>
      <c r="M5" s="179"/>
      <c r="N5" s="180"/>
      <c r="O5" s="160"/>
      <c r="P5" s="160"/>
      <c r="Q5" s="160"/>
    </row>
    <row r="6" spans="1:18" ht="15" x14ac:dyDescent="0.25">
      <c r="A6" s="181" t="s">
        <v>225</v>
      </c>
      <c r="B6" s="160">
        <v>3</v>
      </c>
      <c r="C6" s="168">
        <v>6</v>
      </c>
      <c r="D6" s="168">
        <v>28</v>
      </c>
      <c r="E6" s="168">
        <v>15</v>
      </c>
      <c r="F6" s="171">
        <v>0.8</v>
      </c>
      <c r="G6" s="162">
        <v>1</v>
      </c>
      <c r="H6" s="171">
        <f t="shared" ref="H6:H24" si="1">MAX(D6,$B$2)-MAX(C6,$B$2)</f>
        <v>15</v>
      </c>
      <c r="I6" s="162">
        <f>MAX(0,B6*E6*H6)</f>
        <v>675</v>
      </c>
      <c r="J6" s="171">
        <f t="shared" ref="J6:J24" si="2">AVERAGE(MAX(D6,$B$2),MAX(C6,$B$2))-$C$2</f>
        <v>16.222740086449917</v>
      </c>
      <c r="K6" s="162">
        <f t="shared" si="0"/>
        <v>89.019208051199996</v>
      </c>
      <c r="L6" s="165">
        <f>K6*J6</f>
        <v>1444.1354749162274</v>
      </c>
      <c r="M6" s="165"/>
      <c r="N6" s="162">
        <f>0.5*(D6+C6)-$B$2</f>
        <v>4</v>
      </c>
      <c r="O6" s="162">
        <f>IF(N6&lt;=50,1,IF(N6&lt;=100,1.1,IF(N6&lt;=150,1.2,IF(N6&lt;=200,1.3,IF(N6&lt;=250,1.37,IF(N6&lt;=300,1.43,1.48))))))</f>
        <v>1</v>
      </c>
      <c r="P6" s="162">
        <f>IF(N6&lt;=50,1,IF(N6&lt;=100,1.18,IF(N6&lt;=150,1.31,IF(N6&lt;=200,1.4,IF(N6&lt;=250,1.47,IF(N6&lt;=300,1.53,1.58))))))</f>
        <v>1</v>
      </c>
      <c r="Q6" s="162">
        <f>(N6)^(1/10)</f>
        <v>1.1486983549970351</v>
      </c>
      <c r="R6" s="212"/>
    </row>
    <row r="7" spans="1:18" ht="15" x14ac:dyDescent="0.25">
      <c r="A7" s="160" t="s">
        <v>226</v>
      </c>
      <c r="B7" s="160">
        <v>1</v>
      </c>
      <c r="C7" s="168">
        <v>28</v>
      </c>
      <c r="D7" s="168">
        <v>35.6</v>
      </c>
      <c r="E7" s="168">
        <v>82.8</v>
      </c>
      <c r="F7" s="171">
        <v>0.9</v>
      </c>
      <c r="G7" s="162">
        <v>1.1000000000000001</v>
      </c>
      <c r="H7" s="171">
        <f t="shared" si="1"/>
        <v>7.6000000000000014</v>
      </c>
      <c r="I7" s="162">
        <f t="shared" ref="I7:I24" si="3">MAX(0,B7*E7*(D7-MAX(C7,$B$2)))</f>
        <v>629.28000000000009</v>
      </c>
      <c r="J7" s="171">
        <f t="shared" si="2"/>
        <v>27.522740086449915</v>
      </c>
      <c r="K7" s="162">
        <f t="shared" si="0"/>
        <v>102.69967994450845</v>
      </c>
      <c r="L7" s="165">
        <f>K7*J7</f>
        <v>2826.576598074299</v>
      </c>
      <c r="M7" s="165"/>
      <c r="N7" s="162">
        <f>0.5*(D7+C7)-$B$2</f>
        <v>18.8</v>
      </c>
      <c r="O7" s="162">
        <f>IF(N7&lt;=50,1,IF(N7&lt;=100,1.1,IF(N7&lt;=150,1.2,IF(N7&lt;=200,1.3,IF(N7&lt;=250,1.37,IF(N7&lt;=300,1.43,1.48))))))</f>
        <v>1</v>
      </c>
      <c r="P7" s="162">
        <f>IF(N7&lt;=50,1,IF(N7&lt;=100,1.18,IF(N7&lt;=150,1.31,IF(N7&lt;=200,1.4,IF(N7&lt;=250,1.47,IF(N7&lt;=300,1.53,1.58))))))</f>
        <v>1</v>
      </c>
      <c r="Q7" s="162">
        <f>(N7)^(1/10)</f>
        <v>1.3409598814794319</v>
      </c>
    </row>
    <row r="8" spans="1:18" ht="15" x14ac:dyDescent="0.25">
      <c r="A8" s="181" t="s">
        <v>227</v>
      </c>
      <c r="B8" s="160">
        <v>1</v>
      </c>
      <c r="C8" s="171">
        <v>35.6</v>
      </c>
      <c r="D8" s="168">
        <v>42.2</v>
      </c>
      <c r="E8" s="168">
        <v>46</v>
      </c>
      <c r="F8" s="171">
        <v>1</v>
      </c>
      <c r="G8" s="162">
        <v>1.1000000000000001</v>
      </c>
      <c r="H8" s="171">
        <f t="shared" si="1"/>
        <v>6.6000000000000014</v>
      </c>
      <c r="I8" s="162">
        <f t="shared" si="3"/>
        <v>303.60000000000008</v>
      </c>
      <c r="J8" s="171">
        <f t="shared" si="2"/>
        <v>34.622740086449923</v>
      </c>
      <c r="K8" s="162">
        <f t="shared" si="0"/>
        <v>55.053434668108814</v>
      </c>
      <c r="L8" s="165">
        <f t="shared" ref="L8:L21" si="4">K8*J8</f>
        <v>1906.1007593802829</v>
      </c>
      <c r="M8" s="165"/>
      <c r="N8" s="162">
        <f t="shared" ref="N8:N24" si="5">0.5*(D8+C8)-$B$2</f>
        <v>25.900000000000006</v>
      </c>
      <c r="O8" s="162">
        <f t="shared" ref="O8:O24" si="6">IF(N8&lt;=50,1,IF(N8&lt;=100,1.1,IF(N8&lt;=150,1.2,IF(N8&lt;=200,1.3,IF(N8&lt;=250,1.37,IF(N8&lt;=300,1.43,1.48))))))</f>
        <v>1</v>
      </c>
      <c r="P8" s="162">
        <f t="shared" ref="P8:P24" si="7">IF(N8&lt;=50,1,IF(N8&lt;=100,1.18,IF(N8&lt;=150,1.31,IF(N8&lt;=200,1.4,IF(N8&lt;=250,1.47,IF(N8&lt;=300,1.53,1.58))))))</f>
        <v>1</v>
      </c>
      <c r="Q8" s="162">
        <f t="shared" ref="Q8:Q24" si="8">(N8)^(1/10)</f>
        <v>1.384618010452227</v>
      </c>
    </row>
    <row r="9" spans="1:18" ht="15" x14ac:dyDescent="0.25">
      <c r="A9" s="160" t="s">
        <v>228</v>
      </c>
      <c r="B9" s="160">
        <v>0</v>
      </c>
      <c r="C9" s="171">
        <v>35.6</v>
      </c>
      <c r="D9" s="168">
        <v>38.5</v>
      </c>
      <c r="E9" s="168">
        <v>30</v>
      </c>
      <c r="F9" s="171">
        <v>1</v>
      </c>
      <c r="G9" s="162">
        <v>1.1000000000000001</v>
      </c>
      <c r="H9" s="171">
        <f t="shared" si="1"/>
        <v>2.8999999999999986</v>
      </c>
      <c r="I9" s="162">
        <f t="shared" si="3"/>
        <v>0</v>
      </c>
      <c r="J9" s="171">
        <f t="shared" si="2"/>
        <v>32.772740086449915</v>
      </c>
      <c r="K9" s="162">
        <f t="shared" si="0"/>
        <v>0</v>
      </c>
      <c r="L9" s="165">
        <f t="shared" si="4"/>
        <v>0</v>
      </c>
      <c r="M9" s="165"/>
      <c r="N9" s="162">
        <f t="shared" si="5"/>
        <v>24.049999999999997</v>
      </c>
      <c r="O9" s="162">
        <f t="shared" si="6"/>
        <v>1</v>
      </c>
      <c r="P9" s="162">
        <f t="shared" si="7"/>
        <v>1</v>
      </c>
      <c r="Q9" s="162">
        <f t="shared" si="8"/>
        <v>1.3743948149584055</v>
      </c>
      <c r="R9" s="212"/>
    </row>
    <row r="10" spans="1:18" ht="15" x14ac:dyDescent="0.25">
      <c r="A10" s="160" t="s">
        <v>229</v>
      </c>
      <c r="B10" s="160">
        <v>0</v>
      </c>
      <c r="C10" s="168">
        <v>35.6</v>
      </c>
      <c r="D10" s="168">
        <v>44.5</v>
      </c>
      <c r="E10" s="217">
        <v>6.97</v>
      </c>
      <c r="F10" s="171">
        <v>0.75</v>
      </c>
      <c r="G10" s="162">
        <v>1.2</v>
      </c>
      <c r="H10" s="171">
        <f t="shared" si="1"/>
        <v>8.8999999999999986</v>
      </c>
      <c r="I10" s="162">
        <f t="shared" si="3"/>
        <v>0</v>
      </c>
      <c r="J10" s="171">
        <f t="shared" si="2"/>
        <v>35.772740086449915</v>
      </c>
      <c r="K10" s="162">
        <f t="shared" si="0"/>
        <v>0</v>
      </c>
      <c r="L10" s="165">
        <f t="shared" si="4"/>
        <v>0</v>
      </c>
      <c r="M10" s="165"/>
      <c r="N10" s="162">
        <f t="shared" si="5"/>
        <v>27.049999999999997</v>
      </c>
      <c r="O10" s="162">
        <f t="shared" si="6"/>
        <v>1</v>
      </c>
      <c r="P10" s="162">
        <f t="shared" si="7"/>
        <v>1</v>
      </c>
      <c r="Q10" s="162">
        <f t="shared" si="8"/>
        <v>1.3906464354769781</v>
      </c>
    </row>
    <row r="11" spans="1:18" ht="15" x14ac:dyDescent="0.25">
      <c r="A11" s="160" t="s">
        <v>230</v>
      </c>
      <c r="B11" s="160">
        <v>1</v>
      </c>
      <c r="C11" s="168">
        <v>42.2</v>
      </c>
      <c r="D11" s="168">
        <v>45.2</v>
      </c>
      <c r="E11" s="168">
        <v>24.6</v>
      </c>
      <c r="F11" s="171">
        <v>0.75</v>
      </c>
      <c r="G11" s="162">
        <v>1.2</v>
      </c>
      <c r="H11" s="171">
        <f t="shared" si="1"/>
        <v>3</v>
      </c>
      <c r="I11" s="162">
        <f t="shared" si="3"/>
        <v>73.800000000000011</v>
      </c>
      <c r="J11" s="171">
        <f t="shared" si="2"/>
        <v>39.42274008644992</v>
      </c>
      <c r="K11" s="162">
        <f t="shared" si="0"/>
        <v>10.9493625902976</v>
      </c>
      <c r="L11" s="165">
        <f t="shared" si="4"/>
        <v>431.65387550960031</v>
      </c>
      <c r="M11" s="165"/>
      <c r="N11" s="162">
        <f t="shared" si="5"/>
        <v>30.700000000000003</v>
      </c>
      <c r="O11" s="162">
        <f t="shared" si="6"/>
        <v>1</v>
      </c>
      <c r="P11" s="162">
        <f t="shared" si="7"/>
        <v>1</v>
      </c>
      <c r="Q11" s="162">
        <f t="shared" si="8"/>
        <v>1.4083605050187036</v>
      </c>
    </row>
    <row r="12" spans="1:18" ht="15" x14ac:dyDescent="0.25">
      <c r="A12" s="183" t="s">
        <v>231</v>
      </c>
      <c r="B12" s="160">
        <v>1</v>
      </c>
      <c r="C12" s="168">
        <v>29.2</v>
      </c>
      <c r="D12" s="168">
        <v>54.6</v>
      </c>
      <c r="E12" s="168">
        <v>6.8</v>
      </c>
      <c r="F12" s="171">
        <v>0.5</v>
      </c>
      <c r="G12" s="162">
        <v>1.1000000000000001</v>
      </c>
      <c r="H12" s="171">
        <f t="shared" si="1"/>
        <v>25.400000000000002</v>
      </c>
      <c r="I12" s="162">
        <f t="shared" si="3"/>
        <v>172.72</v>
      </c>
      <c r="J12" s="171">
        <f t="shared" si="2"/>
        <v>37.622740086449916</v>
      </c>
      <c r="K12" s="162">
        <f t="shared" si="0"/>
        <v>15.660127200058877</v>
      </c>
      <c r="L12" s="165">
        <f t="shared" si="4"/>
        <v>589.17689536855983</v>
      </c>
      <c r="M12" s="165"/>
      <c r="N12" s="162">
        <f t="shared" si="5"/>
        <v>28.9</v>
      </c>
      <c r="O12" s="162">
        <f t="shared" si="6"/>
        <v>1</v>
      </c>
      <c r="P12" s="162">
        <f t="shared" si="7"/>
        <v>1</v>
      </c>
      <c r="Q12" s="162">
        <f t="shared" si="8"/>
        <v>1.3998766974770207</v>
      </c>
    </row>
    <row r="13" spans="1:18" ht="15" x14ac:dyDescent="0.25">
      <c r="A13" s="160" t="s">
        <v>232</v>
      </c>
      <c r="B13" s="160">
        <v>1</v>
      </c>
      <c r="C13" s="168">
        <v>54.6</v>
      </c>
      <c r="D13" s="168">
        <v>59.1</v>
      </c>
      <c r="E13" s="168">
        <v>4.4000000000000004</v>
      </c>
      <c r="F13" s="171">
        <v>1</v>
      </c>
      <c r="G13" s="162">
        <v>1.1000000000000001</v>
      </c>
      <c r="H13" s="171">
        <f t="shared" si="1"/>
        <v>4.5</v>
      </c>
      <c r="I13" s="162">
        <f t="shared" si="3"/>
        <v>19.8</v>
      </c>
      <c r="J13" s="171">
        <f t="shared" si="2"/>
        <v>52.572740086449919</v>
      </c>
      <c r="K13" s="162">
        <f t="shared" si="0"/>
        <v>3.5904413913984006</v>
      </c>
      <c r="L13" s="165">
        <f t="shared" si="4"/>
        <v>188.75934206561971</v>
      </c>
      <c r="M13" s="165"/>
      <c r="N13" s="162">
        <f t="shared" si="5"/>
        <v>43.85</v>
      </c>
      <c r="O13" s="162">
        <f t="shared" si="6"/>
        <v>1</v>
      </c>
      <c r="P13" s="162">
        <f t="shared" si="7"/>
        <v>1</v>
      </c>
      <c r="Q13" s="162">
        <f t="shared" si="8"/>
        <v>1.4594760068488213</v>
      </c>
    </row>
    <row r="14" spans="1:18" ht="15" x14ac:dyDescent="0.25">
      <c r="A14" s="160" t="s">
        <v>233</v>
      </c>
      <c r="B14" s="160">
        <v>1</v>
      </c>
      <c r="C14" s="168">
        <v>54.6</v>
      </c>
      <c r="D14" s="168">
        <v>72.900000000000006</v>
      </c>
      <c r="E14" s="168">
        <v>4.5</v>
      </c>
      <c r="F14" s="171">
        <v>0.6</v>
      </c>
      <c r="G14" s="162">
        <v>1.2</v>
      </c>
      <c r="H14" s="171">
        <f t="shared" si="1"/>
        <v>18.300000000000004</v>
      </c>
      <c r="I14" s="162">
        <f t="shared" si="3"/>
        <v>82.350000000000023</v>
      </c>
      <c r="J14" s="171">
        <f t="shared" si="2"/>
        <v>59.472740086449917</v>
      </c>
      <c r="K14" s="162">
        <f t="shared" si="0"/>
        <v>9.7743090440217628</v>
      </c>
      <c r="L14" s="165">
        <f t="shared" si="4"/>
        <v>581.30494129974306</v>
      </c>
      <c r="M14" s="165"/>
      <c r="N14" s="162">
        <f t="shared" si="5"/>
        <v>50.75</v>
      </c>
      <c r="O14" s="162">
        <f t="shared" si="6"/>
        <v>1.1000000000000001</v>
      </c>
      <c r="P14" s="162">
        <f t="shared" si="7"/>
        <v>1.18</v>
      </c>
      <c r="Q14" s="162">
        <f t="shared" si="8"/>
        <v>1.4809609413712264</v>
      </c>
    </row>
    <row r="15" spans="1:18" ht="15" x14ac:dyDescent="0.25">
      <c r="A15" s="160" t="s">
        <v>234</v>
      </c>
      <c r="B15" s="160">
        <v>1</v>
      </c>
      <c r="C15" s="168">
        <v>54.6</v>
      </c>
      <c r="D15" s="168">
        <v>73.849999999999994</v>
      </c>
      <c r="E15" s="168">
        <v>6</v>
      </c>
      <c r="F15" s="171">
        <v>0.75</v>
      </c>
      <c r="G15" s="162">
        <v>1.3</v>
      </c>
      <c r="H15" s="171">
        <f t="shared" si="1"/>
        <v>19.249999999999993</v>
      </c>
      <c r="I15" s="162">
        <f t="shared" si="3"/>
        <v>115.49999999999996</v>
      </c>
      <c r="J15" s="171">
        <f t="shared" si="2"/>
        <v>59.947740086449912</v>
      </c>
      <c r="K15" s="162">
        <f t="shared" si="0"/>
        <v>18.564214012343992</v>
      </c>
      <c r="L15" s="165">
        <f t="shared" si="4"/>
        <v>1112.8826765212291</v>
      </c>
      <c r="M15" s="165"/>
      <c r="N15" s="162">
        <f t="shared" si="5"/>
        <v>51.224999999999994</v>
      </c>
      <c r="O15" s="162">
        <f t="shared" si="6"/>
        <v>1.1000000000000001</v>
      </c>
      <c r="P15" s="162">
        <f t="shared" si="7"/>
        <v>1.18</v>
      </c>
      <c r="Q15" s="162">
        <f t="shared" si="8"/>
        <v>1.4823412587268372</v>
      </c>
    </row>
    <row r="16" spans="1:18" ht="15" x14ac:dyDescent="0.25">
      <c r="A16" s="183" t="s">
        <v>235</v>
      </c>
      <c r="B16" s="160">
        <v>2</v>
      </c>
      <c r="C16" s="168">
        <v>29.2</v>
      </c>
      <c r="D16" s="168">
        <v>54.2</v>
      </c>
      <c r="E16" s="168">
        <v>2.5</v>
      </c>
      <c r="F16" s="171">
        <v>0.5</v>
      </c>
      <c r="G16" s="162">
        <v>1.1000000000000001</v>
      </c>
      <c r="H16" s="171">
        <f t="shared" si="1"/>
        <v>25.000000000000004</v>
      </c>
      <c r="I16" s="162">
        <f t="shared" si="3"/>
        <v>125.00000000000001</v>
      </c>
      <c r="J16" s="171">
        <f t="shared" si="2"/>
        <v>37.42274008644992</v>
      </c>
      <c r="K16" s="162">
        <f t="shared" si="0"/>
        <v>11.333463988000002</v>
      </c>
      <c r="L16" s="165">
        <f t="shared" si="4"/>
        <v>424.12927710206424</v>
      </c>
      <c r="M16" s="165"/>
      <c r="N16" s="162">
        <f t="shared" si="5"/>
        <v>28.700000000000003</v>
      </c>
      <c r="O16" s="162">
        <f t="shared" si="6"/>
        <v>1</v>
      </c>
      <c r="P16" s="162">
        <f t="shared" si="7"/>
        <v>1</v>
      </c>
      <c r="Q16" s="162">
        <f t="shared" si="8"/>
        <v>1.3989048944467419</v>
      </c>
    </row>
    <row r="17" spans="1:18" ht="15" x14ac:dyDescent="0.25">
      <c r="A17" s="160" t="s">
        <v>236</v>
      </c>
      <c r="B17" s="160">
        <v>2</v>
      </c>
      <c r="C17" s="168">
        <v>54.2</v>
      </c>
      <c r="D17" s="168">
        <v>61.7</v>
      </c>
      <c r="E17" s="168">
        <v>3</v>
      </c>
      <c r="F17" s="171">
        <v>0.75</v>
      </c>
      <c r="G17" s="162">
        <v>1.2</v>
      </c>
      <c r="H17" s="171">
        <f t="shared" si="1"/>
        <v>7.5</v>
      </c>
      <c r="I17" s="162">
        <f t="shared" si="3"/>
        <v>45</v>
      </c>
      <c r="J17" s="171">
        <f t="shared" si="2"/>
        <v>53.67274008644992</v>
      </c>
      <c r="K17" s="162">
        <f t="shared" si="0"/>
        <v>6.6764406038399988</v>
      </c>
      <c r="L17" s="165">
        <f t="shared" si="4"/>
        <v>358.34286123252502</v>
      </c>
      <c r="M17" s="165"/>
      <c r="N17" s="162">
        <f t="shared" si="5"/>
        <v>44.95</v>
      </c>
      <c r="O17" s="162">
        <f t="shared" si="6"/>
        <v>1</v>
      </c>
      <c r="P17" s="162">
        <f t="shared" si="7"/>
        <v>1</v>
      </c>
      <c r="Q17" s="162">
        <f t="shared" si="8"/>
        <v>1.4630964939627229</v>
      </c>
    </row>
    <row r="18" spans="1:18" ht="15" x14ac:dyDescent="0.25">
      <c r="A18" s="160" t="s">
        <v>237</v>
      </c>
      <c r="B18" s="160">
        <v>2</v>
      </c>
      <c r="C18" s="168">
        <v>41.1</v>
      </c>
      <c r="D18" s="168">
        <v>47.1</v>
      </c>
      <c r="E18" s="168">
        <v>2.7</v>
      </c>
      <c r="F18" s="171">
        <v>0.6</v>
      </c>
      <c r="G18" s="162">
        <v>1.2</v>
      </c>
      <c r="H18" s="171">
        <f t="shared" si="1"/>
        <v>6</v>
      </c>
      <c r="I18" s="162">
        <f t="shared" si="3"/>
        <v>32.400000000000006</v>
      </c>
      <c r="J18" s="171">
        <f t="shared" si="2"/>
        <v>39.822740086449919</v>
      </c>
      <c r="K18" s="162">
        <f t="shared" si="0"/>
        <v>3.84562978781184</v>
      </c>
      <c r="L18" s="165">
        <f t="shared" si="4"/>
        <v>153.14351550874045</v>
      </c>
      <c r="M18" s="165"/>
      <c r="N18" s="162">
        <f t="shared" si="5"/>
        <v>31.1</v>
      </c>
      <c r="O18" s="162">
        <f t="shared" si="6"/>
        <v>1</v>
      </c>
      <c r="P18" s="162">
        <f t="shared" si="7"/>
        <v>1</v>
      </c>
      <c r="Q18" s="162">
        <f t="shared" si="8"/>
        <v>1.410184831428462</v>
      </c>
    </row>
    <row r="19" spans="1:18" ht="15" x14ac:dyDescent="0.25">
      <c r="A19" s="160" t="s">
        <v>238</v>
      </c>
      <c r="B19" s="160">
        <v>1</v>
      </c>
      <c r="C19" s="171">
        <v>49.6</v>
      </c>
      <c r="D19" s="168">
        <v>53.6</v>
      </c>
      <c r="E19" s="168">
        <v>57</v>
      </c>
      <c r="F19" s="171">
        <v>1</v>
      </c>
      <c r="G19" s="162">
        <v>1.1000000000000001</v>
      </c>
      <c r="H19" s="171">
        <f t="shared" si="1"/>
        <v>4</v>
      </c>
      <c r="I19" s="162">
        <f t="shared" si="3"/>
        <v>228</v>
      </c>
      <c r="J19" s="171">
        <f t="shared" si="2"/>
        <v>47.322740086449919</v>
      </c>
      <c r="K19" s="162">
        <f t="shared" si="0"/>
        <v>41.344476628223994</v>
      </c>
      <c r="L19" s="165">
        <f t="shared" si="4"/>
        <v>1956.5339214877474</v>
      </c>
      <c r="M19" s="165"/>
      <c r="N19" s="162">
        <f t="shared" si="5"/>
        <v>38.6</v>
      </c>
      <c r="O19" s="162">
        <f t="shared" si="6"/>
        <v>1</v>
      </c>
      <c r="P19" s="162">
        <f t="shared" si="7"/>
        <v>1</v>
      </c>
      <c r="Q19" s="162">
        <f t="shared" si="8"/>
        <v>1.4409825793226911</v>
      </c>
      <c r="R19" s="212"/>
    </row>
    <row r="20" spans="1:18" ht="15" x14ac:dyDescent="0.25">
      <c r="A20" s="160" t="s">
        <v>287</v>
      </c>
      <c r="B20" s="160">
        <v>1</v>
      </c>
      <c r="C20" s="171">
        <v>49.6</v>
      </c>
      <c r="D20" s="168">
        <v>54.6</v>
      </c>
      <c r="E20" s="168">
        <v>9.8000000000000007</v>
      </c>
      <c r="F20" s="171">
        <v>1</v>
      </c>
      <c r="G20" s="162">
        <v>1.1000000000000001</v>
      </c>
      <c r="H20" s="171">
        <f t="shared" si="1"/>
        <v>5</v>
      </c>
      <c r="I20" s="162">
        <f t="shared" si="3"/>
        <v>49</v>
      </c>
      <c r="J20" s="171">
        <f t="shared" si="2"/>
        <v>47.822740086449919</v>
      </c>
      <c r="K20" s="162">
        <f t="shared" si="0"/>
        <v>8.8854357665919999</v>
      </c>
      <c r="L20" s="165">
        <f>K20*J20</f>
        <v>424.92588522057508</v>
      </c>
      <c r="M20" s="165"/>
      <c r="N20" s="162">
        <f t="shared" si="5"/>
        <v>39.1</v>
      </c>
      <c r="O20" s="162">
        <f t="shared" si="6"/>
        <v>1</v>
      </c>
      <c r="P20" s="162">
        <f t="shared" si="7"/>
        <v>1</v>
      </c>
      <c r="Q20" s="162">
        <f t="shared" si="8"/>
        <v>1.4428383453028826</v>
      </c>
      <c r="R20" s="212"/>
    </row>
    <row r="21" spans="1:18" ht="15" x14ac:dyDescent="0.25">
      <c r="A21" s="160" t="s">
        <v>284</v>
      </c>
      <c r="B21" s="160">
        <v>1</v>
      </c>
      <c r="C21" s="171">
        <v>40.4</v>
      </c>
      <c r="D21" s="168">
        <v>54.6</v>
      </c>
      <c r="E21" s="168">
        <v>22</v>
      </c>
      <c r="F21" s="171">
        <v>0.75</v>
      </c>
      <c r="G21" s="162">
        <v>1.1000000000000001</v>
      </c>
      <c r="H21" s="171">
        <f t="shared" si="1"/>
        <v>14.200000000000003</v>
      </c>
      <c r="I21" s="162">
        <f t="shared" si="3"/>
        <v>312.40000000000009</v>
      </c>
      <c r="J21" s="171">
        <f t="shared" si="2"/>
        <v>43.222740086449917</v>
      </c>
      <c r="K21" s="162">
        <f t="shared" si="0"/>
        <v>42.486889798214413</v>
      </c>
      <c r="L21" s="165">
        <f t="shared" si="4"/>
        <v>1836.3997948298622</v>
      </c>
      <c r="M21" s="165"/>
      <c r="N21" s="162">
        <f t="shared" si="5"/>
        <v>34.5</v>
      </c>
      <c r="O21" s="162">
        <f t="shared" si="6"/>
        <v>1</v>
      </c>
      <c r="P21" s="162">
        <f t="shared" si="7"/>
        <v>1</v>
      </c>
      <c r="Q21" s="162">
        <f t="shared" si="8"/>
        <v>1.4248918732258955</v>
      </c>
    </row>
    <row r="22" spans="1:18" ht="15" x14ac:dyDescent="0.25">
      <c r="A22" s="160" t="s">
        <v>283</v>
      </c>
      <c r="B22" s="160">
        <v>0</v>
      </c>
      <c r="C22" s="171">
        <v>35.6</v>
      </c>
      <c r="D22" s="168">
        <v>40.17</v>
      </c>
      <c r="E22" s="168">
        <v>12.19</v>
      </c>
      <c r="F22" s="171">
        <v>1</v>
      </c>
      <c r="G22" s="162">
        <v>1.1000000000000001</v>
      </c>
      <c r="H22" s="171">
        <f t="shared" si="1"/>
        <v>4.57</v>
      </c>
      <c r="I22" s="162">
        <f t="shared" si="3"/>
        <v>0</v>
      </c>
      <c r="J22" s="171">
        <f t="shared" si="2"/>
        <v>33.607740086449923</v>
      </c>
      <c r="K22" s="162">
        <f t="shared" si="0"/>
        <v>0</v>
      </c>
      <c r="L22" s="165">
        <f>K22*J22</f>
        <v>0</v>
      </c>
      <c r="M22" s="165"/>
      <c r="N22" s="162">
        <f t="shared" si="5"/>
        <v>24.885000000000005</v>
      </c>
      <c r="O22" s="162">
        <f t="shared" si="6"/>
        <v>1</v>
      </c>
      <c r="P22" s="162">
        <f t="shared" si="7"/>
        <v>1</v>
      </c>
      <c r="Q22" s="162">
        <f t="shared" si="8"/>
        <v>1.3790936681980737</v>
      </c>
    </row>
    <row r="23" spans="1:18" ht="15" x14ac:dyDescent="0.25">
      <c r="A23" s="160" t="s">
        <v>282</v>
      </c>
      <c r="B23" s="160">
        <v>0</v>
      </c>
      <c r="C23" s="171">
        <v>43</v>
      </c>
      <c r="D23" s="168">
        <v>45</v>
      </c>
      <c r="E23" s="168">
        <v>10.6</v>
      </c>
      <c r="F23" s="171">
        <v>1</v>
      </c>
      <c r="G23" s="162">
        <v>1.1000000000000001</v>
      </c>
      <c r="H23" s="171">
        <f t="shared" si="1"/>
        <v>2</v>
      </c>
      <c r="I23" s="162">
        <f t="shared" si="3"/>
        <v>0</v>
      </c>
      <c r="J23" s="171">
        <f t="shared" si="2"/>
        <v>39.722740086449917</v>
      </c>
      <c r="K23" s="162">
        <f t="shared" si="0"/>
        <v>0</v>
      </c>
      <c r="L23" s="165">
        <f>K23*J23</f>
        <v>0</v>
      </c>
      <c r="M23" s="165"/>
      <c r="N23" s="162">
        <f t="shared" si="5"/>
        <v>31</v>
      </c>
      <c r="O23" s="162">
        <f t="shared" si="6"/>
        <v>1</v>
      </c>
      <c r="P23" s="162">
        <f t="shared" si="7"/>
        <v>1</v>
      </c>
      <c r="Q23" s="162">
        <f t="shared" si="8"/>
        <v>1.4097307383555409</v>
      </c>
    </row>
    <row r="24" spans="1:18" ht="15" x14ac:dyDescent="0.25">
      <c r="A24" s="160" t="s">
        <v>239</v>
      </c>
      <c r="B24" s="160">
        <v>1</v>
      </c>
      <c r="C24" s="171">
        <v>49.5</v>
      </c>
      <c r="D24" s="168">
        <v>107.94</v>
      </c>
      <c r="E24" s="168">
        <v>4.0999999999999996</v>
      </c>
      <c r="F24" s="171">
        <v>1</v>
      </c>
      <c r="G24" s="162">
        <v>1.3</v>
      </c>
      <c r="H24" s="171">
        <f t="shared" si="1"/>
        <v>58.44</v>
      </c>
      <c r="I24" s="162">
        <f t="shared" si="3"/>
        <v>239.60399999999996</v>
      </c>
      <c r="J24" s="171">
        <f t="shared" si="2"/>
        <v>74.442740086449916</v>
      </c>
      <c r="K24" s="162">
        <f t="shared" si="0"/>
        <v>51.348455229017837</v>
      </c>
      <c r="L24" s="165">
        <f>K24*J24</f>
        <v>3822.519706454485</v>
      </c>
      <c r="M24" s="165"/>
      <c r="N24" s="162">
        <f t="shared" si="5"/>
        <v>65.72</v>
      </c>
      <c r="O24" s="162">
        <f t="shared" si="6"/>
        <v>1.1000000000000001</v>
      </c>
      <c r="P24" s="162">
        <f t="shared" si="7"/>
        <v>1.18</v>
      </c>
      <c r="Q24" s="162">
        <f t="shared" si="8"/>
        <v>1.5197416135414443</v>
      </c>
    </row>
    <row r="25" spans="1:18" x14ac:dyDescent="0.2">
      <c r="A25" s="161" t="s">
        <v>240</v>
      </c>
      <c r="B25" s="161"/>
      <c r="C25" s="162"/>
      <c r="D25" s="162"/>
      <c r="E25" s="162"/>
      <c r="F25" s="162"/>
      <c r="G25" s="162"/>
      <c r="H25" s="162"/>
      <c r="I25" s="162"/>
      <c r="J25" s="162">
        <f>L25/K25</f>
        <v>38.317860525867097</v>
      </c>
      <c r="K25" s="162">
        <f>SUM(K6:K24)</f>
        <v>471.231568703638</v>
      </c>
      <c r="L25" s="216">
        <f>SUM(L6:L24)</f>
        <v>18056.585524971561</v>
      </c>
      <c r="M25" s="161"/>
      <c r="N25" s="161"/>
      <c r="O25" s="161"/>
      <c r="P25" s="161"/>
      <c r="Q25" s="161"/>
    </row>
    <row r="26" spans="1:18" x14ac:dyDescent="0.2">
      <c r="A26" s="161"/>
      <c r="B26" s="161"/>
      <c r="C26" s="162"/>
      <c r="D26" s="162"/>
      <c r="E26" s="162"/>
      <c r="F26" s="162"/>
      <c r="G26" s="162"/>
      <c r="H26" s="162"/>
      <c r="I26" s="162"/>
      <c r="J26" s="162"/>
      <c r="K26" s="162"/>
      <c r="L26" s="161"/>
      <c r="M26" s="161"/>
      <c r="N26" s="161"/>
      <c r="O26" s="161"/>
      <c r="P26" s="161"/>
      <c r="Q26" s="161"/>
    </row>
    <row r="27" spans="1:18" x14ac:dyDescent="0.2">
      <c r="A27" s="161" t="s">
        <v>241</v>
      </c>
      <c r="B27" s="161"/>
      <c r="C27" s="162"/>
      <c r="D27" s="162"/>
      <c r="E27" s="162"/>
      <c r="F27" s="162"/>
      <c r="G27" s="162"/>
      <c r="H27" s="162"/>
      <c r="I27" s="162"/>
      <c r="J27" s="162"/>
      <c r="K27" s="162">
        <f>0.1*K25</f>
        <v>47.1231568703638</v>
      </c>
      <c r="L27" s="165">
        <f>0.1*L25</f>
        <v>1805.6585524971561</v>
      </c>
      <c r="M27" s="161"/>
      <c r="N27" s="161"/>
      <c r="O27" s="161"/>
      <c r="P27" s="161"/>
      <c r="Q27" s="161"/>
    </row>
    <row r="28" spans="1:18" x14ac:dyDescent="0.2">
      <c r="A28" s="170" t="s">
        <v>242</v>
      </c>
      <c r="B28" s="160"/>
      <c r="C28" s="171"/>
      <c r="D28" s="171"/>
      <c r="E28" s="171"/>
      <c r="F28" s="171"/>
      <c r="G28" s="171"/>
      <c r="H28" s="171"/>
      <c r="I28" s="171"/>
      <c r="J28" s="171"/>
      <c r="K28" s="185">
        <f>K25+K27</f>
        <v>518.3547255740018</v>
      </c>
      <c r="L28" s="186">
        <f>L25+L27</f>
        <v>19862.244077468717</v>
      </c>
      <c r="M28" s="160"/>
      <c r="N28" s="160"/>
      <c r="O28" s="160"/>
      <c r="P28" s="160"/>
      <c r="Q28" s="160"/>
    </row>
    <row r="29" spans="1:18" ht="15" x14ac:dyDescent="0.2">
      <c r="A29" s="183" t="s">
        <v>243</v>
      </c>
      <c r="B29" s="160"/>
      <c r="C29" s="224">
        <f>4223.2+538</f>
        <v>4761.2</v>
      </c>
      <c r="D29" s="187" t="s">
        <v>257</v>
      </c>
      <c r="E29" s="171"/>
      <c r="F29" s="171"/>
      <c r="G29" s="171"/>
      <c r="H29" s="171"/>
      <c r="I29" s="647" t="s">
        <v>244</v>
      </c>
      <c r="J29" s="647"/>
      <c r="K29" s="188">
        <f>K28/E2^2</f>
        <v>0.19589580787700003</v>
      </c>
      <c r="L29" s="160" t="s">
        <v>245</v>
      </c>
      <c r="M29" s="160"/>
      <c r="N29" s="160"/>
      <c r="O29" s="160"/>
      <c r="P29" s="160"/>
      <c r="Q29" s="160"/>
    </row>
    <row r="30" spans="1:18" ht="15" x14ac:dyDescent="0.2">
      <c r="A30" s="160" t="s">
        <v>246</v>
      </c>
      <c r="B30" s="160"/>
      <c r="C30" s="182">
        <f>0.1*C29</f>
        <v>476.12</v>
      </c>
      <c r="D30" s="187" t="s">
        <v>257</v>
      </c>
      <c r="E30" s="171"/>
      <c r="F30" s="171"/>
      <c r="G30" s="171"/>
      <c r="H30" s="171"/>
      <c r="I30" s="171"/>
      <c r="J30" s="171"/>
      <c r="K30" s="189"/>
      <c r="L30" s="160"/>
      <c r="M30" s="160"/>
      <c r="N30" s="160"/>
      <c r="O30" s="160"/>
      <c r="P30" s="160"/>
      <c r="Q30" s="160"/>
    </row>
    <row r="31" spans="1:18" ht="15" x14ac:dyDescent="0.2">
      <c r="A31" s="181" t="s">
        <v>242</v>
      </c>
      <c r="B31" s="160"/>
      <c r="C31" s="182">
        <f>SUM(C29:C30)</f>
        <v>5237.32</v>
      </c>
      <c r="D31" s="187" t="s">
        <v>257</v>
      </c>
      <c r="E31" s="171"/>
      <c r="F31" s="171"/>
      <c r="G31" s="171"/>
      <c r="H31" s="171"/>
      <c r="I31" s="171"/>
      <c r="J31" s="171"/>
      <c r="K31" s="171"/>
      <c r="L31" s="171"/>
      <c r="M31" s="160"/>
      <c r="N31" s="160"/>
      <c r="O31" s="160"/>
      <c r="P31" s="160"/>
      <c r="Q31" s="160"/>
    </row>
    <row r="32" spans="1:18" x14ac:dyDescent="0.2">
      <c r="A32" s="160"/>
      <c r="B32" s="160"/>
      <c r="C32" s="171"/>
      <c r="D32" s="171"/>
      <c r="E32" s="171"/>
      <c r="F32" s="171"/>
      <c r="G32" s="171"/>
      <c r="H32" s="171"/>
      <c r="I32" s="171"/>
      <c r="J32" s="171"/>
      <c r="K32" s="171"/>
      <c r="L32" s="160"/>
      <c r="M32" s="160"/>
      <c r="N32" s="160"/>
      <c r="O32" s="160"/>
      <c r="P32" s="160"/>
      <c r="Q32" s="160"/>
    </row>
    <row r="33" spans="1:17" ht="14.25" x14ac:dyDescent="0.25">
      <c r="A33" s="190" t="s">
        <v>258</v>
      </c>
      <c r="B33" s="160"/>
      <c r="C33" s="182">
        <f>L28</f>
        <v>19862.244077468717</v>
      </c>
      <c r="D33" s="171" t="s">
        <v>224</v>
      </c>
      <c r="E33" s="171"/>
      <c r="F33" s="171"/>
      <c r="G33" s="219">
        <v>0</v>
      </c>
      <c r="H33" s="219">
        <v>6.6</v>
      </c>
      <c r="I33" s="171"/>
      <c r="J33" s="171"/>
      <c r="K33" s="171"/>
      <c r="L33" s="160"/>
      <c r="M33" s="160"/>
      <c r="N33" s="160"/>
      <c r="O33" s="160"/>
      <c r="P33" s="160"/>
      <c r="Q33" s="160"/>
    </row>
    <row r="34" spans="1:17" ht="15" x14ac:dyDescent="0.25">
      <c r="A34" s="190" t="s">
        <v>259</v>
      </c>
      <c r="B34" s="160"/>
      <c r="C34" s="182">
        <f>C31*(36-$C$2)*1.3*0.0623*$E$2^2/1000</f>
        <v>35605.174765102878</v>
      </c>
      <c r="D34" s="171" t="s">
        <v>224</v>
      </c>
      <c r="E34" s="171"/>
      <c r="F34" s="171"/>
      <c r="G34" s="168">
        <f>H33</f>
        <v>6.6</v>
      </c>
      <c r="H34" s="168">
        <v>29</v>
      </c>
      <c r="I34" s="171"/>
      <c r="J34" s="171"/>
      <c r="K34" s="171"/>
      <c r="L34" s="160"/>
      <c r="M34" s="160"/>
      <c r="N34" s="160"/>
      <c r="O34" s="160"/>
      <c r="P34" s="160"/>
      <c r="Q34" s="160"/>
    </row>
    <row r="35" spans="1:17" ht="15" x14ac:dyDescent="0.25">
      <c r="A35" s="190"/>
      <c r="B35" s="160"/>
      <c r="C35" s="182"/>
      <c r="D35" s="171"/>
      <c r="E35" s="171"/>
      <c r="F35" s="171"/>
      <c r="G35" s="168">
        <f>H34</f>
        <v>29</v>
      </c>
      <c r="H35" s="168">
        <f>G35+7.6</f>
        <v>36.6</v>
      </c>
      <c r="I35" s="171"/>
      <c r="J35" s="171"/>
      <c r="K35" s="171"/>
      <c r="L35" s="160"/>
      <c r="M35" s="160"/>
      <c r="N35" s="160"/>
      <c r="O35" s="160"/>
      <c r="P35" s="160"/>
      <c r="Q35" s="160"/>
    </row>
    <row r="36" spans="1:17" ht="15.75" x14ac:dyDescent="0.25">
      <c r="A36" s="191" t="s">
        <v>260</v>
      </c>
      <c r="B36" s="192"/>
      <c r="C36" s="193"/>
      <c r="D36" s="171"/>
      <c r="E36" s="171"/>
      <c r="F36" s="171"/>
      <c r="G36" s="171">
        <f>H35</f>
        <v>36.6</v>
      </c>
      <c r="H36" s="168">
        <f>G36+6.6</f>
        <v>43.2</v>
      </c>
      <c r="I36" s="171"/>
      <c r="J36" s="171"/>
      <c r="K36" s="171"/>
      <c r="L36" s="160"/>
      <c r="M36" s="160"/>
      <c r="N36" s="160"/>
      <c r="O36" s="160"/>
      <c r="P36" s="160"/>
      <c r="Q36" s="160"/>
    </row>
    <row r="37" spans="1:17" ht="15" x14ac:dyDescent="0.25">
      <c r="A37" s="160"/>
      <c r="B37" s="160"/>
      <c r="C37" s="171"/>
      <c r="D37" s="171"/>
      <c r="E37" s="171"/>
      <c r="F37" s="171"/>
      <c r="G37" s="171">
        <f>G36</f>
        <v>36.6</v>
      </c>
      <c r="H37" s="168">
        <f>G37+2.9</f>
        <v>39.5</v>
      </c>
      <c r="I37" s="171"/>
      <c r="J37" s="171"/>
      <c r="K37" s="171"/>
      <c r="L37" s="160"/>
      <c r="M37" s="160"/>
      <c r="N37" s="160"/>
      <c r="O37" s="160"/>
      <c r="P37" s="160"/>
      <c r="Q37" s="160"/>
    </row>
    <row r="38" spans="1:17" ht="15.75" x14ac:dyDescent="0.25">
      <c r="A38" s="190" t="s">
        <v>261</v>
      </c>
      <c r="B38" s="160"/>
      <c r="C38" s="187" t="s">
        <v>262</v>
      </c>
      <c r="D38" s="171"/>
      <c r="E38" s="171"/>
      <c r="F38" s="171"/>
      <c r="G38" s="168">
        <f>G37</f>
        <v>36.6</v>
      </c>
      <c r="H38" s="168">
        <f>G38+8.9</f>
        <v>45.5</v>
      </c>
      <c r="I38" s="171"/>
      <c r="J38" s="171"/>
      <c r="K38" s="171"/>
      <c r="L38" s="160"/>
      <c r="M38" s="160"/>
      <c r="N38" s="160"/>
      <c r="O38" s="160"/>
      <c r="P38" s="160"/>
      <c r="Q38" s="160"/>
    </row>
    <row r="39" spans="1:17" ht="15" x14ac:dyDescent="0.25">
      <c r="A39" s="190"/>
      <c r="B39" s="160"/>
      <c r="C39" s="180" t="s">
        <v>247</v>
      </c>
      <c r="D39" s="171"/>
      <c r="E39" s="171"/>
      <c r="F39" s="171"/>
      <c r="G39" s="168">
        <f>H38</f>
        <v>45.5</v>
      </c>
      <c r="H39" s="168">
        <f>G39+0.7</f>
        <v>46.2</v>
      </c>
      <c r="I39" s="171"/>
      <c r="J39" s="171"/>
      <c r="K39" s="171"/>
      <c r="L39" s="160"/>
      <c r="M39" s="160"/>
      <c r="N39" s="160"/>
      <c r="O39" s="160"/>
      <c r="P39" s="160"/>
      <c r="Q39" s="160"/>
    </row>
    <row r="40" spans="1:17" ht="15" x14ac:dyDescent="0.25">
      <c r="A40" s="174" t="s">
        <v>248</v>
      </c>
      <c r="B40" s="160"/>
      <c r="C40" s="180" t="s">
        <v>249</v>
      </c>
      <c r="D40" s="171" t="s">
        <v>279</v>
      </c>
      <c r="E40" s="171" t="s">
        <v>277</v>
      </c>
      <c r="F40" s="171" t="s">
        <v>278</v>
      </c>
      <c r="G40" s="168">
        <f>G35+1.2</f>
        <v>30.2</v>
      </c>
      <c r="H40" s="168">
        <f>G40+25.4</f>
        <v>55.599999999999994</v>
      </c>
      <c r="I40" s="171"/>
      <c r="J40" s="171"/>
      <c r="K40" s="171"/>
      <c r="L40" s="160"/>
      <c r="M40" s="160"/>
      <c r="N40" s="160"/>
      <c r="O40" s="160"/>
      <c r="P40" s="160"/>
      <c r="Q40" s="160"/>
    </row>
    <row r="41" spans="1:17" ht="15" x14ac:dyDescent="0.25">
      <c r="A41" s="173">
        <v>0</v>
      </c>
      <c r="B41" s="160"/>
      <c r="C41" s="194">
        <f t="shared" ref="C41:C55" si="9">($C$33*COS(A41*PI()/180)^2+$C$34*COS(A41*PI()/180)*SIN(A41*PI()/180))/$D$2^2</f>
        <v>1.9862244077468716</v>
      </c>
      <c r="D41" s="184">
        <f t="shared" ref="D41:D55" si="10">C41*$D$2^2</f>
        <v>19862.244077468717</v>
      </c>
      <c r="E41" s="171">
        <f t="shared" ref="E41:E55" si="11">D41/$F$2</f>
        <v>0.68530835486504349</v>
      </c>
      <c r="F41" s="171"/>
      <c r="G41" s="168">
        <f>H40</f>
        <v>55.599999999999994</v>
      </c>
      <c r="H41" s="168">
        <v>59.1</v>
      </c>
      <c r="I41" s="171"/>
      <c r="J41" s="171"/>
      <c r="K41" s="171"/>
      <c r="L41" s="160"/>
      <c r="M41" s="160"/>
      <c r="N41" s="160"/>
      <c r="O41" s="160"/>
      <c r="P41" s="160"/>
      <c r="Q41" s="160"/>
    </row>
    <row r="42" spans="1:17" ht="15" x14ac:dyDescent="0.25">
      <c r="A42" s="173">
        <f>A41+2</f>
        <v>2</v>
      </c>
      <c r="B42" s="160"/>
      <c r="C42" s="194">
        <f t="shared" si="9"/>
        <v>2.1079898082647253</v>
      </c>
      <c r="D42" s="184">
        <f t="shared" si="10"/>
        <v>21079.898082647254</v>
      </c>
      <c r="E42" s="171">
        <f t="shared" si="11"/>
        <v>0.72732115361170369</v>
      </c>
      <c r="F42" s="171"/>
      <c r="G42" s="168">
        <f>H40</f>
        <v>55.599999999999994</v>
      </c>
      <c r="H42" s="168">
        <v>72.900000000000006</v>
      </c>
      <c r="I42" s="171"/>
      <c r="J42" s="171"/>
      <c r="K42" s="171"/>
      <c r="L42" s="160"/>
      <c r="M42" s="160"/>
      <c r="N42" s="160"/>
      <c r="O42" s="160"/>
      <c r="P42" s="160"/>
      <c r="Q42" s="160"/>
    </row>
    <row r="43" spans="1:17" ht="15" x14ac:dyDescent="0.25">
      <c r="A43" s="173">
        <f t="shared" ref="A43:A55" si="12">A42+2</f>
        <v>4</v>
      </c>
      <c r="B43" s="160"/>
      <c r="C43" s="194">
        <f t="shared" si="9"/>
        <v>2.2243236371610897</v>
      </c>
      <c r="D43" s="184">
        <f t="shared" si="10"/>
        <v>22243.236371610896</v>
      </c>
      <c r="E43" s="171">
        <f t="shared" si="11"/>
        <v>0.76745989351700794</v>
      </c>
      <c r="F43" s="171"/>
      <c r="G43" s="168">
        <f>H40</f>
        <v>55.599999999999994</v>
      </c>
      <c r="H43" s="168">
        <v>73.849999999999994</v>
      </c>
      <c r="I43" s="171"/>
      <c r="J43" s="171"/>
      <c r="K43" s="171"/>
      <c r="L43" s="160"/>
      <c r="M43" s="160"/>
      <c r="N43" s="160"/>
      <c r="O43" s="160"/>
      <c r="P43" s="160"/>
      <c r="Q43" s="160"/>
    </row>
    <row r="44" spans="1:17" ht="15" x14ac:dyDescent="0.25">
      <c r="A44" s="173">
        <f t="shared" si="12"/>
        <v>6</v>
      </c>
      <c r="B44" s="160"/>
      <c r="C44" s="194">
        <f t="shared" si="9"/>
        <v>2.3346591277154172</v>
      </c>
      <c r="D44" s="184">
        <f t="shared" si="10"/>
        <v>23346.591277154173</v>
      </c>
      <c r="E44" s="171">
        <f t="shared" si="11"/>
        <v>0.80552902267487014</v>
      </c>
      <c r="F44" s="171"/>
      <c r="G44" s="168">
        <f>G40</f>
        <v>30.2</v>
      </c>
      <c r="H44" s="168">
        <v>54.2</v>
      </c>
      <c r="I44" s="171"/>
      <c r="J44" s="171"/>
      <c r="K44" s="171"/>
      <c r="L44" s="160"/>
      <c r="M44" s="160"/>
      <c r="N44" s="160"/>
      <c r="O44" s="160"/>
      <c r="P44" s="160"/>
      <c r="Q44" s="160"/>
    </row>
    <row r="45" spans="1:17" ht="15" x14ac:dyDescent="0.25">
      <c r="A45" s="173">
        <f t="shared" si="12"/>
        <v>8</v>
      </c>
      <c r="B45" s="160"/>
      <c r="C45" s="194">
        <f t="shared" si="9"/>
        <v>2.4384587365086117</v>
      </c>
      <c r="D45" s="184">
        <f t="shared" si="10"/>
        <v>24384.587365086118</v>
      </c>
      <c r="E45" s="171">
        <f t="shared" si="11"/>
        <v>0.84134307211472814</v>
      </c>
      <c r="F45" s="171"/>
      <c r="G45" s="168">
        <f>H44</f>
        <v>54.2</v>
      </c>
      <c r="H45" s="168">
        <v>61.7</v>
      </c>
      <c r="I45" s="171"/>
      <c r="J45" s="171"/>
      <c r="K45" s="171"/>
      <c r="L45" s="160"/>
      <c r="M45" s="160"/>
      <c r="N45" s="160"/>
      <c r="O45" s="160"/>
      <c r="P45" s="160"/>
      <c r="Q45" s="160"/>
    </row>
    <row r="46" spans="1:17" ht="15" x14ac:dyDescent="0.25">
      <c r="A46" s="173">
        <f t="shared" si="12"/>
        <v>10</v>
      </c>
      <c r="B46" s="160"/>
      <c r="C46" s="194">
        <f t="shared" si="9"/>
        <v>2.5352167622805322</v>
      </c>
      <c r="D46" s="184">
        <f t="shared" si="10"/>
        <v>25352.167622805322</v>
      </c>
      <c r="E46" s="171">
        <f t="shared" si="11"/>
        <v>0.87472755938772651</v>
      </c>
      <c r="F46" s="171"/>
      <c r="G46" s="168">
        <v>41.1</v>
      </c>
      <c r="H46" s="168">
        <f>G46+7</f>
        <v>48.1</v>
      </c>
      <c r="I46" s="171"/>
      <c r="J46" s="171"/>
      <c r="K46" s="171"/>
      <c r="L46" s="160"/>
      <c r="M46" s="160"/>
      <c r="N46" s="160"/>
      <c r="O46" s="160"/>
      <c r="P46" s="160"/>
      <c r="Q46" s="160"/>
    </row>
    <row r="47" spans="1:17" ht="15" x14ac:dyDescent="0.25">
      <c r="A47" s="173">
        <f t="shared" si="12"/>
        <v>12</v>
      </c>
      <c r="B47" s="160"/>
      <c r="C47" s="194">
        <f t="shared" si="9"/>
        <v>2.6244618096557031</v>
      </c>
      <c r="D47" s="184">
        <f t="shared" si="10"/>
        <v>26244.618096557031</v>
      </c>
      <c r="E47" s="171">
        <f t="shared" si="11"/>
        <v>0.90551983862766916</v>
      </c>
      <c r="F47" s="171"/>
      <c r="G47" s="171">
        <v>49.6</v>
      </c>
      <c r="H47" s="168">
        <v>53.6</v>
      </c>
      <c r="I47" s="171"/>
      <c r="J47" s="171"/>
      <c r="K47" s="171"/>
      <c r="L47" s="160"/>
      <c r="M47" s="160"/>
      <c r="N47" s="160"/>
      <c r="O47" s="160"/>
      <c r="P47" s="160"/>
      <c r="Q47" s="160"/>
    </row>
    <row r="48" spans="1:17" ht="15" x14ac:dyDescent="0.25">
      <c r="A48" s="173">
        <f t="shared" si="12"/>
        <v>14</v>
      </c>
      <c r="B48" s="160"/>
      <c r="C48" s="194">
        <f t="shared" si="9"/>
        <v>2.7057590857341904</v>
      </c>
      <c r="D48" s="184">
        <f t="shared" si="10"/>
        <v>27057.590857341904</v>
      </c>
      <c r="E48" s="171">
        <f t="shared" si="11"/>
        <v>0.93356989294532688</v>
      </c>
      <c r="F48" s="171"/>
      <c r="G48" s="171">
        <v>49.6</v>
      </c>
      <c r="H48" s="168">
        <v>54.6</v>
      </c>
      <c r="I48" s="171"/>
      <c r="J48" s="171"/>
      <c r="K48" s="171"/>
      <c r="L48" s="160"/>
      <c r="M48" s="160"/>
      <c r="N48" s="160"/>
      <c r="O48" s="160"/>
      <c r="P48" s="160"/>
      <c r="Q48" s="160"/>
    </row>
    <row r="49" spans="1:17" ht="15" x14ac:dyDescent="0.25">
      <c r="A49" s="173">
        <f t="shared" si="12"/>
        <v>16</v>
      </c>
      <c r="B49" s="160"/>
      <c r="C49" s="194">
        <f t="shared" si="9"/>
        <v>2.7787125183589154</v>
      </c>
      <c r="D49" s="184">
        <f t="shared" si="10"/>
        <v>27787.125183589153</v>
      </c>
      <c r="E49" s="171">
        <f t="shared" si="11"/>
        <v>0.95874106529564651</v>
      </c>
      <c r="F49" s="171"/>
      <c r="G49" s="171">
        <v>40.4</v>
      </c>
      <c r="H49" s="168">
        <v>54.6</v>
      </c>
      <c r="I49" s="171"/>
      <c r="J49" s="171"/>
      <c r="K49" s="171"/>
      <c r="L49" s="160"/>
      <c r="M49" s="160"/>
      <c r="N49" s="160"/>
      <c r="O49" s="160"/>
      <c r="P49" s="160"/>
      <c r="Q49" s="160"/>
    </row>
    <row r="50" spans="1:17" ht="15" x14ac:dyDescent="0.25">
      <c r="A50" s="173">
        <f t="shared" si="12"/>
        <v>18</v>
      </c>
      <c r="B50" s="160"/>
      <c r="C50" s="194">
        <f t="shared" si="9"/>
        <v>2.8429666857393823</v>
      </c>
      <c r="D50" s="184">
        <f t="shared" si="10"/>
        <v>28429.666857393822</v>
      </c>
      <c r="E50" s="171">
        <f t="shared" si="11"/>
        <v>0.98091072425713421</v>
      </c>
      <c r="F50" s="171"/>
      <c r="G50" s="171">
        <f>H35</f>
        <v>36.6</v>
      </c>
      <c r="H50" s="168">
        <v>40.17</v>
      </c>
      <c r="I50" s="171"/>
      <c r="J50" s="171"/>
      <c r="K50" s="171"/>
      <c r="L50" s="160"/>
      <c r="M50" s="160"/>
      <c r="N50" s="160"/>
      <c r="O50" s="160"/>
      <c r="P50" s="160"/>
      <c r="Q50" s="160"/>
    </row>
    <row r="51" spans="1:17" ht="15" x14ac:dyDescent="0.25">
      <c r="A51" s="173">
        <f t="shared" si="12"/>
        <v>20</v>
      </c>
      <c r="B51" s="160"/>
      <c r="C51" s="194">
        <f t="shared" si="9"/>
        <v>2.8982085480309214</v>
      </c>
      <c r="D51" s="184">
        <f t="shared" si="10"/>
        <v>28982.085480309215</v>
      </c>
      <c r="E51" s="171">
        <f t="shared" si="11"/>
        <v>0.9999708614798164</v>
      </c>
      <c r="F51" s="171"/>
      <c r="G51" s="171">
        <v>43</v>
      </c>
      <c r="H51" s="168">
        <v>45</v>
      </c>
      <c r="I51" s="171"/>
      <c r="J51" s="171"/>
      <c r="K51" s="171"/>
      <c r="L51" s="160"/>
      <c r="M51" s="160"/>
      <c r="N51" s="160"/>
      <c r="O51" s="160"/>
      <c r="P51" s="160"/>
      <c r="Q51" s="160"/>
    </row>
    <row r="52" spans="1:17" ht="15" x14ac:dyDescent="0.25">
      <c r="A52" s="173">
        <f t="shared" si="12"/>
        <v>22</v>
      </c>
      <c r="B52" s="160"/>
      <c r="C52" s="194">
        <f t="shared" si="9"/>
        <v>2.9441689724333404</v>
      </c>
      <c r="D52" s="184">
        <f t="shared" si="10"/>
        <v>29441.689724333402</v>
      </c>
      <c r="E52" s="171">
        <f t="shared" si="11"/>
        <v>1.015828617891062</v>
      </c>
      <c r="F52" s="171"/>
      <c r="G52" s="171">
        <v>49.5</v>
      </c>
      <c r="H52" s="168">
        <v>107.94</v>
      </c>
      <c r="I52" s="171"/>
      <c r="J52" s="171"/>
      <c r="K52" s="171"/>
      <c r="L52" s="160"/>
      <c r="M52" s="160"/>
      <c r="N52" s="160"/>
      <c r="O52" s="160"/>
      <c r="P52" s="160"/>
      <c r="Q52" s="160"/>
    </row>
    <row r="53" spans="1:17" x14ac:dyDescent="0.2">
      <c r="A53" s="173">
        <f t="shared" si="12"/>
        <v>24</v>
      </c>
      <c r="B53" s="160"/>
      <c r="C53" s="194">
        <f t="shared" si="9"/>
        <v>2.9806240443788745</v>
      </c>
      <c r="D53" s="184">
        <f t="shared" si="10"/>
        <v>29806.240443788745</v>
      </c>
      <c r="E53" s="171">
        <f t="shared" si="11"/>
        <v>1.0284067360956517</v>
      </c>
      <c r="F53" s="171"/>
      <c r="G53" s="171"/>
      <c r="H53" s="171"/>
      <c r="I53" s="171"/>
      <c r="J53" s="171"/>
      <c r="K53" s="171"/>
      <c r="L53" s="160"/>
      <c r="M53" s="160"/>
      <c r="N53" s="160"/>
      <c r="O53" s="160"/>
      <c r="P53" s="160"/>
      <c r="Q53" s="160"/>
    </row>
    <row r="54" spans="1:17" x14ac:dyDescent="0.2">
      <c r="A54" s="173">
        <f t="shared" si="12"/>
        <v>26</v>
      </c>
      <c r="B54" s="160"/>
      <c r="C54" s="194">
        <f t="shared" si="9"/>
        <v>3.0073961584214595</v>
      </c>
      <c r="D54" s="184">
        <f t="shared" si="10"/>
        <v>30073.961584214594</v>
      </c>
      <c r="E54" s="171">
        <f t="shared" si="11"/>
        <v>1.0376439367660411</v>
      </c>
      <c r="F54" s="171"/>
      <c r="G54" s="171"/>
      <c r="H54" s="171"/>
      <c r="I54" s="171"/>
      <c r="J54" s="171"/>
      <c r="K54" s="171"/>
      <c r="L54" s="160"/>
      <c r="M54" s="160"/>
      <c r="N54" s="160"/>
      <c r="O54" s="160"/>
      <c r="P54" s="160"/>
      <c r="Q54" s="160"/>
    </row>
    <row r="55" spans="1:17" x14ac:dyDescent="0.2">
      <c r="A55" s="173">
        <f t="shared" si="12"/>
        <v>28</v>
      </c>
      <c r="B55" s="160"/>
      <c r="C55" s="194">
        <f t="shared" si="9"/>
        <v>3.0243548835126006</v>
      </c>
      <c r="D55" s="184">
        <f t="shared" si="10"/>
        <v>30243.548835126006</v>
      </c>
      <c r="E55" s="171">
        <f t="shared" si="11"/>
        <v>1.0434952171890837</v>
      </c>
      <c r="F55" s="171"/>
      <c r="G55" s="171"/>
      <c r="H55" s="171"/>
      <c r="I55" s="171"/>
      <c r="J55" s="171"/>
      <c r="K55" s="171"/>
      <c r="L55" s="160"/>
      <c r="M55" s="160"/>
      <c r="N55" s="160"/>
      <c r="O55" s="160"/>
      <c r="P55" s="160"/>
      <c r="Q55" s="160"/>
    </row>
    <row r="56" spans="1:17" x14ac:dyDescent="0.2">
      <c r="A56" s="160"/>
      <c r="B56" s="160" t="s">
        <v>250</v>
      </c>
      <c r="C56" s="195">
        <f>INDEX(LINEST(C$41:C$55,$A$41:$A$55^{1,2}),1,3)</f>
        <v>1.9789180732740459</v>
      </c>
      <c r="D56" s="171"/>
      <c r="E56" s="171"/>
      <c r="F56" s="171"/>
      <c r="G56" s="171"/>
      <c r="H56" s="171"/>
      <c r="I56" s="171"/>
      <c r="J56" s="171"/>
      <c r="K56" s="171"/>
      <c r="L56" s="160"/>
      <c r="M56" s="160"/>
      <c r="N56" s="160"/>
      <c r="O56" s="160"/>
      <c r="P56" s="160"/>
      <c r="Q56" s="160"/>
    </row>
    <row r="57" spans="1:17" x14ac:dyDescent="0.2">
      <c r="A57" s="160"/>
      <c r="B57" s="160" t="s">
        <v>251</v>
      </c>
      <c r="C57" s="195">
        <f>INDEX(LINEST(C$41:C$55,$A$41:$A$55^{1,2}),1,2)</f>
        <v>6.621532492694468E-2</v>
      </c>
      <c r="D57" s="171"/>
      <c r="E57" s="171"/>
      <c r="F57" s="171"/>
      <c r="G57" s="171"/>
      <c r="H57" s="171"/>
      <c r="I57" s="171"/>
      <c r="J57" s="171"/>
      <c r="K57" s="171"/>
      <c r="L57" s="160"/>
      <c r="M57" s="160"/>
      <c r="N57" s="160"/>
      <c r="O57" s="160"/>
      <c r="P57" s="160"/>
      <c r="Q57" s="160"/>
    </row>
    <row r="58" spans="1:17" x14ac:dyDescent="0.2">
      <c r="A58" s="160"/>
      <c r="B58" s="160" t="s">
        <v>252</v>
      </c>
      <c r="C58" s="195">
        <f>INDEX(LINEST(C$41:C$55,$A$41:$A$55^{1,2}),1)</f>
        <v>-1.0235133369030642E-3</v>
      </c>
      <c r="D58" s="171"/>
      <c r="E58" s="171"/>
      <c r="F58" s="171"/>
      <c r="G58" s="171"/>
      <c r="H58" s="171"/>
      <c r="I58" s="171"/>
      <c r="J58" s="171"/>
      <c r="K58" s="171"/>
      <c r="L58" s="160"/>
      <c r="M58" s="160"/>
      <c r="N58" s="160"/>
      <c r="O58" s="160"/>
      <c r="P58" s="160"/>
      <c r="Q58" s="160"/>
    </row>
    <row r="59" spans="1:17" x14ac:dyDescent="0.2">
      <c r="A59" s="160"/>
      <c r="B59" s="160"/>
      <c r="C59" s="171"/>
      <c r="D59" s="171"/>
      <c r="E59" s="171"/>
      <c r="F59" s="171"/>
      <c r="G59" s="171"/>
      <c r="H59" s="171"/>
      <c r="I59" s="171"/>
      <c r="J59" s="171"/>
      <c r="K59" s="160"/>
      <c r="L59" s="160"/>
      <c r="M59" s="160"/>
      <c r="N59" s="160"/>
      <c r="O59" s="160"/>
      <c r="P59" s="160"/>
      <c r="Q59" s="160"/>
    </row>
    <row r="60" spans="1:17" x14ac:dyDescent="0.2">
      <c r="A60" s="160"/>
      <c r="B60" s="160"/>
      <c r="C60" s="171"/>
      <c r="D60" s="180"/>
      <c r="E60" s="171"/>
      <c r="F60" s="171"/>
      <c r="G60" s="171"/>
      <c r="H60" s="171"/>
      <c r="I60" s="171"/>
      <c r="J60" s="171"/>
      <c r="K60" s="160"/>
      <c r="L60" s="160"/>
      <c r="M60" s="160"/>
      <c r="N60" s="160"/>
      <c r="O60" s="160"/>
      <c r="P60" s="160"/>
      <c r="Q60" s="160"/>
    </row>
    <row r="61" spans="1:17" x14ac:dyDescent="0.2">
      <c r="A61" s="160"/>
      <c r="B61" s="173"/>
      <c r="E61" s="171"/>
      <c r="F61" s="171"/>
      <c r="G61" s="171"/>
      <c r="H61" s="171"/>
      <c r="I61" s="171"/>
      <c r="J61" s="171"/>
      <c r="K61" s="160"/>
      <c r="L61" s="160"/>
      <c r="M61" s="160"/>
      <c r="N61" s="160"/>
      <c r="O61" s="160"/>
      <c r="P61" s="160"/>
      <c r="Q61" s="160"/>
    </row>
    <row r="62" spans="1:17" x14ac:dyDescent="0.2">
      <c r="A62" s="160"/>
      <c r="B62" s="173"/>
      <c r="E62" s="171"/>
      <c r="F62" s="171"/>
      <c r="G62" s="171"/>
      <c r="H62" s="171"/>
      <c r="I62" s="171"/>
      <c r="J62" s="171"/>
      <c r="K62" s="160"/>
      <c r="L62" s="160"/>
      <c r="M62" s="160"/>
      <c r="N62" s="160"/>
      <c r="O62" s="160"/>
      <c r="P62" s="160"/>
      <c r="Q62" s="160"/>
    </row>
    <row r="63" spans="1:17" x14ac:dyDescent="0.2">
      <c r="A63" s="160"/>
      <c r="B63" s="173"/>
      <c r="E63" s="171"/>
      <c r="F63" s="171"/>
      <c r="G63" s="171"/>
      <c r="H63" s="171"/>
      <c r="I63" s="171"/>
      <c r="J63" s="171"/>
      <c r="K63" s="160"/>
      <c r="L63" s="160"/>
      <c r="M63" s="160"/>
      <c r="N63" s="160"/>
      <c r="O63" s="160"/>
      <c r="P63" s="160"/>
      <c r="Q63" s="160"/>
    </row>
    <row r="64" spans="1:17" x14ac:dyDescent="0.2">
      <c r="A64" s="160"/>
      <c r="B64" s="173"/>
      <c r="E64" s="171"/>
      <c r="F64" s="171"/>
      <c r="G64" s="171"/>
      <c r="H64" s="171"/>
      <c r="I64" s="171"/>
      <c r="J64" s="171"/>
      <c r="K64" s="160"/>
      <c r="L64" s="160"/>
      <c r="M64" s="160"/>
      <c r="N64" s="160"/>
      <c r="O64" s="160"/>
      <c r="P64" s="160"/>
      <c r="Q64" s="160"/>
    </row>
    <row r="65" spans="1:17" x14ac:dyDescent="0.2">
      <c r="A65" s="160"/>
      <c r="B65" s="173"/>
      <c r="E65" s="171"/>
      <c r="F65" s="171"/>
      <c r="G65" s="171"/>
      <c r="H65" s="171"/>
      <c r="I65" s="171"/>
      <c r="J65" s="171"/>
      <c r="K65" s="160"/>
      <c r="L65" s="160"/>
      <c r="M65" s="160"/>
      <c r="N65" s="160"/>
      <c r="O65" s="160"/>
      <c r="P65" s="160"/>
      <c r="Q65" s="160"/>
    </row>
    <row r="66" spans="1:17" x14ac:dyDescent="0.2">
      <c r="A66" s="160"/>
      <c r="B66" s="173"/>
      <c r="E66" s="171"/>
      <c r="F66" s="171"/>
      <c r="G66" s="171"/>
      <c r="H66" s="171"/>
      <c r="I66" s="171"/>
      <c r="J66" s="171"/>
      <c r="K66" s="160"/>
      <c r="L66" s="160"/>
      <c r="M66" s="160"/>
      <c r="N66" s="160"/>
      <c r="O66" s="160"/>
      <c r="P66" s="160"/>
      <c r="Q66" s="160"/>
    </row>
    <row r="67" spans="1:17" x14ac:dyDescent="0.2">
      <c r="A67" s="160"/>
      <c r="B67" s="173"/>
      <c r="E67" s="171"/>
      <c r="F67" s="171"/>
      <c r="G67" s="171"/>
      <c r="H67" s="171"/>
      <c r="I67" s="171"/>
      <c r="J67" s="171"/>
      <c r="K67" s="160"/>
      <c r="L67" s="160"/>
      <c r="M67" s="160"/>
      <c r="N67" s="160"/>
      <c r="O67" s="160"/>
      <c r="P67" s="160"/>
      <c r="Q67" s="160"/>
    </row>
    <row r="68" spans="1:17" x14ac:dyDescent="0.2">
      <c r="A68" s="160"/>
      <c r="B68" s="173"/>
      <c r="E68" s="171"/>
      <c r="F68" s="171"/>
      <c r="G68" s="171"/>
      <c r="H68" s="171"/>
      <c r="I68" s="171"/>
      <c r="J68" s="171"/>
      <c r="K68" s="160"/>
      <c r="L68" s="160"/>
      <c r="M68" s="160"/>
      <c r="N68" s="160"/>
      <c r="O68" s="160"/>
      <c r="P68" s="160"/>
      <c r="Q68" s="160"/>
    </row>
    <row r="69" spans="1:17" x14ac:dyDescent="0.2">
      <c r="A69" s="160"/>
      <c r="B69" s="173"/>
      <c r="E69" s="171"/>
      <c r="F69" s="171"/>
      <c r="G69" s="171"/>
      <c r="H69" s="171"/>
      <c r="I69" s="171"/>
      <c r="J69" s="171"/>
      <c r="K69" s="160"/>
      <c r="L69" s="160"/>
      <c r="M69" s="160"/>
      <c r="N69" s="160"/>
      <c r="O69" s="160"/>
      <c r="P69" s="160"/>
      <c r="Q69" s="160"/>
    </row>
    <row r="70" spans="1:17" x14ac:dyDescent="0.2">
      <c r="A70" s="160"/>
      <c r="B70" s="173"/>
      <c r="E70" s="171"/>
      <c r="F70" s="171"/>
      <c r="G70" s="171"/>
      <c r="H70" s="171"/>
      <c r="I70" s="171"/>
      <c r="J70" s="171"/>
      <c r="K70" s="160"/>
      <c r="L70" s="160"/>
      <c r="M70" s="160"/>
      <c r="N70" s="160"/>
      <c r="O70" s="160"/>
      <c r="P70" s="160"/>
      <c r="Q70" s="160"/>
    </row>
    <row r="71" spans="1:17" x14ac:dyDescent="0.2">
      <c r="A71" s="160"/>
      <c r="B71" s="173"/>
      <c r="E71" s="171"/>
      <c r="F71" s="171"/>
      <c r="G71" s="171"/>
      <c r="H71" s="171"/>
      <c r="I71" s="171"/>
      <c r="J71" s="171"/>
      <c r="K71" s="160"/>
      <c r="L71" s="160"/>
      <c r="M71" s="160"/>
      <c r="N71" s="160"/>
      <c r="O71" s="160"/>
      <c r="P71" s="160"/>
      <c r="Q71" s="160"/>
    </row>
    <row r="72" spans="1:17" x14ac:dyDescent="0.2">
      <c r="A72" s="160"/>
      <c r="B72" s="173"/>
      <c r="E72" s="171"/>
      <c r="F72" s="171"/>
      <c r="G72" s="171"/>
      <c r="H72" s="171"/>
      <c r="I72" s="171"/>
      <c r="J72" s="171"/>
      <c r="K72" s="160"/>
      <c r="L72" s="160"/>
      <c r="M72" s="160"/>
      <c r="N72" s="160"/>
      <c r="O72" s="160"/>
      <c r="P72" s="160"/>
      <c r="Q72" s="160"/>
    </row>
    <row r="73" spans="1:17" x14ac:dyDescent="0.2">
      <c r="A73" s="160"/>
      <c r="B73" s="173"/>
      <c r="E73" s="171"/>
      <c r="F73" s="171"/>
      <c r="G73" s="171"/>
      <c r="H73" s="171"/>
      <c r="I73" s="171"/>
      <c r="J73" s="171"/>
      <c r="K73" s="160"/>
      <c r="L73" s="160"/>
      <c r="M73" s="160"/>
      <c r="N73" s="160"/>
      <c r="O73" s="160"/>
      <c r="P73" s="160"/>
      <c r="Q73" s="160"/>
    </row>
    <row r="74" spans="1:17" x14ac:dyDescent="0.2">
      <c r="A74" s="160"/>
      <c r="B74" s="173"/>
      <c r="E74" s="171"/>
      <c r="F74" s="171"/>
      <c r="G74" s="171"/>
      <c r="H74" s="171"/>
      <c r="I74" s="171"/>
      <c r="J74" s="171"/>
      <c r="K74" s="160"/>
      <c r="L74" s="160"/>
      <c r="M74" s="160"/>
      <c r="N74" s="160"/>
      <c r="O74" s="160"/>
      <c r="P74" s="160"/>
      <c r="Q74" s="160"/>
    </row>
    <row r="75" spans="1:17" x14ac:dyDescent="0.2">
      <c r="A75" s="160"/>
      <c r="B75" s="173">
        <f>B74+5</f>
        <v>5</v>
      </c>
      <c r="E75" s="171"/>
      <c r="F75" s="171"/>
      <c r="G75" s="171"/>
      <c r="H75" s="171"/>
      <c r="I75" s="171"/>
      <c r="J75" s="171"/>
      <c r="K75" s="160"/>
      <c r="L75" s="160"/>
      <c r="M75" s="160"/>
      <c r="N75" s="160"/>
      <c r="O75" s="160"/>
      <c r="P75" s="160"/>
      <c r="Q75" s="160"/>
    </row>
    <row r="76" spans="1:17" x14ac:dyDescent="0.2">
      <c r="A76" s="160"/>
      <c r="B76" s="160"/>
      <c r="C76" s="171"/>
      <c r="D76" s="171"/>
      <c r="E76" s="171"/>
      <c r="F76" s="171"/>
      <c r="G76" s="171"/>
      <c r="H76" s="171"/>
      <c r="I76" s="171"/>
      <c r="J76" s="171"/>
      <c r="K76" s="171"/>
      <c r="L76" s="160"/>
      <c r="M76" s="160"/>
      <c r="N76" s="160"/>
      <c r="O76" s="160"/>
      <c r="P76" s="160"/>
      <c r="Q76" s="160"/>
    </row>
  </sheetData>
  <mergeCells count="3">
    <mergeCell ref="A1:A2"/>
    <mergeCell ref="F3:G3"/>
    <mergeCell ref="I29:J29"/>
  </mergeCells>
  <phoneticPr fontId="51" type="noConversion"/>
  <pageMargins left="0.7" right="0.7" top="0.75" bottom="0.75" header="0.3" footer="0.3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4"/>
  <sheetViews>
    <sheetView workbookViewId="0">
      <selection activeCell="A2" sqref="A2"/>
    </sheetView>
  </sheetViews>
  <sheetFormatPr defaultRowHeight="12.75" x14ac:dyDescent="0.2"/>
  <sheetData>
    <row r="1" spans="1:4" x14ac:dyDescent="0.2">
      <c r="A1" s="536" t="s">
        <v>572</v>
      </c>
      <c r="B1" s="12">
        <f>'Current-y'!B2</f>
        <v>13</v>
      </c>
      <c r="C1" s="12"/>
      <c r="D1" s="12"/>
    </row>
    <row r="2" spans="1:4" x14ac:dyDescent="0.2">
      <c r="A2" s="12" t="s">
        <v>296</v>
      </c>
      <c r="B2">
        <f>2/3*('Wind-y'!C56+'Wind-x'!C56)</f>
        <v>2.5275963806206105</v>
      </c>
    </row>
    <row r="3" spans="1:4" x14ac:dyDescent="0.2">
      <c r="A3" s="12" t="s">
        <v>298</v>
      </c>
      <c r="B3">
        <f>2/3*('Wind-y'!C57+'Wind-x'!C57)</f>
        <v>8.8831751660542774E-2</v>
      </c>
    </row>
    <row r="4" spans="1:4" x14ac:dyDescent="0.2">
      <c r="A4" s="12" t="s">
        <v>297</v>
      </c>
      <c r="B4">
        <f>2/3*('Wind-y'!C58+'Wind-x'!C58)</f>
        <v>-1.3390212190965546E-3</v>
      </c>
    </row>
  </sheetData>
  <phoneticPr fontId="5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2"/>
    <pageSetUpPr fitToPage="1"/>
  </sheetPr>
  <dimension ref="B1:U700"/>
  <sheetViews>
    <sheetView topLeftCell="B1" zoomScale="85" zoomScaleNormal="85" zoomScaleSheetLayoutView="85" workbookViewId="0">
      <pane ySplit="10" topLeftCell="A20" activePane="bottomLeft" state="frozen"/>
      <selection activeCell="F41" sqref="F41:F43"/>
      <selection pane="bottomLeft" activeCell="F41" sqref="F41:F43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451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379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527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40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0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17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1"/>
      <c r="G8" s="611"/>
      <c r="H8" s="611"/>
      <c r="I8" s="611"/>
      <c r="J8" s="611"/>
      <c r="K8" s="611"/>
      <c r="L8" s="611"/>
      <c r="M8" s="618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416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19"/>
      <c r="O9" s="417"/>
    </row>
    <row r="10" spans="2:21" ht="15.95" customHeight="1" thickTop="1" x14ac:dyDescent="0.2">
      <c r="B10" s="418"/>
      <c r="C10" s="419"/>
      <c r="D10" s="477"/>
      <c r="E10" s="419"/>
      <c r="F10" s="419"/>
      <c r="G10" s="419"/>
      <c r="H10" s="419"/>
      <c r="I10" s="419"/>
      <c r="J10" s="419"/>
      <c r="K10" s="419"/>
      <c r="L10" s="419"/>
      <c r="M10" s="420"/>
    </row>
    <row r="11" spans="2:21" s="429" customFormat="1" ht="15.95" customHeight="1" x14ac:dyDescent="0.2">
      <c r="B11" s="463"/>
      <c r="C11" s="470" t="s">
        <v>528</v>
      </c>
      <c r="D11" s="478"/>
      <c r="E11" s="465"/>
      <c r="F11" s="466"/>
      <c r="G11" s="467"/>
      <c r="H11" s="468"/>
      <c r="I11" s="468"/>
      <c r="J11" s="468"/>
      <c r="K11" s="468"/>
      <c r="L11" s="468"/>
      <c r="M11" s="469"/>
      <c r="N11" s="381"/>
      <c r="O11" s="445"/>
      <c r="P11" s="446"/>
      <c r="Q11" s="446"/>
      <c r="R11" s="446"/>
      <c r="S11" s="446"/>
      <c r="T11" s="446"/>
      <c r="U11" s="447"/>
    </row>
    <row r="12" spans="2:21" s="429" customFormat="1" ht="15.95" customHeight="1" x14ac:dyDescent="0.2">
      <c r="B12" s="456"/>
      <c r="C12" s="448"/>
      <c r="D12" s="480"/>
      <c r="E12" s="449"/>
      <c r="F12" s="457"/>
      <c r="G12" s="458"/>
      <c r="H12" s="459"/>
      <c r="I12" s="459"/>
      <c r="J12" s="459"/>
      <c r="K12" s="459"/>
      <c r="L12" s="459"/>
      <c r="M12" s="460"/>
      <c r="N12" s="381"/>
      <c r="O12" s="445"/>
      <c r="P12" s="446"/>
      <c r="Q12" s="446"/>
      <c r="R12" s="446"/>
      <c r="S12" s="446"/>
      <c r="T12" s="446"/>
      <c r="U12" s="447"/>
    </row>
    <row r="13" spans="2:21" s="429" customFormat="1" ht="15.95" customHeight="1" x14ac:dyDescent="0.2">
      <c r="B13" s="421"/>
      <c r="C13" s="422" t="s">
        <v>459</v>
      </c>
      <c r="D13" s="483"/>
      <c r="E13" s="424"/>
      <c r="F13" s="422"/>
      <c r="G13" s="423"/>
      <c r="H13" s="423"/>
      <c r="I13" s="423"/>
      <c r="J13" s="423"/>
      <c r="K13" s="423"/>
      <c r="L13" s="423"/>
      <c r="M13" s="425"/>
      <c r="N13" s="381"/>
      <c r="O13" s="426"/>
      <c r="P13" s="427"/>
      <c r="Q13" s="427"/>
      <c r="R13" s="427"/>
      <c r="S13" s="427"/>
      <c r="T13" s="427"/>
      <c r="U13" s="428"/>
    </row>
    <row r="14" spans="2:21" s="429" customFormat="1" ht="15.95" customHeight="1" x14ac:dyDescent="0.2">
      <c r="B14" s="58" t="s">
        <v>308</v>
      </c>
      <c r="C14" s="56" t="s">
        <v>400</v>
      </c>
      <c r="D14" s="316">
        <v>0.5</v>
      </c>
      <c r="E14" s="218">
        <v>0.83</v>
      </c>
      <c r="F14" s="271">
        <f>(0.5*PI()*3.3^2*9+(9-1.8+1.5-3.3)*9*6.6)*$Q$3</f>
        <v>450.97806058970929</v>
      </c>
      <c r="G14" s="24">
        <f>E14*F14*D14</f>
        <v>187.15589514472936</v>
      </c>
      <c r="H14" s="16">
        <v>-16.8</v>
      </c>
      <c r="I14" s="16">
        <v>4.5</v>
      </c>
      <c r="J14" s="16">
        <v>3.3</v>
      </c>
      <c r="K14" s="169">
        <v>1000</v>
      </c>
      <c r="L14" s="169">
        <v>1000</v>
      </c>
      <c r="M14" s="430"/>
      <c r="N14" s="381"/>
      <c r="O14" s="426"/>
      <c r="P14" s="427"/>
      <c r="Q14" s="427"/>
      <c r="R14" s="427"/>
      <c r="S14" s="427"/>
      <c r="T14" s="427"/>
      <c r="U14" s="428"/>
    </row>
    <row r="15" spans="2:21" s="429" customFormat="1" ht="15.95" customHeight="1" x14ac:dyDescent="0.2">
      <c r="B15" s="59" t="s">
        <v>309</v>
      </c>
      <c r="C15" s="29" t="s">
        <v>400</v>
      </c>
      <c r="D15" s="316">
        <v>0.5</v>
      </c>
      <c r="E15" s="218">
        <v>0.83</v>
      </c>
      <c r="F15" s="271">
        <f>(0.5*PI()*3.3^2*9+5.4*9*6.6)*$Q$3</f>
        <v>450.97806058970934</v>
      </c>
      <c r="G15" s="24">
        <f>E15*F15*D15</f>
        <v>187.15589514472936</v>
      </c>
      <c r="H15" s="16">
        <v>-16.8</v>
      </c>
      <c r="I15" s="16">
        <v>13.5</v>
      </c>
      <c r="J15" s="16">
        <v>3.3</v>
      </c>
      <c r="K15" s="169">
        <v>1000</v>
      </c>
      <c r="L15" s="169">
        <v>1000</v>
      </c>
      <c r="M15" s="430"/>
      <c r="N15" s="381"/>
      <c r="O15" s="426"/>
      <c r="P15" s="427"/>
      <c r="Q15" s="427"/>
      <c r="R15" s="427"/>
      <c r="S15" s="427"/>
      <c r="T15" s="427"/>
      <c r="U15" s="428"/>
    </row>
    <row r="16" spans="2:21" s="429" customFormat="1" ht="15.95" customHeight="1" x14ac:dyDescent="0.2">
      <c r="B16" s="58" t="s">
        <v>310</v>
      </c>
      <c r="C16" s="56" t="s">
        <v>401</v>
      </c>
      <c r="D16" s="316">
        <v>0.5</v>
      </c>
      <c r="E16" s="218">
        <v>0.83</v>
      </c>
      <c r="F16" s="271">
        <f>(0.5*PI()*3.3^2*9+5.4*9*6.6)*$Q$3</f>
        <v>450.97806058970934</v>
      </c>
      <c r="G16" s="24">
        <f>E16*F16*D16</f>
        <v>187.15589514472936</v>
      </c>
      <c r="H16" s="16">
        <v>-16.8</v>
      </c>
      <c r="I16" s="16">
        <v>-4.5</v>
      </c>
      <c r="J16" s="16">
        <v>3.3</v>
      </c>
      <c r="K16" s="169">
        <v>1000</v>
      </c>
      <c r="L16" s="169">
        <v>1000</v>
      </c>
      <c r="M16" s="430"/>
      <c r="N16" s="381"/>
      <c r="O16" s="426"/>
      <c r="P16" s="427"/>
      <c r="Q16" s="427"/>
      <c r="R16" s="427"/>
      <c r="S16" s="427"/>
      <c r="T16" s="427"/>
      <c r="U16" s="428"/>
    </row>
    <row r="17" spans="2:21" s="429" customFormat="1" ht="15.95" customHeight="1" x14ac:dyDescent="0.2">
      <c r="B17" s="59" t="s">
        <v>311</v>
      </c>
      <c r="C17" s="29" t="s">
        <v>401</v>
      </c>
      <c r="D17" s="316">
        <v>0.5</v>
      </c>
      <c r="E17" s="218">
        <v>0.83</v>
      </c>
      <c r="F17" s="271">
        <f>(0.5*PI()*3.3^2*9+5.4*9*6.6)*$Q$3</f>
        <v>450.97806058970934</v>
      </c>
      <c r="G17" s="24">
        <f>E17*F17*D17</f>
        <v>187.15589514472936</v>
      </c>
      <c r="H17" s="16">
        <v>-16.8</v>
      </c>
      <c r="I17" s="16">
        <v>-13.5</v>
      </c>
      <c r="J17" s="16">
        <v>3.3</v>
      </c>
      <c r="K17" s="169">
        <v>1000</v>
      </c>
      <c r="L17" s="169">
        <v>1000</v>
      </c>
      <c r="M17" s="430"/>
      <c r="N17" s="381"/>
      <c r="O17" s="426"/>
      <c r="P17" s="427"/>
      <c r="Q17" s="427"/>
      <c r="R17" s="427"/>
      <c r="S17" s="427"/>
      <c r="T17" s="427"/>
      <c r="U17" s="428"/>
    </row>
    <row r="18" spans="2:21" s="429" customFormat="1" ht="15.95" customHeight="1" thickBot="1" x14ac:dyDescent="0.25">
      <c r="B18" s="431"/>
      <c r="C18" s="432"/>
      <c r="D18" s="316"/>
      <c r="E18" s="433"/>
      <c r="F18" s="434"/>
      <c r="G18" s="435"/>
      <c r="H18" s="436"/>
      <c r="I18" s="436"/>
      <c r="J18" s="436"/>
      <c r="K18" s="436"/>
      <c r="L18" s="436"/>
      <c r="M18" s="437"/>
      <c r="N18" s="381"/>
      <c r="O18" s="426"/>
      <c r="P18" s="427"/>
      <c r="Q18" s="427"/>
      <c r="R18" s="427"/>
      <c r="S18" s="427"/>
      <c r="T18" s="427"/>
      <c r="U18" s="428"/>
    </row>
    <row r="19" spans="2:21" s="429" customFormat="1" ht="15.95" customHeight="1" thickTop="1" x14ac:dyDescent="0.2">
      <c r="B19" s="438"/>
      <c r="C19" s="439"/>
      <c r="D19" s="479"/>
      <c r="E19" s="440"/>
      <c r="F19" s="441" t="s">
        <v>33</v>
      </c>
      <c r="G19" s="442">
        <f>SUBTOTAL(9,G14:G18)</f>
        <v>748.62358057891743</v>
      </c>
      <c r="H19" s="443">
        <f>IF($G19=0,0,SUMPRODUCT($G14:$G18,H14:H18)/$G19)</f>
        <v>-16.8</v>
      </c>
      <c r="I19" s="443">
        <f>IF($G19=0,0,SUMPRODUCT($G14:$G18,I14:I18)/$G19)</f>
        <v>0</v>
      </c>
      <c r="J19" s="443">
        <f>IF($G19=0,0,SUMPRODUCT($G14:$G18,J14:J18)/$G19)</f>
        <v>3.3000000000000003</v>
      </c>
      <c r="K19" s="450">
        <f>SUBTOTAL(9,K14:K18)</f>
        <v>4000</v>
      </c>
      <c r="L19" s="450">
        <f>SUBTOTAL(9,L14:L18)</f>
        <v>4000</v>
      </c>
      <c r="M19" s="444"/>
      <c r="N19" s="381"/>
      <c r="O19" s="445" t="s">
        <v>546</v>
      </c>
      <c r="P19" s="446">
        <f t="shared" ref="P19:U19" si="0">G19</f>
        <v>748.62358057891743</v>
      </c>
      <c r="Q19" s="446">
        <f t="shared" si="0"/>
        <v>-16.8</v>
      </c>
      <c r="R19" s="446">
        <f t="shared" si="0"/>
        <v>0</v>
      </c>
      <c r="S19" s="446">
        <f t="shared" si="0"/>
        <v>3.3000000000000003</v>
      </c>
      <c r="T19" s="446">
        <f t="shared" si="0"/>
        <v>4000</v>
      </c>
      <c r="U19" s="447">
        <f t="shared" si="0"/>
        <v>4000</v>
      </c>
    </row>
    <row r="20" spans="2:21" s="429" customFormat="1" ht="15.95" customHeight="1" x14ac:dyDescent="0.2">
      <c r="B20" s="475"/>
      <c r="C20" s="419"/>
      <c r="D20" s="477"/>
      <c r="E20" s="419"/>
      <c r="F20" s="419"/>
      <c r="G20" s="419"/>
      <c r="H20" s="419"/>
      <c r="I20" s="419"/>
      <c r="J20" s="419"/>
      <c r="K20" s="419"/>
      <c r="L20" s="419"/>
      <c r="M20" s="476"/>
      <c r="N20" s="381"/>
      <c r="O20" s="426"/>
      <c r="P20" s="427"/>
      <c r="Q20" s="427"/>
      <c r="R20" s="427"/>
      <c r="S20" s="427"/>
      <c r="T20" s="427"/>
      <c r="U20" s="428"/>
    </row>
    <row r="21" spans="2:21" s="429" customFormat="1" ht="15.95" customHeight="1" x14ac:dyDescent="0.2">
      <c r="B21" s="463"/>
      <c r="C21" s="470" t="s">
        <v>544</v>
      </c>
      <c r="D21" s="478"/>
      <c r="E21" s="465"/>
      <c r="F21" s="466"/>
      <c r="G21" s="467"/>
      <c r="H21" s="468"/>
      <c r="I21" s="468"/>
      <c r="J21" s="468"/>
      <c r="K21" s="468"/>
      <c r="L21" s="468"/>
      <c r="M21" s="469"/>
      <c r="N21" s="454"/>
      <c r="O21" s="426"/>
      <c r="P21" s="427"/>
      <c r="Q21" s="427"/>
      <c r="R21" s="427"/>
      <c r="S21" s="427"/>
      <c r="T21" s="427"/>
      <c r="U21" s="428"/>
    </row>
    <row r="22" spans="2:21" s="429" customFormat="1" ht="15.95" customHeight="1" x14ac:dyDescent="0.2">
      <c r="B22" s="456"/>
      <c r="C22" s="448"/>
      <c r="D22" s="480"/>
      <c r="E22" s="449"/>
      <c r="F22" s="457"/>
      <c r="G22" s="458"/>
      <c r="H22" s="459"/>
      <c r="I22" s="459"/>
      <c r="J22" s="459"/>
      <c r="K22" s="459"/>
      <c r="L22" s="459"/>
      <c r="M22" s="460"/>
      <c r="N22" s="454"/>
      <c r="O22" s="426"/>
      <c r="P22" s="427"/>
      <c r="Q22" s="427"/>
      <c r="R22" s="427"/>
      <c r="S22" s="427"/>
      <c r="T22" s="427"/>
      <c r="U22" s="428"/>
    </row>
    <row r="23" spans="2:21" s="429" customFormat="1" ht="15.95" customHeight="1" x14ac:dyDescent="0.2">
      <c r="B23" s="82"/>
      <c r="C23" s="242" t="s">
        <v>458</v>
      </c>
      <c r="D23" s="484"/>
      <c r="E23" s="228"/>
      <c r="F23" s="242"/>
      <c r="G23" s="227"/>
      <c r="H23" s="227"/>
      <c r="I23" s="227"/>
      <c r="J23" s="227"/>
      <c r="K23" s="227"/>
      <c r="L23" s="227"/>
      <c r="M23" s="274"/>
      <c r="N23" s="454"/>
      <c r="O23" s="426"/>
      <c r="P23" s="427"/>
      <c r="Q23" s="427"/>
      <c r="R23" s="427"/>
      <c r="S23" s="427"/>
      <c r="T23" s="427"/>
      <c r="U23" s="428"/>
    </row>
    <row r="24" spans="2:21" s="429" customFormat="1" ht="15.95" customHeight="1" x14ac:dyDescent="0.2">
      <c r="B24" s="58" t="s">
        <v>306</v>
      </c>
      <c r="C24" s="56" t="s">
        <v>403</v>
      </c>
      <c r="D24" s="316">
        <v>0.5</v>
      </c>
      <c r="E24" s="218">
        <v>1</v>
      </c>
      <c r="F24" s="271">
        <f>7.2*(0.5*PI()*3.3^2+(12-3.3)*6.6)*$Q$3</f>
        <v>509.75764847176754</v>
      </c>
      <c r="G24" s="24">
        <f>E24*F24*D24</f>
        <v>254.87882423588377</v>
      </c>
      <c r="H24" s="16">
        <v>12.78</v>
      </c>
      <c r="I24" s="16">
        <v>23</v>
      </c>
      <c r="J24" s="16">
        <v>3.3</v>
      </c>
      <c r="K24" s="169">
        <v>1000</v>
      </c>
      <c r="L24" s="169">
        <v>1000</v>
      </c>
      <c r="M24" s="273" t="s">
        <v>407</v>
      </c>
      <c r="N24" s="454"/>
      <c r="O24" s="426"/>
      <c r="P24" s="427"/>
      <c r="Q24" s="427"/>
      <c r="R24" s="427"/>
      <c r="S24" s="427"/>
      <c r="T24" s="427"/>
      <c r="U24" s="428"/>
    </row>
    <row r="25" spans="2:21" s="429" customFormat="1" ht="15.95" customHeight="1" x14ac:dyDescent="0.2">
      <c r="B25" s="59"/>
      <c r="C25" s="56" t="s">
        <v>457</v>
      </c>
      <c r="D25" s="317"/>
      <c r="E25" s="310"/>
      <c r="F25" s="311"/>
      <c r="G25" s="24">
        <f>E25*F25*D25</f>
        <v>0</v>
      </c>
      <c r="H25" s="9"/>
      <c r="I25" s="9"/>
      <c r="J25" s="9"/>
      <c r="K25" s="311"/>
      <c r="L25" s="311"/>
      <c r="M25" s="276"/>
      <c r="N25" s="454"/>
      <c r="O25" s="426"/>
      <c r="P25" s="427"/>
      <c r="Q25" s="427"/>
      <c r="R25" s="427"/>
      <c r="S25" s="427"/>
      <c r="T25" s="427"/>
      <c r="U25" s="428"/>
    </row>
    <row r="26" spans="2:21" s="429" customFormat="1" ht="15.95" customHeight="1" thickBot="1" x14ac:dyDescent="0.25">
      <c r="B26" s="255"/>
      <c r="C26" s="252"/>
      <c r="D26" s="316"/>
      <c r="E26" s="256"/>
      <c r="F26" s="272"/>
      <c r="G26" s="253"/>
      <c r="H26" s="250"/>
      <c r="I26" s="250"/>
      <c r="J26" s="250"/>
      <c r="K26" s="250"/>
      <c r="L26" s="250"/>
      <c r="M26" s="276"/>
      <c r="N26" s="454"/>
      <c r="O26" s="426"/>
      <c r="P26" s="427"/>
      <c r="Q26" s="427"/>
      <c r="R26" s="427"/>
      <c r="S26" s="427"/>
      <c r="T26" s="427"/>
      <c r="U26" s="428"/>
    </row>
    <row r="27" spans="2:21" s="429" customFormat="1" ht="15.95" customHeight="1" thickTop="1" x14ac:dyDescent="0.2">
      <c r="B27" s="318"/>
      <c r="C27" s="319"/>
      <c r="D27" s="481"/>
      <c r="E27" s="321"/>
      <c r="F27" s="322" t="s">
        <v>33</v>
      </c>
      <c r="G27" s="323">
        <f>SUBTOTAL(9,G24:G26)</f>
        <v>254.87882423588377</v>
      </c>
      <c r="H27" s="324">
        <f>IF($G27=0,0,SUMPRODUCT($G24:$G26,H24:H26)/$G27)</f>
        <v>12.78</v>
      </c>
      <c r="I27" s="324">
        <f>IF($G27=0,0,SUMPRODUCT($G24:$G26,I24:I26)/$G27)</f>
        <v>23</v>
      </c>
      <c r="J27" s="324">
        <f>IF($G27=0,0,SUMPRODUCT($G24:$G26,J24:J26)/$G27)</f>
        <v>3.3</v>
      </c>
      <c r="K27" s="324">
        <f>SUBTOTAL(9,K24:K26)</f>
        <v>1000</v>
      </c>
      <c r="L27" s="324">
        <f>SUBTOTAL(9,L24:L26)</f>
        <v>1000</v>
      </c>
      <c r="M27" s="444"/>
      <c r="N27" s="381"/>
      <c r="O27" s="445" t="s">
        <v>533</v>
      </c>
      <c r="P27" s="446">
        <f t="shared" ref="P27:U27" si="1">G27</f>
        <v>254.87882423588377</v>
      </c>
      <c r="Q27" s="446">
        <f t="shared" si="1"/>
        <v>12.78</v>
      </c>
      <c r="R27" s="446">
        <f t="shared" si="1"/>
        <v>23</v>
      </c>
      <c r="S27" s="446">
        <f t="shared" si="1"/>
        <v>3.3</v>
      </c>
      <c r="T27" s="446">
        <f t="shared" si="1"/>
        <v>1000</v>
      </c>
      <c r="U27" s="447">
        <f t="shared" si="1"/>
        <v>1000</v>
      </c>
    </row>
    <row r="28" spans="2:21" ht="15.95" customHeight="1" x14ac:dyDescent="0.2">
      <c r="B28" s="243"/>
      <c r="C28" s="244"/>
      <c r="D28" s="482"/>
      <c r="E28" s="246"/>
      <c r="F28" s="279"/>
      <c r="G28" s="280"/>
      <c r="H28" s="281"/>
      <c r="I28" s="281"/>
      <c r="J28" s="281"/>
      <c r="K28" s="281"/>
      <c r="L28" s="281"/>
      <c r="M28" s="282"/>
    </row>
    <row r="29" spans="2:21" ht="15.95" customHeight="1" x14ac:dyDescent="0.2">
      <c r="B29" s="82"/>
      <c r="C29" s="242" t="s">
        <v>83</v>
      </c>
      <c r="D29" s="484"/>
      <c r="E29" s="228"/>
      <c r="F29" s="242"/>
      <c r="G29" s="227"/>
      <c r="H29" s="227"/>
      <c r="I29" s="227"/>
      <c r="J29" s="227"/>
      <c r="K29" s="227"/>
      <c r="L29" s="227"/>
      <c r="M29" s="274"/>
    </row>
    <row r="30" spans="2:21" ht="15.95" customHeight="1" x14ac:dyDescent="0.2">
      <c r="B30" s="58" t="s">
        <v>84</v>
      </c>
      <c r="C30" s="56" t="s">
        <v>466</v>
      </c>
      <c r="D30" s="316">
        <v>0.5</v>
      </c>
      <c r="E30" s="218">
        <v>0.8</v>
      </c>
      <c r="F30" s="271">
        <f>7.2*(0.5*PI()*3.3^2+(12-3.3)*6.6)*$Q$3</f>
        <v>509.75764847176754</v>
      </c>
      <c r="G30" s="24">
        <f>E30*F30*D30</f>
        <v>203.90305938870702</v>
      </c>
      <c r="H30" s="16">
        <v>29.32</v>
      </c>
      <c r="I30" s="16">
        <v>15.9</v>
      </c>
      <c r="J30" s="16">
        <v>3.3</v>
      </c>
      <c r="K30" s="169">
        <v>1000</v>
      </c>
      <c r="L30" s="169">
        <v>1000</v>
      </c>
      <c r="M30" s="273" t="s">
        <v>501</v>
      </c>
    </row>
    <row r="31" spans="2:21" ht="15.95" customHeight="1" x14ac:dyDescent="0.2">
      <c r="B31" s="59"/>
      <c r="C31" s="56" t="s">
        <v>457</v>
      </c>
      <c r="D31" s="317"/>
      <c r="E31" s="218"/>
      <c r="F31" s="271"/>
      <c r="G31" s="24">
        <f>E31*F31*D31</f>
        <v>0</v>
      </c>
      <c r="H31" s="16"/>
      <c r="I31" s="16"/>
      <c r="J31" s="16"/>
      <c r="K31" s="169"/>
      <c r="L31" s="169"/>
      <c r="M31" s="273"/>
    </row>
    <row r="32" spans="2:21" ht="15.95" customHeight="1" thickBot="1" x14ac:dyDescent="0.25">
      <c r="B32" s="255"/>
      <c r="C32" s="252"/>
      <c r="D32" s="316"/>
      <c r="E32" s="256"/>
      <c r="F32" s="272"/>
      <c r="G32" s="253"/>
      <c r="H32" s="250"/>
      <c r="I32" s="250"/>
      <c r="J32" s="250"/>
      <c r="K32" s="250"/>
      <c r="L32" s="272"/>
      <c r="M32" s="276"/>
    </row>
    <row r="33" spans="2:21" ht="15.95" customHeight="1" thickTop="1" x14ac:dyDescent="0.2">
      <c r="B33" s="318"/>
      <c r="C33" s="319"/>
      <c r="D33" s="481"/>
      <c r="E33" s="321"/>
      <c r="F33" s="322" t="s">
        <v>33</v>
      </c>
      <c r="G33" s="323">
        <f>SUBTOTAL(9,G30:G32)</f>
        <v>203.90305938870702</v>
      </c>
      <c r="H33" s="324">
        <f>IF($G33=0,0,SUMPRODUCT($G30:$G32,H30:H32)/$G33)</f>
        <v>29.32</v>
      </c>
      <c r="I33" s="324">
        <f>IF($G33=0,0,SUMPRODUCT($G30:$G32,I30:I32)/$G33)</f>
        <v>15.899999999999999</v>
      </c>
      <c r="J33" s="324">
        <f>IF($G33=0,0,SUMPRODUCT($G30:$G32,J30:J32)/$G33)</f>
        <v>3.3</v>
      </c>
      <c r="K33" s="324">
        <f>SUBTOTAL(9,K30:K32)</f>
        <v>1000</v>
      </c>
      <c r="L33" s="324">
        <f>SUBTOTAL(9,L30:L32)</f>
        <v>1000</v>
      </c>
      <c r="M33" s="444"/>
      <c r="O33" s="445" t="s">
        <v>543</v>
      </c>
      <c r="P33" s="446">
        <f t="shared" ref="P33:U33" si="2">G33</f>
        <v>203.90305938870702</v>
      </c>
      <c r="Q33" s="446">
        <f t="shared" si="2"/>
        <v>29.32</v>
      </c>
      <c r="R33" s="446">
        <f t="shared" si="2"/>
        <v>15.899999999999999</v>
      </c>
      <c r="S33" s="446">
        <f t="shared" si="2"/>
        <v>3.3</v>
      </c>
      <c r="T33" s="446">
        <f t="shared" si="2"/>
        <v>1000</v>
      </c>
      <c r="U33" s="447">
        <f t="shared" si="2"/>
        <v>1000</v>
      </c>
    </row>
    <row r="34" spans="2:21" ht="15.95" customHeight="1" x14ac:dyDescent="0.2">
      <c r="B34" s="475"/>
      <c r="C34" s="419"/>
      <c r="D34" s="477"/>
      <c r="E34" s="419"/>
      <c r="F34" s="419"/>
      <c r="G34" s="419"/>
      <c r="H34" s="419"/>
      <c r="I34" s="419"/>
      <c r="J34" s="419"/>
      <c r="K34" s="419"/>
      <c r="L34" s="419"/>
      <c r="M34" s="476"/>
    </row>
    <row r="35" spans="2:21" ht="15.95" customHeight="1" x14ac:dyDescent="0.2">
      <c r="B35" s="463"/>
      <c r="C35" s="470" t="s">
        <v>545</v>
      </c>
      <c r="D35" s="478"/>
      <c r="E35" s="465"/>
      <c r="F35" s="466"/>
      <c r="G35" s="467"/>
      <c r="H35" s="468"/>
      <c r="I35" s="468"/>
      <c r="J35" s="468"/>
      <c r="K35" s="468"/>
      <c r="L35" s="468"/>
      <c r="M35" s="469"/>
    </row>
    <row r="36" spans="2:21" ht="15.95" customHeight="1" x14ac:dyDescent="0.2">
      <c r="B36" s="456"/>
      <c r="C36" s="448"/>
      <c r="D36" s="480"/>
      <c r="E36" s="449"/>
      <c r="F36" s="457"/>
      <c r="G36" s="458"/>
      <c r="H36" s="459"/>
      <c r="I36" s="459"/>
      <c r="J36" s="459"/>
      <c r="K36" s="459"/>
      <c r="L36" s="459"/>
      <c r="M36" s="460"/>
    </row>
    <row r="37" spans="2:21" ht="15.95" customHeight="1" x14ac:dyDescent="0.2">
      <c r="B37" s="82"/>
      <c r="C37" s="242" t="s">
        <v>458</v>
      </c>
      <c r="D37" s="484"/>
      <c r="E37" s="228"/>
      <c r="F37" s="242"/>
      <c r="G37" s="227"/>
      <c r="H37" s="227"/>
      <c r="I37" s="227"/>
      <c r="J37" s="227"/>
      <c r="K37" s="227"/>
      <c r="L37" s="227"/>
      <c r="M37" s="274"/>
    </row>
    <row r="38" spans="2:21" ht="15.95" customHeight="1" x14ac:dyDescent="0.2">
      <c r="B38" s="59" t="s">
        <v>307</v>
      </c>
      <c r="C38" s="29" t="s">
        <v>402</v>
      </c>
      <c r="D38" s="317">
        <v>0.5</v>
      </c>
      <c r="E38" s="218">
        <v>1</v>
      </c>
      <c r="F38" s="271">
        <f>7.2*(0.5*PI()*3.3^2+(12-3.3)*6.6)*$Q$3</f>
        <v>509.75764847176754</v>
      </c>
      <c r="G38" s="24">
        <f>E38*F38*D38</f>
        <v>254.87882423588377</v>
      </c>
      <c r="H38" s="16">
        <v>12.78</v>
      </c>
      <c r="I38" s="16">
        <v>-23</v>
      </c>
      <c r="J38" s="16">
        <v>3.3</v>
      </c>
      <c r="K38" s="169">
        <v>1000</v>
      </c>
      <c r="L38" s="169">
        <v>1000</v>
      </c>
      <c r="M38" s="273" t="s">
        <v>407</v>
      </c>
    </row>
    <row r="39" spans="2:21" ht="15.95" customHeight="1" x14ac:dyDescent="0.2">
      <c r="B39" s="59"/>
      <c r="C39" s="56" t="s">
        <v>457</v>
      </c>
      <c r="D39" s="317"/>
      <c r="E39" s="310"/>
      <c r="F39" s="311"/>
      <c r="G39" s="24">
        <f>E39*F39*D39</f>
        <v>0</v>
      </c>
      <c r="H39" s="9"/>
      <c r="I39" s="9"/>
      <c r="J39" s="9"/>
      <c r="K39" s="311"/>
      <c r="L39" s="311"/>
      <c r="M39" s="276"/>
    </row>
    <row r="40" spans="2:21" ht="15.95" customHeight="1" thickBot="1" x14ac:dyDescent="0.25">
      <c r="B40" s="255"/>
      <c r="C40" s="252"/>
      <c r="D40" s="316"/>
      <c r="E40" s="256"/>
      <c r="F40" s="272"/>
      <c r="G40" s="253"/>
      <c r="H40" s="250"/>
      <c r="I40" s="250"/>
      <c r="J40" s="250"/>
      <c r="K40" s="250"/>
      <c r="L40" s="250"/>
      <c r="M40" s="276"/>
    </row>
    <row r="41" spans="2:21" ht="15.95" customHeight="1" thickTop="1" x14ac:dyDescent="0.2">
      <c r="B41" s="318"/>
      <c r="C41" s="319"/>
      <c r="D41" s="481"/>
      <c r="E41" s="321"/>
      <c r="F41" s="322" t="s">
        <v>33</v>
      </c>
      <c r="G41" s="323">
        <f>SUBTOTAL(9,G38:G40)</f>
        <v>254.87882423588377</v>
      </c>
      <c r="H41" s="324">
        <f>IF($G41=0,0,SUMPRODUCT($G38:$G40,H38:H40)/$G41)</f>
        <v>12.78</v>
      </c>
      <c r="I41" s="324">
        <f>IF($G41=0,0,SUMPRODUCT($G38:$G40,I38:I40)/$G41)</f>
        <v>-23</v>
      </c>
      <c r="J41" s="324">
        <f>IF($G41=0,0,SUMPRODUCT($G38:$G40,J38:J40)/$G41)</f>
        <v>3.3</v>
      </c>
      <c r="K41" s="324">
        <f>SUBTOTAL(9,K38:K40)</f>
        <v>1000</v>
      </c>
      <c r="L41" s="324">
        <f>SUBTOTAL(9,L38:L40)</f>
        <v>1000</v>
      </c>
      <c r="M41" s="444"/>
      <c r="O41" s="445" t="s">
        <v>547</v>
      </c>
      <c r="P41" s="446">
        <f t="shared" ref="P41:U41" si="3">G41</f>
        <v>254.87882423588377</v>
      </c>
      <c r="Q41" s="446">
        <f t="shared" si="3"/>
        <v>12.78</v>
      </c>
      <c r="R41" s="446">
        <f t="shared" si="3"/>
        <v>-23</v>
      </c>
      <c r="S41" s="446">
        <f t="shared" si="3"/>
        <v>3.3</v>
      </c>
      <c r="T41" s="446">
        <f t="shared" si="3"/>
        <v>1000</v>
      </c>
      <c r="U41" s="447">
        <f t="shared" si="3"/>
        <v>1000</v>
      </c>
    </row>
    <row r="42" spans="2:21" ht="15.95" customHeight="1" x14ac:dyDescent="0.2">
      <c r="E42" s="452"/>
      <c r="G42" s="451"/>
      <c r="M42" s="453"/>
    </row>
    <row r="43" spans="2:21" ht="15.95" customHeight="1" x14ac:dyDescent="0.2">
      <c r="E43" s="452"/>
      <c r="G43" s="451"/>
      <c r="M43" s="453"/>
    </row>
    <row r="44" spans="2:21" ht="15.95" customHeight="1" x14ac:dyDescent="0.2">
      <c r="E44" s="452"/>
      <c r="G44" s="451"/>
      <c r="M44" s="453"/>
    </row>
    <row r="45" spans="2:21" ht="15.95" customHeight="1" x14ac:dyDescent="0.2">
      <c r="E45" s="452"/>
      <c r="G45" s="451"/>
      <c r="M45" s="453"/>
    </row>
    <row r="46" spans="2:21" ht="15.95" customHeight="1" x14ac:dyDescent="0.2">
      <c r="E46" s="452"/>
      <c r="G46" s="451"/>
      <c r="M46" s="453"/>
    </row>
    <row r="47" spans="2:21" ht="15.95" customHeight="1" x14ac:dyDescent="0.2">
      <c r="E47" s="452"/>
      <c r="G47" s="451"/>
      <c r="M47" s="453"/>
    </row>
    <row r="48" spans="2:21" ht="15.95" customHeight="1" x14ac:dyDescent="0.2">
      <c r="E48" s="452"/>
      <c r="G48" s="451"/>
      <c r="M48" s="453"/>
    </row>
    <row r="49" spans="5:13" ht="15.95" customHeight="1" x14ac:dyDescent="0.2">
      <c r="E49" s="452"/>
      <c r="G49" s="451"/>
      <c r="M49" s="453"/>
    </row>
    <row r="50" spans="5:13" ht="15.95" customHeight="1" x14ac:dyDescent="0.2">
      <c r="E50" s="452"/>
      <c r="G50" s="451"/>
      <c r="M50" s="453"/>
    </row>
    <row r="51" spans="5:13" ht="15.95" customHeight="1" x14ac:dyDescent="0.2">
      <c r="E51" s="452"/>
      <c r="G51" s="451"/>
      <c r="M51" s="453"/>
    </row>
    <row r="52" spans="5:13" ht="15.95" customHeight="1" x14ac:dyDescent="0.2">
      <c r="E52" s="452"/>
      <c r="G52" s="451"/>
      <c r="M52" s="453"/>
    </row>
    <row r="53" spans="5:13" ht="15.95" customHeight="1" x14ac:dyDescent="0.2">
      <c r="E53" s="452"/>
      <c r="G53" s="451"/>
      <c r="M53" s="453"/>
    </row>
    <row r="54" spans="5:13" ht="15.95" customHeight="1" x14ac:dyDescent="0.2">
      <c r="E54" s="452"/>
      <c r="G54" s="451"/>
      <c r="M54" s="453"/>
    </row>
    <row r="55" spans="5:13" ht="15.95" customHeight="1" x14ac:dyDescent="0.2">
      <c r="E55" s="452"/>
      <c r="G55" s="451"/>
      <c r="M55" s="453"/>
    </row>
    <row r="56" spans="5:13" ht="15.95" customHeight="1" x14ac:dyDescent="0.2">
      <c r="E56" s="452"/>
      <c r="G56" s="451"/>
      <c r="M56" s="453"/>
    </row>
    <row r="57" spans="5:13" ht="15.95" customHeight="1" x14ac:dyDescent="0.2">
      <c r="E57" s="452"/>
      <c r="G57" s="451"/>
      <c r="M57" s="453"/>
    </row>
    <row r="58" spans="5:13" ht="15.95" customHeight="1" x14ac:dyDescent="0.2">
      <c r="E58" s="452"/>
      <c r="G58" s="451"/>
      <c r="M58" s="453"/>
    </row>
    <row r="59" spans="5:13" ht="15.95" customHeight="1" x14ac:dyDescent="0.2">
      <c r="E59" s="452"/>
      <c r="G59" s="451"/>
      <c r="M59" s="453"/>
    </row>
    <row r="60" spans="5:13" ht="15.95" customHeight="1" x14ac:dyDescent="0.2">
      <c r="E60" s="452"/>
      <c r="G60" s="451"/>
      <c r="M60" s="453"/>
    </row>
    <row r="61" spans="5:13" ht="15.95" customHeight="1" x14ac:dyDescent="0.2">
      <c r="E61" s="452"/>
      <c r="G61" s="451"/>
      <c r="M61" s="453"/>
    </row>
    <row r="62" spans="5:13" ht="15.95" customHeight="1" x14ac:dyDescent="0.2">
      <c r="E62" s="452"/>
      <c r="G62" s="451"/>
      <c r="M62" s="453"/>
    </row>
    <row r="63" spans="5:13" ht="15.95" customHeight="1" x14ac:dyDescent="0.2">
      <c r="E63" s="452"/>
      <c r="G63" s="451"/>
      <c r="M63" s="453"/>
    </row>
    <row r="64" spans="5:13" ht="15.95" customHeight="1" x14ac:dyDescent="0.2">
      <c r="E64" s="452"/>
      <c r="G64" s="451"/>
      <c r="M64" s="453"/>
    </row>
    <row r="65" spans="5:13" ht="15.95" customHeight="1" x14ac:dyDescent="0.2">
      <c r="E65" s="452"/>
      <c r="G65" s="451"/>
      <c r="M65" s="453"/>
    </row>
    <row r="66" spans="5:13" ht="15.95" customHeight="1" x14ac:dyDescent="0.2">
      <c r="E66" s="452"/>
      <c r="G66" s="451"/>
      <c r="M66" s="453"/>
    </row>
    <row r="67" spans="5:13" ht="15.95" customHeight="1" x14ac:dyDescent="0.2">
      <c r="E67" s="452"/>
      <c r="G67" s="451"/>
      <c r="M67" s="453"/>
    </row>
    <row r="68" spans="5:13" ht="15.95" customHeight="1" x14ac:dyDescent="0.2">
      <c r="E68" s="452"/>
      <c r="G68" s="451"/>
      <c r="M68" s="453"/>
    </row>
    <row r="69" spans="5:13" ht="15.95" customHeight="1" x14ac:dyDescent="0.2">
      <c r="E69" s="452"/>
      <c r="G69" s="451"/>
      <c r="M69" s="453"/>
    </row>
    <row r="70" spans="5:13" ht="15.95" customHeight="1" x14ac:dyDescent="0.2">
      <c r="E70" s="452"/>
      <c r="G70" s="451"/>
      <c r="M70" s="453"/>
    </row>
    <row r="71" spans="5:13" ht="15.95" customHeight="1" x14ac:dyDescent="0.2">
      <c r="E71" s="452"/>
      <c r="G71" s="451"/>
      <c r="M71" s="453"/>
    </row>
    <row r="72" spans="5:13" ht="15.95" customHeight="1" x14ac:dyDescent="0.2">
      <c r="E72" s="452"/>
      <c r="G72" s="451"/>
      <c r="M72" s="453"/>
    </row>
    <row r="73" spans="5:13" ht="15.95" customHeight="1" x14ac:dyDescent="0.2">
      <c r="E73" s="452"/>
      <c r="G73" s="451"/>
      <c r="M73" s="453"/>
    </row>
    <row r="74" spans="5:13" ht="15.95" customHeight="1" x14ac:dyDescent="0.2">
      <c r="E74" s="452"/>
      <c r="G74" s="451"/>
      <c r="M74" s="453"/>
    </row>
    <row r="75" spans="5:13" ht="15.95" customHeight="1" x14ac:dyDescent="0.2">
      <c r="E75" s="452"/>
      <c r="G75" s="451"/>
      <c r="M75" s="453"/>
    </row>
    <row r="76" spans="5:13" ht="15.95" customHeight="1" x14ac:dyDescent="0.2">
      <c r="E76" s="452"/>
      <c r="G76" s="451"/>
      <c r="M76" s="453"/>
    </row>
    <row r="77" spans="5:13" ht="15.95" customHeight="1" x14ac:dyDescent="0.2">
      <c r="E77" s="452"/>
      <c r="G77" s="451"/>
      <c r="M77" s="453"/>
    </row>
    <row r="78" spans="5:13" ht="15.95" customHeight="1" x14ac:dyDescent="0.2">
      <c r="E78" s="452"/>
      <c r="G78" s="451"/>
      <c r="M78" s="453"/>
    </row>
    <row r="79" spans="5:13" ht="15.95" customHeight="1" x14ac:dyDescent="0.2">
      <c r="E79" s="452"/>
      <c r="G79" s="451"/>
      <c r="M79" s="453"/>
    </row>
    <row r="80" spans="5:13" ht="15.95" customHeight="1" x14ac:dyDescent="0.2">
      <c r="E80" s="452"/>
      <c r="G80" s="451"/>
      <c r="M80" s="453"/>
    </row>
    <row r="81" spans="5:13" ht="15.95" customHeight="1" x14ac:dyDescent="0.2">
      <c r="E81" s="452"/>
      <c r="G81" s="451"/>
      <c r="M81" s="453"/>
    </row>
    <row r="82" spans="5:13" ht="15.95" customHeight="1" x14ac:dyDescent="0.2">
      <c r="E82" s="452"/>
      <c r="G82" s="451"/>
      <c r="M82" s="453"/>
    </row>
    <row r="83" spans="5:13" ht="15.95" customHeight="1" x14ac:dyDescent="0.2">
      <c r="E83" s="452"/>
      <c r="G83" s="451"/>
      <c r="M83" s="453"/>
    </row>
    <row r="84" spans="5:13" ht="15.95" customHeight="1" x14ac:dyDescent="0.2">
      <c r="E84" s="452"/>
      <c r="G84" s="451"/>
      <c r="M84" s="453"/>
    </row>
    <row r="85" spans="5:13" ht="15.95" customHeight="1" x14ac:dyDescent="0.2">
      <c r="E85" s="452"/>
      <c r="G85" s="451"/>
      <c r="M85" s="453"/>
    </row>
    <row r="86" spans="5:13" ht="15.95" customHeight="1" x14ac:dyDescent="0.2">
      <c r="E86" s="452"/>
      <c r="G86" s="451"/>
      <c r="M86" s="453"/>
    </row>
    <row r="87" spans="5:13" ht="15.95" customHeight="1" x14ac:dyDescent="0.2">
      <c r="E87" s="452"/>
      <c r="G87" s="451"/>
      <c r="M87" s="453"/>
    </row>
    <row r="88" spans="5:13" ht="15.95" customHeight="1" x14ac:dyDescent="0.2">
      <c r="E88" s="452"/>
      <c r="G88" s="451"/>
      <c r="M88" s="453"/>
    </row>
    <row r="89" spans="5:13" ht="15.95" customHeight="1" x14ac:dyDescent="0.2">
      <c r="E89" s="452"/>
      <c r="G89" s="451"/>
      <c r="M89" s="453"/>
    </row>
    <row r="90" spans="5:13" ht="15.95" customHeight="1" x14ac:dyDescent="0.2">
      <c r="E90" s="452"/>
      <c r="G90" s="451"/>
      <c r="M90" s="453"/>
    </row>
    <row r="91" spans="5:13" ht="15.95" customHeight="1" x14ac:dyDescent="0.2">
      <c r="E91" s="452"/>
      <c r="G91" s="451"/>
      <c r="M91" s="453"/>
    </row>
    <row r="92" spans="5:13" ht="15.95" customHeight="1" x14ac:dyDescent="0.2">
      <c r="E92" s="452"/>
      <c r="G92" s="451"/>
      <c r="M92" s="453"/>
    </row>
    <row r="93" spans="5:13" ht="15.95" customHeight="1" x14ac:dyDescent="0.2">
      <c r="E93" s="452"/>
      <c r="G93" s="451"/>
      <c r="M93" s="453"/>
    </row>
    <row r="94" spans="5:13" ht="15.95" customHeight="1" x14ac:dyDescent="0.2">
      <c r="E94" s="452"/>
      <c r="G94" s="451"/>
      <c r="M94" s="453"/>
    </row>
    <row r="95" spans="5:13" ht="15.95" customHeight="1" x14ac:dyDescent="0.2">
      <c r="E95" s="452"/>
      <c r="G95" s="451"/>
      <c r="M95" s="453"/>
    </row>
    <row r="96" spans="5:13" ht="15.95" customHeight="1" x14ac:dyDescent="0.2">
      <c r="E96" s="452"/>
      <c r="G96" s="451"/>
      <c r="M96" s="453"/>
    </row>
    <row r="97" spans="5:13" ht="15.95" customHeight="1" x14ac:dyDescent="0.2">
      <c r="E97" s="452"/>
      <c r="G97" s="451"/>
      <c r="M97" s="453"/>
    </row>
    <row r="98" spans="5:13" ht="15.95" customHeight="1" x14ac:dyDescent="0.2">
      <c r="E98" s="452"/>
      <c r="G98" s="451"/>
      <c r="M98" s="453"/>
    </row>
    <row r="99" spans="5:13" ht="15.95" customHeight="1" x14ac:dyDescent="0.2">
      <c r="E99" s="452"/>
      <c r="G99" s="451"/>
      <c r="M99" s="453"/>
    </row>
    <row r="100" spans="5:13" ht="15.95" customHeight="1" x14ac:dyDescent="0.2">
      <c r="E100" s="452"/>
      <c r="G100" s="451"/>
      <c r="M100" s="453"/>
    </row>
    <row r="101" spans="5:13" ht="15.95" customHeight="1" x14ac:dyDescent="0.2">
      <c r="E101" s="452"/>
      <c r="G101" s="451"/>
      <c r="M101" s="453"/>
    </row>
    <row r="102" spans="5:13" ht="15.95" customHeight="1" x14ac:dyDescent="0.2">
      <c r="E102" s="452"/>
      <c r="G102" s="451"/>
      <c r="M102" s="453"/>
    </row>
    <row r="103" spans="5:13" ht="15.95" customHeight="1" x14ac:dyDescent="0.2">
      <c r="E103" s="452"/>
      <c r="G103" s="451"/>
      <c r="M103" s="453"/>
    </row>
    <row r="104" spans="5:13" ht="15.95" customHeight="1" x14ac:dyDescent="0.2">
      <c r="E104" s="452"/>
      <c r="G104" s="451"/>
      <c r="M104" s="453"/>
    </row>
    <row r="105" spans="5:13" ht="15.95" customHeight="1" x14ac:dyDescent="0.2">
      <c r="E105" s="452"/>
      <c r="G105" s="451"/>
      <c r="M105" s="453"/>
    </row>
    <row r="106" spans="5:13" ht="15.95" customHeight="1" x14ac:dyDescent="0.2">
      <c r="E106" s="452"/>
      <c r="G106" s="451"/>
      <c r="M106" s="453"/>
    </row>
    <row r="107" spans="5:13" ht="15.95" customHeight="1" x14ac:dyDescent="0.2">
      <c r="E107" s="452"/>
      <c r="G107" s="451"/>
      <c r="M107" s="453"/>
    </row>
    <row r="108" spans="5:13" ht="15.95" customHeight="1" x14ac:dyDescent="0.2">
      <c r="E108" s="452"/>
      <c r="G108" s="451"/>
      <c r="M108" s="453"/>
    </row>
    <row r="109" spans="5:13" ht="15.95" customHeight="1" x14ac:dyDescent="0.2">
      <c r="E109" s="452"/>
      <c r="G109" s="451"/>
      <c r="M109" s="453"/>
    </row>
    <row r="110" spans="5:13" ht="15.95" customHeight="1" x14ac:dyDescent="0.2">
      <c r="E110" s="452"/>
      <c r="G110" s="451"/>
      <c r="M110" s="453"/>
    </row>
    <row r="111" spans="5:13" ht="15.95" customHeight="1" x14ac:dyDescent="0.2">
      <c r="E111" s="452"/>
      <c r="G111" s="451"/>
      <c r="M111" s="453"/>
    </row>
    <row r="112" spans="5:13" ht="15.95" customHeight="1" x14ac:dyDescent="0.2"/>
    <row r="113" ht="15.95" customHeight="1" x14ac:dyDescent="0.2"/>
    <row r="114" ht="15.95" customHeight="1" x14ac:dyDescent="0.2"/>
    <row r="115" ht="15.95" customHeight="1" x14ac:dyDescent="0.2"/>
    <row r="116" ht="15.95" customHeight="1" x14ac:dyDescent="0.2"/>
    <row r="117" ht="15.95" customHeight="1" x14ac:dyDescent="0.2"/>
    <row r="118" ht="15.95" customHeight="1" x14ac:dyDescent="0.2"/>
    <row r="119" ht="15.95" customHeight="1" x14ac:dyDescent="0.2"/>
    <row r="120" ht="15.95" customHeight="1" x14ac:dyDescent="0.2"/>
    <row r="121" ht="15.95" customHeight="1" x14ac:dyDescent="0.2"/>
    <row r="122" ht="15.95" customHeight="1" x14ac:dyDescent="0.2"/>
    <row r="123" ht="15.95" customHeight="1" x14ac:dyDescent="0.2"/>
    <row r="124" ht="15.95" customHeight="1" x14ac:dyDescent="0.2"/>
    <row r="125" ht="15.95" customHeight="1" x14ac:dyDescent="0.2"/>
    <row r="126" ht="15.95" customHeight="1" x14ac:dyDescent="0.2"/>
    <row r="127" ht="15.95" customHeight="1" x14ac:dyDescent="0.2"/>
    <row r="128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  <row r="693" ht="15.95" customHeight="1" x14ac:dyDescent="0.2"/>
    <row r="694" ht="15.95" customHeight="1" x14ac:dyDescent="0.2"/>
    <row r="695" ht="15.95" customHeight="1" x14ac:dyDescent="0.2"/>
    <row r="696" ht="15.95" customHeight="1" x14ac:dyDescent="0.2"/>
    <row r="697" ht="15.95" customHeight="1" x14ac:dyDescent="0.2"/>
    <row r="698" ht="15.95" customHeight="1" x14ac:dyDescent="0.2"/>
    <row r="699" ht="15.95" customHeight="1" x14ac:dyDescent="0.2"/>
    <row r="700" ht="15.95" customHeight="1" x14ac:dyDescent="0.2"/>
  </sheetData>
  <dataConsolidate/>
  <mergeCells count="15">
    <mergeCell ref="J7:J8"/>
    <mergeCell ref="O7:U7"/>
    <mergeCell ref="F7:F8"/>
    <mergeCell ref="G7:G8"/>
    <mergeCell ref="H7:H8"/>
    <mergeCell ref="I7:I8"/>
    <mergeCell ref="K7:K8"/>
    <mergeCell ref="L7:L8"/>
    <mergeCell ref="M7:M9"/>
    <mergeCell ref="D2:I3"/>
    <mergeCell ref="D4:I5"/>
    <mergeCell ref="B7:B9"/>
    <mergeCell ref="C7:C9"/>
    <mergeCell ref="D7:D8"/>
    <mergeCell ref="E7:E8"/>
  </mergeCells>
  <phoneticPr fontId="4" type="noConversion"/>
  <conditionalFormatting sqref="E41 E33 E27:E28 E24:F26 E30:F32 E38:F40">
    <cfRule type="expression" dxfId="48" priority="1" stopIfTrue="1">
      <formula>#REF!="B"</formula>
    </cfRule>
  </conditionalFormatting>
  <conditionalFormatting sqref="E35:E36 E19 E21:E22 E11:E12 E14:F18">
    <cfRule type="expression" dxfId="47" priority="2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B1:U624"/>
  <sheetViews>
    <sheetView topLeftCell="B1" zoomScale="85" zoomScaleNormal="85" zoomScaleSheetLayoutView="85" workbookViewId="0">
      <pane ySplit="10" topLeftCell="A11" activePane="bottomLeft" state="frozen"/>
      <selection activeCell="C2" sqref="C2:U36"/>
      <selection pane="bottomLeft" activeCell="J142" sqref="J142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451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379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529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40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0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38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1"/>
      <c r="G8" s="611"/>
      <c r="H8" s="611"/>
      <c r="I8" s="611"/>
      <c r="J8" s="611"/>
      <c r="K8" s="611"/>
      <c r="L8" s="611"/>
      <c r="M8" s="639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416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40"/>
      <c r="O9" s="417"/>
    </row>
    <row r="10" spans="2:21" ht="15.95" customHeight="1" thickTop="1" x14ac:dyDescent="0.2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20"/>
    </row>
    <row r="11" spans="2:21" ht="15.95" customHeight="1" x14ac:dyDescent="0.2">
      <c r="B11" s="463"/>
      <c r="C11" s="470" t="s">
        <v>548</v>
      </c>
      <c r="D11" s="464"/>
      <c r="E11" s="465"/>
      <c r="F11" s="466"/>
      <c r="G11" s="467"/>
      <c r="H11" s="468"/>
      <c r="I11" s="468"/>
      <c r="J11" s="468"/>
      <c r="K11" s="468"/>
      <c r="L11" s="468"/>
      <c r="M11" s="469"/>
    </row>
    <row r="12" spans="2:21" ht="15.95" customHeight="1" x14ac:dyDescent="0.2">
      <c r="B12" s="243"/>
      <c r="C12" s="244"/>
      <c r="D12" s="245"/>
      <c r="E12" s="246"/>
      <c r="F12" s="279"/>
      <c r="G12" s="280"/>
      <c r="H12" s="281"/>
      <c r="I12" s="281"/>
      <c r="J12" s="281"/>
      <c r="K12" s="281"/>
      <c r="L12" s="281"/>
      <c r="M12" s="282"/>
    </row>
    <row r="13" spans="2:21" ht="15.95" customHeight="1" x14ac:dyDescent="0.2">
      <c r="B13" s="82"/>
      <c r="C13" s="242" t="s">
        <v>460</v>
      </c>
      <c r="D13" s="227"/>
      <c r="E13" s="228"/>
      <c r="F13" s="242"/>
      <c r="G13" s="227"/>
      <c r="H13" s="227"/>
      <c r="I13" s="227"/>
      <c r="J13" s="227"/>
      <c r="K13" s="227"/>
      <c r="L13" s="227"/>
      <c r="M13" s="274"/>
    </row>
    <row r="14" spans="2:21" ht="15.95" customHeight="1" x14ac:dyDescent="0.2">
      <c r="B14" s="58" t="s">
        <v>321</v>
      </c>
      <c r="C14" s="56" t="s">
        <v>429</v>
      </c>
      <c r="D14" s="316">
        <v>0</v>
      </c>
      <c r="E14" s="309">
        <v>1.73</v>
      </c>
      <c r="F14" s="271">
        <f>8.1*7.2*4.5*$Q$3</f>
        <v>249.31799999999998</v>
      </c>
      <c r="G14" s="24">
        <f>+E14*F14*D14</f>
        <v>0</v>
      </c>
      <c r="H14" s="16">
        <v>-26.55</v>
      </c>
      <c r="I14" s="16">
        <v>28.2</v>
      </c>
      <c r="J14" s="16">
        <v>3.3</v>
      </c>
      <c r="K14" s="16">
        <v>4</v>
      </c>
      <c r="L14" s="16">
        <v>5</v>
      </c>
      <c r="M14" s="312"/>
    </row>
    <row r="15" spans="2:21" ht="15.95" customHeight="1" x14ac:dyDescent="0.2">
      <c r="B15" s="59" t="s">
        <v>322</v>
      </c>
      <c r="C15" s="56" t="s">
        <v>429</v>
      </c>
      <c r="D15" s="317">
        <v>0</v>
      </c>
      <c r="E15" s="310">
        <v>1.73</v>
      </c>
      <c r="F15" s="271">
        <f>8.1*5.4*4.5*$Q$3</f>
        <v>186.98850000000002</v>
      </c>
      <c r="G15" s="24">
        <f>+E15*F15*D15</f>
        <v>0</v>
      </c>
      <c r="H15" s="9">
        <v>-26.55</v>
      </c>
      <c r="I15" s="9">
        <v>36.6</v>
      </c>
      <c r="J15" s="9">
        <v>3.3</v>
      </c>
      <c r="K15" s="9">
        <v>4</v>
      </c>
      <c r="L15" s="9">
        <v>5</v>
      </c>
      <c r="M15" s="313"/>
    </row>
    <row r="16" spans="2:21" ht="15.95" customHeight="1" thickBot="1" x14ac:dyDescent="0.25">
      <c r="B16" s="255"/>
      <c r="C16" s="252"/>
      <c r="D16" s="316"/>
      <c r="E16" s="256"/>
      <c r="F16" s="272"/>
      <c r="G16" s="253"/>
      <c r="H16" s="250"/>
      <c r="I16" s="250"/>
      <c r="J16" s="250"/>
      <c r="K16" s="250"/>
      <c r="L16" s="250"/>
      <c r="M16" s="276"/>
    </row>
    <row r="17" spans="2:21" ht="15.95" customHeight="1" thickTop="1" x14ac:dyDescent="0.2">
      <c r="B17" s="318"/>
      <c r="C17" s="319"/>
      <c r="D17" s="320"/>
      <c r="E17" s="321"/>
      <c r="F17" s="322" t="s">
        <v>33</v>
      </c>
      <c r="G17" s="323">
        <f>SUBTOTAL(9,G14:G16)</f>
        <v>0</v>
      </c>
      <c r="H17" s="324">
        <f>IF($G17=0,0,SUMPRODUCT($G14:$G16,H14:H16)/$G17)</f>
        <v>0</v>
      </c>
      <c r="I17" s="324">
        <f>IF($G17=0,0,SUMPRODUCT($G14:$G16,I14:I16)/$G17)</f>
        <v>0</v>
      </c>
      <c r="J17" s="324">
        <f>IF($G17=0,0,SUMPRODUCT($G14:$G16,J14:J16)/$G17)</f>
        <v>0</v>
      </c>
      <c r="K17" s="324">
        <f>SUBTOTAL(9,K14:K16)</f>
        <v>8</v>
      </c>
      <c r="L17" s="324">
        <f>SUBTOTAL(9,L14:L16)</f>
        <v>10</v>
      </c>
      <c r="M17" s="444"/>
      <c r="O17" s="445" t="s">
        <v>551</v>
      </c>
      <c r="P17" s="446">
        <f t="shared" ref="P17:U17" si="0">G17</f>
        <v>0</v>
      </c>
      <c r="Q17" s="446">
        <f t="shared" si="0"/>
        <v>0</v>
      </c>
      <c r="R17" s="446">
        <f t="shared" si="0"/>
        <v>0</v>
      </c>
      <c r="S17" s="446">
        <f t="shared" si="0"/>
        <v>0</v>
      </c>
      <c r="T17" s="446">
        <f t="shared" si="0"/>
        <v>8</v>
      </c>
      <c r="U17" s="447">
        <f t="shared" si="0"/>
        <v>10</v>
      </c>
    </row>
    <row r="18" spans="2:21" ht="15.95" customHeight="1" x14ac:dyDescent="0.2">
      <c r="B18" s="243"/>
      <c r="C18" s="244"/>
      <c r="D18" s="245"/>
      <c r="E18" s="246"/>
      <c r="F18" s="257"/>
      <c r="G18" s="247"/>
      <c r="H18" s="248"/>
      <c r="I18" s="248"/>
      <c r="J18" s="248"/>
      <c r="K18" s="248"/>
      <c r="L18" s="248"/>
      <c r="M18" s="282"/>
    </row>
    <row r="19" spans="2:21" ht="15.95" customHeight="1" x14ac:dyDescent="0.2">
      <c r="B19" s="82"/>
      <c r="C19" s="242" t="s">
        <v>462</v>
      </c>
      <c r="D19" s="227"/>
      <c r="E19" s="228"/>
      <c r="F19" s="242"/>
      <c r="G19" s="227"/>
      <c r="H19" s="227"/>
      <c r="I19" s="227"/>
      <c r="J19" s="227"/>
      <c r="K19" s="227"/>
      <c r="L19" s="227"/>
      <c r="M19" s="274"/>
    </row>
    <row r="20" spans="2:21" ht="15.95" customHeight="1" x14ac:dyDescent="0.2">
      <c r="B20" s="314" t="s">
        <v>430</v>
      </c>
      <c r="C20" s="56" t="s">
        <v>431</v>
      </c>
      <c r="D20" s="316">
        <v>0.8</v>
      </c>
      <c r="E20" s="310">
        <v>1.73</v>
      </c>
      <c r="F20" s="311">
        <v>61</v>
      </c>
      <c r="G20" s="24">
        <f>+E20*F20*D20</f>
        <v>84.424000000000007</v>
      </c>
      <c r="H20" s="9">
        <v>-26.5</v>
      </c>
      <c r="I20" s="9">
        <v>37.15</v>
      </c>
      <c r="J20" s="9">
        <v>10.5</v>
      </c>
      <c r="K20" s="9">
        <v>1000</v>
      </c>
      <c r="L20" s="9">
        <v>1000</v>
      </c>
      <c r="M20" s="313"/>
    </row>
    <row r="21" spans="2:21" ht="15.95" customHeight="1" x14ac:dyDescent="0.2">
      <c r="B21" s="314" t="s">
        <v>432</v>
      </c>
      <c r="C21" s="56" t="s">
        <v>433</v>
      </c>
      <c r="D21" s="316">
        <v>0.8</v>
      </c>
      <c r="E21" s="310">
        <v>1.73</v>
      </c>
      <c r="F21" s="311">
        <v>61</v>
      </c>
      <c r="G21" s="24">
        <f>+E21*F21*D21</f>
        <v>84.424000000000007</v>
      </c>
      <c r="H21" s="9">
        <v>-26.5</v>
      </c>
      <c r="I21" s="9">
        <v>33</v>
      </c>
      <c r="J21" s="9">
        <v>10.5</v>
      </c>
      <c r="K21" s="9">
        <v>1000</v>
      </c>
      <c r="L21" s="9">
        <v>1000</v>
      </c>
      <c r="M21" s="313"/>
    </row>
    <row r="22" spans="2:21" ht="15.95" customHeight="1" x14ac:dyDescent="0.2">
      <c r="B22" s="314" t="s">
        <v>434</v>
      </c>
      <c r="C22" s="56" t="s">
        <v>435</v>
      </c>
      <c r="D22" s="317">
        <v>0.8</v>
      </c>
      <c r="E22" s="309">
        <v>1.73</v>
      </c>
      <c r="F22" s="311">
        <v>61</v>
      </c>
      <c r="G22" s="24">
        <f>+E22*F22*D22</f>
        <v>84.424000000000007</v>
      </c>
      <c r="H22" s="16">
        <v>-26.5</v>
      </c>
      <c r="I22" s="16">
        <v>29.2</v>
      </c>
      <c r="J22" s="16">
        <v>10.5</v>
      </c>
      <c r="K22" s="16">
        <v>1000</v>
      </c>
      <c r="L22" s="16">
        <v>1000</v>
      </c>
      <c r="M22" s="313"/>
    </row>
    <row r="23" spans="2:21" ht="15.95" customHeight="1" thickBot="1" x14ac:dyDescent="0.25">
      <c r="B23" s="255"/>
      <c r="C23" s="252"/>
      <c r="D23" s="316"/>
      <c r="E23" s="256"/>
      <c r="F23" s="272"/>
      <c r="G23" s="253"/>
      <c r="H23" s="250"/>
      <c r="I23" s="250"/>
      <c r="J23" s="250"/>
      <c r="K23" s="250"/>
      <c r="L23" s="250"/>
      <c r="M23" s="276"/>
    </row>
    <row r="24" spans="2:21" ht="15.95" customHeight="1" thickTop="1" x14ac:dyDescent="0.2">
      <c r="B24" s="318"/>
      <c r="C24" s="319"/>
      <c r="D24" s="320"/>
      <c r="E24" s="321"/>
      <c r="F24" s="322" t="s">
        <v>33</v>
      </c>
      <c r="G24" s="323">
        <f>SUBTOTAL(9,G20:G23)</f>
        <v>253.27200000000002</v>
      </c>
      <c r="H24" s="324">
        <f>IF($G24=0,0,SUMPRODUCT($G20:$G23,H20:H23)/$G24)</f>
        <v>-26.5</v>
      </c>
      <c r="I24" s="324">
        <f>IF($G24=0,0,SUMPRODUCT($G20:$G23,I20:I23)/$G24)</f>
        <v>33.116666666666667</v>
      </c>
      <c r="J24" s="324">
        <f>IF($G24=0,0,SUMPRODUCT($G20:$G23,J20:J23)/$G24)</f>
        <v>10.5</v>
      </c>
      <c r="K24" s="324">
        <f>SUBTOTAL(9,K20:K23)</f>
        <v>3000</v>
      </c>
      <c r="L24" s="324">
        <f>SUBTOTAL(9,L20:L23)</f>
        <v>3000</v>
      </c>
      <c r="M24" s="444"/>
      <c r="O24" s="445" t="s">
        <v>552</v>
      </c>
      <c r="P24" s="446">
        <f t="shared" ref="P24:U24" si="1">G24</f>
        <v>253.27200000000002</v>
      </c>
      <c r="Q24" s="446">
        <f t="shared" si="1"/>
        <v>-26.5</v>
      </c>
      <c r="R24" s="446">
        <f t="shared" si="1"/>
        <v>33.116666666666667</v>
      </c>
      <c r="S24" s="446">
        <f t="shared" si="1"/>
        <v>10.5</v>
      </c>
      <c r="T24" s="446">
        <f t="shared" si="1"/>
        <v>3000</v>
      </c>
      <c r="U24" s="447">
        <f t="shared" si="1"/>
        <v>3000</v>
      </c>
    </row>
    <row r="25" spans="2:21" ht="15.95" customHeight="1" x14ac:dyDescent="0.2">
      <c r="B25" s="456"/>
      <c r="C25" s="448"/>
      <c r="D25" s="471"/>
      <c r="E25" s="449"/>
      <c r="F25" s="472"/>
      <c r="G25" s="473"/>
      <c r="H25" s="474"/>
      <c r="I25" s="474"/>
      <c r="J25" s="474"/>
      <c r="K25" s="474"/>
      <c r="L25" s="474"/>
      <c r="M25" s="460"/>
    </row>
    <row r="26" spans="2:21" ht="15.95" customHeight="1" x14ac:dyDescent="0.2">
      <c r="B26" s="463"/>
      <c r="C26" s="470" t="s">
        <v>549</v>
      </c>
      <c r="D26" s="464"/>
      <c r="E26" s="465"/>
      <c r="F26" s="466"/>
      <c r="G26" s="467"/>
      <c r="H26" s="468"/>
      <c r="I26" s="468"/>
      <c r="J26" s="468"/>
      <c r="K26" s="468"/>
      <c r="L26" s="468"/>
      <c r="M26" s="469"/>
    </row>
    <row r="27" spans="2:21" ht="15.95" customHeight="1" x14ac:dyDescent="0.2">
      <c r="B27" s="243"/>
      <c r="C27" s="244"/>
      <c r="D27" s="245"/>
      <c r="E27" s="246"/>
      <c r="F27" s="279"/>
      <c r="G27" s="280"/>
      <c r="H27" s="281"/>
      <c r="I27" s="281"/>
      <c r="J27" s="281"/>
      <c r="K27" s="281"/>
      <c r="L27" s="281"/>
      <c r="M27" s="282"/>
    </row>
    <row r="28" spans="2:21" ht="15.95" customHeight="1" x14ac:dyDescent="0.2">
      <c r="B28" s="82"/>
      <c r="C28" s="242" t="s">
        <v>460</v>
      </c>
      <c r="D28" s="227"/>
      <c r="E28" s="228"/>
      <c r="F28" s="242"/>
      <c r="G28" s="227"/>
      <c r="H28" s="227"/>
      <c r="I28" s="227"/>
      <c r="J28" s="227"/>
      <c r="K28" s="227"/>
      <c r="L28" s="227"/>
      <c r="M28" s="274"/>
    </row>
    <row r="29" spans="2:21" ht="15.95" customHeight="1" x14ac:dyDescent="0.2">
      <c r="B29" s="58" t="s">
        <v>436</v>
      </c>
      <c r="C29" s="56" t="s">
        <v>437</v>
      </c>
      <c r="D29" s="316">
        <v>0.8</v>
      </c>
      <c r="E29" s="309">
        <v>1.73</v>
      </c>
      <c r="F29" s="271">
        <f>8.1*5.4*4.5*$Q$3</f>
        <v>186.98850000000002</v>
      </c>
      <c r="G29" s="24">
        <f>+E29*F29*D29</f>
        <v>258.79208400000005</v>
      </c>
      <c r="H29" s="16">
        <v>-26.55</v>
      </c>
      <c r="I29" s="16">
        <v>-28.2</v>
      </c>
      <c r="J29" s="16">
        <v>3.3</v>
      </c>
      <c r="K29" s="16">
        <v>4</v>
      </c>
      <c r="L29" s="16">
        <v>5</v>
      </c>
      <c r="M29" s="273"/>
    </row>
    <row r="30" spans="2:21" ht="15.95" customHeight="1" x14ac:dyDescent="0.2">
      <c r="B30" s="59" t="s">
        <v>438</v>
      </c>
      <c r="C30" s="56" t="s">
        <v>437</v>
      </c>
      <c r="D30" s="317">
        <v>0.8</v>
      </c>
      <c r="E30" s="310">
        <v>1.73</v>
      </c>
      <c r="F30" s="271">
        <f>8.1*7.2*4.5*$Q$3</f>
        <v>249.31799999999998</v>
      </c>
      <c r="G30" s="24">
        <f>+E30*F30*D30</f>
        <v>345.05611199999998</v>
      </c>
      <c r="H30" s="9">
        <v>-26.55</v>
      </c>
      <c r="I30" s="9">
        <v>-36.6</v>
      </c>
      <c r="J30" s="9">
        <v>3.3</v>
      </c>
      <c r="K30" s="9">
        <v>4</v>
      </c>
      <c r="L30" s="9">
        <v>5</v>
      </c>
      <c r="M30" s="273"/>
    </row>
    <row r="31" spans="2:21" ht="15.95" customHeight="1" thickBot="1" x14ac:dyDescent="0.25">
      <c r="B31" s="255"/>
      <c r="C31" s="252"/>
      <c r="D31" s="316"/>
      <c r="E31" s="256"/>
      <c r="F31" s="272"/>
      <c r="G31" s="253"/>
      <c r="H31" s="250"/>
      <c r="I31" s="250"/>
      <c r="J31" s="250"/>
      <c r="K31" s="250"/>
      <c r="L31" s="250"/>
      <c r="M31" s="276"/>
    </row>
    <row r="32" spans="2:21" ht="15.95" customHeight="1" thickTop="1" x14ac:dyDescent="0.2">
      <c r="B32" s="318"/>
      <c r="C32" s="319"/>
      <c r="D32" s="320"/>
      <c r="E32" s="321"/>
      <c r="F32" s="322" t="s">
        <v>33</v>
      </c>
      <c r="G32" s="323">
        <f>SUBTOTAL(9,G29:G31)</f>
        <v>603.84819600000003</v>
      </c>
      <c r="H32" s="324">
        <f>IF($G32=0,0,SUMPRODUCT($G29:$G31,H29:H31)/$G32)</f>
        <v>-26.55</v>
      </c>
      <c r="I32" s="324">
        <f>IF($G32=0,0,SUMPRODUCT($G29:$G31,I29:I31)/$G32)</f>
        <v>-33</v>
      </c>
      <c r="J32" s="324">
        <f>IF($G32=0,0,SUMPRODUCT($G29:$G31,J29:J31)/$G32)</f>
        <v>3.3</v>
      </c>
      <c r="K32" s="324">
        <f>SUBTOTAL(9,K29:K31)</f>
        <v>8</v>
      </c>
      <c r="L32" s="324">
        <f>SUBTOTAL(9,L29:L31)</f>
        <v>10</v>
      </c>
      <c r="M32" s="444"/>
      <c r="O32" s="445" t="s">
        <v>553</v>
      </c>
      <c r="P32" s="446">
        <f t="shared" ref="P32:U32" si="2">G32</f>
        <v>603.84819600000003</v>
      </c>
      <c r="Q32" s="446">
        <f t="shared" si="2"/>
        <v>-26.55</v>
      </c>
      <c r="R32" s="446">
        <f t="shared" si="2"/>
        <v>-33</v>
      </c>
      <c r="S32" s="446">
        <f t="shared" si="2"/>
        <v>3.3</v>
      </c>
      <c r="T32" s="446">
        <f t="shared" si="2"/>
        <v>8</v>
      </c>
      <c r="U32" s="447">
        <f t="shared" si="2"/>
        <v>10</v>
      </c>
    </row>
    <row r="33" spans="2:21" ht="15.95" customHeight="1" x14ac:dyDescent="0.2">
      <c r="B33" s="243"/>
      <c r="C33" s="244"/>
      <c r="D33" s="245"/>
      <c r="E33" s="246"/>
      <c r="F33" s="257"/>
      <c r="G33" s="247"/>
      <c r="H33" s="248"/>
      <c r="I33" s="248"/>
      <c r="J33" s="248"/>
      <c r="K33" s="248"/>
      <c r="L33" s="248"/>
      <c r="M33" s="282"/>
    </row>
    <row r="34" spans="2:21" ht="15.95" customHeight="1" x14ac:dyDescent="0.2">
      <c r="B34" s="82"/>
      <c r="C34" s="242" t="s">
        <v>462</v>
      </c>
      <c r="D34" s="227"/>
      <c r="E34" s="228"/>
      <c r="F34" s="242"/>
      <c r="G34" s="227"/>
      <c r="H34" s="227"/>
      <c r="I34" s="227"/>
      <c r="J34" s="227"/>
      <c r="K34" s="227"/>
      <c r="L34" s="227"/>
      <c r="M34" s="274"/>
    </row>
    <row r="35" spans="2:21" ht="15.95" customHeight="1" x14ac:dyDescent="0.2">
      <c r="B35" s="58" t="s">
        <v>439</v>
      </c>
      <c r="C35" s="56" t="s">
        <v>440</v>
      </c>
      <c r="D35" s="316">
        <v>0.9</v>
      </c>
      <c r="E35" s="309">
        <v>1.506</v>
      </c>
      <c r="F35" s="271">
        <v>61</v>
      </c>
      <c r="G35" s="24">
        <f>+E35*F35*D35</f>
        <v>82.679400000000001</v>
      </c>
      <c r="H35" s="9">
        <v>-26.5</v>
      </c>
      <c r="I35" s="9">
        <v>-37.15</v>
      </c>
      <c r="J35" s="16">
        <v>10.5</v>
      </c>
      <c r="K35" s="16">
        <v>4</v>
      </c>
      <c r="L35" s="16">
        <v>5</v>
      </c>
      <c r="M35" s="273"/>
    </row>
    <row r="36" spans="2:21" ht="15.95" customHeight="1" x14ac:dyDescent="0.2">
      <c r="B36" s="58" t="s">
        <v>441</v>
      </c>
      <c r="C36" s="56" t="s">
        <v>442</v>
      </c>
      <c r="D36" s="316">
        <v>0.9</v>
      </c>
      <c r="E36" s="310">
        <v>1.51</v>
      </c>
      <c r="F36" s="271">
        <v>61</v>
      </c>
      <c r="G36" s="24">
        <f>+E36*F36*D36</f>
        <v>82.899000000000001</v>
      </c>
      <c r="H36" s="9">
        <v>-26.5</v>
      </c>
      <c r="I36" s="9">
        <v>-33</v>
      </c>
      <c r="J36" s="9">
        <v>10.5</v>
      </c>
      <c r="K36" s="9">
        <v>4</v>
      </c>
      <c r="L36" s="9">
        <v>5</v>
      </c>
      <c r="M36" s="275"/>
    </row>
    <row r="37" spans="2:21" ht="15.95" customHeight="1" x14ac:dyDescent="0.2">
      <c r="B37" s="58" t="s">
        <v>443</v>
      </c>
      <c r="C37" s="56" t="s">
        <v>444</v>
      </c>
      <c r="D37" s="317">
        <v>0.9</v>
      </c>
      <c r="E37" s="310">
        <v>1.51</v>
      </c>
      <c r="F37" s="271">
        <v>61</v>
      </c>
      <c r="G37" s="24">
        <f>+E37*F37*D37</f>
        <v>82.899000000000001</v>
      </c>
      <c r="H37" s="16">
        <v>-26.5</v>
      </c>
      <c r="I37" s="16">
        <v>-29.2</v>
      </c>
      <c r="J37" s="9">
        <v>10.5</v>
      </c>
      <c r="K37" s="9">
        <v>4</v>
      </c>
      <c r="L37" s="9">
        <v>5</v>
      </c>
      <c r="M37" s="276"/>
    </row>
    <row r="38" spans="2:21" ht="15.95" customHeight="1" thickBot="1" x14ac:dyDescent="0.25">
      <c r="B38" s="255"/>
      <c r="C38" s="252"/>
      <c r="D38" s="316"/>
      <c r="E38" s="256"/>
      <c r="F38" s="272"/>
      <c r="G38" s="253"/>
      <c r="H38" s="250"/>
      <c r="I38" s="250"/>
      <c r="J38" s="250"/>
      <c r="K38" s="250"/>
      <c r="L38" s="250"/>
      <c r="M38" s="276"/>
    </row>
    <row r="39" spans="2:21" ht="15.95" customHeight="1" thickTop="1" x14ac:dyDescent="0.2">
      <c r="B39" s="318"/>
      <c r="C39" s="319"/>
      <c r="D39" s="320"/>
      <c r="E39" s="321"/>
      <c r="F39" s="322" t="s">
        <v>33</v>
      </c>
      <c r="G39" s="323">
        <f>SUBTOTAL(9,G35:G38)</f>
        <v>248.47739999999999</v>
      </c>
      <c r="H39" s="324">
        <f>IF($G39=0,0,SUMPRODUCT($G35:$G38,H35:H38)/$G39)</f>
        <v>-26.500000000000004</v>
      </c>
      <c r="I39" s="324">
        <f>IF($G39=0,0,SUMPRODUCT($G35:$G38,I35:I38)/$G39)</f>
        <v>-33.113102076889085</v>
      </c>
      <c r="J39" s="324">
        <f>IF($G39=0,0,SUMPRODUCT($G35:$G38,J35:J38)/$G39)</f>
        <v>10.5</v>
      </c>
      <c r="K39" s="324">
        <f>SUBTOTAL(9,K35:K38)</f>
        <v>12</v>
      </c>
      <c r="L39" s="324">
        <f>SUBTOTAL(9,L35:L38)</f>
        <v>15</v>
      </c>
      <c r="M39" s="444"/>
      <c r="O39" s="445" t="s">
        <v>554</v>
      </c>
      <c r="P39" s="446">
        <f t="shared" ref="P39:U39" si="3">G39</f>
        <v>248.47739999999999</v>
      </c>
      <c r="Q39" s="446">
        <f t="shared" si="3"/>
        <v>-26.500000000000004</v>
      </c>
      <c r="R39" s="446">
        <f t="shared" si="3"/>
        <v>-33.113102076889085</v>
      </c>
      <c r="S39" s="446">
        <f t="shared" si="3"/>
        <v>10.5</v>
      </c>
      <c r="T39" s="446">
        <f t="shared" si="3"/>
        <v>12</v>
      </c>
      <c r="U39" s="447">
        <f t="shared" si="3"/>
        <v>15</v>
      </c>
    </row>
    <row r="40" spans="2:21" ht="15.95" customHeight="1" x14ac:dyDescent="0.2">
      <c r="B40" s="456"/>
      <c r="C40" s="448"/>
      <c r="D40" s="471"/>
      <c r="E40" s="449"/>
      <c r="F40" s="472"/>
      <c r="G40" s="473"/>
      <c r="H40" s="474"/>
      <c r="I40" s="474"/>
      <c r="J40" s="474"/>
      <c r="K40" s="474"/>
      <c r="L40" s="474"/>
      <c r="M40" s="460"/>
    </row>
    <row r="41" spans="2:21" ht="15.95" customHeight="1" x14ac:dyDescent="0.2">
      <c r="B41" s="463"/>
      <c r="C41" s="470" t="s">
        <v>550</v>
      </c>
      <c r="D41" s="464"/>
      <c r="E41" s="465"/>
      <c r="F41" s="466"/>
      <c r="G41" s="467"/>
      <c r="H41" s="468"/>
      <c r="I41" s="468"/>
      <c r="J41" s="468"/>
      <c r="K41" s="468"/>
      <c r="L41" s="468"/>
      <c r="M41" s="469"/>
    </row>
    <row r="42" spans="2:21" ht="15.95" customHeight="1" x14ac:dyDescent="0.2">
      <c r="B42" s="243"/>
      <c r="C42" s="244"/>
      <c r="D42" s="245"/>
      <c r="E42" s="246"/>
      <c r="F42" s="279"/>
      <c r="G42" s="280"/>
      <c r="H42" s="281"/>
      <c r="I42" s="281"/>
      <c r="J42" s="281"/>
      <c r="K42" s="281"/>
      <c r="L42" s="281"/>
      <c r="M42" s="282"/>
    </row>
    <row r="43" spans="2:21" ht="15.95" customHeight="1" x14ac:dyDescent="0.2">
      <c r="B43" s="82"/>
      <c r="C43" s="242" t="s">
        <v>460</v>
      </c>
      <c r="D43" s="227"/>
      <c r="E43" s="228"/>
      <c r="F43" s="242"/>
      <c r="G43" s="227"/>
      <c r="H43" s="227"/>
      <c r="I43" s="227"/>
      <c r="J43" s="227"/>
      <c r="K43" s="227"/>
      <c r="L43" s="227"/>
      <c r="M43" s="274"/>
    </row>
    <row r="44" spans="2:21" ht="15.95" customHeight="1" x14ac:dyDescent="0.2">
      <c r="B44" s="58" t="s">
        <v>319</v>
      </c>
      <c r="C44" s="56" t="s">
        <v>424</v>
      </c>
      <c r="D44" s="316">
        <v>0.8</v>
      </c>
      <c r="E44" s="218">
        <v>1.0249999999999999</v>
      </c>
      <c r="F44" s="271">
        <v>240</v>
      </c>
      <c r="G44" s="24">
        <f>+E44*F44*D44</f>
        <v>196.79999999999998</v>
      </c>
      <c r="H44" s="16">
        <v>43.35</v>
      </c>
      <c r="I44" s="16">
        <v>3.45</v>
      </c>
      <c r="J44" s="16">
        <v>3.5</v>
      </c>
      <c r="K44" s="271">
        <v>4</v>
      </c>
      <c r="L44" s="271">
        <v>5</v>
      </c>
      <c r="M44" s="275" t="s">
        <v>408</v>
      </c>
    </row>
    <row r="45" spans="2:21" ht="15.95" customHeight="1" x14ac:dyDescent="0.2">
      <c r="B45" s="59" t="s">
        <v>425</v>
      </c>
      <c r="C45" s="56" t="s">
        <v>424</v>
      </c>
      <c r="D45" s="317">
        <v>0.8</v>
      </c>
      <c r="E45" s="218">
        <v>1.0249999999999999</v>
      </c>
      <c r="F45" s="311">
        <v>240</v>
      </c>
      <c r="G45" s="24">
        <f>+E45*F45*D45</f>
        <v>196.79999999999998</v>
      </c>
      <c r="H45" s="9">
        <v>43.35</v>
      </c>
      <c r="I45" s="9">
        <v>-3.45</v>
      </c>
      <c r="J45" s="9">
        <v>3.5</v>
      </c>
      <c r="K45" s="311">
        <v>4</v>
      </c>
      <c r="L45" s="311">
        <v>5</v>
      </c>
      <c r="M45" s="276"/>
    </row>
    <row r="46" spans="2:21" ht="15.95" customHeight="1" thickBot="1" x14ac:dyDescent="0.25">
      <c r="B46" s="255"/>
      <c r="C46" s="252"/>
      <c r="D46" s="316"/>
      <c r="E46" s="256"/>
      <c r="F46" s="272"/>
      <c r="G46" s="253"/>
      <c r="H46" s="250"/>
      <c r="I46" s="250"/>
      <c r="J46" s="250"/>
      <c r="K46" s="250"/>
      <c r="L46" s="250"/>
      <c r="M46" s="276"/>
    </row>
    <row r="47" spans="2:21" ht="15.95" customHeight="1" thickTop="1" x14ac:dyDescent="0.2">
      <c r="B47" s="318"/>
      <c r="C47" s="319"/>
      <c r="D47" s="320"/>
      <c r="E47" s="321"/>
      <c r="F47" s="322" t="s">
        <v>33</v>
      </c>
      <c r="G47" s="323">
        <f>SUBTOTAL(9,G44:G46)</f>
        <v>393.59999999999997</v>
      </c>
      <c r="H47" s="324">
        <f>IF($G47=0,0,SUMPRODUCT($G44:$G46,H44:H46)/$G47)</f>
        <v>43.349999999999994</v>
      </c>
      <c r="I47" s="324">
        <f>IF($G47=0,0,SUMPRODUCT($G44:$G46,I44:I46)/$G47)</f>
        <v>0</v>
      </c>
      <c r="J47" s="324">
        <f>IF($G47=0,0,SUMPRODUCT($G44:$G46,J44:J46)/$G47)</f>
        <v>3.5</v>
      </c>
      <c r="K47" s="324">
        <f>SUBTOTAL(9,K44:K46)</f>
        <v>8</v>
      </c>
      <c r="L47" s="324">
        <f>SUBTOTAL(9,L44:L46)</f>
        <v>10</v>
      </c>
      <c r="M47" s="444"/>
      <c r="O47" s="445" t="s">
        <v>555</v>
      </c>
      <c r="P47" s="446">
        <f t="shared" ref="P47:U47" si="4">G47</f>
        <v>393.59999999999997</v>
      </c>
      <c r="Q47" s="446">
        <f t="shared" si="4"/>
        <v>43.349999999999994</v>
      </c>
      <c r="R47" s="446">
        <f t="shared" si="4"/>
        <v>0</v>
      </c>
      <c r="S47" s="446">
        <f t="shared" si="4"/>
        <v>3.5</v>
      </c>
      <c r="T47" s="446">
        <f t="shared" si="4"/>
        <v>8</v>
      </c>
      <c r="U47" s="447">
        <f t="shared" si="4"/>
        <v>10</v>
      </c>
    </row>
    <row r="48" spans="2:21" ht="15.95" customHeight="1" x14ac:dyDescent="0.2">
      <c r="B48" s="243"/>
      <c r="C48" s="244"/>
      <c r="D48" s="245"/>
      <c r="E48" s="246"/>
      <c r="F48" s="257"/>
      <c r="G48" s="247"/>
      <c r="H48" s="248"/>
      <c r="I48" s="248"/>
      <c r="J48" s="248"/>
      <c r="K48" s="248"/>
      <c r="L48" s="248"/>
      <c r="M48" s="282"/>
    </row>
    <row r="49" spans="2:21" ht="15.95" customHeight="1" x14ac:dyDescent="0.2">
      <c r="B49" s="82"/>
      <c r="C49" s="242" t="s">
        <v>461</v>
      </c>
      <c r="D49" s="227"/>
      <c r="E49" s="228"/>
      <c r="F49" s="242"/>
      <c r="G49" s="227"/>
      <c r="H49" s="227"/>
      <c r="I49" s="227"/>
      <c r="J49" s="227"/>
      <c r="K49" s="227"/>
      <c r="L49" s="227"/>
      <c r="M49" s="274"/>
    </row>
    <row r="50" spans="2:21" ht="15.95" customHeight="1" x14ac:dyDescent="0.2">
      <c r="B50" s="58" t="s">
        <v>426</v>
      </c>
      <c r="C50" s="56" t="s">
        <v>428</v>
      </c>
      <c r="D50" s="316">
        <v>0.8</v>
      </c>
      <c r="E50" s="218">
        <v>1</v>
      </c>
      <c r="F50" s="271">
        <v>144</v>
      </c>
      <c r="G50" s="24">
        <f>+E50*F50*D50</f>
        <v>115.2</v>
      </c>
      <c r="H50" s="16">
        <v>43.35</v>
      </c>
      <c r="I50" s="16">
        <v>3.45</v>
      </c>
      <c r="J50" s="16">
        <v>10.5</v>
      </c>
      <c r="K50" s="271">
        <v>4</v>
      </c>
      <c r="L50" s="271">
        <v>5</v>
      </c>
      <c r="M50" s="276"/>
    </row>
    <row r="51" spans="2:21" ht="15.95" customHeight="1" x14ac:dyDescent="0.2">
      <c r="B51" s="59" t="s">
        <v>427</v>
      </c>
      <c r="C51" s="56" t="s">
        <v>428</v>
      </c>
      <c r="D51" s="316">
        <v>0.8</v>
      </c>
      <c r="E51" s="218">
        <v>1</v>
      </c>
      <c r="F51" s="311">
        <v>144</v>
      </c>
      <c r="G51" s="24">
        <f>+E51*F51*D51</f>
        <v>115.2</v>
      </c>
      <c r="H51" s="9">
        <v>43.35</v>
      </c>
      <c r="I51" s="9">
        <v>-3.45</v>
      </c>
      <c r="J51" s="9">
        <v>10.5</v>
      </c>
      <c r="K51" s="311">
        <v>4</v>
      </c>
      <c r="L51" s="311">
        <v>5</v>
      </c>
      <c r="M51" s="276"/>
    </row>
    <row r="52" spans="2:21" ht="15.95" customHeight="1" thickBot="1" x14ac:dyDescent="0.25">
      <c r="B52" s="255"/>
      <c r="C52" s="252"/>
      <c r="D52" s="316"/>
      <c r="E52" s="256"/>
      <c r="F52" s="272"/>
      <c r="G52" s="253"/>
      <c r="H52" s="250"/>
      <c r="I52" s="250"/>
      <c r="J52" s="250"/>
      <c r="K52" s="250"/>
      <c r="L52" s="250"/>
      <c r="M52" s="276"/>
    </row>
    <row r="53" spans="2:21" ht="15.95" customHeight="1" thickTop="1" x14ac:dyDescent="0.2">
      <c r="B53" s="318"/>
      <c r="C53" s="319"/>
      <c r="D53" s="320"/>
      <c r="E53" s="321"/>
      <c r="F53" s="322" t="s">
        <v>33</v>
      </c>
      <c r="G53" s="323">
        <f>SUBTOTAL(9,G50:G52)</f>
        <v>230.4</v>
      </c>
      <c r="H53" s="324">
        <f>IF($G53=0,0,SUMPRODUCT($G50:$G52,H50:H52)/$G53)</f>
        <v>43.35</v>
      </c>
      <c r="I53" s="324">
        <f>IF($G53=0,0,SUMPRODUCT($G50:$G52,I50:I52)/$G53)</f>
        <v>0</v>
      </c>
      <c r="J53" s="324">
        <f>IF($G53=0,0,SUMPRODUCT($G50:$G52,J50:J52)/$G53)</f>
        <v>10.500000000000002</v>
      </c>
      <c r="K53" s="324">
        <f>SUBTOTAL(9,K50:K52)</f>
        <v>8</v>
      </c>
      <c r="L53" s="324">
        <f>SUBTOTAL(9,L50:L52)</f>
        <v>10</v>
      </c>
      <c r="M53" s="444"/>
      <c r="O53" s="445" t="s">
        <v>556</v>
      </c>
      <c r="P53" s="446">
        <f t="shared" ref="P53:U53" si="5">G53</f>
        <v>230.4</v>
      </c>
      <c r="Q53" s="446">
        <f t="shared" si="5"/>
        <v>43.35</v>
      </c>
      <c r="R53" s="446">
        <f t="shared" si="5"/>
        <v>0</v>
      </c>
      <c r="S53" s="446">
        <f t="shared" si="5"/>
        <v>10.500000000000002</v>
      </c>
      <c r="T53" s="446">
        <f t="shared" si="5"/>
        <v>8</v>
      </c>
      <c r="U53" s="447">
        <f t="shared" si="5"/>
        <v>10</v>
      </c>
    </row>
    <row r="54" spans="2:21" ht="15.95" customHeight="1" x14ac:dyDescent="0.2">
      <c r="B54" s="456"/>
      <c r="C54" s="448"/>
      <c r="D54" s="471"/>
      <c r="E54" s="449"/>
      <c r="F54" s="472"/>
      <c r="G54" s="473"/>
      <c r="H54" s="474"/>
      <c r="I54" s="474"/>
      <c r="J54" s="474"/>
      <c r="K54" s="474"/>
      <c r="L54" s="474"/>
      <c r="M54" s="460"/>
    </row>
    <row r="55" spans="2:21" ht="15.95" customHeight="1" x14ac:dyDescent="0.2">
      <c r="B55" s="463"/>
      <c r="C55" s="470" t="s">
        <v>530</v>
      </c>
      <c r="D55" s="464"/>
      <c r="E55" s="465"/>
      <c r="F55" s="466"/>
      <c r="G55" s="467"/>
      <c r="H55" s="468"/>
      <c r="I55" s="468"/>
      <c r="J55" s="468"/>
      <c r="K55" s="468"/>
      <c r="L55" s="468"/>
      <c r="M55" s="469"/>
    </row>
    <row r="56" spans="2:21" ht="15.95" customHeight="1" x14ac:dyDescent="0.2">
      <c r="B56" s="243"/>
      <c r="C56" s="244"/>
      <c r="D56" s="245"/>
      <c r="E56" s="246"/>
      <c r="F56" s="279"/>
      <c r="G56" s="280"/>
      <c r="H56" s="281"/>
      <c r="I56" s="281"/>
      <c r="J56" s="281"/>
      <c r="K56" s="281"/>
      <c r="L56" s="281"/>
      <c r="M56" s="282"/>
    </row>
    <row r="57" spans="2:21" ht="15.95" customHeight="1" x14ac:dyDescent="0.2">
      <c r="B57" s="82"/>
      <c r="C57" s="242" t="s">
        <v>460</v>
      </c>
      <c r="D57" s="227"/>
      <c r="E57" s="228"/>
      <c r="F57" s="229"/>
      <c r="G57" s="227"/>
      <c r="H57" s="227"/>
      <c r="I57" s="227"/>
      <c r="J57" s="227"/>
      <c r="K57" s="227"/>
      <c r="L57" s="227"/>
      <c r="M57" s="274"/>
    </row>
    <row r="58" spans="2:21" ht="15.95" customHeight="1" x14ac:dyDescent="0.2">
      <c r="B58" s="230" t="s">
        <v>319</v>
      </c>
      <c r="C58" s="231" t="s">
        <v>324</v>
      </c>
      <c r="D58" s="232">
        <v>50</v>
      </c>
      <c r="E58" s="233">
        <v>1.73</v>
      </c>
      <c r="F58" s="234">
        <v>60</v>
      </c>
      <c r="G58" s="235">
        <f>+E58*F58*D58/100</f>
        <v>51.9</v>
      </c>
      <c r="H58" s="236">
        <v>-16.425000000000001</v>
      </c>
      <c r="I58" s="236">
        <v>18.45</v>
      </c>
      <c r="J58" s="236">
        <v>32.200000000000003</v>
      </c>
      <c r="K58" s="236">
        <v>4</v>
      </c>
      <c r="L58" s="236">
        <v>5</v>
      </c>
      <c r="M58" s="275"/>
    </row>
    <row r="59" spans="2:21" ht="15.95" customHeight="1" x14ac:dyDescent="0.2">
      <c r="B59" s="230" t="s">
        <v>321</v>
      </c>
      <c r="C59" s="231" t="s">
        <v>325</v>
      </c>
      <c r="D59" s="232">
        <v>50</v>
      </c>
      <c r="E59" s="239">
        <v>1.73</v>
      </c>
      <c r="F59" s="240">
        <v>60</v>
      </c>
      <c r="G59" s="235">
        <f t="shared" ref="G59:G65" si="6">+E59*F59*D59/100</f>
        <v>51.9</v>
      </c>
      <c r="H59" s="241">
        <f>H58-4.2</f>
        <v>-20.625</v>
      </c>
      <c r="I59" s="241">
        <v>18.45</v>
      </c>
      <c r="J59" s="236">
        <v>32.200000000000003</v>
      </c>
      <c r="K59" s="236">
        <v>4</v>
      </c>
      <c r="L59" s="236">
        <v>5</v>
      </c>
      <c r="M59" s="275"/>
    </row>
    <row r="60" spans="2:21" ht="15.95" customHeight="1" x14ac:dyDescent="0.2">
      <c r="B60" s="230" t="s">
        <v>322</v>
      </c>
      <c r="C60" s="231" t="s">
        <v>326</v>
      </c>
      <c r="D60" s="232">
        <v>50</v>
      </c>
      <c r="E60" s="239">
        <v>1.73</v>
      </c>
      <c r="F60" s="240">
        <v>60</v>
      </c>
      <c r="G60" s="235">
        <f t="shared" si="6"/>
        <v>51.9</v>
      </c>
      <c r="H60" s="241">
        <f>H59-4.2</f>
        <v>-24.824999999999999</v>
      </c>
      <c r="I60" s="241">
        <v>18.45</v>
      </c>
      <c r="J60" s="236">
        <v>32.200000000000003</v>
      </c>
      <c r="K60" s="236">
        <v>4</v>
      </c>
      <c r="L60" s="236">
        <v>5</v>
      </c>
      <c r="M60" s="275"/>
    </row>
    <row r="61" spans="2:21" ht="15.95" customHeight="1" x14ac:dyDescent="0.2">
      <c r="B61" s="230" t="s">
        <v>327</v>
      </c>
      <c r="C61" s="231" t="s">
        <v>328</v>
      </c>
      <c r="D61" s="232">
        <v>50</v>
      </c>
      <c r="E61" s="239">
        <v>1.73</v>
      </c>
      <c r="F61" s="240">
        <v>60</v>
      </c>
      <c r="G61" s="235">
        <f t="shared" si="6"/>
        <v>51.9</v>
      </c>
      <c r="H61" s="241">
        <f>H60-4.2</f>
        <v>-29.024999999999999</v>
      </c>
      <c r="I61" s="241">
        <v>18.45</v>
      </c>
      <c r="J61" s="236">
        <v>32.200000000000003</v>
      </c>
      <c r="K61" s="236">
        <v>4</v>
      </c>
      <c r="L61" s="236">
        <v>5</v>
      </c>
      <c r="M61" s="275"/>
    </row>
    <row r="62" spans="2:21" ht="15.95" customHeight="1" x14ac:dyDescent="0.2">
      <c r="B62" s="230" t="s">
        <v>329</v>
      </c>
      <c r="C62" s="231" t="s">
        <v>330</v>
      </c>
      <c r="D62" s="232">
        <v>50</v>
      </c>
      <c r="E62" s="239">
        <v>1.73</v>
      </c>
      <c r="F62" s="240">
        <v>60</v>
      </c>
      <c r="G62" s="235">
        <f t="shared" si="6"/>
        <v>51.9</v>
      </c>
      <c r="H62" s="236">
        <v>-16.425000000000001</v>
      </c>
      <c r="I62" s="241">
        <v>20.7</v>
      </c>
      <c r="J62" s="236">
        <v>32.200000000000003</v>
      </c>
      <c r="K62" s="236">
        <v>4</v>
      </c>
      <c r="L62" s="236">
        <v>5</v>
      </c>
      <c r="M62" s="275"/>
    </row>
    <row r="63" spans="2:21" ht="15.95" customHeight="1" x14ac:dyDescent="0.2">
      <c r="B63" s="230" t="s">
        <v>331</v>
      </c>
      <c r="C63" s="231" t="s">
        <v>332</v>
      </c>
      <c r="D63" s="232">
        <v>50</v>
      </c>
      <c r="E63" s="239">
        <v>1.73</v>
      </c>
      <c r="F63" s="240">
        <v>60</v>
      </c>
      <c r="G63" s="235">
        <f t="shared" si="6"/>
        <v>51.9</v>
      </c>
      <c r="H63" s="241">
        <f>H62-4.2</f>
        <v>-20.625</v>
      </c>
      <c r="I63" s="241">
        <v>22.95</v>
      </c>
      <c r="J63" s="236">
        <v>32.200000000000003</v>
      </c>
      <c r="K63" s="236">
        <v>4</v>
      </c>
      <c r="L63" s="236">
        <v>5</v>
      </c>
      <c r="M63" s="275"/>
    </row>
    <row r="64" spans="2:21" ht="15.95" customHeight="1" x14ac:dyDescent="0.2">
      <c r="B64" s="230" t="s">
        <v>333</v>
      </c>
      <c r="C64" s="231" t="s">
        <v>334</v>
      </c>
      <c r="D64" s="232">
        <v>50</v>
      </c>
      <c r="E64" s="239">
        <v>1.73</v>
      </c>
      <c r="F64" s="240">
        <v>60</v>
      </c>
      <c r="G64" s="235">
        <f t="shared" si="6"/>
        <v>51.9</v>
      </c>
      <c r="H64" s="241">
        <f>H63-4.2</f>
        <v>-24.824999999999999</v>
      </c>
      <c r="I64" s="241">
        <v>22.95</v>
      </c>
      <c r="J64" s="236">
        <v>32.200000000000003</v>
      </c>
      <c r="K64" s="236">
        <v>4</v>
      </c>
      <c r="L64" s="236">
        <v>5</v>
      </c>
      <c r="M64" s="275"/>
    </row>
    <row r="65" spans="2:21" ht="15.95" customHeight="1" x14ac:dyDescent="0.2">
      <c r="B65" s="230" t="s">
        <v>335</v>
      </c>
      <c r="C65" s="231" t="s">
        <v>336</v>
      </c>
      <c r="D65" s="232">
        <v>50</v>
      </c>
      <c r="E65" s="239">
        <v>1.73</v>
      </c>
      <c r="F65" s="240">
        <v>60</v>
      </c>
      <c r="G65" s="235">
        <f t="shared" si="6"/>
        <v>51.9</v>
      </c>
      <c r="H65" s="241">
        <f>H64-4.2</f>
        <v>-29.024999999999999</v>
      </c>
      <c r="I65" s="241">
        <v>22.95</v>
      </c>
      <c r="J65" s="236">
        <v>32.200000000000003</v>
      </c>
      <c r="K65" s="236">
        <v>4</v>
      </c>
      <c r="L65" s="236">
        <v>5</v>
      </c>
      <c r="M65" s="275"/>
    </row>
    <row r="66" spans="2:21" ht="15.95" customHeight="1" thickBot="1" x14ac:dyDescent="0.25">
      <c r="B66" s="255"/>
      <c r="C66" s="252"/>
      <c r="D66" s="278"/>
      <c r="E66" s="256"/>
      <c r="F66" s="272"/>
      <c r="G66" s="253"/>
      <c r="H66" s="250"/>
      <c r="I66" s="250"/>
      <c r="J66" s="250"/>
      <c r="K66" s="250"/>
      <c r="L66" s="250"/>
      <c r="M66" s="276"/>
    </row>
    <row r="67" spans="2:21" ht="15.95" customHeight="1" thickTop="1" x14ac:dyDescent="0.2">
      <c r="B67" s="318"/>
      <c r="C67" s="319"/>
      <c r="D67" s="320"/>
      <c r="E67" s="321"/>
      <c r="F67" s="322" t="s">
        <v>33</v>
      </c>
      <c r="G67" s="323">
        <f>SUBTOTAL(9,G58:G66)</f>
        <v>415.19999999999993</v>
      </c>
      <c r="H67" s="324">
        <f>IF($G67=0,0,SUMPRODUCT($G58:$G66,H58:H66)/$G67)</f>
        <v>-22.724999999999998</v>
      </c>
      <c r="I67" s="324">
        <f>IF($G67=0,0,SUMPRODUCT($G58:$G66,I58:I66)/$G67)</f>
        <v>20.418749999999999</v>
      </c>
      <c r="J67" s="324">
        <f>IF($G67=0,0,SUMPRODUCT($G58:$G66,J58:J66)/$G67)</f>
        <v>32.20000000000001</v>
      </c>
      <c r="K67" s="324">
        <f>SUBTOTAL(9,K58:K66)</f>
        <v>32</v>
      </c>
      <c r="L67" s="324">
        <f>SUBTOTAL(9,L58:L66)</f>
        <v>40</v>
      </c>
      <c r="M67" s="444"/>
      <c r="O67" s="445" t="s">
        <v>534</v>
      </c>
      <c r="P67" s="446">
        <f t="shared" ref="P67:U67" si="7">G67</f>
        <v>415.19999999999993</v>
      </c>
      <c r="Q67" s="446">
        <f t="shared" si="7"/>
        <v>-22.724999999999998</v>
      </c>
      <c r="R67" s="446">
        <f t="shared" si="7"/>
        <v>20.418749999999999</v>
      </c>
      <c r="S67" s="446">
        <f t="shared" si="7"/>
        <v>32.20000000000001</v>
      </c>
      <c r="T67" s="446">
        <f t="shared" si="7"/>
        <v>32</v>
      </c>
      <c r="U67" s="447">
        <f t="shared" si="7"/>
        <v>40</v>
      </c>
    </row>
    <row r="68" spans="2:21" ht="15.95" customHeight="1" x14ac:dyDescent="0.2">
      <c r="B68" s="485"/>
      <c r="C68" s="452"/>
      <c r="D68" s="452"/>
      <c r="F68" s="452"/>
      <c r="G68" s="383"/>
      <c r="H68" s="452"/>
      <c r="I68" s="452"/>
      <c r="J68" s="452"/>
      <c r="K68" s="452"/>
      <c r="L68" s="452"/>
      <c r="M68" s="486"/>
    </row>
    <row r="69" spans="2:21" ht="15.95" customHeight="1" x14ac:dyDescent="0.2">
      <c r="B69" s="82"/>
      <c r="C69" s="242" t="s">
        <v>480</v>
      </c>
      <c r="D69" s="227"/>
      <c r="E69" s="228"/>
      <c r="F69" s="242"/>
      <c r="G69" s="227"/>
      <c r="H69" s="227"/>
      <c r="I69" s="227"/>
      <c r="J69" s="227"/>
      <c r="K69" s="227"/>
      <c r="L69" s="227"/>
      <c r="M69" s="274"/>
    </row>
    <row r="70" spans="2:21" ht="15.95" customHeight="1" x14ac:dyDescent="0.2">
      <c r="B70" s="58" t="s">
        <v>337</v>
      </c>
      <c r="C70" s="56" t="s">
        <v>343</v>
      </c>
      <c r="D70" s="55" t="s">
        <v>38</v>
      </c>
      <c r="E70" s="218" t="s">
        <v>38</v>
      </c>
      <c r="F70" s="16" t="s">
        <v>38</v>
      </c>
      <c r="G70" s="24">
        <v>10</v>
      </c>
      <c r="H70" s="16">
        <v>-24.34</v>
      </c>
      <c r="I70" s="16">
        <v>-1.4</v>
      </c>
      <c r="J70" s="16">
        <v>33</v>
      </c>
      <c r="K70" s="169" t="s">
        <v>38</v>
      </c>
      <c r="L70" s="169" t="s">
        <v>38</v>
      </c>
      <c r="M70" s="273"/>
    </row>
    <row r="71" spans="2:21" ht="15.95" customHeight="1" x14ac:dyDescent="0.2">
      <c r="B71" s="259" t="s">
        <v>338</v>
      </c>
      <c r="C71" s="260" t="s">
        <v>339</v>
      </c>
      <c r="D71" s="261" t="s">
        <v>38</v>
      </c>
      <c r="E71" s="262" t="s">
        <v>38</v>
      </c>
      <c r="F71" s="263" t="s">
        <v>38</v>
      </c>
      <c r="G71" s="264">
        <v>10</v>
      </c>
      <c r="H71" s="265">
        <v>-24.34</v>
      </c>
      <c r="I71" s="265">
        <v>-15.8</v>
      </c>
      <c r="J71" s="265">
        <v>33</v>
      </c>
      <c r="K71" s="265" t="s">
        <v>38</v>
      </c>
      <c r="L71" s="265" t="s">
        <v>38</v>
      </c>
      <c r="M71" s="275"/>
    </row>
    <row r="72" spans="2:21" ht="15.95" customHeight="1" x14ac:dyDescent="0.2">
      <c r="B72" s="237" t="s">
        <v>340</v>
      </c>
      <c r="C72" s="231" t="s">
        <v>341</v>
      </c>
      <c r="D72" s="232">
        <v>3</v>
      </c>
      <c r="E72" s="232">
        <v>0.88</v>
      </c>
      <c r="F72" s="232">
        <v>192</v>
      </c>
      <c r="G72" s="264">
        <v>5</v>
      </c>
      <c r="H72" s="241">
        <v>-16.7</v>
      </c>
      <c r="I72" s="241">
        <v>-20.100000000000001</v>
      </c>
      <c r="J72" s="241">
        <v>33</v>
      </c>
      <c r="K72" s="241">
        <v>4</v>
      </c>
      <c r="L72" s="241">
        <v>5</v>
      </c>
      <c r="M72" s="275"/>
    </row>
    <row r="73" spans="2:21" ht="15.95" customHeight="1" x14ac:dyDescent="0.2">
      <c r="B73" s="237" t="s">
        <v>342</v>
      </c>
      <c r="C73" s="231" t="s">
        <v>343</v>
      </c>
      <c r="D73" s="238">
        <v>3</v>
      </c>
      <c r="E73" s="239">
        <v>1.506</v>
      </c>
      <c r="F73" s="266">
        <v>10</v>
      </c>
      <c r="G73" s="235">
        <v>10</v>
      </c>
      <c r="H73" s="241">
        <v>-22.3</v>
      </c>
      <c r="I73" s="241">
        <v>25.8</v>
      </c>
      <c r="J73" s="241">
        <v>31</v>
      </c>
      <c r="K73" s="241">
        <v>4</v>
      </c>
      <c r="L73" s="241">
        <v>5</v>
      </c>
      <c r="M73" s="275"/>
    </row>
    <row r="74" spans="2:21" ht="15.95" customHeight="1" x14ac:dyDescent="0.2">
      <c r="B74" s="237" t="s">
        <v>344</v>
      </c>
      <c r="C74" s="258" t="s">
        <v>345</v>
      </c>
      <c r="D74" s="238">
        <v>3</v>
      </c>
      <c r="E74" s="239">
        <v>1.506</v>
      </c>
      <c r="F74" s="241">
        <v>2</v>
      </c>
      <c r="G74" s="235">
        <v>10</v>
      </c>
      <c r="H74" s="241">
        <v>-23.31</v>
      </c>
      <c r="I74" s="241">
        <v>40.18</v>
      </c>
      <c r="J74" s="241">
        <v>31</v>
      </c>
      <c r="K74" s="241">
        <v>4</v>
      </c>
      <c r="L74" s="241">
        <v>5</v>
      </c>
      <c r="M74" s="275"/>
    </row>
    <row r="75" spans="2:21" ht="15.95" customHeight="1" x14ac:dyDescent="0.2">
      <c r="B75" s="237" t="s">
        <v>346</v>
      </c>
      <c r="C75" s="249" t="s">
        <v>347</v>
      </c>
      <c r="D75" s="238">
        <v>3</v>
      </c>
      <c r="E75" s="239">
        <v>1.506</v>
      </c>
      <c r="F75" s="267">
        <v>10</v>
      </c>
      <c r="G75" s="235">
        <v>10</v>
      </c>
      <c r="H75" s="250">
        <v>-29.5</v>
      </c>
      <c r="I75" s="250">
        <v>39.049999999999997</v>
      </c>
      <c r="J75" s="250">
        <v>31</v>
      </c>
      <c r="K75" s="241">
        <v>4</v>
      </c>
      <c r="L75" s="241">
        <v>5</v>
      </c>
      <c r="M75" s="275"/>
    </row>
    <row r="76" spans="2:21" ht="15.95" customHeight="1" x14ac:dyDescent="0.2">
      <c r="B76" s="230" t="s">
        <v>348</v>
      </c>
      <c r="C76" s="244" t="s">
        <v>349</v>
      </c>
      <c r="D76" s="232" t="s">
        <v>38</v>
      </c>
      <c r="E76" s="233" t="s">
        <v>38</v>
      </c>
      <c r="F76" s="234" t="s">
        <v>38</v>
      </c>
      <c r="G76" s="264">
        <v>20</v>
      </c>
      <c r="H76" s="236">
        <v>-26.6</v>
      </c>
      <c r="I76" s="236">
        <v>29.3</v>
      </c>
      <c r="J76" s="236">
        <v>31</v>
      </c>
      <c r="K76" s="236" t="s">
        <v>38</v>
      </c>
      <c r="L76" s="236" t="s">
        <v>38</v>
      </c>
      <c r="M76" s="275"/>
    </row>
    <row r="77" spans="2:21" ht="15.95" customHeight="1" thickBot="1" x14ac:dyDescent="0.25">
      <c r="B77" s="255"/>
      <c r="C77" s="252"/>
      <c r="D77" s="278"/>
      <c r="E77" s="256"/>
      <c r="F77" s="272"/>
      <c r="G77" s="253"/>
      <c r="H77" s="250"/>
      <c r="I77" s="250"/>
      <c r="J77" s="250"/>
      <c r="K77" s="250"/>
      <c r="L77" s="250"/>
      <c r="M77" s="276"/>
    </row>
    <row r="78" spans="2:21" ht="15.95" customHeight="1" thickTop="1" x14ac:dyDescent="0.2">
      <c r="B78" s="318"/>
      <c r="C78" s="319"/>
      <c r="D78" s="320"/>
      <c r="E78" s="321"/>
      <c r="F78" s="322" t="s">
        <v>33</v>
      </c>
      <c r="G78" s="323">
        <f>SUBTOTAL(9,G70:G77)</f>
        <v>75</v>
      </c>
      <c r="H78" s="324">
        <f>IF($G78=0,0,SUMPRODUCT($G70:$G77,H70:H77)/$G78)</f>
        <v>-24.712</v>
      </c>
      <c r="I78" s="324">
        <f>IF($G78=0,0,SUMPRODUCT($G70:$G77,I70:I77)/$G78)</f>
        <v>18.184000000000001</v>
      </c>
      <c r="J78" s="324">
        <f>IF($G78=0,0,SUMPRODUCT($G70:$G77,J70:J77)/$G78)</f>
        <v>31.666666666666668</v>
      </c>
      <c r="K78" s="324">
        <f>SUBTOTAL(9,K70:K77)</f>
        <v>16</v>
      </c>
      <c r="L78" s="324">
        <f>SUBTOTAL(9,L70:L77)</f>
        <v>20</v>
      </c>
      <c r="M78" s="444"/>
      <c r="O78" s="445" t="s">
        <v>535</v>
      </c>
      <c r="P78" s="446">
        <f t="shared" ref="P78:U78" si="8">G78</f>
        <v>75</v>
      </c>
      <c r="Q78" s="446">
        <f t="shared" si="8"/>
        <v>-24.712</v>
      </c>
      <c r="R78" s="446">
        <f t="shared" si="8"/>
        <v>18.184000000000001</v>
      </c>
      <c r="S78" s="446">
        <f t="shared" si="8"/>
        <v>31.666666666666668</v>
      </c>
      <c r="T78" s="446">
        <f t="shared" si="8"/>
        <v>16</v>
      </c>
      <c r="U78" s="447">
        <f t="shared" si="8"/>
        <v>20</v>
      </c>
    </row>
    <row r="79" spans="2:21" ht="15.95" customHeight="1" x14ac:dyDescent="0.2">
      <c r="B79" s="485"/>
      <c r="C79" s="452"/>
      <c r="D79" s="452"/>
      <c r="F79" s="452"/>
      <c r="G79" s="383"/>
      <c r="H79" s="452"/>
      <c r="I79" s="452"/>
      <c r="J79" s="452"/>
      <c r="K79" s="452"/>
      <c r="L79" s="452"/>
      <c r="M79" s="486"/>
    </row>
    <row r="80" spans="2:21" ht="15.95" customHeight="1" x14ac:dyDescent="0.2">
      <c r="B80" s="82"/>
      <c r="C80" s="242" t="s">
        <v>481</v>
      </c>
      <c r="D80" s="227"/>
      <c r="E80" s="228"/>
      <c r="F80" s="242"/>
      <c r="G80" s="227"/>
      <c r="H80" s="227"/>
      <c r="I80" s="227"/>
      <c r="J80" s="227"/>
      <c r="K80" s="227"/>
      <c r="L80" s="227"/>
      <c r="M80" s="274"/>
    </row>
    <row r="81" spans="2:21" ht="15.95" customHeight="1" x14ac:dyDescent="0.2">
      <c r="B81" s="58" t="s">
        <v>350</v>
      </c>
      <c r="C81" s="56" t="s">
        <v>351</v>
      </c>
      <c r="D81" s="55" t="s">
        <v>38</v>
      </c>
      <c r="E81" s="218" t="s">
        <v>38</v>
      </c>
      <c r="F81" s="16" t="s">
        <v>38</v>
      </c>
      <c r="G81" s="24">
        <v>200</v>
      </c>
      <c r="H81" s="16">
        <v>-6</v>
      </c>
      <c r="I81" s="16">
        <v>33</v>
      </c>
      <c r="J81" s="16">
        <v>33.4</v>
      </c>
      <c r="K81" s="169" t="s">
        <v>38</v>
      </c>
      <c r="L81" s="169" t="s">
        <v>38</v>
      </c>
      <c r="M81" s="273"/>
    </row>
    <row r="82" spans="2:21" ht="15.95" customHeight="1" x14ac:dyDescent="0.2">
      <c r="B82" s="259" t="s">
        <v>352</v>
      </c>
      <c r="C82" s="260" t="s">
        <v>353</v>
      </c>
      <c r="D82" s="261" t="s">
        <v>38</v>
      </c>
      <c r="E82" s="261" t="s">
        <v>38</v>
      </c>
      <c r="F82" s="261" t="s">
        <v>38</v>
      </c>
      <c r="G82" s="264">
        <v>10</v>
      </c>
      <c r="H82" s="265">
        <v>-8</v>
      </c>
      <c r="I82" s="265">
        <v>-36</v>
      </c>
      <c r="J82" s="16">
        <v>33.4</v>
      </c>
      <c r="K82" s="265" t="s">
        <v>38</v>
      </c>
      <c r="L82" s="265" t="s">
        <v>38</v>
      </c>
      <c r="M82" s="275"/>
    </row>
    <row r="83" spans="2:21" ht="15.95" customHeight="1" x14ac:dyDescent="0.2">
      <c r="B83" s="268" t="s">
        <v>354</v>
      </c>
      <c r="C83" s="260" t="s">
        <v>355</v>
      </c>
      <c r="D83" s="261" t="s">
        <v>38</v>
      </c>
      <c r="E83" s="261" t="s">
        <v>38</v>
      </c>
      <c r="F83" s="261" t="s">
        <v>38</v>
      </c>
      <c r="G83" s="264">
        <v>10</v>
      </c>
      <c r="H83" s="269">
        <v>-8</v>
      </c>
      <c r="I83" s="269">
        <v>-36.200000000000003</v>
      </c>
      <c r="J83" s="16">
        <v>33.4</v>
      </c>
      <c r="K83" s="265" t="s">
        <v>38</v>
      </c>
      <c r="L83" s="265" t="s">
        <v>38</v>
      </c>
      <c r="M83" s="275"/>
    </row>
    <row r="84" spans="2:21" ht="15.95" customHeight="1" x14ac:dyDescent="0.2">
      <c r="B84" s="243" t="s">
        <v>356</v>
      </c>
      <c r="C84" s="231" t="s">
        <v>357</v>
      </c>
      <c r="D84" s="232" t="s">
        <v>38</v>
      </c>
      <c r="E84" s="232" t="s">
        <v>38</v>
      </c>
      <c r="F84" s="232" t="s">
        <v>38</v>
      </c>
      <c r="G84" s="264">
        <v>20</v>
      </c>
      <c r="H84" s="254">
        <v>16.350000000000001</v>
      </c>
      <c r="I84" s="254">
        <v>-15.2</v>
      </c>
      <c r="J84" s="16">
        <v>33.4</v>
      </c>
      <c r="K84" s="236" t="s">
        <v>38</v>
      </c>
      <c r="L84" s="236" t="s">
        <v>38</v>
      </c>
      <c r="M84" s="275"/>
    </row>
    <row r="85" spans="2:21" ht="15.95" customHeight="1" x14ac:dyDescent="0.2">
      <c r="B85" s="237" t="s">
        <v>358</v>
      </c>
      <c r="C85" s="249" t="s">
        <v>359</v>
      </c>
      <c r="D85" s="238">
        <v>3</v>
      </c>
      <c r="E85" s="239">
        <v>1.506</v>
      </c>
      <c r="F85" s="232">
        <f>2*2</f>
        <v>4</v>
      </c>
      <c r="G85" s="235">
        <v>5</v>
      </c>
      <c r="H85" s="250">
        <v>-12.4</v>
      </c>
      <c r="I85" s="250">
        <v>19.899999999999999</v>
      </c>
      <c r="J85" s="16">
        <v>33.4</v>
      </c>
      <c r="K85" s="241">
        <v>4</v>
      </c>
      <c r="L85" s="241">
        <v>5</v>
      </c>
      <c r="M85" s="275"/>
    </row>
    <row r="86" spans="2:21" ht="15.95" customHeight="1" x14ac:dyDescent="0.2">
      <c r="B86" s="270" t="s">
        <v>360</v>
      </c>
      <c r="C86" s="260" t="s">
        <v>361</v>
      </c>
      <c r="D86" s="261" t="s">
        <v>38</v>
      </c>
      <c r="E86" s="261" t="s">
        <v>38</v>
      </c>
      <c r="F86" s="261" t="s">
        <v>38</v>
      </c>
      <c r="G86" s="264">
        <v>2</v>
      </c>
      <c r="H86" s="267">
        <v>-2</v>
      </c>
      <c r="I86" s="267">
        <v>-14.25</v>
      </c>
      <c r="J86" s="16">
        <v>33.4</v>
      </c>
      <c r="K86" s="265" t="s">
        <v>38</v>
      </c>
      <c r="L86" s="265" t="s">
        <v>38</v>
      </c>
      <c r="M86" s="275"/>
    </row>
    <row r="87" spans="2:21" ht="15.95" customHeight="1" x14ac:dyDescent="0.2">
      <c r="B87" s="270" t="s">
        <v>362</v>
      </c>
      <c r="C87" s="260" t="s">
        <v>363</v>
      </c>
      <c r="D87" s="261" t="s">
        <v>38</v>
      </c>
      <c r="E87" s="261" t="s">
        <v>38</v>
      </c>
      <c r="F87" s="261" t="s">
        <v>38</v>
      </c>
      <c r="G87" s="264">
        <v>2</v>
      </c>
      <c r="H87" s="267">
        <v>-2</v>
      </c>
      <c r="I87" s="267">
        <v>-14.25</v>
      </c>
      <c r="J87" s="16">
        <v>33.4</v>
      </c>
      <c r="K87" s="265" t="s">
        <v>38</v>
      </c>
      <c r="L87" s="265" t="s">
        <v>38</v>
      </c>
      <c r="M87" s="275"/>
    </row>
    <row r="88" spans="2:21" ht="15.95" customHeight="1" x14ac:dyDescent="0.2">
      <c r="B88" s="237" t="s">
        <v>364</v>
      </c>
      <c r="C88" s="249" t="s">
        <v>365</v>
      </c>
      <c r="D88" s="238" t="s">
        <v>38</v>
      </c>
      <c r="E88" s="239" t="s">
        <v>38</v>
      </c>
      <c r="F88" s="250" t="s">
        <v>38</v>
      </c>
      <c r="G88" s="251">
        <v>5</v>
      </c>
      <c r="H88" s="250">
        <v>0</v>
      </c>
      <c r="I88" s="250">
        <v>-31.8</v>
      </c>
      <c r="J88" s="16">
        <v>33.4</v>
      </c>
      <c r="K88" s="250" t="s">
        <v>38</v>
      </c>
      <c r="L88" s="250" t="s">
        <v>38</v>
      </c>
      <c r="M88" s="276"/>
    </row>
    <row r="89" spans="2:21" ht="15.95" customHeight="1" thickBot="1" x14ac:dyDescent="0.25">
      <c r="B89" s="255"/>
      <c r="C89" s="252"/>
      <c r="D89" s="278"/>
      <c r="E89" s="256"/>
      <c r="F89" s="272"/>
      <c r="G89" s="253"/>
      <c r="H89" s="250"/>
      <c r="I89" s="250"/>
      <c r="J89" s="250"/>
      <c r="K89" s="250"/>
      <c r="L89" s="250"/>
      <c r="M89" s="276"/>
    </row>
    <row r="90" spans="2:21" ht="15.95" customHeight="1" thickTop="1" x14ac:dyDescent="0.2">
      <c r="B90" s="318"/>
      <c r="C90" s="319"/>
      <c r="D90" s="320"/>
      <c r="E90" s="321"/>
      <c r="F90" s="322" t="s">
        <v>33</v>
      </c>
      <c r="G90" s="323">
        <f>SUBTOTAL(9,G81:G89)</f>
        <v>254</v>
      </c>
      <c r="H90" s="324">
        <f>IF($G90=0,0,SUMPRODUCT($G82:$G89,H82:H89)/$G90)</f>
        <v>0.38188976377952755</v>
      </c>
      <c r="I90" s="324">
        <f>IF($G90=0,0,SUMPRODUCT($G82:$G89,I82:I89)/$G90)</f>
        <v>-4.4980314960629917</v>
      </c>
      <c r="J90" s="324">
        <f>IF($G90=0,0,SUMPRODUCT($G81:$G89,J81:J89)/$G90)</f>
        <v>33.399999999999991</v>
      </c>
      <c r="K90" s="324">
        <f>SUBTOTAL(9,K82:K89)</f>
        <v>4</v>
      </c>
      <c r="L90" s="324">
        <f>SUBTOTAL(9,L82:L89)</f>
        <v>5</v>
      </c>
      <c r="M90" s="444"/>
      <c r="O90" s="445" t="s">
        <v>536</v>
      </c>
      <c r="P90" s="446">
        <f t="shared" ref="P90:U90" si="9">G90</f>
        <v>254</v>
      </c>
      <c r="Q90" s="446">
        <f t="shared" si="9"/>
        <v>0.38188976377952755</v>
      </c>
      <c r="R90" s="446">
        <f t="shared" si="9"/>
        <v>-4.4980314960629917</v>
      </c>
      <c r="S90" s="446">
        <f t="shared" si="9"/>
        <v>33.399999999999991</v>
      </c>
      <c r="T90" s="446">
        <f t="shared" si="9"/>
        <v>4</v>
      </c>
      <c r="U90" s="447">
        <f t="shared" si="9"/>
        <v>5</v>
      </c>
    </row>
    <row r="91" spans="2:21" ht="15.95" customHeight="1" x14ac:dyDescent="0.2">
      <c r="B91" s="485"/>
      <c r="C91" s="452"/>
      <c r="D91" s="452"/>
      <c r="F91" s="452"/>
      <c r="G91" s="383"/>
      <c r="H91" s="452"/>
      <c r="I91" s="452"/>
      <c r="J91" s="452"/>
      <c r="K91" s="452"/>
      <c r="L91" s="452"/>
      <c r="M91" s="486"/>
    </row>
    <row r="92" spans="2:21" ht="15.95" customHeight="1" x14ac:dyDescent="0.2">
      <c r="B92" s="82"/>
      <c r="C92" s="242" t="s">
        <v>482</v>
      </c>
      <c r="D92" s="227"/>
      <c r="E92" s="228"/>
      <c r="F92" s="242"/>
      <c r="G92" s="227"/>
      <c r="H92" s="227"/>
      <c r="I92" s="227"/>
      <c r="J92" s="227"/>
      <c r="K92" s="227"/>
      <c r="L92" s="227"/>
      <c r="M92" s="274"/>
    </row>
    <row r="93" spans="2:21" ht="15.95" customHeight="1" x14ac:dyDescent="0.2">
      <c r="B93" s="58" t="s">
        <v>366</v>
      </c>
      <c r="C93" s="56" t="s">
        <v>367</v>
      </c>
      <c r="D93" s="55" t="s">
        <v>38</v>
      </c>
      <c r="E93" s="218" t="s">
        <v>38</v>
      </c>
      <c r="F93" s="16" t="s">
        <v>38</v>
      </c>
      <c r="G93" s="24">
        <v>5</v>
      </c>
      <c r="H93" s="16">
        <v>26.7</v>
      </c>
      <c r="I93" s="16">
        <v>12.8</v>
      </c>
      <c r="J93" s="16">
        <v>33.4</v>
      </c>
      <c r="K93" s="169" t="s">
        <v>38</v>
      </c>
      <c r="L93" s="169" t="s">
        <v>38</v>
      </c>
      <c r="M93" s="273"/>
    </row>
    <row r="94" spans="2:21" ht="15.95" customHeight="1" x14ac:dyDescent="0.2">
      <c r="B94" s="237" t="s">
        <v>368</v>
      </c>
      <c r="C94" s="231" t="s">
        <v>369</v>
      </c>
      <c r="D94" s="232" t="s">
        <v>38</v>
      </c>
      <c r="E94" s="232" t="s">
        <v>38</v>
      </c>
      <c r="F94" s="232" t="s">
        <v>38</v>
      </c>
      <c r="G94" s="264">
        <v>10</v>
      </c>
      <c r="H94" s="241">
        <v>30</v>
      </c>
      <c r="I94" s="241">
        <v>14.5</v>
      </c>
      <c r="J94" s="16">
        <v>33.4</v>
      </c>
      <c r="K94" s="236" t="s">
        <v>38</v>
      </c>
      <c r="L94" s="236" t="s">
        <v>38</v>
      </c>
      <c r="M94" s="275"/>
    </row>
    <row r="95" spans="2:21" ht="15.95" customHeight="1" x14ac:dyDescent="0.2">
      <c r="B95" s="230" t="s">
        <v>370</v>
      </c>
      <c r="C95" s="231" t="s">
        <v>367</v>
      </c>
      <c r="D95" s="232" t="s">
        <v>38</v>
      </c>
      <c r="E95" s="232" t="s">
        <v>38</v>
      </c>
      <c r="F95" s="232" t="s">
        <v>38</v>
      </c>
      <c r="G95" s="264">
        <v>5</v>
      </c>
      <c r="H95" s="236">
        <v>26.7</v>
      </c>
      <c r="I95" s="236">
        <v>-12.8</v>
      </c>
      <c r="J95" s="16">
        <v>33.4</v>
      </c>
      <c r="K95" s="236" t="s">
        <v>38</v>
      </c>
      <c r="L95" s="236" t="s">
        <v>38</v>
      </c>
      <c r="M95" s="275"/>
    </row>
    <row r="96" spans="2:21" ht="15.95" customHeight="1" x14ac:dyDescent="0.2">
      <c r="B96" s="237" t="s">
        <v>371</v>
      </c>
      <c r="C96" s="231" t="s">
        <v>369</v>
      </c>
      <c r="D96" s="232" t="s">
        <v>38</v>
      </c>
      <c r="E96" s="232" t="s">
        <v>38</v>
      </c>
      <c r="F96" s="232" t="s">
        <v>38</v>
      </c>
      <c r="G96" s="264">
        <v>5</v>
      </c>
      <c r="H96" s="241">
        <v>37</v>
      </c>
      <c r="I96" s="241">
        <v>-20.6</v>
      </c>
      <c r="J96" s="16">
        <v>33.4</v>
      </c>
      <c r="K96" s="236" t="s">
        <v>38</v>
      </c>
      <c r="L96" s="236" t="s">
        <v>38</v>
      </c>
      <c r="M96" s="275"/>
    </row>
    <row r="97" spans="2:21" ht="15.95" customHeight="1" x14ac:dyDescent="0.2">
      <c r="B97" s="237" t="s">
        <v>372</v>
      </c>
      <c r="C97" s="258" t="s">
        <v>373</v>
      </c>
      <c r="D97" s="232" t="s">
        <v>38</v>
      </c>
      <c r="E97" s="232" t="s">
        <v>38</v>
      </c>
      <c r="F97" s="232" t="s">
        <v>38</v>
      </c>
      <c r="G97" s="264">
        <v>200</v>
      </c>
      <c r="H97" s="241">
        <v>12</v>
      </c>
      <c r="I97" s="241">
        <v>0</v>
      </c>
      <c r="J97" s="241">
        <v>33.4</v>
      </c>
      <c r="K97" s="236" t="s">
        <v>38</v>
      </c>
      <c r="L97" s="236" t="s">
        <v>38</v>
      </c>
      <c r="M97" s="275"/>
    </row>
    <row r="98" spans="2:21" ht="15.95" customHeight="1" x14ac:dyDescent="0.2">
      <c r="B98" s="243" t="s">
        <v>374</v>
      </c>
      <c r="C98" s="258" t="s">
        <v>375</v>
      </c>
      <c r="D98" s="232" t="s">
        <v>38</v>
      </c>
      <c r="E98" s="232" t="s">
        <v>38</v>
      </c>
      <c r="F98" s="232" t="s">
        <v>38</v>
      </c>
      <c r="G98" s="264">
        <v>20</v>
      </c>
      <c r="H98" s="254">
        <v>10.7</v>
      </c>
      <c r="I98" s="254">
        <v>15.4</v>
      </c>
      <c r="J98" s="241">
        <v>33.4</v>
      </c>
      <c r="K98" s="236" t="s">
        <v>38</v>
      </c>
      <c r="L98" s="236" t="s">
        <v>38</v>
      </c>
      <c r="M98" s="275"/>
    </row>
    <row r="99" spans="2:21" ht="15.95" customHeight="1" thickBot="1" x14ac:dyDescent="0.25">
      <c r="B99" s="255"/>
      <c r="C99" s="252"/>
      <c r="D99" s="278"/>
      <c r="E99" s="256"/>
      <c r="F99" s="272"/>
      <c r="G99" s="253"/>
      <c r="H99" s="250"/>
      <c r="I99" s="250"/>
      <c r="J99" s="250"/>
      <c r="K99" s="250"/>
      <c r="L99" s="250"/>
      <c r="M99" s="276"/>
    </row>
    <row r="100" spans="2:21" ht="15.95" customHeight="1" thickTop="1" x14ac:dyDescent="0.2">
      <c r="B100" s="318"/>
      <c r="C100" s="319"/>
      <c r="D100" s="320"/>
      <c r="E100" s="321"/>
      <c r="F100" s="322" t="s">
        <v>33</v>
      </c>
      <c r="G100" s="323">
        <f>SUBTOTAL(9,G93:G99)</f>
        <v>245</v>
      </c>
      <c r="H100" s="324">
        <f>IF($G100=0,0,SUMPRODUCT($G93:$G99,H93:H99)/$G100)</f>
        <v>13.738775510204082</v>
      </c>
      <c r="I100" s="324">
        <f>IF($G100=0,0,SUMPRODUCT($G93:$G99,I93:I99)/$G100)</f>
        <v>1.4285714285714286</v>
      </c>
      <c r="J100" s="324">
        <f>IF($G100=0,0,SUMPRODUCT($G93:$G99,J93:J99)/$G100)</f>
        <v>33.4</v>
      </c>
      <c r="K100" s="324">
        <f>SUBTOTAL(9,K93:K99)</f>
        <v>0</v>
      </c>
      <c r="L100" s="324">
        <f>SUBTOTAL(9,L93:L99)</f>
        <v>0</v>
      </c>
      <c r="M100" s="444"/>
      <c r="O100" s="445" t="s">
        <v>537</v>
      </c>
      <c r="P100" s="446">
        <f t="shared" ref="P100:U100" si="10">G100</f>
        <v>245</v>
      </c>
      <c r="Q100" s="446">
        <f t="shared" si="10"/>
        <v>13.738775510204082</v>
      </c>
      <c r="R100" s="446">
        <f t="shared" si="10"/>
        <v>1.4285714285714286</v>
      </c>
      <c r="S100" s="446">
        <f t="shared" si="10"/>
        <v>33.4</v>
      </c>
      <c r="T100" s="446">
        <f t="shared" si="10"/>
        <v>0</v>
      </c>
      <c r="U100" s="447">
        <f t="shared" si="10"/>
        <v>0</v>
      </c>
    </row>
    <row r="101" spans="2:21" ht="15.95" customHeight="1" x14ac:dyDescent="0.2">
      <c r="B101" s="485"/>
      <c r="C101" s="452"/>
      <c r="D101" s="452"/>
      <c r="F101" s="452"/>
      <c r="G101" s="383"/>
      <c r="H101" s="452"/>
      <c r="I101" s="452"/>
      <c r="J101" s="452"/>
      <c r="K101" s="452"/>
      <c r="L101" s="452"/>
      <c r="M101" s="486"/>
    </row>
    <row r="102" spans="2:21" ht="15.95" customHeight="1" x14ac:dyDescent="0.2">
      <c r="B102" s="82"/>
      <c r="C102" s="242" t="s">
        <v>422</v>
      </c>
      <c r="D102" s="227"/>
      <c r="E102" s="228"/>
      <c r="F102" s="242"/>
      <c r="G102" s="227"/>
      <c r="H102" s="227"/>
      <c r="I102" s="227"/>
      <c r="J102" s="227"/>
      <c r="K102" s="227"/>
      <c r="L102" s="227"/>
      <c r="M102" s="274"/>
    </row>
    <row r="103" spans="2:21" ht="15.95" customHeight="1" x14ac:dyDescent="0.2">
      <c r="B103" s="230" t="s">
        <v>447</v>
      </c>
      <c r="C103" s="231" t="s">
        <v>445</v>
      </c>
      <c r="D103" s="225"/>
      <c r="E103" s="232">
        <v>10</v>
      </c>
      <c r="F103" s="233">
        <v>1</v>
      </c>
      <c r="G103" s="235">
        <f>+E103*F103</f>
        <v>10</v>
      </c>
      <c r="H103" s="236">
        <v>22</v>
      </c>
      <c r="I103" s="236">
        <v>0</v>
      </c>
      <c r="J103" s="236">
        <v>34</v>
      </c>
      <c r="K103" s="236" t="s">
        <v>38</v>
      </c>
      <c r="L103" s="236" t="s">
        <v>38</v>
      </c>
      <c r="M103" s="275"/>
    </row>
    <row r="104" spans="2:21" ht="15.95" customHeight="1" x14ac:dyDescent="0.2">
      <c r="B104" s="230" t="s">
        <v>448</v>
      </c>
      <c r="C104" s="231" t="s">
        <v>446</v>
      </c>
      <c r="D104" s="225"/>
      <c r="E104" s="238">
        <v>15</v>
      </c>
      <c r="F104" s="239">
        <v>1</v>
      </c>
      <c r="G104" s="235">
        <v>25</v>
      </c>
      <c r="H104" s="241">
        <v>22</v>
      </c>
      <c r="I104" s="241">
        <v>0</v>
      </c>
      <c r="J104" s="236">
        <v>34</v>
      </c>
      <c r="K104" s="236" t="s">
        <v>38</v>
      </c>
      <c r="L104" s="236" t="s">
        <v>38</v>
      </c>
      <c r="M104" s="275"/>
    </row>
    <row r="105" spans="2:21" ht="15.95" customHeight="1" x14ac:dyDescent="0.2">
      <c r="B105" s="315" t="s">
        <v>449</v>
      </c>
      <c r="C105" s="252" t="s">
        <v>39</v>
      </c>
      <c r="D105" s="225"/>
      <c r="E105" s="278">
        <v>10</v>
      </c>
      <c r="F105" s="256">
        <v>1</v>
      </c>
      <c r="G105" s="253">
        <v>15</v>
      </c>
      <c r="H105" s="241">
        <v>22</v>
      </c>
      <c r="I105" s="241">
        <v>0</v>
      </c>
      <c r="J105" s="236">
        <v>34</v>
      </c>
      <c r="K105" s="236" t="s">
        <v>38</v>
      </c>
      <c r="L105" s="236" t="s">
        <v>38</v>
      </c>
      <c r="M105" s="276"/>
    </row>
    <row r="106" spans="2:21" ht="15.95" customHeight="1" thickBot="1" x14ac:dyDescent="0.25">
      <c r="B106" s="255"/>
      <c r="C106" s="252"/>
      <c r="D106" s="278"/>
      <c r="E106" s="256"/>
      <c r="F106" s="272"/>
      <c r="G106" s="253"/>
      <c r="H106" s="250"/>
      <c r="I106" s="250"/>
      <c r="J106" s="250"/>
      <c r="K106" s="250"/>
      <c r="L106" s="250"/>
      <c r="M106" s="276"/>
    </row>
    <row r="107" spans="2:21" ht="15.95" customHeight="1" thickTop="1" x14ac:dyDescent="0.2">
      <c r="B107" s="318"/>
      <c r="C107" s="319"/>
      <c r="D107" s="320"/>
      <c r="E107" s="321"/>
      <c r="F107" s="322" t="s">
        <v>33</v>
      </c>
      <c r="G107" s="323">
        <f>SUBTOTAL(9,G103:G106)</f>
        <v>50</v>
      </c>
      <c r="H107" s="324">
        <f>IF($G107=0,0,SUMPRODUCT($G103:$G106,H103:H106)/$G107)</f>
        <v>22</v>
      </c>
      <c r="I107" s="324">
        <f>IF($G107=0,0,SUMPRODUCT($G103:$G106,I103:I106)/$G107)</f>
        <v>0</v>
      </c>
      <c r="J107" s="324">
        <f>IF($G107=0,0,SUMPRODUCT($G103:$G106,J103:J106)/$G107)</f>
        <v>34</v>
      </c>
      <c r="K107" s="324" t="s">
        <v>38</v>
      </c>
      <c r="L107" s="324" t="s">
        <v>38</v>
      </c>
      <c r="M107" s="444"/>
      <c r="O107" s="445" t="s">
        <v>538</v>
      </c>
      <c r="P107" s="446">
        <f t="shared" ref="P107:U107" si="11">G107</f>
        <v>50</v>
      </c>
      <c r="Q107" s="446">
        <f t="shared" si="11"/>
        <v>22</v>
      </c>
      <c r="R107" s="446">
        <f t="shared" si="11"/>
        <v>0</v>
      </c>
      <c r="S107" s="446">
        <f t="shared" si="11"/>
        <v>34</v>
      </c>
      <c r="T107" s="446" t="str">
        <f t="shared" si="11"/>
        <v>n/a</v>
      </c>
      <c r="U107" s="447" t="str">
        <f t="shared" si="11"/>
        <v>n/a</v>
      </c>
    </row>
    <row r="108" spans="2:21" ht="15.95" customHeight="1" x14ac:dyDescent="0.2">
      <c r="B108" s="485"/>
      <c r="C108" s="452"/>
      <c r="D108" s="452"/>
      <c r="F108" s="452"/>
      <c r="G108" s="383"/>
      <c r="H108" s="452"/>
      <c r="I108" s="452"/>
      <c r="J108" s="452"/>
      <c r="K108" s="452"/>
      <c r="L108" s="452"/>
      <c r="M108" s="486"/>
    </row>
    <row r="109" spans="2:21" ht="15.95" customHeight="1" x14ac:dyDescent="0.2">
      <c r="B109" s="463"/>
      <c r="C109" s="470" t="s">
        <v>531</v>
      </c>
      <c r="D109" s="464"/>
      <c r="E109" s="465"/>
      <c r="F109" s="466"/>
      <c r="G109" s="467"/>
      <c r="H109" s="468"/>
      <c r="I109" s="468"/>
      <c r="J109" s="468"/>
      <c r="K109" s="468"/>
      <c r="L109" s="468"/>
      <c r="M109" s="469"/>
    </row>
    <row r="110" spans="2:21" ht="15.95" customHeight="1" x14ac:dyDescent="0.2">
      <c r="B110" s="243"/>
      <c r="C110" s="244"/>
      <c r="D110" s="245"/>
      <c r="E110" s="246"/>
      <c r="F110" s="279"/>
      <c r="G110" s="280"/>
      <c r="H110" s="281"/>
      <c r="I110" s="281"/>
      <c r="J110" s="281"/>
      <c r="K110" s="281"/>
      <c r="L110" s="281"/>
      <c r="M110" s="282"/>
    </row>
    <row r="111" spans="2:21" ht="15.95" customHeight="1" x14ac:dyDescent="0.2">
      <c r="B111" s="82"/>
      <c r="C111" s="242" t="s">
        <v>486</v>
      </c>
      <c r="D111" s="227"/>
      <c r="E111" s="228"/>
      <c r="F111" s="242"/>
      <c r="G111" s="227"/>
      <c r="H111" s="227"/>
      <c r="I111" s="227"/>
      <c r="J111" s="227"/>
      <c r="K111" s="227"/>
      <c r="L111" s="227"/>
      <c r="M111" s="274"/>
    </row>
    <row r="112" spans="2:21" ht="15.95" customHeight="1" x14ac:dyDescent="0.2">
      <c r="B112" s="230" t="s">
        <v>377</v>
      </c>
      <c r="C112" s="343" t="s">
        <v>378</v>
      </c>
      <c r="D112" s="345"/>
      <c r="E112" s="232">
        <v>26.3</v>
      </c>
      <c r="F112" s="232">
        <v>25000</v>
      </c>
      <c r="G112" s="235">
        <f>+E112*F112/2205</f>
        <v>298.18594104308391</v>
      </c>
      <c r="H112" s="236">
        <v>-2</v>
      </c>
      <c r="I112" s="236">
        <v>0</v>
      </c>
      <c r="J112" s="236">
        <v>37.6</v>
      </c>
      <c r="K112" s="236" t="s">
        <v>38</v>
      </c>
      <c r="L112" s="236" t="s">
        <v>38</v>
      </c>
      <c r="M112" s="273"/>
    </row>
    <row r="113" spans="2:21" ht="15.95" customHeight="1" x14ac:dyDescent="0.2">
      <c r="B113" s="230" t="s">
        <v>379</v>
      </c>
      <c r="C113" s="342" t="s">
        <v>380</v>
      </c>
      <c r="D113" s="346"/>
      <c r="E113" s="232">
        <v>19.5</v>
      </c>
      <c r="F113" s="233">
        <v>5000</v>
      </c>
      <c r="G113" s="235">
        <f>+E113*F113/2205</f>
        <v>44.217687074829932</v>
      </c>
      <c r="H113" s="236">
        <v>-2</v>
      </c>
      <c r="I113" s="236">
        <v>0</v>
      </c>
      <c r="J113" s="236">
        <v>37.6</v>
      </c>
      <c r="K113" s="236" t="s">
        <v>38</v>
      </c>
      <c r="L113" s="236" t="s">
        <v>38</v>
      </c>
      <c r="M113" s="273"/>
    </row>
    <row r="114" spans="2:21" ht="15.95" customHeight="1" x14ac:dyDescent="0.2">
      <c r="B114" s="230" t="s">
        <v>381</v>
      </c>
      <c r="C114" s="343" t="s">
        <v>382</v>
      </c>
      <c r="D114" s="346"/>
      <c r="E114" s="232">
        <v>38.700000000000003</v>
      </c>
      <c r="F114" s="233">
        <v>900</v>
      </c>
      <c r="G114" s="235">
        <f>+E114*F114/2205</f>
        <v>15.795918367346939</v>
      </c>
      <c r="H114" s="236">
        <v>-2</v>
      </c>
      <c r="I114" s="236">
        <v>0</v>
      </c>
      <c r="J114" s="236">
        <v>37.6</v>
      </c>
      <c r="K114" s="236" t="s">
        <v>38</v>
      </c>
      <c r="L114" s="236" t="s">
        <v>38</v>
      </c>
      <c r="M114" s="273"/>
    </row>
    <row r="115" spans="2:21" ht="15.95" customHeight="1" x14ac:dyDescent="0.2">
      <c r="B115" s="230" t="s">
        <v>383</v>
      </c>
      <c r="C115" s="343" t="s">
        <v>384</v>
      </c>
      <c r="D115" s="346"/>
      <c r="E115" s="232">
        <v>148</v>
      </c>
      <c r="F115" s="233">
        <f>31*24</f>
        <v>744</v>
      </c>
      <c r="G115" s="235">
        <f>+E115*F115/2205</f>
        <v>49.937414965986392</v>
      </c>
      <c r="H115" s="236">
        <v>-2</v>
      </c>
      <c r="I115" s="236">
        <v>0</v>
      </c>
      <c r="J115" s="236">
        <v>37.6</v>
      </c>
      <c r="K115" s="236" t="s">
        <v>38</v>
      </c>
      <c r="L115" s="236" t="s">
        <v>38</v>
      </c>
      <c r="M115" s="273"/>
    </row>
    <row r="116" spans="2:21" ht="15.95" customHeight="1" x14ac:dyDescent="0.2">
      <c r="B116" s="230" t="s">
        <v>385</v>
      </c>
      <c r="C116" s="343" t="s">
        <v>386</v>
      </c>
      <c r="D116" s="346"/>
      <c r="E116" s="232">
        <v>100</v>
      </c>
      <c r="F116" s="233">
        <f>31*24</f>
        <v>744</v>
      </c>
      <c r="G116" s="235">
        <f>+E116*F116/2205</f>
        <v>33.741496598639458</v>
      </c>
      <c r="H116" s="236">
        <v>-2</v>
      </c>
      <c r="I116" s="236">
        <v>0</v>
      </c>
      <c r="J116" s="236">
        <v>37.6</v>
      </c>
      <c r="K116" s="236" t="s">
        <v>38</v>
      </c>
      <c r="L116" s="236" t="s">
        <v>38</v>
      </c>
      <c r="M116" s="273"/>
    </row>
    <row r="117" spans="2:21" ht="15.95" customHeight="1" x14ac:dyDescent="0.2">
      <c r="B117" s="315"/>
      <c r="C117" s="344" t="s">
        <v>511</v>
      </c>
      <c r="D117" s="367"/>
      <c r="E117" s="368"/>
      <c r="F117" s="369"/>
      <c r="G117" s="253">
        <v>300</v>
      </c>
      <c r="H117" s="254">
        <v>-10</v>
      </c>
      <c r="I117" s="254">
        <v>0</v>
      </c>
      <c r="J117" s="236">
        <v>37.6</v>
      </c>
      <c r="K117" s="254"/>
      <c r="L117" s="254"/>
      <c r="M117" s="277"/>
    </row>
    <row r="118" spans="2:21" ht="15.95" customHeight="1" thickBot="1" x14ac:dyDescent="0.25">
      <c r="B118" s="255"/>
      <c r="C118" s="344"/>
      <c r="D118" s="347"/>
      <c r="E118" s="256"/>
      <c r="F118" s="272"/>
      <c r="G118" s="253"/>
      <c r="H118" s="250"/>
      <c r="I118" s="250"/>
      <c r="J118" s="250"/>
      <c r="K118" s="250"/>
      <c r="L118" s="250"/>
      <c r="M118" s="276"/>
    </row>
    <row r="119" spans="2:21" ht="15.95" customHeight="1" thickTop="1" x14ac:dyDescent="0.2">
      <c r="B119" s="318"/>
      <c r="C119" s="319"/>
      <c r="D119" s="320"/>
      <c r="E119" s="321"/>
      <c r="F119" s="322" t="s">
        <v>33</v>
      </c>
      <c r="G119" s="323">
        <f>SUBTOTAL(9,G112:G118)</f>
        <v>741.8784580498866</v>
      </c>
      <c r="H119" s="324">
        <f>IF($G119=0,0,SUMPRODUCT($G112:$G118,H112:H118)/$G119)</f>
        <v>-5.2350312560748531</v>
      </c>
      <c r="I119" s="324">
        <f>IF($G119=0,0,SUMPRODUCT($G112:$G118,I112:I118)/$G119)</f>
        <v>0</v>
      </c>
      <c r="J119" s="324">
        <f>IF($G119=0,0,SUMPRODUCT($G112:$G118,J112:J118)/$G119)</f>
        <v>37.6</v>
      </c>
      <c r="K119" s="324">
        <f>SUBTOTAL(9,K112:K118)</f>
        <v>0</v>
      </c>
      <c r="L119" s="324">
        <f>SUBTOTAL(9,L112:L118)</f>
        <v>0</v>
      </c>
      <c r="M119" s="444"/>
      <c r="O119" s="445" t="s">
        <v>542</v>
      </c>
      <c r="P119" s="446">
        <f t="shared" ref="P119:U119" si="12">G119</f>
        <v>741.8784580498866</v>
      </c>
      <c r="Q119" s="446">
        <f t="shared" si="12"/>
        <v>-5.2350312560748531</v>
      </c>
      <c r="R119" s="446">
        <f t="shared" si="12"/>
        <v>0</v>
      </c>
      <c r="S119" s="446">
        <f t="shared" si="12"/>
        <v>37.6</v>
      </c>
      <c r="T119" s="446">
        <f t="shared" si="12"/>
        <v>0</v>
      </c>
      <c r="U119" s="447">
        <f t="shared" si="12"/>
        <v>0</v>
      </c>
    </row>
    <row r="120" spans="2:21" ht="15.95" customHeight="1" x14ac:dyDescent="0.2">
      <c r="B120" s="485"/>
      <c r="C120" s="452"/>
      <c r="D120" s="452"/>
      <c r="F120" s="452"/>
      <c r="G120" s="383"/>
      <c r="H120" s="452"/>
      <c r="I120" s="452"/>
      <c r="J120" s="452"/>
      <c r="K120" s="452"/>
      <c r="L120" s="452"/>
      <c r="M120" s="486"/>
    </row>
    <row r="121" spans="2:21" ht="15.95" customHeight="1" x14ac:dyDescent="0.2">
      <c r="B121" s="82"/>
      <c r="C121" s="242" t="s">
        <v>421</v>
      </c>
      <c r="D121" s="227"/>
      <c r="E121" s="228"/>
      <c r="F121" s="242"/>
      <c r="G121" s="227"/>
      <c r="H121" s="227"/>
      <c r="I121" s="227"/>
      <c r="J121" s="227"/>
      <c r="K121" s="227"/>
      <c r="L121" s="227"/>
      <c r="M121" s="274"/>
    </row>
    <row r="122" spans="2:21" ht="15.95" customHeight="1" x14ac:dyDescent="0.2">
      <c r="B122" s="58"/>
      <c r="C122" s="56" t="s">
        <v>387</v>
      </c>
      <c r="D122" s="55"/>
      <c r="E122" s="218" t="s">
        <v>38</v>
      </c>
      <c r="F122" s="16" t="s">
        <v>38</v>
      </c>
      <c r="G122" s="24">
        <v>544</v>
      </c>
      <c r="H122" s="16">
        <v>4</v>
      </c>
      <c r="I122" s="16">
        <v>0</v>
      </c>
      <c r="J122" s="16">
        <v>68.8</v>
      </c>
      <c r="K122" s="169" t="s">
        <v>38</v>
      </c>
      <c r="L122" s="169" t="s">
        <v>38</v>
      </c>
      <c r="M122" s="273" t="s">
        <v>500</v>
      </c>
    </row>
    <row r="123" spans="2:21" ht="15.95" customHeight="1" thickBot="1" x14ac:dyDescent="0.25">
      <c r="B123" s="255"/>
      <c r="C123" s="252"/>
      <c r="D123" s="278"/>
      <c r="E123" s="256"/>
      <c r="F123" s="272"/>
      <c r="G123" s="253"/>
      <c r="H123" s="250"/>
      <c r="I123" s="250"/>
      <c r="J123" s="250"/>
      <c r="K123" s="250"/>
      <c r="L123" s="250"/>
      <c r="M123" s="276"/>
    </row>
    <row r="124" spans="2:21" ht="15.95" customHeight="1" thickTop="1" x14ac:dyDescent="0.2">
      <c r="B124" s="318"/>
      <c r="C124" s="319"/>
      <c r="D124" s="320"/>
      <c r="E124" s="321"/>
      <c r="F124" s="322" t="s">
        <v>33</v>
      </c>
      <c r="G124" s="323">
        <f>SUBTOTAL(9,G122:G123)</f>
        <v>544</v>
      </c>
      <c r="H124" s="324">
        <f>IF($G124=0,0,SUMPRODUCT($G122:$G123,H122:H123)/$G124)</f>
        <v>4</v>
      </c>
      <c r="I124" s="324">
        <f>IF($G124=0,0,SUMPRODUCT($G122:$G123,I122:I123)/$G124)</f>
        <v>0</v>
      </c>
      <c r="J124" s="324">
        <f>IF($G124=0,0,SUMPRODUCT($G122:$G123,J122:J123)/$G124)</f>
        <v>68.8</v>
      </c>
      <c r="K124" s="324">
        <f>SUBTOTAL(9,K122:K123)</f>
        <v>0</v>
      </c>
      <c r="L124" s="324">
        <f>SUBTOTAL(9,L122:L123)</f>
        <v>0</v>
      </c>
      <c r="M124" s="444"/>
      <c r="O124" s="445" t="s">
        <v>539</v>
      </c>
      <c r="P124" s="446">
        <f t="shared" ref="P124:U124" si="13">G124</f>
        <v>544</v>
      </c>
      <c r="Q124" s="446">
        <f t="shared" si="13"/>
        <v>4</v>
      </c>
      <c r="R124" s="446">
        <f t="shared" si="13"/>
        <v>0</v>
      </c>
      <c r="S124" s="446">
        <f t="shared" si="13"/>
        <v>68.8</v>
      </c>
      <c r="T124" s="446">
        <f t="shared" si="13"/>
        <v>0</v>
      </c>
      <c r="U124" s="447">
        <f t="shared" si="13"/>
        <v>0</v>
      </c>
    </row>
    <row r="125" spans="2:21" ht="15.95" customHeight="1" x14ac:dyDescent="0.2">
      <c r="B125" s="485"/>
      <c r="C125" s="452"/>
      <c r="D125" s="452"/>
      <c r="F125" s="452"/>
      <c r="G125" s="383"/>
      <c r="H125" s="452"/>
      <c r="I125" s="452"/>
      <c r="J125" s="452"/>
      <c r="K125" s="452"/>
      <c r="L125" s="452"/>
      <c r="M125" s="486"/>
    </row>
    <row r="126" spans="2:21" ht="15.95" customHeight="1" x14ac:dyDescent="0.2">
      <c r="B126" s="82"/>
      <c r="C126" s="242" t="s">
        <v>483</v>
      </c>
      <c r="D126" s="227"/>
      <c r="E126" s="228"/>
      <c r="F126" s="242"/>
      <c r="G126" s="227"/>
      <c r="H126" s="227"/>
      <c r="I126" s="227"/>
      <c r="J126" s="227"/>
      <c r="K126" s="227"/>
      <c r="L126" s="227"/>
      <c r="M126" s="274"/>
    </row>
    <row r="127" spans="2:21" ht="15.95" customHeight="1" x14ac:dyDescent="0.2">
      <c r="B127" s="58" t="s">
        <v>388</v>
      </c>
      <c r="C127" s="56" t="s">
        <v>484</v>
      </c>
      <c r="D127" s="55"/>
      <c r="E127" s="218" t="s">
        <v>38</v>
      </c>
      <c r="F127" s="16" t="s">
        <v>38</v>
      </c>
      <c r="G127" s="24">
        <v>100</v>
      </c>
      <c r="H127" s="16">
        <v>-6.31</v>
      </c>
      <c r="I127" s="16">
        <v>41.36</v>
      </c>
      <c r="J127" s="16">
        <v>36.6</v>
      </c>
      <c r="K127" s="169"/>
      <c r="L127" s="169"/>
      <c r="M127" s="273"/>
    </row>
    <row r="128" spans="2:21" ht="15.95" customHeight="1" x14ac:dyDescent="0.2">
      <c r="B128" s="58" t="s">
        <v>389</v>
      </c>
      <c r="C128" s="56" t="s">
        <v>485</v>
      </c>
      <c r="D128" s="55"/>
      <c r="E128" s="218" t="s">
        <v>38</v>
      </c>
      <c r="F128" s="16" t="s">
        <v>38</v>
      </c>
      <c r="G128" s="24">
        <v>100</v>
      </c>
      <c r="H128" s="16">
        <v>-6.31</v>
      </c>
      <c r="I128" s="16">
        <v>-41.36</v>
      </c>
      <c r="J128" s="16">
        <v>36.6</v>
      </c>
      <c r="K128" s="169"/>
      <c r="L128" s="169"/>
      <c r="M128" s="273"/>
    </row>
    <row r="129" spans="2:21" ht="15.95" customHeight="1" thickBot="1" x14ac:dyDescent="0.25">
      <c r="B129" s="255"/>
      <c r="C129" s="252"/>
      <c r="D129" s="278"/>
      <c r="E129" s="256"/>
      <c r="F129" s="272"/>
      <c r="G129" s="253"/>
      <c r="H129" s="250"/>
      <c r="I129" s="250"/>
      <c r="J129" s="250"/>
      <c r="K129" s="250"/>
      <c r="L129" s="250"/>
      <c r="M129" s="276"/>
    </row>
    <row r="130" spans="2:21" ht="15.95" customHeight="1" thickTop="1" x14ac:dyDescent="0.2">
      <c r="B130" s="318"/>
      <c r="C130" s="319"/>
      <c r="D130" s="320"/>
      <c r="E130" s="321"/>
      <c r="F130" s="322" t="s">
        <v>33</v>
      </c>
      <c r="G130" s="323">
        <f>SUBTOTAL(9,G127:G129)</f>
        <v>200</v>
      </c>
      <c r="H130" s="324">
        <f>IF($G130=0,0,SUMPRODUCT($G127:$G129,H127:H129)/$G130)</f>
        <v>-6.31</v>
      </c>
      <c r="I130" s="324">
        <f>IF($G130=0,0,SUMPRODUCT($G127:$G129,I127:I129)/$G130)</f>
        <v>0</v>
      </c>
      <c r="J130" s="324">
        <f>IF($G130=0,0,SUMPRODUCT($G127:$G129,J127:J129)/$G130)</f>
        <v>36.6</v>
      </c>
      <c r="K130" s="324">
        <f>SUBTOTAL(9,K127:K129)</f>
        <v>0</v>
      </c>
      <c r="L130" s="324">
        <f>SUBTOTAL(9,L127:L129)</f>
        <v>0</v>
      </c>
      <c r="M130" s="444"/>
      <c r="O130" s="445" t="s">
        <v>540</v>
      </c>
      <c r="P130" s="446">
        <f t="shared" ref="P130:U130" si="14">G130</f>
        <v>200</v>
      </c>
      <c r="Q130" s="446">
        <f t="shared" si="14"/>
        <v>-6.31</v>
      </c>
      <c r="R130" s="446">
        <f t="shared" si="14"/>
        <v>0</v>
      </c>
      <c r="S130" s="446">
        <f t="shared" si="14"/>
        <v>36.6</v>
      </c>
      <c r="T130" s="446">
        <f t="shared" si="14"/>
        <v>0</v>
      </c>
      <c r="U130" s="447">
        <f t="shared" si="14"/>
        <v>0</v>
      </c>
    </row>
    <row r="131" spans="2:21" ht="15.95" customHeight="1" x14ac:dyDescent="0.2">
      <c r="B131" s="485"/>
      <c r="C131" s="452"/>
      <c r="D131" s="452"/>
      <c r="F131" s="452"/>
      <c r="G131" s="383"/>
      <c r="H131" s="452"/>
      <c r="I131" s="452"/>
      <c r="J131" s="452"/>
      <c r="K131" s="452"/>
      <c r="L131" s="452"/>
      <c r="M131" s="486"/>
    </row>
    <row r="132" spans="2:21" ht="15.95" customHeight="1" x14ac:dyDescent="0.2">
      <c r="B132" s="82"/>
      <c r="C132" s="242" t="s">
        <v>492</v>
      </c>
      <c r="D132" s="227"/>
      <c r="E132" s="228"/>
      <c r="F132" s="242"/>
      <c r="G132" s="227"/>
      <c r="H132" s="227"/>
      <c r="I132" s="227"/>
      <c r="J132" s="227"/>
      <c r="K132" s="227"/>
      <c r="L132" s="227"/>
      <c r="M132" s="274"/>
    </row>
    <row r="133" spans="2:21" ht="15.95" customHeight="1" x14ac:dyDescent="0.2">
      <c r="B133" s="230" t="s">
        <v>390</v>
      </c>
      <c r="C133" s="231" t="s">
        <v>391</v>
      </c>
      <c r="D133" s="232">
        <v>50</v>
      </c>
      <c r="E133" s="233">
        <v>1.73</v>
      </c>
      <c r="F133" s="234">
        <v>8</v>
      </c>
      <c r="G133" s="235">
        <f>+E133*F133*D133/100</f>
        <v>6.92</v>
      </c>
      <c r="H133" s="236">
        <v>0</v>
      </c>
      <c r="I133" s="236">
        <v>0</v>
      </c>
      <c r="J133" s="236">
        <v>37</v>
      </c>
      <c r="K133" s="236"/>
      <c r="L133" s="236"/>
      <c r="M133" s="273"/>
    </row>
    <row r="134" spans="2:21" ht="15.95" customHeight="1" x14ac:dyDescent="0.2">
      <c r="B134" s="230" t="s">
        <v>392</v>
      </c>
      <c r="C134" s="231" t="s">
        <v>391</v>
      </c>
      <c r="D134" s="232">
        <v>50</v>
      </c>
      <c r="E134" s="233">
        <v>1.73</v>
      </c>
      <c r="F134" s="234">
        <v>8</v>
      </c>
      <c r="G134" s="235">
        <f t="shared" ref="G134:G140" si="15">+E134*F134*D134/100</f>
        <v>6.92</v>
      </c>
      <c r="H134" s="236">
        <v>0</v>
      </c>
      <c r="I134" s="236">
        <v>0</v>
      </c>
      <c r="J134" s="236">
        <v>37</v>
      </c>
      <c r="K134" s="236"/>
      <c r="L134" s="236"/>
      <c r="M134" s="273"/>
    </row>
    <row r="135" spans="2:21" ht="15.95" customHeight="1" x14ac:dyDescent="0.2">
      <c r="B135" s="230" t="s">
        <v>342</v>
      </c>
      <c r="C135" s="231" t="s">
        <v>393</v>
      </c>
      <c r="D135" s="232">
        <v>50</v>
      </c>
      <c r="E135" s="233">
        <v>1.73</v>
      </c>
      <c r="F135" s="234">
        <v>16</v>
      </c>
      <c r="G135" s="235">
        <f t="shared" si="15"/>
        <v>13.84</v>
      </c>
      <c r="H135" s="236">
        <v>0</v>
      </c>
      <c r="I135" s="236">
        <v>0</v>
      </c>
      <c r="J135" s="236">
        <v>37</v>
      </c>
      <c r="K135" s="236"/>
      <c r="L135" s="236"/>
      <c r="M135" s="273"/>
    </row>
    <row r="136" spans="2:21" ht="15.95" customHeight="1" x14ac:dyDescent="0.2">
      <c r="B136" s="230" t="s">
        <v>344</v>
      </c>
      <c r="C136" s="231" t="s">
        <v>394</v>
      </c>
      <c r="D136" s="232">
        <v>50</v>
      </c>
      <c r="E136" s="233">
        <v>1.73</v>
      </c>
      <c r="F136" s="234">
        <v>12</v>
      </c>
      <c r="G136" s="235">
        <f t="shared" si="15"/>
        <v>10.38</v>
      </c>
      <c r="H136" s="236">
        <v>0</v>
      </c>
      <c r="I136" s="236">
        <v>0</v>
      </c>
      <c r="J136" s="236">
        <v>37</v>
      </c>
      <c r="K136" s="236"/>
      <c r="L136" s="236"/>
      <c r="M136" s="273"/>
    </row>
    <row r="137" spans="2:21" ht="15.95" customHeight="1" x14ac:dyDescent="0.2">
      <c r="B137" s="230" t="s">
        <v>342</v>
      </c>
      <c r="C137" s="231" t="s">
        <v>395</v>
      </c>
      <c r="D137" s="232">
        <v>50</v>
      </c>
      <c r="E137" s="233">
        <v>1.73</v>
      </c>
      <c r="F137" s="234">
        <v>16</v>
      </c>
      <c r="G137" s="235">
        <f t="shared" si="15"/>
        <v>13.84</v>
      </c>
      <c r="H137" s="236">
        <v>0</v>
      </c>
      <c r="I137" s="236">
        <v>0</v>
      </c>
      <c r="J137" s="236">
        <v>37</v>
      </c>
      <c r="K137" s="236"/>
      <c r="L137" s="236"/>
      <c r="M137" s="273"/>
    </row>
    <row r="138" spans="2:21" ht="15.95" customHeight="1" x14ac:dyDescent="0.2">
      <c r="B138" s="230" t="s">
        <v>344</v>
      </c>
      <c r="C138" s="231" t="s">
        <v>396</v>
      </c>
      <c r="D138" s="232">
        <v>50</v>
      </c>
      <c r="E138" s="233">
        <v>1.73</v>
      </c>
      <c r="F138" s="234">
        <v>16</v>
      </c>
      <c r="G138" s="235">
        <f t="shared" si="15"/>
        <v>13.84</v>
      </c>
      <c r="H138" s="236">
        <v>0</v>
      </c>
      <c r="I138" s="236">
        <v>0</v>
      </c>
      <c r="J138" s="236">
        <v>37</v>
      </c>
      <c r="K138" s="236"/>
      <c r="L138" s="236"/>
      <c r="M138" s="273"/>
    </row>
    <row r="139" spans="2:21" ht="15.95" customHeight="1" x14ac:dyDescent="0.2">
      <c r="B139" s="230" t="s">
        <v>344</v>
      </c>
      <c r="C139" s="231" t="s">
        <v>397</v>
      </c>
      <c r="D139" s="232">
        <v>50</v>
      </c>
      <c r="E139" s="233">
        <v>1.73</v>
      </c>
      <c r="F139" s="234">
        <v>2</v>
      </c>
      <c r="G139" s="235">
        <f t="shared" si="15"/>
        <v>1.73</v>
      </c>
      <c r="H139" s="236">
        <v>0</v>
      </c>
      <c r="I139" s="236">
        <v>0</v>
      </c>
      <c r="J139" s="236">
        <v>37</v>
      </c>
      <c r="K139" s="236"/>
      <c r="L139" s="236"/>
      <c r="M139" s="273"/>
    </row>
    <row r="140" spans="2:21" ht="15.95" customHeight="1" x14ac:dyDescent="0.2">
      <c r="B140" s="230" t="s">
        <v>398</v>
      </c>
      <c r="C140" s="231" t="s">
        <v>399</v>
      </c>
      <c r="D140" s="232">
        <v>50</v>
      </c>
      <c r="E140" s="233">
        <v>1.73</v>
      </c>
      <c r="F140" s="234">
        <v>16</v>
      </c>
      <c r="G140" s="235">
        <f t="shared" si="15"/>
        <v>13.84</v>
      </c>
      <c r="H140" s="236">
        <v>0</v>
      </c>
      <c r="I140" s="236">
        <v>0</v>
      </c>
      <c r="J140" s="236">
        <v>37</v>
      </c>
      <c r="K140" s="236"/>
      <c r="L140" s="236"/>
      <c r="M140" s="273"/>
    </row>
    <row r="141" spans="2:21" ht="15.95" customHeight="1" thickBot="1" x14ac:dyDescent="0.25">
      <c r="B141" s="255"/>
      <c r="C141" s="252"/>
      <c r="D141" s="278"/>
      <c r="E141" s="256"/>
      <c r="F141" s="272"/>
      <c r="G141" s="253"/>
      <c r="H141" s="250"/>
      <c r="I141" s="250"/>
      <c r="J141" s="250"/>
      <c r="K141" s="250"/>
      <c r="L141" s="250"/>
      <c r="M141" s="276"/>
    </row>
    <row r="142" spans="2:21" ht="15.95" customHeight="1" thickTop="1" x14ac:dyDescent="0.2">
      <c r="B142" s="318"/>
      <c r="C142" s="319"/>
      <c r="D142" s="320"/>
      <c r="E142" s="321"/>
      <c r="F142" s="322" t="s">
        <v>33</v>
      </c>
      <c r="G142" s="323">
        <f>SUBTOTAL(9,G133:G141)</f>
        <v>81.310000000000016</v>
      </c>
      <c r="H142" s="324">
        <f>IF($G142=0,0,SUMPRODUCT($G133:$G141,H133:H141)/$G142)</f>
        <v>0</v>
      </c>
      <c r="I142" s="324">
        <f>IF($G142=0,0,SUMPRODUCT($G133:$G141,I133:I141)/$G142)</f>
        <v>0</v>
      </c>
      <c r="J142" s="324">
        <f>IF($G142=0,0,SUMPRODUCT($G133:$G141,J133:J141)/$G142)</f>
        <v>36.999999999999993</v>
      </c>
      <c r="K142" s="324" t="s">
        <v>38</v>
      </c>
      <c r="L142" s="324" t="s">
        <v>38</v>
      </c>
      <c r="M142" s="444"/>
      <c r="O142" s="445" t="s">
        <v>541</v>
      </c>
      <c r="P142" s="446">
        <f t="shared" ref="P142:U142" si="16">G142</f>
        <v>81.310000000000016</v>
      </c>
      <c r="Q142" s="446">
        <f t="shared" si="16"/>
        <v>0</v>
      </c>
      <c r="R142" s="446">
        <f t="shared" si="16"/>
        <v>0</v>
      </c>
      <c r="S142" s="446">
        <f t="shared" si="16"/>
        <v>36.999999999999993</v>
      </c>
      <c r="T142" s="446" t="str">
        <f t="shared" si="16"/>
        <v>n/a</v>
      </c>
      <c r="U142" s="447" t="str">
        <f t="shared" si="16"/>
        <v>n/a</v>
      </c>
    </row>
    <row r="143" spans="2:21" ht="15.95" customHeight="1" x14ac:dyDescent="0.2">
      <c r="B143" s="485"/>
      <c r="C143" s="452"/>
      <c r="D143" s="452"/>
      <c r="F143" s="452"/>
      <c r="G143" s="383"/>
      <c r="H143" s="452"/>
      <c r="I143" s="452"/>
      <c r="J143" s="452"/>
      <c r="K143" s="452"/>
      <c r="L143" s="452"/>
      <c r="M143" s="486"/>
    </row>
    <row r="144" spans="2:21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</sheetData>
  <dataConsolidate/>
  <mergeCells count="15">
    <mergeCell ref="J7:J8"/>
    <mergeCell ref="K7:K8"/>
    <mergeCell ref="L7:L8"/>
    <mergeCell ref="M7:M9"/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I7:I8"/>
  </mergeCells>
  <conditionalFormatting sqref="E142 E133:F141 E14:F16 E127:F129 E130 E122:F123 E110 F113:F118 E124 E118:E119 F103:F106 E106:E107 E93:F93 E99:F99 E100 E88:F89 E85 E81:F81 E90 E70:F71 E73:F77 E78 E53 E56 E58:F66 E50:F52 E47:E48 E39 E42 E44:F46 E35:F38 E32:E33 E24 E27 E29:F31 E20:F23 E17:E18 E12 E67">
    <cfRule type="expression" dxfId="22" priority="1" stopIfTrue="1">
      <formula>#REF!="B"</formula>
    </cfRule>
  </conditionalFormatting>
  <conditionalFormatting sqref="E11 E54:E55 E40:E41 E25:E26 E109">
    <cfRule type="expression" dxfId="21" priority="2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U692"/>
  <sheetViews>
    <sheetView topLeftCell="B1" zoomScale="85" zoomScaleNormal="85" zoomScaleSheetLayoutView="85" workbookViewId="0">
      <pane ySplit="10" topLeftCell="A37" activePane="bottomLeft" state="frozen"/>
      <selection activeCell="C2" sqref="C2:U36"/>
      <selection pane="bottomLeft" activeCell="D32" sqref="D32:D36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558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548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529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54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5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17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6"/>
      <c r="G8" s="611"/>
      <c r="H8" s="611"/>
      <c r="I8" s="611"/>
      <c r="J8" s="611"/>
      <c r="K8" s="611"/>
      <c r="L8" s="611"/>
      <c r="M8" s="618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550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19"/>
      <c r="O9" s="417"/>
    </row>
    <row r="10" spans="2:21" ht="15.95" customHeight="1" thickTop="1" x14ac:dyDescent="0.2">
      <c r="B10" s="418"/>
      <c r="C10" s="419"/>
      <c r="D10" s="477"/>
      <c r="E10" s="419"/>
      <c r="F10" s="551"/>
      <c r="G10" s="419"/>
      <c r="H10" s="419"/>
      <c r="I10" s="419"/>
      <c r="J10" s="419"/>
      <c r="K10" s="419"/>
      <c r="L10" s="419"/>
      <c r="M10" s="420"/>
    </row>
    <row r="11" spans="2:21" s="429" customFormat="1" ht="15.95" customHeight="1" x14ac:dyDescent="0.2">
      <c r="B11" s="463"/>
      <c r="C11" s="470" t="s">
        <v>528</v>
      </c>
      <c r="D11" s="478"/>
      <c r="E11" s="465"/>
      <c r="F11" s="552"/>
      <c r="G11" s="467"/>
      <c r="H11" s="468"/>
      <c r="I11" s="468"/>
      <c r="J11" s="468"/>
      <c r="K11" s="468"/>
      <c r="L11" s="468"/>
      <c r="M11" s="469"/>
      <c r="N11" s="381"/>
      <c r="O11" s="445"/>
      <c r="P11" s="446"/>
      <c r="Q11" s="446"/>
      <c r="R11" s="446"/>
      <c r="S11" s="446"/>
      <c r="T11" s="446"/>
      <c r="U11" s="447"/>
    </row>
    <row r="12" spans="2:21" s="429" customFormat="1" ht="15.95" customHeight="1" x14ac:dyDescent="0.2">
      <c r="B12" s="59" t="s">
        <v>88</v>
      </c>
      <c r="C12" s="29" t="s">
        <v>456</v>
      </c>
      <c r="D12" s="316">
        <v>0.94</v>
      </c>
      <c r="E12" s="218">
        <v>1.0249999999999999</v>
      </c>
      <c r="F12" s="271">
        <f>(0.5*PI()*3.3^2*9+(11.1-3.3)*9*6.6)*$Q$3</f>
        <v>586.41006058970936</v>
      </c>
      <c r="G12" s="24">
        <f>E12*F12*D12</f>
        <v>565.0060933781848</v>
      </c>
      <c r="H12" s="16">
        <v>-27.6</v>
      </c>
      <c r="I12" s="16">
        <v>13.5</v>
      </c>
      <c r="J12" s="16">
        <v>3.3</v>
      </c>
      <c r="K12" s="169">
        <v>0</v>
      </c>
      <c r="L12" s="169">
        <v>0</v>
      </c>
      <c r="M12" s="430"/>
      <c r="N12" s="381"/>
      <c r="O12" s="426"/>
      <c r="P12" s="427"/>
      <c r="Q12" s="427"/>
      <c r="R12" s="427"/>
      <c r="S12" s="427"/>
      <c r="T12" s="427"/>
      <c r="U12" s="428"/>
    </row>
    <row r="13" spans="2:21" s="429" customFormat="1" ht="15.95" customHeight="1" x14ac:dyDescent="0.2">
      <c r="B13" s="59" t="s">
        <v>90</v>
      </c>
      <c r="C13" s="29" t="s">
        <v>468</v>
      </c>
      <c r="D13" s="316">
        <v>0.94</v>
      </c>
      <c r="E13" s="218">
        <v>1.0249999999999999</v>
      </c>
      <c r="F13" s="271">
        <f t="shared" ref="F13:F15" si="0">(0.5*PI()*3.3^2*9+(11.1-3.3)*9*6.6)*$Q$3</f>
        <v>586.41006058970936</v>
      </c>
      <c r="G13" s="24">
        <f t="shared" ref="G13:G19" si="1">E13*F13*D13</f>
        <v>565.0060933781848</v>
      </c>
      <c r="H13" s="16">
        <v>-27.6</v>
      </c>
      <c r="I13" s="16">
        <v>4.5</v>
      </c>
      <c r="J13" s="16">
        <v>3.3</v>
      </c>
      <c r="K13" s="169">
        <v>0</v>
      </c>
      <c r="L13" s="169">
        <v>0</v>
      </c>
      <c r="M13" s="430"/>
      <c r="N13" s="381"/>
      <c r="O13" s="426"/>
      <c r="P13" s="427"/>
      <c r="Q13" s="427"/>
      <c r="R13" s="427"/>
      <c r="S13" s="427"/>
      <c r="T13" s="427"/>
      <c r="U13" s="428"/>
    </row>
    <row r="14" spans="2:21" s="429" customFormat="1" ht="15.95" customHeight="1" x14ac:dyDescent="0.2">
      <c r="B14" s="59" t="s">
        <v>467</v>
      </c>
      <c r="C14" s="29" t="s">
        <v>469</v>
      </c>
      <c r="D14" s="316">
        <v>0.94</v>
      </c>
      <c r="E14" s="218">
        <v>1.0249999999999999</v>
      </c>
      <c r="F14" s="271">
        <f t="shared" si="0"/>
        <v>586.41006058970936</v>
      </c>
      <c r="G14" s="24">
        <f t="shared" si="1"/>
        <v>565.0060933781848</v>
      </c>
      <c r="H14" s="16">
        <v>-27.6</v>
      </c>
      <c r="I14" s="16">
        <v>-4.5</v>
      </c>
      <c r="J14" s="16">
        <v>3.3</v>
      </c>
      <c r="K14" s="169">
        <v>0</v>
      </c>
      <c r="L14" s="169">
        <v>0</v>
      </c>
      <c r="M14" s="430"/>
      <c r="N14" s="381"/>
      <c r="O14" s="426"/>
      <c r="P14" s="427"/>
      <c r="Q14" s="427"/>
      <c r="R14" s="427"/>
      <c r="S14" s="427"/>
      <c r="T14" s="427"/>
      <c r="U14" s="428"/>
    </row>
    <row r="15" spans="2:21" s="429" customFormat="1" ht="15.95" customHeight="1" x14ac:dyDescent="0.2">
      <c r="B15" s="59" t="s">
        <v>114</v>
      </c>
      <c r="C15" s="29" t="s">
        <v>470</v>
      </c>
      <c r="D15" s="316">
        <v>0.94</v>
      </c>
      <c r="E15" s="218">
        <v>1.0249999999999999</v>
      </c>
      <c r="F15" s="271">
        <f t="shared" si="0"/>
        <v>586.41006058970936</v>
      </c>
      <c r="G15" s="24">
        <f t="shared" si="1"/>
        <v>565.0060933781848</v>
      </c>
      <c r="H15" s="16">
        <v>-27.6</v>
      </c>
      <c r="I15" s="16">
        <v>-13.5</v>
      </c>
      <c r="J15" s="16">
        <v>3.3</v>
      </c>
      <c r="K15" s="169">
        <v>0</v>
      </c>
      <c r="L15" s="169">
        <v>0</v>
      </c>
      <c r="M15" s="430"/>
      <c r="N15" s="381"/>
      <c r="O15" s="426"/>
      <c r="P15" s="427"/>
      <c r="Q15" s="427"/>
      <c r="R15" s="427"/>
      <c r="S15" s="427"/>
      <c r="T15" s="427"/>
      <c r="U15" s="428"/>
    </row>
    <row r="16" spans="2:21" s="429" customFormat="1" ht="15.95" customHeight="1" x14ac:dyDescent="0.2">
      <c r="B16" s="59" t="s">
        <v>294</v>
      </c>
      <c r="C16" s="29" t="s">
        <v>474</v>
      </c>
      <c r="D16" s="316">
        <v>0.94</v>
      </c>
      <c r="E16" s="218">
        <v>1.0249999999999999</v>
      </c>
      <c r="F16" s="271">
        <f>((2.1*6.6-(1-1/4*PI())*3.3^2)*15+9*15*2.1)*$Q$3</f>
        <v>433.52755049142451</v>
      </c>
      <c r="G16" s="24">
        <f t="shared" si="1"/>
        <v>417.7037948984875</v>
      </c>
      <c r="H16" s="16">
        <v>-31.6</v>
      </c>
      <c r="I16" s="16">
        <v>33.700000000000003</v>
      </c>
      <c r="J16" s="16">
        <v>2.5</v>
      </c>
      <c r="K16" s="169">
        <v>0</v>
      </c>
      <c r="L16" s="169">
        <v>0</v>
      </c>
      <c r="M16" s="430"/>
      <c r="N16" s="381"/>
      <c r="O16" s="426"/>
      <c r="P16" s="427"/>
      <c r="Q16" s="427"/>
      <c r="R16" s="427"/>
      <c r="S16" s="427"/>
      <c r="T16" s="427"/>
      <c r="U16" s="428"/>
    </row>
    <row r="17" spans="2:21" s="429" customFormat="1" ht="15.95" customHeight="1" x14ac:dyDescent="0.2">
      <c r="B17" s="58" t="s">
        <v>299</v>
      </c>
      <c r="C17" s="56" t="s">
        <v>476</v>
      </c>
      <c r="D17" s="316">
        <v>0.94</v>
      </c>
      <c r="E17" s="218">
        <v>1.0249999999999999</v>
      </c>
      <c r="F17" s="271">
        <f>(0.5*PI()*3.3^2*8.4+(9+1.5-1.8-3.3)*8.4*6.6)*$Q$3</f>
        <v>420.91285655039542</v>
      </c>
      <c r="G17" s="24">
        <f t="shared" si="1"/>
        <v>405.54953728630596</v>
      </c>
      <c r="H17" s="16">
        <v>-16.8</v>
      </c>
      <c r="I17" s="16">
        <v>23.22</v>
      </c>
      <c r="J17" s="16">
        <v>3.3</v>
      </c>
      <c r="K17" s="169">
        <v>0</v>
      </c>
      <c r="L17" s="169">
        <v>0</v>
      </c>
      <c r="M17" s="430"/>
      <c r="N17" s="381"/>
      <c r="O17" s="426"/>
      <c r="P17" s="427"/>
      <c r="Q17" s="427"/>
      <c r="R17" s="427"/>
      <c r="S17" s="427"/>
      <c r="T17" s="427"/>
      <c r="U17" s="428"/>
    </row>
    <row r="18" spans="2:21" s="429" customFormat="1" ht="15.95" customHeight="1" x14ac:dyDescent="0.2">
      <c r="B18" s="59" t="s">
        <v>295</v>
      </c>
      <c r="C18" s="29" t="s">
        <v>475</v>
      </c>
      <c r="D18" s="316">
        <v>0.94</v>
      </c>
      <c r="E18" s="218">
        <v>1.0249999999999999</v>
      </c>
      <c r="F18" s="271">
        <f>((2.1*6.6-(1-1/4*PI())*3.3^2)*15+9*15*2.1)*$Q$3</f>
        <v>433.52755049142451</v>
      </c>
      <c r="G18" s="24">
        <f t="shared" si="1"/>
        <v>417.7037948984875</v>
      </c>
      <c r="H18" s="16">
        <v>-31.6</v>
      </c>
      <c r="I18" s="16">
        <v>-33.700000000000003</v>
      </c>
      <c r="J18" s="16">
        <v>2.5</v>
      </c>
      <c r="K18" s="169">
        <v>0</v>
      </c>
      <c r="L18" s="169">
        <v>0</v>
      </c>
      <c r="M18" s="430"/>
      <c r="N18" s="381"/>
      <c r="O18" s="445"/>
      <c r="P18" s="446"/>
      <c r="Q18" s="446"/>
      <c r="R18" s="446"/>
      <c r="S18" s="446"/>
      <c r="T18" s="446"/>
      <c r="U18" s="447"/>
    </row>
    <row r="19" spans="2:21" s="429" customFormat="1" ht="15.95" customHeight="1" x14ac:dyDescent="0.2">
      <c r="B19" s="59" t="s">
        <v>300</v>
      </c>
      <c r="C19" s="56" t="s">
        <v>477</v>
      </c>
      <c r="D19" s="316">
        <v>0.94</v>
      </c>
      <c r="E19" s="218">
        <v>1.0249999999999999</v>
      </c>
      <c r="F19" s="271">
        <f>(0.5*PI()*3.3^2*8.4+(9+1.5-1.8-3.3)*8.4*6.6)*$Q$3</f>
        <v>420.91285655039542</v>
      </c>
      <c r="G19" s="24">
        <f t="shared" si="1"/>
        <v>405.54953728630596</v>
      </c>
      <c r="H19" s="16">
        <v>-16.8</v>
      </c>
      <c r="I19" s="16">
        <v>-23.22</v>
      </c>
      <c r="J19" s="16">
        <v>3.3</v>
      </c>
      <c r="K19" s="169">
        <v>0</v>
      </c>
      <c r="L19" s="169">
        <v>0</v>
      </c>
      <c r="M19" s="430"/>
      <c r="N19" s="381"/>
      <c r="O19" s="426"/>
      <c r="P19" s="427"/>
      <c r="Q19" s="427"/>
      <c r="R19" s="427"/>
      <c r="S19" s="427"/>
      <c r="T19" s="427"/>
      <c r="U19" s="428"/>
    </row>
    <row r="20" spans="2:21" s="429" customFormat="1" ht="15.95" customHeight="1" thickBot="1" x14ac:dyDescent="0.25">
      <c r="B20" s="431"/>
      <c r="C20" s="432"/>
      <c r="D20" s="316"/>
      <c r="E20" s="433"/>
      <c r="F20" s="434"/>
      <c r="G20" s="435"/>
      <c r="H20" s="436"/>
      <c r="I20" s="436"/>
      <c r="J20" s="436"/>
      <c r="K20" s="436"/>
      <c r="L20" s="436"/>
      <c r="M20" s="437"/>
      <c r="N20" s="454"/>
      <c r="O20" s="426"/>
      <c r="P20" s="427"/>
      <c r="Q20" s="427"/>
      <c r="R20" s="427"/>
      <c r="S20" s="427"/>
      <c r="T20" s="427"/>
      <c r="U20" s="428"/>
    </row>
    <row r="21" spans="2:21" s="429" customFormat="1" ht="15.95" customHeight="1" thickTop="1" x14ac:dyDescent="0.2">
      <c r="B21" s="438"/>
      <c r="C21" s="439"/>
      <c r="D21" s="479"/>
      <c r="E21" s="440"/>
      <c r="F21" s="553" t="s">
        <v>33</v>
      </c>
      <c r="G21" s="442">
        <f>SUBTOTAL(9,G12:G20)</f>
        <v>3906.5310378823265</v>
      </c>
      <c r="H21" s="443">
        <f>IF($G21=0,0,SUMPRODUCT($G12:$G20,H12:H20)/$G21)</f>
        <v>-26.21303043706688</v>
      </c>
      <c r="I21" s="443">
        <f>IF($G21=0,0,SUMPRODUCT($G12:$G20,I12:I20)/$G21)</f>
        <v>0</v>
      </c>
      <c r="J21" s="443">
        <f>IF($G21=0,0,SUMPRODUCT($G12:$G20,J12:J20)/$G21)</f>
        <v>3.1289208340195676</v>
      </c>
      <c r="K21" s="443">
        <f>SUBTOTAL(9,K12:K20)</f>
        <v>0</v>
      </c>
      <c r="L21" s="443">
        <f>SUBTOTAL(9,L12:L20)</f>
        <v>0</v>
      </c>
      <c r="M21" s="444"/>
      <c r="N21" s="454"/>
      <c r="O21" s="445" t="s">
        <v>563</v>
      </c>
      <c r="P21" s="446">
        <f t="shared" ref="P21:U21" si="2">G21</f>
        <v>3906.5310378823265</v>
      </c>
      <c r="Q21" s="446">
        <f t="shared" si="2"/>
        <v>-26.21303043706688</v>
      </c>
      <c r="R21" s="446">
        <f t="shared" si="2"/>
        <v>0</v>
      </c>
      <c r="S21" s="446">
        <f t="shared" si="2"/>
        <v>3.1289208340195676</v>
      </c>
      <c r="T21" s="446">
        <f t="shared" si="2"/>
        <v>0</v>
      </c>
      <c r="U21" s="447">
        <f t="shared" si="2"/>
        <v>0</v>
      </c>
    </row>
    <row r="22" spans="2:21" s="429" customFormat="1" ht="15.95" customHeight="1" x14ac:dyDescent="0.2">
      <c r="B22" s="456"/>
      <c r="C22" s="448"/>
      <c r="D22" s="480"/>
      <c r="E22" s="449"/>
      <c r="F22" s="554"/>
      <c r="G22" s="461"/>
      <c r="H22" s="462"/>
      <c r="I22" s="462"/>
      <c r="J22" s="462"/>
      <c r="K22" s="462"/>
      <c r="L22" s="462"/>
      <c r="M22" s="460"/>
      <c r="N22" s="454"/>
      <c r="O22" s="426"/>
      <c r="P22" s="427"/>
      <c r="Q22" s="427"/>
      <c r="R22" s="427"/>
      <c r="S22" s="427"/>
      <c r="T22" s="427"/>
      <c r="U22" s="428"/>
    </row>
    <row r="23" spans="2:21" s="429" customFormat="1" ht="15.95" customHeight="1" x14ac:dyDescent="0.2">
      <c r="B23" s="463"/>
      <c r="C23" s="470" t="s">
        <v>544</v>
      </c>
      <c r="D23" s="478"/>
      <c r="E23" s="465"/>
      <c r="F23" s="552"/>
      <c r="G23" s="467"/>
      <c r="H23" s="468"/>
      <c r="I23" s="468"/>
      <c r="J23" s="468"/>
      <c r="K23" s="468"/>
      <c r="L23" s="468"/>
      <c r="M23" s="469"/>
      <c r="N23" s="454"/>
      <c r="O23" s="426"/>
      <c r="P23" s="427"/>
      <c r="Q23" s="427"/>
      <c r="R23" s="427"/>
      <c r="S23" s="427"/>
      <c r="T23" s="427"/>
      <c r="U23" s="428"/>
    </row>
    <row r="24" spans="2:21" ht="15.95" customHeight="1" x14ac:dyDescent="0.2">
      <c r="B24" s="59" t="s">
        <v>471</v>
      </c>
      <c r="C24" s="29" t="s">
        <v>288</v>
      </c>
      <c r="D24" s="316">
        <v>0.9</v>
      </c>
      <c r="E24" s="218">
        <v>1.0249999999999999</v>
      </c>
      <c r="F24" s="271">
        <f>9*(0.5*PI()*3.3^2+(12-3.3)*6.6)*$Q$3</f>
        <v>637.19706058970939</v>
      </c>
      <c r="G24" s="24">
        <f>E24*F24*D24</f>
        <v>587.81428839400689</v>
      </c>
      <c r="H24" s="16">
        <v>-2.94</v>
      </c>
      <c r="I24" s="16">
        <v>29.71</v>
      </c>
      <c r="J24" s="16">
        <v>3.3</v>
      </c>
      <c r="K24" s="169">
        <v>0</v>
      </c>
      <c r="L24" s="169">
        <v>0</v>
      </c>
      <c r="M24" s="273" t="s">
        <v>407</v>
      </c>
    </row>
    <row r="25" spans="2:21" ht="15.95" customHeight="1" x14ac:dyDescent="0.2">
      <c r="B25" s="58" t="s">
        <v>472</v>
      </c>
      <c r="C25" s="56" t="s">
        <v>503</v>
      </c>
      <c r="D25" s="316">
        <v>0.9</v>
      </c>
      <c r="E25" s="218">
        <v>1.0249999999999999</v>
      </c>
      <c r="F25" s="271">
        <f>9*(0.5*PI()*3.3^2+(12-3.3)*6.6)*$Q$3</f>
        <v>637.19706058970939</v>
      </c>
      <c r="G25" s="24">
        <f>E25*F25*D25</f>
        <v>587.81428839400689</v>
      </c>
      <c r="H25" s="16">
        <v>5.3</v>
      </c>
      <c r="I25" s="16">
        <v>26.17</v>
      </c>
      <c r="J25" s="16">
        <v>3.3</v>
      </c>
      <c r="K25" s="169">
        <v>0</v>
      </c>
      <c r="L25" s="169">
        <v>0</v>
      </c>
      <c r="M25" s="273" t="s">
        <v>407</v>
      </c>
    </row>
    <row r="26" spans="2:21" ht="15.95" customHeight="1" x14ac:dyDescent="0.2">
      <c r="B26" s="59" t="s">
        <v>94</v>
      </c>
      <c r="C26" s="29" t="s">
        <v>502</v>
      </c>
      <c r="D26" s="316">
        <v>0.9</v>
      </c>
      <c r="E26" s="218">
        <v>1.0249999999999999</v>
      </c>
      <c r="F26" s="271">
        <f>10.8*(0.5*PI()*3.3^2+(12-3.3)*6.6)*$Q$3</f>
        <v>764.63647270765125</v>
      </c>
      <c r="G26" s="24">
        <f>E26*F26*D26</f>
        <v>705.37714607280827</v>
      </c>
      <c r="H26" s="16">
        <v>21.05</v>
      </c>
      <c r="I26" s="16">
        <v>19.434999999999999</v>
      </c>
      <c r="J26" s="16">
        <v>3.3</v>
      </c>
      <c r="K26" s="169">
        <v>0</v>
      </c>
      <c r="L26" s="169">
        <v>0</v>
      </c>
      <c r="M26" s="273" t="s">
        <v>407</v>
      </c>
    </row>
    <row r="27" spans="2:21" ht="15.95" customHeight="1" x14ac:dyDescent="0.2">
      <c r="B27" s="58" t="s">
        <v>292</v>
      </c>
      <c r="C27" s="56" t="s">
        <v>478</v>
      </c>
      <c r="D27" s="316">
        <v>0.9</v>
      </c>
      <c r="E27" s="218">
        <v>1.0249999999999999</v>
      </c>
      <c r="F27" s="271">
        <f>7.2*(0.5*PI()*3.3^2+(12-3.3)*6.6)*$Q$3</f>
        <v>509.75764847176754</v>
      </c>
      <c r="G27" s="24">
        <f>E27*F27*D27</f>
        <v>470.25143071520546</v>
      </c>
      <c r="H27" s="16">
        <v>47</v>
      </c>
      <c r="I27" s="16">
        <v>7</v>
      </c>
      <c r="J27" s="16">
        <v>3.3</v>
      </c>
      <c r="K27" s="169">
        <v>0</v>
      </c>
      <c r="L27" s="169">
        <v>0</v>
      </c>
      <c r="M27" s="273" t="s">
        <v>316</v>
      </c>
    </row>
    <row r="28" spans="2:21" ht="15.95" customHeight="1" thickBot="1" x14ac:dyDescent="0.25">
      <c r="B28" s="255"/>
      <c r="C28" s="252"/>
      <c r="D28" s="316"/>
      <c r="E28" s="256"/>
      <c r="F28" s="272"/>
      <c r="G28" s="253"/>
      <c r="H28" s="250"/>
      <c r="I28" s="250"/>
      <c r="J28" s="250"/>
      <c r="K28" s="250"/>
      <c r="L28" s="250"/>
      <c r="M28" s="276"/>
    </row>
    <row r="29" spans="2:21" ht="15.95" customHeight="1" thickTop="1" x14ac:dyDescent="0.2">
      <c r="B29" s="318"/>
      <c r="C29" s="319"/>
      <c r="D29" s="481"/>
      <c r="E29" s="321"/>
      <c r="F29" s="555" t="s">
        <v>33</v>
      </c>
      <c r="G29" s="323">
        <f>SUBTOTAL(9,G24:G28)</f>
        <v>2351.2571535760276</v>
      </c>
      <c r="H29" s="324">
        <f>IF($G29=0,0,SUMPRODUCT($G24:$G28,H24:H28)/$G29)</f>
        <v>16.305</v>
      </c>
      <c r="I29" s="324">
        <f>IF($G29=0,0,SUMPRODUCT($G24:$G28,I24:I28)/$G29)</f>
        <v>21.200499999999998</v>
      </c>
      <c r="J29" s="324">
        <f>IF($G29=0,0,SUMPRODUCT($G24:$G28,J24:J28)/$G29)</f>
        <v>3.3</v>
      </c>
      <c r="K29" s="324">
        <f>SUBTOTAL(9,K24:K28)</f>
        <v>0</v>
      </c>
      <c r="L29" s="324">
        <f>SUBTOTAL(9,L24:L28)</f>
        <v>0</v>
      </c>
      <c r="M29" s="444"/>
      <c r="N29" s="454"/>
      <c r="O29" s="445" t="s">
        <v>532</v>
      </c>
      <c r="P29" s="446">
        <f t="shared" ref="P29:U29" si="3">G29</f>
        <v>2351.2571535760276</v>
      </c>
      <c r="Q29" s="446">
        <f t="shared" si="3"/>
        <v>16.305</v>
      </c>
      <c r="R29" s="446">
        <f t="shared" si="3"/>
        <v>21.200499999999998</v>
      </c>
      <c r="S29" s="446">
        <f t="shared" si="3"/>
        <v>3.3</v>
      </c>
      <c r="T29" s="446">
        <f t="shared" si="3"/>
        <v>0</v>
      </c>
      <c r="U29" s="447">
        <f t="shared" si="3"/>
        <v>0</v>
      </c>
    </row>
    <row r="30" spans="2:21" ht="15.95" customHeight="1" x14ac:dyDescent="0.2">
      <c r="B30" s="456"/>
      <c r="C30" s="448"/>
      <c r="D30" s="480"/>
      <c r="E30" s="449"/>
      <c r="F30" s="556"/>
      <c r="G30" s="473"/>
      <c r="H30" s="474"/>
      <c r="I30" s="474"/>
      <c r="J30" s="474"/>
      <c r="K30" s="474"/>
      <c r="L30" s="474"/>
      <c r="M30" s="460"/>
    </row>
    <row r="31" spans="2:21" ht="15.95" customHeight="1" x14ac:dyDescent="0.2">
      <c r="B31" s="463"/>
      <c r="C31" s="470" t="s">
        <v>545</v>
      </c>
      <c r="D31" s="478"/>
      <c r="E31" s="465"/>
      <c r="F31" s="552"/>
      <c r="G31" s="467"/>
      <c r="H31" s="468"/>
      <c r="I31" s="468"/>
      <c r="J31" s="468"/>
      <c r="K31" s="468"/>
      <c r="L31" s="468"/>
      <c r="M31" s="469"/>
    </row>
    <row r="32" spans="2:21" ht="15.95" customHeight="1" x14ac:dyDescent="0.2">
      <c r="B32" s="59" t="s">
        <v>108</v>
      </c>
      <c r="C32" s="29" t="s">
        <v>479</v>
      </c>
      <c r="D32" s="316">
        <v>0.9</v>
      </c>
      <c r="E32" s="218">
        <v>1.0249999999999999</v>
      </c>
      <c r="F32" s="271">
        <f>7.2*(0.5*PI()*3.3^2+(12-3.3)*6.6)*$Q$3</f>
        <v>509.75764847176754</v>
      </c>
      <c r="G32" s="24">
        <f>E32*F32*D32</f>
        <v>470.25143071520546</v>
      </c>
      <c r="H32" s="16">
        <v>29.32</v>
      </c>
      <c r="I32" s="16">
        <v>15.9</v>
      </c>
      <c r="J32" s="16">
        <v>3.3</v>
      </c>
      <c r="K32" s="169">
        <v>0</v>
      </c>
      <c r="L32" s="169">
        <v>0</v>
      </c>
      <c r="M32" s="273"/>
    </row>
    <row r="33" spans="2:21" ht="15.95" customHeight="1" x14ac:dyDescent="0.2">
      <c r="B33" s="59" t="s">
        <v>473</v>
      </c>
      <c r="C33" s="29" t="s">
        <v>291</v>
      </c>
      <c r="D33" s="316">
        <v>0.9</v>
      </c>
      <c r="E33" s="218">
        <v>1.0249999999999999</v>
      </c>
      <c r="F33" s="271">
        <f>9*(0.5*PI()*3.3^2+(12-3.3)*6.6)*$Q$3</f>
        <v>637.19706058970939</v>
      </c>
      <c r="G33" s="24">
        <f>E33*F33*D33</f>
        <v>587.81428839400689</v>
      </c>
      <c r="H33" s="16">
        <v>-2.94</v>
      </c>
      <c r="I33" s="16">
        <v>-29.71</v>
      </c>
      <c r="J33" s="16">
        <v>3.3</v>
      </c>
      <c r="K33" s="169">
        <v>0</v>
      </c>
      <c r="L33" s="169">
        <v>0</v>
      </c>
      <c r="M33" s="273"/>
    </row>
    <row r="34" spans="2:21" ht="15.95" customHeight="1" x14ac:dyDescent="0.2">
      <c r="B34" s="58" t="s">
        <v>120</v>
      </c>
      <c r="C34" s="56" t="s">
        <v>290</v>
      </c>
      <c r="D34" s="316">
        <v>0.9</v>
      </c>
      <c r="E34" s="218">
        <v>1.0249999999999999</v>
      </c>
      <c r="F34" s="271">
        <f>9*(0.5*PI()*3.3^2+(12-3.3)*6.6)*$Q$3</f>
        <v>637.19706058970939</v>
      </c>
      <c r="G34" s="24">
        <f>E34*F34*D34</f>
        <v>587.81428839400689</v>
      </c>
      <c r="H34" s="16">
        <v>5.3</v>
      </c>
      <c r="I34" s="16">
        <v>-26.17</v>
      </c>
      <c r="J34" s="16">
        <v>3.3</v>
      </c>
      <c r="K34" s="169">
        <v>0</v>
      </c>
      <c r="L34" s="169">
        <v>0</v>
      </c>
      <c r="M34" s="273"/>
    </row>
    <row r="35" spans="2:21" ht="15.95" customHeight="1" x14ac:dyDescent="0.2">
      <c r="B35" s="59" t="s">
        <v>112</v>
      </c>
      <c r="C35" s="29" t="s">
        <v>289</v>
      </c>
      <c r="D35" s="316">
        <v>0.9</v>
      </c>
      <c r="E35" s="218">
        <v>1.0249999999999999</v>
      </c>
      <c r="F35" s="271">
        <f>10.8*(0.5*PI()*3.3^2+(12-3.3)*6.6)*$Q$3</f>
        <v>764.63647270765125</v>
      </c>
      <c r="G35" s="24">
        <f>E35*F35*D35</f>
        <v>705.37714607280827</v>
      </c>
      <c r="H35" s="16">
        <v>21.05</v>
      </c>
      <c r="I35" s="16">
        <v>-19.434999999999999</v>
      </c>
      <c r="J35" s="16">
        <v>3.3</v>
      </c>
      <c r="K35" s="169">
        <v>0</v>
      </c>
      <c r="L35" s="169">
        <v>0</v>
      </c>
      <c r="M35" s="273"/>
    </row>
    <row r="36" spans="2:21" ht="15.95" customHeight="1" x14ac:dyDescent="0.2">
      <c r="B36" s="58" t="s">
        <v>293</v>
      </c>
      <c r="C36" s="56" t="s">
        <v>478</v>
      </c>
      <c r="D36" s="316">
        <v>0.9</v>
      </c>
      <c r="E36" s="218">
        <v>1.0249999999999999</v>
      </c>
      <c r="F36" s="271">
        <f>((47+33.1)*6.6*0.5+8.1*16.2*2.1)*$Q$3</f>
        <v>512.89740000000006</v>
      </c>
      <c r="G36" s="24">
        <f>E36*F36*D36</f>
        <v>473.1478515</v>
      </c>
      <c r="H36" s="16">
        <v>47</v>
      </c>
      <c r="I36" s="16">
        <v>-7</v>
      </c>
      <c r="J36" s="16">
        <v>3.3</v>
      </c>
      <c r="K36" s="169">
        <v>0</v>
      </c>
      <c r="L36" s="169">
        <v>0</v>
      </c>
      <c r="M36" s="273" t="s">
        <v>509</v>
      </c>
    </row>
    <row r="37" spans="2:21" ht="15.95" customHeight="1" thickBot="1" x14ac:dyDescent="0.25">
      <c r="B37" s="255"/>
      <c r="C37" s="252"/>
      <c r="D37" s="316"/>
      <c r="E37" s="256"/>
      <c r="F37" s="272"/>
      <c r="G37" s="253"/>
      <c r="H37" s="250"/>
      <c r="I37" s="250"/>
      <c r="J37" s="250"/>
      <c r="K37" s="250"/>
      <c r="L37" s="250"/>
      <c r="M37" s="276"/>
    </row>
    <row r="38" spans="2:21" ht="15.95" customHeight="1" thickTop="1" x14ac:dyDescent="0.2">
      <c r="B38" s="318"/>
      <c r="C38" s="319"/>
      <c r="D38" s="481"/>
      <c r="E38" s="321"/>
      <c r="F38" s="555" t="s">
        <v>33</v>
      </c>
      <c r="G38" s="323">
        <f>SUBTOTAL(9,G32:G37)</f>
        <v>2824.405005076027</v>
      </c>
      <c r="H38" s="324">
        <f>IF($G38=0,0,SUMPRODUCT($G32:$G37,H32:H37)/$G38)</f>
        <v>18.503419842617625</v>
      </c>
      <c r="I38" s="324">
        <f>IF($G38=0,0,SUMPRODUCT($G32:$G37,I32:I37)/$G38)</f>
        <v>-15.008861832961271</v>
      </c>
      <c r="J38" s="324">
        <f>IF($G38=0,0,SUMPRODUCT($G32:$G37,J32:J37)/$G38)</f>
        <v>3.3000000000000003</v>
      </c>
      <c r="K38" s="324">
        <f>SUBTOTAL(9,K32:K37)</f>
        <v>0</v>
      </c>
      <c r="L38" s="324">
        <f>SUBTOTAL(9,L32:L37)</f>
        <v>0</v>
      </c>
      <c r="M38" s="444"/>
      <c r="N38" s="454"/>
      <c r="O38" s="445" t="s">
        <v>559</v>
      </c>
      <c r="P38" s="446">
        <f t="shared" ref="P38:U38" si="4">G38</f>
        <v>2824.405005076027</v>
      </c>
      <c r="Q38" s="446">
        <f t="shared" si="4"/>
        <v>18.503419842617625</v>
      </c>
      <c r="R38" s="446">
        <f t="shared" si="4"/>
        <v>-15.008861832961271</v>
      </c>
      <c r="S38" s="446">
        <f t="shared" si="4"/>
        <v>3.3000000000000003</v>
      </c>
      <c r="T38" s="446">
        <f t="shared" si="4"/>
        <v>0</v>
      </c>
      <c r="U38" s="447">
        <f t="shared" si="4"/>
        <v>0</v>
      </c>
    </row>
    <row r="39" spans="2:21" ht="15.95" customHeight="1" x14ac:dyDescent="0.2">
      <c r="B39" s="243"/>
      <c r="C39" s="244"/>
      <c r="D39" s="482"/>
      <c r="E39" s="246"/>
      <c r="F39" s="557"/>
      <c r="G39" s="247"/>
      <c r="H39" s="248"/>
      <c r="I39" s="248"/>
      <c r="J39" s="248"/>
      <c r="K39" s="248"/>
      <c r="L39" s="248"/>
      <c r="M39" s="282"/>
    </row>
    <row r="40" spans="2:21" ht="15.95" customHeight="1" x14ac:dyDescent="0.2">
      <c r="B40" s="463"/>
      <c r="C40" s="470" t="s">
        <v>548</v>
      </c>
      <c r="D40" s="478"/>
      <c r="E40" s="465"/>
      <c r="F40" s="552"/>
      <c r="G40" s="467"/>
      <c r="H40" s="468"/>
      <c r="I40" s="468"/>
      <c r="J40" s="468"/>
      <c r="K40" s="468"/>
      <c r="L40" s="468"/>
      <c r="M40" s="469"/>
    </row>
    <row r="41" spans="2:21" ht="15.95" customHeight="1" x14ac:dyDescent="0.2">
      <c r="B41" s="58" t="s">
        <v>302</v>
      </c>
      <c r="C41" s="56" t="s">
        <v>451</v>
      </c>
      <c r="D41" s="316">
        <v>0.5</v>
      </c>
      <c r="E41" s="218">
        <v>1.0249999999999999</v>
      </c>
      <c r="F41" s="271">
        <f>(18*(1.8+1.8)+(1.8+1.8)*(15-(3.6+1.8)))*(15-6.6)*$Q$3</f>
        <v>792.89279999999997</v>
      </c>
      <c r="G41" s="24">
        <f>E41*F41*D41</f>
        <v>406.35755999999992</v>
      </c>
      <c r="H41" s="16">
        <v>-15.1</v>
      </c>
      <c r="I41" s="16">
        <v>25.64</v>
      </c>
      <c r="J41" s="16">
        <v>10.8</v>
      </c>
      <c r="K41" s="16">
        <v>4</v>
      </c>
      <c r="L41" s="16">
        <v>5</v>
      </c>
      <c r="M41" s="312"/>
    </row>
    <row r="42" spans="2:21" ht="15.95" customHeight="1" x14ac:dyDescent="0.2">
      <c r="B42" s="59" t="s">
        <v>304</v>
      </c>
      <c r="C42" s="30" t="s">
        <v>452</v>
      </c>
      <c r="D42" s="316">
        <v>0</v>
      </c>
      <c r="E42" s="218">
        <v>1.0249999999999999</v>
      </c>
      <c r="F42" s="271">
        <f>2*2*16.2*8*0.95</f>
        <v>492.47999999999996</v>
      </c>
      <c r="G42" s="24">
        <f t="shared" ref="G42:G43" si="5">E42*F42*D42</f>
        <v>0</v>
      </c>
      <c r="H42" s="16">
        <v>-34</v>
      </c>
      <c r="I42" s="16">
        <v>41.4</v>
      </c>
      <c r="J42" s="16">
        <v>19</v>
      </c>
      <c r="K42" s="9">
        <v>4</v>
      </c>
      <c r="L42" s="9">
        <v>5</v>
      </c>
      <c r="M42" s="313"/>
    </row>
    <row r="43" spans="2:21" ht="15.95" customHeight="1" x14ac:dyDescent="0.2">
      <c r="B43" s="559" t="s">
        <v>576</v>
      </c>
      <c r="C43" s="56" t="s">
        <v>451</v>
      </c>
      <c r="D43" s="316">
        <v>0.5</v>
      </c>
      <c r="E43" s="218">
        <v>1.0249999999999999</v>
      </c>
      <c r="F43" s="271">
        <f>(18*(1.8+1.8)+(1.8+1.8)*(15-(3.6+1.8)))*(23-15)*$Q$3</f>
        <v>755.13599999999997</v>
      </c>
      <c r="G43" s="24">
        <f t="shared" si="5"/>
        <v>387.00719999999995</v>
      </c>
      <c r="H43" s="16">
        <v>-15.1</v>
      </c>
      <c r="I43" s="16">
        <v>25.64</v>
      </c>
      <c r="J43" s="16">
        <v>19</v>
      </c>
      <c r="K43" s="16">
        <v>4</v>
      </c>
      <c r="L43" s="16">
        <v>5</v>
      </c>
      <c r="M43" s="560"/>
    </row>
    <row r="44" spans="2:21" ht="15.95" customHeight="1" thickBot="1" x14ac:dyDescent="0.25">
      <c r="B44" s="255"/>
      <c r="C44" s="252"/>
      <c r="D44" s="316"/>
      <c r="E44" s="256"/>
      <c r="F44" s="272"/>
      <c r="G44" s="253"/>
      <c r="H44" s="250"/>
      <c r="I44" s="250"/>
      <c r="J44" s="250"/>
      <c r="K44" s="250"/>
      <c r="L44" s="250"/>
      <c r="M44" s="276"/>
    </row>
    <row r="45" spans="2:21" ht="15.95" customHeight="1" thickTop="1" x14ac:dyDescent="0.2">
      <c r="B45" s="318"/>
      <c r="C45" s="319"/>
      <c r="D45" s="481"/>
      <c r="E45" s="321"/>
      <c r="F45" s="555" t="s">
        <v>33</v>
      </c>
      <c r="G45" s="323">
        <f>SUBTOTAL(9,G41:G44)</f>
        <v>793.36475999999993</v>
      </c>
      <c r="H45" s="324">
        <f>IF($G45=0,0,SUMPRODUCT($G41:$G44,H41:H44)/$G45)</f>
        <v>-15.1</v>
      </c>
      <c r="I45" s="324">
        <f>IF($G45=0,0,SUMPRODUCT($G41:$G44,I41:I44)/$G45)</f>
        <v>25.639999999999997</v>
      </c>
      <c r="J45" s="324">
        <f>IF($G45=0,0,SUMPRODUCT($G41:$G44,J41:J44)/$G45)</f>
        <v>14.799999999999999</v>
      </c>
      <c r="K45" s="324">
        <f>SUBTOTAL(9,K41:K44)</f>
        <v>12</v>
      </c>
      <c r="L45" s="324">
        <f>SUBTOTAL(9,L41:L44)</f>
        <v>15</v>
      </c>
      <c r="M45" s="444"/>
      <c r="N45" s="454"/>
      <c r="O45" s="445" t="s">
        <v>560</v>
      </c>
      <c r="P45" s="446">
        <f t="shared" ref="P45:U45" si="6">G45</f>
        <v>793.36475999999993</v>
      </c>
      <c r="Q45" s="446">
        <f t="shared" si="6"/>
        <v>-15.1</v>
      </c>
      <c r="R45" s="446">
        <f t="shared" si="6"/>
        <v>25.639999999999997</v>
      </c>
      <c r="S45" s="446">
        <f t="shared" si="6"/>
        <v>14.799999999999999</v>
      </c>
      <c r="T45" s="446">
        <f t="shared" si="6"/>
        <v>12</v>
      </c>
      <c r="U45" s="447">
        <f t="shared" si="6"/>
        <v>15</v>
      </c>
    </row>
    <row r="46" spans="2:21" ht="15.95" customHeight="1" x14ac:dyDescent="0.2">
      <c r="B46" s="456"/>
      <c r="C46" s="448"/>
      <c r="D46" s="480"/>
      <c r="E46" s="449"/>
      <c r="F46" s="556"/>
      <c r="G46" s="473"/>
      <c r="H46" s="474"/>
      <c r="I46" s="474"/>
      <c r="J46" s="474"/>
      <c r="K46" s="474"/>
      <c r="L46" s="474"/>
      <c r="M46" s="460"/>
    </row>
    <row r="47" spans="2:21" ht="15.95" customHeight="1" x14ac:dyDescent="0.2">
      <c r="B47" s="463"/>
      <c r="C47" s="470" t="s">
        <v>549</v>
      </c>
      <c r="D47" s="478"/>
      <c r="E47" s="465"/>
      <c r="F47" s="552"/>
      <c r="G47" s="467"/>
      <c r="H47" s="468"/>
      <c r="I47" s="468"/>
      <c r="J47" s="468"/>
      <c r="K47" s="468"/>
      <c r="L47" s="468"/>
      <c r="M47" s="469"/>
    </row>
    <row r="48" spans="2:21" ht="15.95" customHeight="1" x14ac:dyDescent="0.2">
      <c r="B48" s="59" t="s">
        <v>303</v>
      </c>
      <c r="C48" s="29" t="s">
        <v>453</v>
      </c>
      <c r="D48" s="317">
        <v>0.5</v>
      </c>
      <c r="E48" s="218">
        <v>1.0249999999999999</v>
      </c>
      <c r="F48" s="271">
        <f>(18*(1.8+1.8)+(1.8+1.8)*(15-(3.6+1.8)))*(15-6.6)*$Q$3</f>
        <v>792.89279999999997</v>
      </c>
      <c r="G48" s="24">
        <f>E48*F48*D48</f>
        <v>406.35755999999992</v>
      </c>
      <c r="H48" s="16">
        <v>-15.1</v>
      </c>
      <c r="I48" s="16">
        <v>-25.64</v>
      </c>
      <c r="J48" s="16">
        <v>10.8</v>
      </c>
      <c r="K48" s="16">
        <v>4</v>
      </c>
      <c r="L48" s="16">
        <v>5</v>
      </c>
      <c r="M48" s="273"/>
    </row>
    <row r="49" spans="2:21" ht="15.95" customHeight="1" x14ac:dyDescent="0.2">
      <c r="B49" s="59" t="s">
        <v>305</v>
      </c>
      <c r="C49" s="30" t="s">
        <v>454</v>
      </c>
      <c r="D49" s="316">
        <v>0</v>
      </c>
      <c r="E49" s="218">
        <v>1.0249999999999999</v>
      </c>
      <c r="F49" s="271">
        <f>2*2*16.2*8*0.95</f>
        <v>492.47999999999996</v>
      </c>
      <c r="G49" s="24">
        <f>E49*F49*D49</f>
        <v>0</v>
      </c>
      <c r="H49" s="16">
        <v>-34</v>
      </c>
      <c r="I49" s="16">
        <v>-41.4</v>
      </c>
      <c r="J49" s="16">
        <v>19</v>
      </c>
      <c r="K49" s="9">
        <v>4</v>
      </c>
      <c r="L49" s="9">
        <v>5</v>
      </c>
      <c r="M49" s="273"/>
    </row>
    <row r="50" spans="2:21" ht="15.95" customHeight="1" x14ac:dyDescent="0.2">
      <c r="B50" s="559" t="s">
        <v>577</v>
      </c>
      <c r="C50" s="56" t="s">
        <v>451</v>
      </c>
      <c r="D50" s="316">
        <v>0.5</v>
      </c>
      <c r="E50" s="218">
        <v>1.0249999999999999</v>
      </c>
      <c r="F50" s="271">
        <f>(18*(1.8+1.8)+(1.8+1.8)*(15-(3.6+1.8)))*(23-15)*$Q$3</f>
        <v>755.13599999999997</v>
      </c>
      <c r="G50" s="24">
        <f t="shared" ref="G50" si="7">E50*F50*D50</f>
        <v>387.00719999999995</v>
      </c>
      <c r="H50" s="16">
        <v>-15.1</v>
      </c>
      <c r="I50" s="16">
        <v>-25.64</v>
      </c>
      <c r="J50" s="16">
        <v>19</v>
      </c>
      <c r="K50" s="16">
        <v>4</v>
      </c>
      <c r="L50" s="16">
        <v>5</v>
      </c>
      <c r="M50" s="560"/>
    </row>
    <row r="51" spans="2:21" ht="15.95" customHeight="1" thickBot="1" x14ac:dyDescent="0.25">
      <c r="B51" s="255"/>
      <c r="C51" s="252"/>
      <c r="D51" s="316"/>
      <c r="E51" s="256"/>
      <c r="F51" s="272"/>
      <c r="G51" s="253"/>
      <c r="H51" s="250"/>
      <c r="I51" s="250"/>
      <c r="J51" s="250"/>
      <c r="K51" s="250"/>
      <c r="L51" s="250"/>
      <c r="M51" s="276"/>
    </row>
    <row r="52" spans="2:21" ht="15.95" customHeight="1" thickTop="1" x14ac:dyDescent="0.2">
      <c r="B52" s="318"/>
      <c r="C52" s="319"/>
      <c r="D52" s="481"/>
      <c r="E52" s="321"/>
      <c r="F52" s="555" t="s">
        <v>33</v>
      </c>
      <c r="G52" s="323">
        <f>SUBTOTAL(9,G48:G51)</f>
        <v>793.36475999999993</v>
      </c>
      <c r="H52" s="324">
        <f>IF($G52=0,0,SUMPRODUCT($G48:$G51,H48:H51)/$G52)</f>
        <v>-15.1</v>
      </c>
      <c r="I52" s="324">
        <f>IF($G52=0,0,SUMPRODUCT($G48:$G51,I48:I51)/$G52)</f>
        <v>-25.639999999999997</v>
      </c>
      <c r="J52" s="324">
        <f>IF($G52=0,0,SUMPRODUCT($G48:$G51,J48:J51)/$G52)</f>
        <v>14.799999999999999</v>
      </c>
      <c r="K52" s="324">
        <f>SUBTOTAL(9,K48:K51)</f>
        <v>12</v>
      </c>
      <c r="L52" s="324">
        <f>SUBTOTAL(9,L48:L51)</f>
        <v>15</v>
      </c>
      <c r="M52" s="444"/>
      <c r="N52" s="454"/>
      <c r="O52" s="445" t="s">
        <v>561</v>
      </c>
      <c r="P52" s="446">
        <f t="shared" ref="P52:U52" si="8">G52</f>
        <v>793.36475999999993</v>
      </c>
      <c r="Q52" s="446">
        <f t="shared" si="8"/>
        <v>-15.1</v>
      </c>
      <c r="R52" s="446">
        <f t="shared" si="8"/>
        <v>-25.639999999999997</v>
      </c>
      <c r="S52" s="446">
        <f t="shared" si="8"/>
        <v>14.799999999999999</v>
      </c>
      <c r="T52" s="446">
        <f t="shared" si="8"/>
        <v>12</v>
      </c>
      <c r="U52" s="447">
        <f t="shared" si="8"/>
        <v>15</v>
      </c>
    </row>
    <row r="53" spans="2:21" ht="15.95" customHeight="1" x14ac:dyDescent="0.2">
      <c r="B53" s="456"/>
      <c r="C53" s="448"/>
      <c r="D53" s="480"/>
      <c r="E53" s="449"/>
      <c r="F53" s="556"/>
      <c r="G53" s="473"/>
      <c r="H53" s="474"/>
      <c r="I53" s="474"/>
      <c r="J53" s="474"/>
      <c r="K53" s="474"/>
      <c r="L53" s="474"/>
      <c r="M53" s="460"/>
    </row>
    <row r="54" spans="2:21" ht="15.95" customHeight="1" x14ac:dyDescent="0.2">
      <c r="B54" s="463"/>
      <c r="C54" s="470" t="s">
        <v>550</v>
      </c>
      <c r="D54" s="478"/>
      <c r="E54" s="465"/>
      <c r="F54" s="552"/>
      <c r="G54" s="467"/>
      <c r="H54" s="468"/>
      <c r="I54" s="468"/>
      <c r="J54" s="468"/>
      <c r="K54" s="468"/>
      <c r="L54" s="468"/>
      <c r="M54" s="469"/>
    </row>
    <row r="55" spans="2:21" ht="15.95" customHeight="1" x14ac:dyDescent="0.2">
      <c r="B55" s="59" t="s">
        <v>301</v>
      </c>
      <c r="C55" s="29" t="s">
        <v>450</v>
      </c>
      <c r="D55" s="317">
        <v>0.5</v>
      </c>
      <c r="E55" s="218">
        <v>1.0249999999999999</v>
      </c>
      <c r="F55" s="271">
        <f>(15*(2.7*2)+1.8*(18-(2.7*2)))*(15-6.6)*$Q$3</f>
        <v>827.36640000000011</v>
      </c>
      <c r="G55" s="24">
        <f>E55*F55*D55</f>
        <v>424.02528000000001</v>
      </c>
      <c r="H55" s="16">
        <v>40.9</v>
      </c>
      <c r="I55" s="16">
        <v>0</v>
      </c>
      <c r="J55" s="16">
        <v>10.8</v>
      </c>
      <c r="K55" s="16">
        <v>4</v>
      </c>
      <c r="L55" s="16">
        <v>5</v>
      </c>
      <c r="M55" s="275"/>
    </row>
    <row r="56" spans="2:21" ht="15.95" customHeight="1" x14ac:dyDescent="0.2">
      <c r="B56" s="559" t="s">
        <v>578</v>
      </c>
      <c r="C56" s="56" t="s">
        <v>575</v>
      </c>
      <c r="D56" s="316">
        <v>0.5</v>
      </c>
      <c r="E56" s="218">
        <v>1.0249999999999999</v>
      </c>
      <c r="F56" s="271">
        <f>(15*(2.7*2)+1.8*(18-(2.7*2)))*(23-15)*$Q$3</f>
        <v>787.96799999999996</v>
      </c>
      <c r="G56" s="24">
        <f t="shared" ref="G56" si="9">E56*F56*D56</f>
        <v>403.83359999999993</v>
      </c>
      <c r="H56" s="16">
        <v>40.9</v>
      </c>
      <c r="I56" s="16">
        <v>0</v>
      </c>
      <c r="J56" s="16">
        <f>15+4</f>
        <v>19</v>
      </c>
      <c r="K56" s="16">
        <v>4</v>
      </c>
      <c r="L56" s="16">
        <v>5</v>
      </c>
      <c r="M56" s="276"/>
    </row>
    <row r="57" spans="2:21" ht="15.95" customHeight="1" thickBot="1" x14ac:dyDescent="0.25">
      <c r="B57" s="255"/>
      <c r="C57" s="252"/>
      <c r="D57" s="316"/>
      <c r="E57" s="256"/>
      <c r="F57" s="272"/>
      <c r="G57" s="253"/>
      <c r="H57" s="250"/>
      <c r="I57" s="250"/>
      <c r="J57" s="250"/>
      <c r="K57" s="250"/>
      <c r="L57" s="250"/>
      <c r="M57" s="276"/>
    </row>
    <row r="58" spans="2:21" ht="15.95" customHeight="1" thickTop="1" x14ac:dyDescent="0.2">
      <c r="B58" s="318"/>
      <c r="C58" s="319"/>
      <c r="D58" s="481"/>
      <c r="E58" s="321"/>
      <c r="F58" s="555" t="s">
        <v>33</v>
      </c>
      <c r="G58" s="323">
        <f>SUBTOTAL(9,G55:G57)</f>
        <v>827.85888</v>
      </c>
      <c r="H58" s="324">
        <f>IF($G58=0,0,SUMPRODUCT($G55:$G57,H55:H57)/$G58)</f>
        <v>40.899999999999991</v>
      </c>
      <c r="I58" s="324">
        <f>IF($G58=0,0,SUMPRODUCT($G55:$G57,I55:I57)/$G58)</f>
        <v>0</v>
      </c>
      <c r="J58" s="324">
        <v>3.5</v>
      </c>
      <c r="K58" s="324">
        <f>SUBTOTAL(9,K55:K57)</f>
        <v>8</v>
      </c>
      <c r="L58" s="324">
        <f>SUBTOTAL(9,L55:L57)</f>
        <v>10</v>
      </c>
      <c r="M58" s="444"/>
      <c r="N58" s="454"/>
      <c r="O58" s="445" t="s">
        <v>562</v>
      </c>
      <c r="P58" s="446">
        <f t="shared" ref="P58:U58" si="10">G58</f>
        <v>827.85888</v>
      </c>
      <c r="Q58" s="446">
        <f t="shared" si="10"/>
        <v>40.899999999999991</v>
      </c>
      <c r="R58" s="446">
        <f t="shared" si="10"/>
        <v>0</v>
      </c>
      <c r="S58" s="446">
        <f t="shared" si="10"/>
        <v>3.5</v>
      </c>
      <c r="T58" s="446">
        <f t="shared" si="10"/>
        <v>8</v>
      </c>
      <c r="U58" s="447">
        <f t="shared" si="10"/>
        <v>10</v>
      </c>
    </row>
    <row r="59" spans="2:21" ht="15.95" customHeight="1" x14ac:dyDescent="0.2">
      <c r="E59" s="452"/>
      <c r="G59" s="451"/>
      <c r="M59" s="453"/>
    </row>
    <row r="60" spans="2:21" ht="15.95" customHeight="1" x14ac:dyDescent="0.2">
      <c r="E60" s="452"/>
      <c r="G60" s="451"/>
      <c r="M60" s="453"/>
    </row>
    <row r="61" spans="2:21" ht="15.95" customHeight="1" x14ac:dyDescent="0.2">
      <c r="E61" s="452"/>
      <c r="G61" s="451"/>
      <c r="M61" s="453"/>
    </row>
    <row r="62" spans="2:21" ht="15.95" customHeight="1" x14ac:dyDescent="0.2">
      <c r="E62" s="452"/>
      <c r="G62" s="451"/>
      <c r="M62" s="453"/>
    </row>
    <row r="63" spans="2:21" ht="15.95" customHeight="1" x14ac:dyDescent="0.2">
      <c r="E63" s="452"/>
      <c r="G63" s="451"/>
      <c r="M63" s="453"/>
    </row>
    <row r="64" spans="2:21" ht="15.95" customHeight="1" x14ac:dyDescent="0.2">
      <c r="E64" s="452"/>
      <c r="G64" s="451"/>
      <c r="M64" s="453"/>
    </row>
    <row r="65" spans="5:13" ht="15.95" customHeight="1" x14ac:dyDescent="0.2">
      <c r="E65" s="452"/>
      <c r="G65" s="451"/>
      <c r="M65" s="453"/>
    </row>
    <row r="66" spans="5:13" ht="15.95" customHeight="1" x14ac:dyDescent="0.2">
      <c r="E66" s="452"/>
      <c r="G66" s="451"/>
      <c r="M66" s="453"/>
    </row>
    <row r="67" spans="5:13" ht="15.95" customHeight="1" x14ac:dyDescent="0.2">
      <c r="E67" s="452"/>
      <c r="G67" s="451"/>
      <c r="M67" s="453"/>
    </row>
    <row r="68" spans="5:13" ht="15.95" customHeight="1" x14ac:dyDescent="0.2">
      <c r="E68" s="452"/>
      <c r="G68" s="451"/>
      <c r="M68" s="453"/>
    </row>
    <row r="69" spans="5:13" ht="15.95" customHeight="1" x14ac:dyDescent="0.2">
      <c r="E69" s="452"/>
      <c r="G69" s="451"/>
      <c r="M69" s="453"/>
    </row>
    <row r="70" spans="5:13" ht="15.95" customHeight="1" x14ac:dyDescent="0.2">
      <c r="E70" s="452"/>
      <c r="G70" s="451"/>
      <c r="M70" s="453"/>
    </row>
    <row r="71" spans="5:13" ht="15.95" customHeight="1" x14ac:dyDescent="0.2">
      <c r="E71" s="452"/>
      <c r="G71" s="451"/>
      <c r="M71" s="453"/>
    </row>
    <row r="72" spans="5:13" ht="15.95" customHeight="1" x14ac:dyDescent="0.2">
      <c r="E72" s="452"/>
      <c r="G72" s="451"/>
      <c r="M72" s="453"/>
    </row>
    <row r="73" spans="5:13" ht="15.95" customHeight="1" x14ac:dyDescent="0.2">
      <c r="E73" s="452"/>
      <c r="G73" s="451"/>
      <c r="M73" s="453"/>
    </row>
    <row r="74" spans="5:13" ht="15.95" customHeight="1" x14ac:dyDescent="0.2">
      <c r="E74" s="452"/>
      <c r="G74" s="451"/>
      <c r="M74" s="453"/>
    </row>
    <row r="75" spans="5:13" ht="15.95" customHeight="1" x14ac:dyDescent="0.2">
      <c r="E75" s="452"/>
      <c r="G75" s="451"/>
      <c r="M75" s="453"/>
    </row>
    <row r="76" spans="5:13" ht="15.95" customHeight="1" x14ac:dyDescent="0.2">
      <c r="E76" s="452"/>
      <c r="G76" s="451"/>
      <c r="M76" s="453"/>
    </row>
    <row r="77" spans="5:13" ht="15.95" customHeight="1" x14ac:dyDescent="0.2">
      <c r="E77" s="452"/>
      <c r="G77" s="451"/>
      <c r="M77" s="453"/>
    </row>
    <row r="78" spans="5:13" ht="15.95" customHeight="1" x14ac:dyDescent="0.2">
      <c r="E78" s="452"/>
      <c r="G78" s="451"/>
      <c r="M78" s="453"/>
    </row>
    <row r="79" spans="5:13" ht="15.95" customHeight="1" x14ac:dyDescent="0.2">
      <c r="E79" s="452"/>
      <c r="G79" s="451"/>
      <c r="M79" s="453"/>
    </row>
    <row r="80" spans="5:13" ht="15.95" customHeight="1" x14ac:dyDescent="0.2">
      <c r="E80" s="452"/>
      <c r="G80" s="451"/>
      <c r="M80" s="453"/>
    </row>
    <row r="81" spans="5:13" ht="15.95" customHeight="1" x14ac:dyDescent="0.2">
      <c r="E81" s="452"/>
      <c r="G81" s="451"/>
      <c r="M81" s="453"/>
    </row>
    <row r="82" spans="5:13" ht="15.95" customHeight="1" x14ac:dyDescent="0.2">
      <c r="E82" s="452"/>
      <c r="G82" s="451"/>
      <c r="M82" s="453"/>
    </row>
    <row r="83" spans="5:13" ht="15.95" customHeight="1" x14ac:dyDescent="0.2">
      <c r="E83" s="452"/>
      <c r="G83" s="451"/>
      <c r="M83" s="453"/>
    </row>
    <row r="84" spans="5:13" ht="15.95" customHeight="1" x14ac:dyDescent="0.2">
      <c r="E84" s="452"/>
      <c r="G84" s="451"/>
      <c r="M84" s="453"/>
    </row>
    <row r="85" spans="5:13" ht="15.95" customHeight="1" x14ac:dyDescent="0.2">
      <c r="E85" s="452"/>
      <c r="G85" s="451"/>
      <c r="M85" s="453"/>
    </row>
    <row r="86" spans="5:13" ht="15.95" customHeight="1" x14ac:dyDescent="0.2">
      <c r="E86" s="452"/>
      <c r="G86" s="451"/>
      <c r="M86" s="453"/>
    </row>
    <row r="87" spans="5:13" ht="15.95" customHeight="1" x14ac:dyDescent="0.2">
      <c r="E87" s="452"/>
      <c r="G87" s="451"/>
      <c r="M87" s="453"/>
    </row>
    <row r="88" spans="5:13" ht="15.95" customHeight="1" x14ac:dyDescent="0.2">
      <c r="E88" s="452"/>
      <c r="G88" s="451"/>
      <c r="M88" s="453"/>
    </row>
    <row r="89" spans="5:13" ht="15.95" customHeight="1" x14ac:dyDescent="0.2">
      <c r="E89" s="452"/>
      <c r="G89" s="451"/>
      <c r="M89" s="453"/>
    </row>
    <row r="90" spans="5:13" ht="15.95" customHeight="1" x14ac:dyDescent="0.2">
      <c r="E90" s="452"/>
      <c r="G90" s="451"/>
      <c r="M90" s="453"/>
    </row>
    <row r="91" spans="5:13" ht="15.95" customHeight="1" x14ac:dyDescent="0.2">
      <c r="E91" s="452"/>
      <c r="G91" s="451"/>
      <c r="M91" s="453"/>
    </row>
    <row r="92" spans="5:13" ht="15.95" customHeight="1" x14ac:dyDescent="0.2">
      <c r="E92" s="452"/>
      <c r="G92" s="451"/>
      <c r="M92" s="453"/>
    </row>
    <row r="93" spans="5:13" ht="15.95" customHeight="1" x14ac:dyDescent="0.2">
      <c r="E93" s="452"/>
      <c r="G93" s="451"/>
      <c r="M93" s="453"/>
    </row>
    <row r="94" spans="5:13" ht="15.95" customHeight="1" x14ac:dyDescent="0.2">
      <c r="E94" s="452"/>
      <c r="G94" s="451"/>
      <c r="M94" s="453"/>
    </row>
    <row r="95" spans="5:13" ht="15.95" customHeight="1" x14ac:dyDescent="0.2">
      <c r="E95" s="452"/>
      <c r="G95" s="451"/>
      <c r="M95" s="453"/>
    </row>
    <row r="96" spans="5:13" ht="15.95" customHeight="1" x14ac:dyDescent="0.2">
      <c r="E96" s="452"/>
      <c r="G96" s="451"/>
      <c r="M96" s="453"/>
    </row>
    <row r="97" spans="5:13" ht="15.95" customHeight="1" x14ac:dyDescent="0.2">
      <c r="E97" s="452"/>
      <c r="G97" s="451"/>
      <c r="M97" s="453"/>
    </row>
    <row r="98" spans="5:13" ht="15.95" customHeight="1" x14ac:dyDescent="0.2">
      <c r="E98" s="452"/>
      <c r="G98" s="451"/>
      <c r="M98" s="453"/>
    </row>
    <row r="99" spans="5:13" ht="15.95" customHeight="1" x14ac:dyDescent="0.2">
      <c r="E99" s="452"/>
      <c r="G99" s="451"/>
      <c r="M99" s="453"/>
    </row>
    <row r="100" spans="5:13" ht="15.95" customHeight="1" x14ac:dyDescent="0.2">
      <c r="E100" s="452"/>
      <c r="G100" s="451"/>
      <c r="M100" s="453"/>
    </row>
    <row r="101" spans="5:13" ht="15.95" customHeight="1" x14ac:dyDescent="0.2">
      <c r="E101" s="452"/>
      <c r="G101" s="451"/>
      <c r="M101" s="453"/>
    </row>
    <row r="102" spans="5:13" ht="15.95" customHeight="1" x14ac:dyDescent="0.2">
      <c r="E102" s="452"/>
      <c r="G102" s="451"/>
      <c r="M102" s="453"/>
    </row>
    <row r="103" spans="5:13" ht="15.95" customHeight="1" x14ac:dyDescent="0.2">
      <c r="E103" s="452"/>
      <c r="G103" s="451"/>
      <c r="M103" s="453"/>
    </row>
    <row r="104" spans="5:13" ht="15.95" customHeight="1" x14ac:dyDescent="0.2">
      <c r="E104" s="452"/>
      <c r="G104" s="451"/>
      <c r="M104" s="453"/>
    </row>
    <row r="105" spans="5:13" ht="15.95" customHeight="1" x14ac:dyDescent="0.2">
      <c r="E105" s="452"/>
      <c r="G105" s="451"/>
      <c r="M105" s="453"/>
    </row>
    <row r="106" spans="5:13" ht="15.95" customHeight="1" x14ac:dyDescent="0.2">
      <c r="E106" s="452"/>
      <c r="G106" s="451"/>
      <c r="M106" s="453"/>
    </row>
    <row r="107" spans="5:13" ht="15.95" customHeight="1" x14ac:dyDescent="0.2">
      <c r="E107" s="452"/>
      <c r="G107" s="451"/>
      <c r="M107" s="453"/>
    </row>
    <row r="108" spans="5:13" ht="15.95" customHeight="1" x14ac:dyDescent="0.2">
      <c r="E108" s="452"/>
      <c r="G108" s="451"/>
      <c r="M108" s="453"/>
    </row>
    <row r="109" spans="5:13" ht="15.95" customHeight="1" x14ac:dyDescent="0.2">
      <c r="E109" s="452"/>
      <c r="G109" s="451"/>
      <c r="M109" s="453"/>
    </row>
    <row r="110" spans="5:13" ht="15.95" customHeight="1" x14ac:dyDescent="0.2">
      <c r="E110" s="452"/>
      <c r="G110" s="451"/>
      <c r="M110" s="453"/>
    </row>
    <row r="111" spans="5:13" ht="15.95" customHeight="1" x14ac:dyDescent="0.2">
      <c r="E111" s="452"/>
      <c r="G111" s="451"/>
      <c r="M111" s="453"/>
    </row>
    <row r="112" spans="5:13" ht="15.95" customHeight="1" x14ac:dyDescent="0.2">
      <c r="E112" s="452"/>
      <c r="G112" s="451"/>
      <c r="M112" s="453"/>
    </row>
    <row r="113" spans="5:13" ht="15.95" customHeight="1" x14ac:dyDescent="0.2">
      <c r="E113" s="452"/>
      <c r="G113" s="451"/>
      <c r="M113" s="453"/>
    </row>
    <row r="114" spans="5:13" ht="15.95" customHeight="1" x14ac:dyDescent="0.2"/>
    <row r="115" spans="5:13" ht="15.95" customHeight="1" x14ac:dyDescent="0.2"/>
    <row r="116" spans="5:13" ht="15.95" customHeight="1" x14ac:dyDescent="0.2"/>
    <row r="117" spans="5:13" ht="15.95" customHeight="1" x14ac:dyDescent="0.2"/>
    <row r="118" spans="5:13" ht="15.95" customHeight="1" x14ac:dyDescent="0.2"/>
    <row r="119" spans="5:13" ht="15.95" customHeight="1" x14ac:dyDescent="0.2"/>
    <row r="120" spans="5:13" ht="15.95" customHeight="1" x14ac:dyDescent="0.2"/>
    <row r="121" spans="5:13" ht="15.95" customHeight="1" x14ac:dyDescent="0.2"/>
    <row r="122" spans="5:13" ht="15.95" customHeight="1" x14ac:dyDescent="0.2"/>
    <row r="123" spans="5:13" ht="15.95" customHeight="1" x14ac:dyDescent="0.2"/>
    <row r="124" spans="5:13" ht="15.95" customHeight="1" x14ac:dyDescent="0.2"/>
    <row r="125" spans="5:13" ht="15.95" customHeight="1" x14ac:dyDescent="0.2"/>
    <row r="126" spans="5:13" ht="15.95" customHeight="1" x14ac:dyDescent="0.2"/>
    <row r="127" spans="5:13" ht="15.95" customHeight="1" x14ac:dyDescent="0.2"/>
    <row r="128" spans="5:13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</sheetData>
  <dataConsolidate/>
  <mergeCells count="15">
    <mergeCell ref="J7:J8"/>
    <mergeCell ref="K7:K8"/>
    <mergeCell ref="L7:L8"/>
    <mergeCell ref="M7:M9"/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I7:I8"/>
  </mergeCells>
  <conditionalFormatting sqref="E58 E52 E45 E38:E39 E29 E24:F28 E32:F37 E51:F51 E55:F55 E57:F57 E48:F49 E41:F44">
    <cfRule type="expression" dxfId="38" priority="5" stopIfTrue="1">
      <formula>#REF!="B"</formula>
    </cfRule>
  </conditionalFormatting>
  <conditionalFormatting sqref="E53:E54 E46:E47 E40 E30:E31 E21:E23 E11 E12:F20">
    <cfRule type="expression" dxfId="37" priority="6" stopIfTrue="1">
      <formula>#REF!="B"</formula>
    </cfRule>
  </conditionalFormatting>
  <conditionalFormatting sqref="E50">
    <cfRule type="expression" dxfId="36" priority="4" stopIfTrue="1">
      <formula>#REF!="B"</formula>
    </cfRule>
  </conditionalFormatting>
  <conditionalFormatting sqref="E56">
    <cfRule type="expression" dxfId="35" priority="3" stopIfTrue="1">
      <formula>#REF!="B"</formula>
    </cfRule>
  </conditionalFormatting>
  <conditionalFormatting sqref="F50">
    <cfRule type="expression" dxfId="34" priority="2" stopIfTrue="1">
      <formula>#REF!="B"</formula>
    </cfRule>
  </conditionalFormatting>
  <conditionalFormatting sqref="F56">
    <cfRule type="expression" dxfId="33" priority="1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B1:U700"/>
  <sheetViews>
    <sheetView topLeftCell="B1" zoomScale="85" zoomScaleNormal="85" zoomScaleSheetLayoutView="85" workbookViewId="0">
      <pane ySplit="10" topLeftCell="A23" activePane="bottomLeft" state="frozen"/>
      <selection activeCell="F41" sqref="F41:F43"/>
      <selection pane="bottomLeft" activeCell="J41" sqref="J41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451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379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527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40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0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17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1"/>
      <c r="G8" s="611"/>
      <c r="H8" s="611"/>
      <c r="I8" s="611"/>
      <c r="J8" s="611"/>
      <c r="K8" s="611"/>
      <c r="L8" s="611"/>
      <c r="M8" s="618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416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19"/>
      <c r="O9" s="417"/>
    </row>
    <row r="10" spans="2:21" ht="15.95" customHeight="1" thickTop="1" x14ac:dyDescent="0.2">
      <c r="B10" s="418"/>
      <c r="C10" s="419"/>
      <c r="D10" s="477"/>
      <c r="E10" s="419"/>
      <c r="F10" s="419"/>
      <c r="G10" s="419"/>
      <c r="H10" s="419"/>
      <c r="I10" s="419"/>
      <c r="J10" s="419"/>
      <c r="K10" s="419"/>
      <c r="L10" s="419"/>
      <c r="M10" s="420"/>
    </row>
    <row r="11" spans="2:21" s="429" customFormat="1" ht="15.95" customHeight="1" x14ac:dyDescent="0.2">
      <c r="B11" s="463"/>
      <c r="C11" s="470" t="s">
        <v>528</v>
      </c>
      <c r="D11" s="478"/>
      <c r="E11" s="465"/>
      <c r="F11" s="466"/>
      <c r="G11" s="467"/>
      <c r="H11" s="468"/>
      <c r="I11" s="468"/>
      <c r="J11" s="468"/>
      <c r="K11" s="468"/>
      <c r="L11" s="468"/>
      <c r="M11" s="469"/>
      <c r="N11" s="381"/>
      <c r="O11" s="445"/>
      <c r="P11" s="446"/>
      <c r="Q11" s="446"/>
      <c r="R11" s="446"/>
      <c r="S11" s="446"/>
      <c r="T11" s="446"/>
      <c r="U11" s="447"/>
    </row>
    <row r="12" spans="2:21" s="429" customFormat="1" ht="15.95" customHeight="1" x14ac:dyDescent="0.2">
      <c r="B12" s="456"/>
      <c r="C12" s="448"/>
      <c r="D12" s="480"/>
      <c r="E12" s="449"/>
      <c r="F12" s="457"/>
      <c r="G12" s="458"/>
      <c r="H12" s="459"/>
      <c r="I12" s="459"/>
      <c r="J12" s="459"/>
      <c r="K12" s="459"/>
      <c r="L12" s="459"/>
      <c r="M12" s="460"/>
      <c r="N12" s="381"/>
      <c r="O12" s="445"/>
      <c r="P12" s="446"/>
      <c r="Q12" s="446"/>
      <c r="R12" s="446"/>
      <c r="S12" s="446"/>
      <c r="T12" s="446"/>
      <c r="U12" s="447"/>
    </row>
    <row r="13" spans="2:21" s="429" customFormat="1" ht="15.95" customHeight="1" x14ac:dyDescent="0.2">
      <c r="B13" s="421"/>
      <c r="C13" s="422" t="s">
        <v>459</v>
      </c>
      <c r="D13" s="483"/>
      <c r="E13" s="424"/>
      <c r="F13" s="422"/>
      <c r="G13" s="423"/>
      <c r="H13" s="423"/>
      <c r="I13" s="423"/>
      <c r="J13" s="423"/>
      <c r="K13" s="423"/>
      <c r="L13" s="423"/>
      <c r="M13" s="425"/>
      <c r="N13" s="381"/>
      <c r="O13" s="426"/>
      <c r="P13" s="427"/>
      <c r="Q13" s="427"/>
      <c r="R13" s="427"/>
      <c r="S13" s="427"/>
      <c r="T13" s="427"/>
      <c r="U13" s="428"/>
    </row>
    <row r="14" spans="2:21" s="429" customFormat="1" ht="15.95" customHeight="1" x14ac:dyDescent="0.2">
      <c r="B14" s="58" t="s">
        <v>308</v>
      </c>
      <c r="C14" s="56" t="s">
        <v>400</v>
      </c>
      <c r="D14" s="316">
        <v>0.5</v>
      </c>
      <c r="E14" s="218">
        <v>0.83</v>
      </c>
      <c r="F14" s="271">
        <f>(0.5*PI()*3.3^2*9+(9-1.8+1.5-3.3)*9*6.6)*$Q$3</f>
        <v>450.97806058970929</v>
      </c>
      <c r="G14" s="24">
        <f>E14*F14*D14</f>
        <v>187.15589514472936</v>
      </c>
      <c r="H14" s="16">
        <v>-16.8</v>
      </c>
      <c r="I14" s="16">
        <v>4.5</v>
      </c>
      <c r="J14" s="16">
        <v>3.3</v>
      </c>
      <c r="K14" s="169">
        <v>1000</v>
      </c>
      <c r="L14" s="169">
        <v>1000</v>
      </c>
      <c r="M14" s="430"/>
      <c r="N14" s="381"/>
      <c r="O14" s="426"/>
      <c r="P14" s="427"/>
      <c r="Q14" s="427"/>
      <c r="R14" s="427"/>
      <c r="S14" s="427"/>
      <c r="T14" s="427"/>
      <c r="U14" s="428"/>
    </row>
    <row r="15" spans="2:21" s="429" customFormat="1" ht="15.95" customHeight="1" x14ac:dyDescent="0.2">
      <c r="B15" s="59" t="s">
        <v>309</v>
      </c>
      <c r="C15" s="29" t="s">
        <v>400</v>
      </c>
      <c r="D15" s="316">
        <v>0.5</v>
      </c>
      <c r="E15" s="218">
        <v>0.83</v>
      </c>
      <c r="F15" s="271">
        <f>(0.5*PI()*3.3^2*9+5.4*9*6.6)*$Q$3</f>
        <v>450.97806058970934</v>
      </c>
      <c r="G15" s="24">
        <f>E15*F15*D15</f>
        <v>187.15589514472936</v>
      </c>
      <c r="H15" s="16">
        <v>-16.8</v>
      </c>
      <c r="I15" s="16">
        <v>13.5</v>
      </c>
      <c r="J15" s="16">
        <v>3.3</v>
      </c>
      <c r="K15" s="169">
        <v>1000</v>
      </c>
      <c r="L15" s="169">
        <v>1000</v>
      </c>
      <c r="M15" s="430"/>
      <c r="N15" s="381"/>
      <c r="O15" s="426"/>
      <c r="P15" s="427"/>
      <c r="Q15" s="427"/>
      <c r="R15" s="427"/>
      <c r="S15" s="427"/>
      <c r="T15" s="427"/>
      <c r="U15" s="428"/>
    </row>
    <row r="16" spans="2:21" s="429" customFormat="1" ht="15.95" customHeight="1" x14ac:dyDescent="0.2">
      <c r="B16" s="58" t="s">
        <v>310</v>
      </c>
      <c r="C16" s="56" t="s">
        <v>401</v>
      </c>
      <c r="D16" s="316">
        <v>0.5</v>
      </c>
      <c r="E16" s="218">
        <v>0.83</v>
      </c>
      <c r="F16" s="271">
        <f>(0.5*PI()*3.3^2*9+5.4*9*6.6)*$Q$3</f>
        <v>450.97806058970934</v>
      </c>
      <c r="G16" s="24">
        <f>E16*F16*D16</f>
        <v>187.15589514472936</v>
      </c>
      <c r="H16" s="16">
        <v>-16.8</v>
      </c>
      <c r="I16" s="16">
        <v>-4.5</v>
      </c>
      <c r="J16" s="16">
        <v>3.3</v>
      </c>
      <c r="K16" s="169">
        <v>1000</v>
      </c>
      <c r="L16" s="169">
        <v>1000</v>
      </c>
      <c r="M16" s="430"/>
      <c r="N16" s="381"/>
      <c r="O16" s="426"/>
      <c r="P16" s="427"/>
      <c r="Q16" s="427"/>
      <c r="R16" s="427"/>
      <c r="S16" s="427"/>
      <c r="T16" s="427"/>
      <c r="U16" s="428"/>
    </row>
    <row r="17" spans="2:21" s="429" customFormat="1" ht="15.95" customHeight="1" x14ac:dyDescent="0.2">
      <c r="B17" s="59" t="s">
        <v>311</v>
      </c>
      <c r="C17" s="29" t="s">
        <v>401</v>
      </c>
      <c r="D17" s="316">
        <v>0.5</v>
      </c>
      <c r="E17" s="218">
        <v>0.83</v>
      </c>
      <c r="F17" s="271">
        <f>(0.5*PI()*3.3^2*9+5.4*9*6.6)*$Q$3</f>
        <v>450.97806058970934</v>
      </c>
      <c r="G17" s="24">
        <f>E17*F17*D17</f>
        <v>187.15589514472936</v>
      </c>
      <c r="H17" s="16">
        <v>-16.8</v>
      </c>
      <c r="I17" s="16">
        <v>-13.5</v>
      </c>
      <c r="J17" s="16">
        <v>3.3</v>
      </c>
      <c r="K17" s="169">
        <v>1000</v>
      </c>
      <c r="L17" s="169">
        <v>1000</v>
      </c>
      <c r="M17" s="430"/>
      <c r="N17" s="381"/>
      <c r="O17" s="426"/>
      <c r="P17" s="427"/>
      <c r="Q17" s="427"/>
      <c r="R17" s="427"/>
      <c r="S17" s="427"/>
      <c r="T17" s="427"/>
      <c r="U17" s="428"/>
    </row>
    <row r="18" spans="2:21" s="429" customFormat="1" ht="15.95" customHeight="1" thickBot="1" x14ac:dyDescent="0.25">
      <c r="B18" s="431"/>
      <c r="C18" s="432"/>
      <c r="D18" s="316"/>
      <c r="E18" s="433"/>
      <c r="F18" s="434"/>
      <c r="G18" s="435"/>
      <c r="H18" s="436"/>
      <c r="I18" s="436"/>
      <c r="J18" s="436"/>
      <c r="K18" s="436"/>
      <c r="L18" s="436"/>
      <c r="M18" s="437"/>
      <c r="N18" s="381"/>
      <c r="O18" s="426"/>
      <c r="P18" s="427"/>
      <c r="Q18" s="427"/>
      <c r="R18" s="427"/>
      <c r="S18" s="427"/>
      <c r="T18" s="427"/>
      <c r="U18" s="428"/>
    </row>
    <row r="19" spans="2:21" s="429" customFormat="1" ht="15.95" customHeight="1" thickTop="1" x14ac:dyDescent="0.2">
      <c r="B19" s="438"/>
      <c r="C19" s="439"/>
      <c r="D19" s="479"/>
      <c r="E19" s="440"/>
      <c r="F19" s="441" t="s">
        <v>33</v>
      </c>
      <c r="G19" s="442">
        <f>SUBTOTAL(9,G14:G18)</f>
        <v>748.62358057891743</v>
      </c>
      <c r="H19" s="443">
        <f>IF($G19=0,0,SUMPRODUCT($G14:$G18,H14:H18)/$G19)</f>
        <v>-16.8</v>
      </c>
      <c r="I19" s="443">
        <f>IF($G19=0,0,SUMPRODUCT($G14:$G18,I14:I18)/$G19)</f>
        <v>0</v>
      </c>
      <c r="J19" s="443">
        <f>IF($G19=0,0,SUMPRODUCT($G14:$G18,J14:J18)/$G19)</f>
        <v>3.3000000000000003</v>
      </c>
      <c r="K19" s="450">
        <f>SUBTOTAL(9,K14:K18)</f>
        <v>4000</v>
      </c>
      <c r="L19" s="450">
        <f>SUBTOTAL(9,L14:L18)</f>
        <v>4000</v>
      </c>
      <c r="M19" s="444"/>
      <c r="N19" s="381"/>
      <c r="O19" s="445" t="s">
        <v>546</v>
      </c>
      <c r="P19" s="446">
        <f t="shared" ref="P19:U19" si="0">G19</f>
        <v>748.62358057891743</v>
      </c>
      <c r="Q19" s="446">
        <f t="shared" si="0"/>
        <v>-16.8</v>
      </c>
      <c r="R19" s="446">
        <f t="shared" si="0"/>
        <v>0</v>
      </c>
      <c r="S19" s="446">
        <f t="shared" si="0"/>
        <v>3.3000000000000003</v>
      </c>
      <c r="T19" s="446">
        <f t="shared" si="0"/>
        <v>4000</v>
      </c>
      <c r="U19" s="447">
        <f t="shared" si="0"/>
        <v>4000</v>
      </c>
    </row>
    <row r="20" spans="2:21" s="429" customFormat="1" ht="15.95" customHeight="1" x14ac:dyDescent="0.2">
      <c r="B20" s="475"/>
      <c r="C20" s="419"/>
      <c r="D20" s="477"/>
      <c r="E20" s="419"/>
      <c r="F20" s="419"/>
      <c r="G20" s="419"/>
      <c r="H20" s="419"/>
      <c r="I20" s="419"/>
      <c r="J20" s="419"/>
      <c r="K20" s="419"/>
      <c r="L20" s="419"/>
      <c r="M20" s="476"/>
      <c r="N20" s="381"/>
      <c r="O20" s="426"/>
      <c r="P20" s="427"/>
      <c r="Q20" s="427"/>
      <c r="R20" s="427"/>
      <c r="S20" s="427"/>
      <c r="T20" s="427"/>
      <c r="U20" s="428"/>
    </row>
    <row r="21" spans="2:21" s="429" customFormat="1" ht="15.95" customHeight="1" x14ac:dyDescent="0.2">
      <c r="B21" s="463"/>
      <c r="C21" s="470" t="s">
        <v>544</v>
      </c>
      <c r="D21" s="478"/>
      <c r="E21" s="465"/>
      <c r="F21" s="466"/>
      <c r="G21" s="467"/>
      <c r="H21" s="468"/>
      <c r="I21" s="468"/>
      <c r="J21" s="468"/>
      <c r="K21" s="468"/>
      <c r="L21" s="468"/>
      <c r="M21" s="469"/>
      <c r="N21" s="454"/>
      <c r="O21" s="426"/>
      <c r="P21" s="427"/>
      <c r="Q21" s="427"/>
      <c r="R21" s="427"/>
      <c r="S21" s="427"/>
      <c r="T21" s="427"/>
      <c r="U21" s="428"/>
    </row>
    <row r="22" spans="2:21" s="429" customFormat="1" ht="15.95" customHeight="1" x14ac:dyDescent="0.2">
      <c r="B22" s="456"/>
      <c r="C22" s="448"/>
      <c r="D22" s="480"/>
      <c r="E22" s="449"/>
      <c r="F22" s="457"/>
      <c r="G22" s="458"/>
      <c r="H22" s="459"/>
      <c r="I22" s="459"/>
      <c r="J22" s="459"/>
      <c r="K22" s="459"/>
      <c r="L22" s="459"/>
      <c r="M22" s="460"/>
      <c r="N22" s="454"/>
      <c r="O22" s="426"/>
      <c r="P22" s="427"/>
      <c r="Q22" s="427"/>
      <c r="R22" s="427"/>
      <c r="S22" s="427"/>
      <c r="T22" s="427"/>
      <c r="U22" s="428"/>
    </row>
    <row r="23" spans="2:21" s="429" customFormat="1" ht="15.95" customHeight="1" x14ac:dyDescent="0.2">
      <c r="B23" s="82"/>
      <c r="C23" s="242" t="s">
        <v>458</v>
      </c>
      <c r="D23" s="484"/>
      <c r="E23" s="228"/>
      <c r="F23" s="242"/>
      <c r="G23" s="227"/>
      <c r="H23" s="227"/>
      <c r="I23" s="227"/>
      <c r="J23" s="227"/>
      <c r="K23" s="227"/>
      <c r="L23" s="227"/>
      <c r="M23" s="274"/>
      <c r="N23" s="454"/>
      <c r="O23" s="426"/>
      <c r="P23" s="427"/>
      <c r="Q23" s="427"/>
      <c r="R23" s="427"/>
      <c r="S23" s="427"/>
      <c r="T23" s="427"/>
      <c r="U23" s="428"/>
    </row>
    <row r="24" spans="2:21" s="429" customFormat="1" ht="15.95" customHeight="1" x14ac:dyDescent="0.2">
      <c r="B24" s="58" t="s">
        <v>306</v>
      </c>
      <c r="C24" s="56" t="s">
        <v>403</v>
      </c>
      <c r="D24" s="316">
        <v>0.5</v>
      </c>
      <c r="E24" s="218">
        <v>1</v>
      </c>
      <c r="F24" s="271">
        <f>7.2*(0.5*PI()*3.3^2+(12-3.3)*6.6)*$Q$3</f>
        <v>509.75764847176754</v>
      </c>
      <c r="G24" s="24">
        <f>E24*F24*D24</f>
        <v>254.87882423588377</v>
      </c>
      <c r="H24" s="16">
        <v>12.78</v>
      </c>
      <c r="I24" s="16">
        <v>23</v>
      </c>
      <c r="J24" s="16">
        <v>3.3</v>
      </c>
      <c r="K24" s="169">
        <v>1000</v>
      </c>
      <c r="L24" s="169">
        <v>1000</v>
      </c>
      <c r="M24" s="273" t="s">
        <v>407</v>
      </c>
      <c r="N24" s="454"/>
      <c r="O24" s="426"/>
      <c r="P24" s="427"/>
      <c r="Q24" s="427"/>
      <c r="R24" s="427"/>
      <c r="S24" s="427"/>
      <c r="T24" s="427"/>
      <c r="U24" s="428"/>
    </row>
    <row r="25" spans="2:21" s="429" customFormat="1" ht="15.95" customHeight="1" x14ac:dyDescent="0.2">
      <c r="B25" s="59"/>
      <c r="C25" s="56" t="s">
        <v>457</v>
      </c>
      <c r="D25" s="317"/>
      <c r="E25" s="310"/>
      <c r="F25" s="311"/>
      <c r="G25" s="24">
        <f>E25*F25*D25</f>
        <v>0</v>
      </c>
      <c r="H25" s="9"/>
      <c r="I25" s="9"/>
      <c r="J25" s="9"/>
      <c r="K25" s="311"/>
      <c r="L25" s="311"/>
      <c r="M25" s="276"/>
      <c r="N25" s="454"/>
      <c r="O25" s="426"/>
      <c r="P25" s="427"/>
      <c r="Q25" s="427"/>
      <c r="R25" s="427"/>
      <c r="S25" s="427"/>
      <c r="T25" s="427"/>
      <c r="U25" s="428"/>
    </row>
    <row r="26" spans="2:21" s="429" customFormat="1" ht="15.95" customHeight="1" thickBot="1" x14ac:dyDescent="0.25">
      <c r="B26" s="255"/>
      <c r="C26" s="252"/>
      <c r="D26" s="316"/>
      <c r="E26" s="256"/>
      <c r="F26" s="272"/>
      <c r="G26" s="253"/>
      <c r="H26" s="250"/>
      <c r="I26" s="250"/>
      <c r="J26" s="250"/>
      <c r="K26" s="250"/>
      <c r="L26" s="250"/>
      <c r="M26" s="276"/>
      <c r="N26" s="454"/>
      <c r="O26" s="426"/>
      <c r="P26" s="427"/>
      <c r="Q26" s="427"/>
      <c r="R26" s="427"/>
      <c r="S26" s="427"/>
      <c r="T26" s="427"/>
      <c r="U26" s="428"/>
    </row>
    <row r="27" spans="2:21" s="429" customFormat="1" ht="15.95" customHeight="1" thickTop="1" x14ac:dyDescent="0.2">
      <c r="B27" s="318"/>
      <c r="C27" s="319"/>
      <c r="D27" s="481"/>
      <c r="E27" s="321"/>
      <c r="F27" s="322" t="s">
        <v>33</v>
      </c>
      <c r="G27" s="323">
        <f>SUBTOTAL(9,G24:G26)</f>
        <v>254.87882423588377</v>
      </c>
      <c r="H27" s="324">
        <f>IF($G27=0,0,SUMPRODUCT($G24:$G26,H24:H26)/$G27)</f>
        <v>12.78</v>
      </c>
      <c r="I27" s="324">
        <f>IF($G27=0,0,SUMPRODUCT($G24:$G26,I24:I26)/$G27)</f>
        <v>23</v>
      </c>
      <c r="J27" s="324">
        <f>IF($G27=0,0,SUMPRODUCT($G24:$G26,J24:J26)/$G27)</f>
        <v>3.3</v>
      </c>
      <c r="K27" s="324">
        <f>SUBTOTAL(9,K24:K26)</f>
        <v>1000</v>
      </c>
      <c r="L27" s="324">
        <f>SUBTOTAL(9,L24:L26)</f>
        <v>1000</v>
      </c>
      <c r="M27" s="444"/>
      <c r="N27" s="381"/>
      <c r="O27" s="445" t="s">
        <v>533</v>
      </c>
      <c r="P27" s="446">
        <f t="shared" ref="P27:U27" si="1">G27</f>
        <v>254.87882423588377</v>
      </c>
      <c r="Q27" s="446">
        <f t="shared" si="1"/>
        <v>12.78</v>
      </c>
      <c r="R27" s="446">
        <f t="shared" si="1"/>
        <v>23</v>
      </c>
      <c r="S27" s="446">
        <f t="shared" si="1"/>
        <v>3.3</v>
      </c>
      <c r="T27" s="446">
        <f t="shared" si="1"/>
        <v>1000</v>
      </c>
      <c r="U27" s="447">
        <f t="shared" si="1"/>
        <v>1000</v>
      </c>
    </row>
    <row r="28" spans="2:21" ht="15.95" customHeight="1" x14ac:dyDescent="0.2">
      <c r="B28" s="243"/>
      <c r="C28" s="244"/>
      <c r="D28" s="482"/>
      <c r="E28" s="246"/>
      <c r="F28" s="279"/>
      <c r="G28" s="280"/>
      <c r="H28" s="281"/>
      <c r="I28" s="281"/>
      <c r="J28" s="281"/>
      <c r="K28" s="281"/>
      <c r="L28" s="281"/>
      <c r="M28" s="282"/>
    </row>
    <row r="29" spans="2:21" ht="15.95" customHeight="1" x14ac:dyDescent="0.2">
      <c r="B29" s="82"/>
      <c r="C29" s="242" t="s">
        <v>83</v>
      </c>
      <c r="D29" s="484"/>
      <c r="E29" s="228"/>
      <c r="F29" s="242"/>
      <c r="G29" s="227"/>
      <c r="H29" s="227"/>
      <c r="I29" s="227"/>
      <c r="J29" s="227"/>
      <c r="K29" s="227"/>
      <c r="L29" s="227"/>
      <c r="M29" s="274"/>
    </row>
    <row r="30" spans="2:21" ht="15.95" customHeight="1" x14ac:dyDescent="0.2">
      <c r="B30" s="58" t="s">
        <v>84</v>
      </c>
      <c r="C30" s="56" t="s">
        <v>466</v>
      </c>
      <c r="D30" s="316">
        <v>0.5</v>
      </c>
      <c r="E30" s="218">
        <v>0.8</v>
      </c>
      <c r="F30" s="271">
        <f>7.2*(0.5*PI()*3.3^2+(12-3.3)*6.6)*$Q$3</f>
        <v>509.75764847176754</v>
      </c>
      <c r="G30" s="24">
        <f>E30*F30*D30</f>
        <v>203.90305938870702</v>
      </c>
      <c r="H30" s="16">
        <v>29.32</v>
      </c>
      <c r="I30" s="16">
        <v>15.9</v>
      </c>
      <c r="J30" s="16">
        <v>3.3</v>
      </c>
      <c r="K30" s="169">
        <v>1000</v>
      </c>
      <c r="L30" s="169">
        <v>1000</v>
      </c>
      <c r="M30" s="273" t="s">
        <v>501</v>
      </c>
    </row>
    <row r="31" spans="2:21" ht="15.95" customHeight="1" x14ac:dyDescent="0.2">
      <c r="B31" s="59"/>
      <c r="C31" s="56" t="s">
        <v>457</v>
      </c>
      <c r="D31" s="317"/>
      <c r="E31" s="218"/>
      <c r="F31" s="271"/>
      <c r="G31" s="24">
        <f>E31*F31*D31</f>
        <v>0</v>
      </c>
      <c r="H31" s="16"/>
      <c r="I31" s="16"/>
      <c r="J31" s="16"/>
      <c r="K31" s="169"/>
      <c r="L31" s="169"/>
      <c r="M31" s="273"/>
    </row>
    <row r="32" spans="2:21" ht="15.95" customHeight="1" thickBot="1" x14ac:dyDescent="0.25">
      <c r="B32" s="255"/>
      <c r="C32" s="252"/>
      <c r="D32" s="316"/>
      <c r="E32" s="256"/>
      <c r="F32" s="272"/>
      <c r="G32" s="253"/>
      <c r="H32" s="250"/>
      <c r="I32" s="250"/>
      <c r="J32" s="250"/>
      <c r="K32" s="250"/>
      <c r="L32" s="272"/>
      <c r="M32" s="276"/>
    </row>
    <row r="33" spans="2:21" ht="15.95" customHeight="1" thickTop="1" x14ac:dyDescent="0.2">
      <c r="B33" s="318"/>
      <c r="C33" s="319"/>
      <c r="D33" s="481"/>
      <c r="E33" s="321"/>
      <c r="F33" s="322" t="s">
        <v>33</v>
      </c>
      <c r="G33" s="323">
        <f>SUBTOTAL(9,G30:G32)</f>
        <v>203.90305938870702</v>
      </c>
      <c r="H33" s="324">
        <f>IF($G33=0,0,SUMPRODUCT($G30:$G32,H30:H32)/$G33)</f>
        <v>29.32</v>
      </c>
      <c r="I33" s="324">
        <f>IF($G33=0,0,SUMPRODUCT($G30:$G32,I30:I32)/$G33)</f>
        <v>15.899999999999999</v>
      </c>
      <c r="J33" s="324">
        <f>IF($G33=0,0,SUMPRODUCT($G30:$G32,J30:J32)/$G33)</f>
        <v>3.3</v>
      </c>
      <c r="K33" s="324">
        <f>SUBTOTAL(9,K30:K32)</f>
        <v>1000</v>
      </c>
      <c r="L33" s="324">
        <f>SUBTOTAL(9,L30:L32)</f>
        <v>1000</v>
      </c>
      <c r="M33" s="444"/>
      <c r="O33" s="445" t="s">
        <v>543</v>
      </c>
      <c r="P33" s="446">
        <f t="shared" ref="P33:U33" si="2">G33</f>
        <v>203.90305938870702</v>
      </c>
      <c r="Q33" s="446">
        <f t="shared" si="2"/>
        <v>29.32</v>
      </c>
      <c r="R33" s="446">
        <f t="shared" si="2"/>
        <v>15.899999999999999</v>
      </c>
      <c r="S33" s="446">
        <f t="shared" si="2"/>
        <v>3.3</v>
      </c>
      <c r="T33" s="446">
        <f t="shared" si="2"/>
        <v>1000</v>
      </c>
      <c r="U33" s="447">
        <f t="shared" si="2"/>
        <v>1000</v>
      </c>
    </row>
    <row r="34" spans="2:21" ht="15.95" customHeight="1" x14ac:dyDescent="0.2">
      <c r="B34" s="475"/>
      <c r="C34" s="419"/>
      <c r="D34" s="477"/>
      <c r="E34" s="419"/>
      <c r="F34" s="419"/>
      <c r="G34" s="419"/>
      <c r="H34" s="419"/>
      <c r="I34" s="419"/>
      <c r="J34" s="419"/>
      <c r="K34" s="419"/>
      <c r="L34" s="419"/>
      <c r="M34" s="476"/>
    </row>
    <row r="35" spans="2:21" ht="15.95" customHeight="1" x14ac:dyDescent="0.2">
      <c r="B35" s="463"/>
      <c r="C35" s="470" t="s">
        <v>545</v>
      </c>
      <c r="D35" s="478"/>
      <c r="E35" s="465"/>
      <c r="F35" s="466"/>
      <c r="G35" s="467"/>
      <c r="H35" s="468"/>
      <c r="I35" s="468"/>
      <c r="J35" s="468"/>
      <c r="K35" s="468"/>
      <c r="L35" s="468"/>
      <c r="M35" s="469"/>
    </row>
    <row r="36" spans="2:21" ht="15.95" customHeight="1" x14ac:dyDescent="0.2">
      <c r="B36" s="456"/>
      <c r="C36" s="448"/>
      <c r="D36" s="480"/>
      <c r="E36" s="449"/>
      <c r="F36" s="457"/>
      <c r="G36" s="458"/>
      <c r="H36" s="459"/>
      <c r="I36" s="459"/>
      <c r="J36" s="459"/>
      <c r="K36" s="459"/>
      <c r="L36" s="459"/>
      <c r="M36" s="460"/>
    </row>
    <row r="37" spans="2:21" ht="15.95" customHeight="1" x14ac:dyDescent="0.2">
      <c r="B37" s="82"/>
      <c r="C37" s="242" t="s">
        <v>458</v>
      </c>
      <c r="D37" s="484"/>
      <c r="E37" s="228"/>
      <c r="F37" s="242"/>
      <c r="G37" s="227"/>
      <c r="H37" s="227"/>
      <c r="I37" s="227"/>
      <c r="J37" s="227"/>
      <c r="K37" s="227"/>
      <c r="L37" s="227"/>
      <c r="M37" s="274"/>
    </row>
    <row r="38" spans="2:21" ht="15.95" customHeight="1" x14ac:dyDescent="0.2">
      <c r="B38" s="59" t="s">
        <v>307</v>
      </c>
      <c r="C38" s="29" t="s">
        <v>402</v>
      </c>
      <c r="D38" s="317">
        <v>0.5</v>
      </c>
      <c r="E38" s="218">
        <v>1</v>
      </c>
      <c r="F38" s="271">
        <f>7.2*(0.5*PI()*3.3^2+(12-3.3)*6.6)*$Q$3</f>
        <v>509.75764847176754</v>
      </c>
      <c r="G38" s="24">
        <f>E38*F38*D38</f>
        <v>254.87882423588377</v>
      </c>
      <c r="H38" s="16">
        <v>12.78</v>
      </c>
      <c r="I38" s="16">
        <v>-23</v>
      </c>
      <c r="J38" s="16">
        <v>3.3</v>
      </c>
      <c r="K38" s="169">
        <v>1000</v>
      </c>
      <c r="L38" s="169">
        <v>1000</v>
      </c>
      <c r="M38" s="273" t="s">
        <v>407</v>
      </c>
    </row>
    <row r="39" spans="2:21" ht="15.95" customHeight="1" x14ac:dyDescent="0.2">
      <c r="B39" s="59"/>
      <c r="C39" s="56" t="s">
        <v>457</v>
      </c>
      <c r="D39" s="317"/>
      <c r="E39" s="310"/>
      <c r="F39" s="311"/>
      <c r="G39" s="24">
        <f>E39*F39*D39</f>
        <v>0</v>
      </c>
      <c r="H39" s="9"/>
      <c r="I39" s="9"/>
      <c r="J39" s="9"/>
      <c r="K39" s="311"/>
      <c r="L39" s="311"/>
      <c r="M39" s="276"/>
    </row>
    <row r="40" spans="2:21" ht="15.95" customHeight="1" thickBot="1" x14ac:dyDescent="0.25">
      <c r="B40" s="255"/>
      <c r="C40" s="252"/>
      <c r="D40" s="316"/>
      <c r="E40" s="256"/>
      <c r="F40" s="272"/>
      <c r="G40" s="253"/>
      <c r="H40" s="250"/>
      <c r="I40" s="250"/>
      <c r="J40" s="250"/>
      <c r="K40" s="250"/>
      <c r="L40" s="250"/>
      <c r="M40" s="276"/>
    </row>
    <row r="41" spans="2:21" ht="15.95" customHeight="1" thickTop="1" x14ac:dyDescent="0.2">
      <c r="B41" s="318"/>
      <c r="C41" s="319"/>
      <c r="D41" s="481"/>
      <c r="E41" s="321"/>
      <c r="F41" s="322" t="s">
        <v>33</v>
      </c>
      <c r="G41" s="323">
        <f>SUBTOTAL(9,G38:G40)</f>
        <v>254.87882423588377</v>
      </c>
      <c r="H41" s="324">
        <f>IF($G41=0,0,SUMPRODUCT($G38:$G40,H38:H40)/$G41)</f>
        <v>12.78</v>
      </c>
      <c r="I41" s="324">
        <f>IF($G41=0,0,SUMPRODUCT($G38:$G40,I38:I40)/$G41)</f>
        <v>-23</v>
      </c>
      <c r="J41" s="324">
        <f>IF($G41=0,0,SUMPRODUCT($G38:$G40,J38:J40)/$G41)</f>
        <v>3.3</v>
      </c>
      <c r="K41" s="324">
        <f>SUBTOTAL(9,K38:K40)</f>
        <v>1000</v>
      </c>
      <c r="L41" s="324">
        <f>SUBTOTAL(9,L38:L40)</f>
        <v>1000</v>
      </c>
      <c r="M41" s="444"/>
      <c r="O41" s="445" t="s">
        <v>547</v>
      </c>
      <c r="P41" s="446">
        <f t="shared" ref="P41:U41" si="3">G41</f>
        <v>254.87882423588377</v>
      </c>
      <c r="Q41" s="446">
        <f t="shared" si="3"/>
        <v>12.78</v>
      </c>
      <c r="R41" s="446">
        <f t="shared" si="3"/>
        <v>-23</v>
      </c>
      <c r="S41" s="446">
        <f t="shared" si="3"/>
        <v>3.3</v>
      </c>
      <c r="T41" s="446">
        <f t="shared" si="3"/>
        <v>1000</v>
      </c>
      <c r="U41" s="447">
        <f t="shared" si="3"/>
        <v>1000</v>
      </c>
    </row>
    <row r="42" spans="2:21" ht="15.95" customHeight="1" x14ac:dyDescent="0.2">
      <c r="E42" s="452"/>
      <c r="G42" s="451"/>
      <c r="M42" s="453"/>
    </row>
    <row r="43" spans="2:21" ht="15.95" customHeight="1" x14ac:dyDescent="0.2">
      <c r="E43" s="452"/>
      <c r="G43" s="451"/>
      <c r="M43" s="453"/>
    </row>
    <row r="44" spans="2:21" ht="15.95" customHeight="1" x14ac:dyDescent="0.2">
      <c r="E44" s="452"/>
      <c r="G44" s="451"/>
      <c r="M44" s="453"/>
    </row>
    <row r="45" spans="2:21" ht="15.95" customHeight="1" x14ac:dyDescent="0.2">
      <c r="E45" s="452"/>
      <c r="G45" s="451"/>
      <c r="M45" s="453"/>
    </row>
    <row r="46" spans="2:21" ht="15.95" customHeight="1" x14ac:dyDescent="0.2">
      <c r="E46" s="452"/>
      <c r="G46" s="451"/>
      <c r="M46" s="453"/>
    </row>
    <row r="47" spans="2:21" ht="15.95" customHeight="1" x14ac:dyDescent="0.2">
      <c r="E47" s="452"/>
      <c r="G47" s="451"/>
      <c r="M47" s="453"/>
    </row>
    <row r="48" spans="2:21" ht="15.95" customHeight="1" x14ac:dyDescent="0.2">
      <c r="E48" s="452"/>
      <c r="G48" s="451"/>
      <c r="M48" s="453"/>
    </row>
    <row r="49" spans="5:13" ht="15.95" customHeight="1" x14ac:dyDescent="0.2">
      <c r="E49" s="452"/>
      <c r="G49" s="451"/>
      <c r="M49" s="453"/>
    </row>
    <row r="50" spans="5:13" ht="15.95" customHeight="1" x14ac:dyDescent="0.2">
      <c r="E50" s="452"/>
      <c r="G50" s="451"/>
      <c r="M50" s="453"/>
    </row>
    <row r="51" spans="5:13" ht="15.95" customHeight="1" x14ac:dyDescent="0.2">
      <c r="E51" s="452"/>
      <c r="G51" s="451"/>
      <c r="M51" s="453"/>
    </row>
    <row r="52" spans="5:13" ht="15.95" customHeight="1" x14ac:dyDescent="0.2">
      <c r="E52" s="452"/>
      <c r="G52" s="451"/>
      <c r="M52" s="453"/>
    </row>
    <row r="53" spans="5:13" ht="15.95" customHeight="1" x14ac:dyDescent="0.2">
      <c r="E53" s="452"/>
      <c r="G53" s="451"/>
      <c r="M53" s="453"/>
    </row>
    <row r="54" spans="5:13" ht="15.95" customHeight="1" x14ac:dyDescent="0.2">
      <c r="E54" s="452"/>
      <c r="G54" s="451"/>
      <c r="M54" s="453"/>
    </row>
    <row r="55" spans="5:13" ht="15.95" customHeight="1" x14ac:dyDescent="0.2">
      <c r="E55" s="452"/>
      <c r="G55" s="451"/>
      <c r="M55" s="453"/>
    </row>
    <row r="56" spans="5:13" ht="15.95" customHeight="1" x14ac:dyDescent="0.2">
      <c r="E56" s="452"/>
      <c r="G56" s="451"/>
      <c r="M56" s="453"/>
    </row>
    <row r="57" spans="5:13" ht="15.95" customHeight="1" x14ac:dyDescent="0.2">
      <c r="E57" s="452"/>
      <c r="G57" s="451"/>
      <c r="M57" s="453"/>
    </row>
    <row r="58" spans="5:13" ht="15.95" customHeight="1" x14ac:dyDescent="0.2">
      <c r="E58" s="452"/>
      <c r="G58" s="451"/>
      <c r="M58" s="453"/>
    </row>
    <row r="59" spans="5:13" ht="15.95" customHeight="1" x14ac:dyDescent="0.2">
      <c r="E59" s="452"/>
      <c r="G59" s="451"/>
      <c r="M59" s="453"/>
    </row>
    <row r="60" spans="5:13" ht="15.95" customHeight="1" x14ac:dyDescent="0.2">
      <c r="E60" s="452"/>
      <c r="G60" s="451"/>
      <c r="M60" s="453"/>
    </row>
    <row r="61" spans="5:13" ht="15.95" customHeight="1" x14ac:dyDescent="0.2">
      <c r="E61" s="452"/>
      <c r="G61" s="451"/>
      <c r="M61" s="453"/>
    </row>
    <row r="62" spans="5:13" ht="15.95" customHeight="1" x14ac:dyDescent="0.2">
      <c r="E62" s="452"/>
      <c r="G62" s="451"/>
      <c r="M62" s="453"/>
    </row>
    <row r="63" spans="5:13" ht="15.95" customHeight="1" x14ac:dyDescent="0.2">
      <c r="E63" s="452"/>
      <c r="G63" s="451"/>
      <c r="M63" s="453"/>
    </row>
    <row r="64" spans="5:13" ht="15.95" customHeight="1" x14ac:dyDescent="0.2">
      <c r="E64" s="452"/>
      <c r="G64" s="451"/>
      <c r="M64" s="453"/>
    </row>
    <row r="65" spans="5:13" ht="15.95" customHeight="1" x14ac:dyDescent="0.2">
      <c r="E65" s="452"/>
      <c r="G65" s="451"/>
      <c r="M65" s="453"/>
    </row>
    <row r="66" spans="5:13" ht="15.95" customHeight="1" x14ac:dyDescent="0.2">
      <c r="E66" s="452"/>
      <c r="G66" s="451"/>
      <c r="M66" s="453"/>
    </row>
    <row r="67" spans="5:13" ht="15.95" customHeight="1" x14ac:dyDescent="0.2">
      <c r="E67" s="452"/>
      <c r="G67" s="451"/>
      <c r="M67" s="453"/>
    </row>
    <row r="68" spans="5:13" ht="15.95" customHeight="1" x14ac:dyDescent="0.2">
      <c r="E68" s="452"/>
      <c r="G68" s="451"/>
      <c r="M68" s="453"/>
    </row>
    <row r="69" spans="5:13" ht="15.95" customHeight="1" x14ac:dyDescent="0.2">
      <c r="E69" s="452"/>
      <c r="G69" s="451"/>
      <c r="M69" s="453"/>
    </row>
    <row r="70" spans="5:13" ht="15.95" customHeight="1" x14ac:dyDescent="0.2">
      <c r="E70" s="452"/>
      <c r="G70" s="451"/>
      <c r="M70" s="453"/>
    </row>
    <row r="71" spans="5:13" ht="15.95" customHeight="1" x14ac:dyDescent="0.2">
      <c r="E71" s="452"/>
      <c r="G71" s="451"/>
      <c r="M71" s="453"/>
    </row>
    <row r="72" spans="5:13" ht="15.95" customHeight="1" x14ac:dyDescent="0.2">
      <c r="E72" s="452"/>
      <c r="G72" s="451"/>
      <c r="M72" s="453"/>
    </row>
    <row r="73" spans="5:13" ht="15.95" customHeight="1" x14ac:dyDescent="0.2">
      <c r="E73" s="452"/>
      <c r="G73" s="451"/>
      <c r="M73" s="453"/>
    </row>
    <row r="74" spans="5:13" ht="15.95" customHeight="1" x14ac:dyDescent="0.2">
      <c r="E74" s="452"/>
      <c r="G74" s="451"/>
      <c r="M74" s="453"/>
    </row>
    <row r="75" spans="5:13" ht="15.95" customHeight="1" x14ac:dyDescent="0.2">
      <c r="E75" s="452"/>
      <c r="G75" s="451"/>
      <c r="M75" s="453"/>
    </row>
    <row r="76" spans="5:13" ht="15.95" customHeight="1" x14ac:dyDescent="0.2">
      <c r="E76" s="452"/>
      <c r="G76" s="451"/>
      <c r="M76" s="453"/>
    </row>
    <row r="77" spans="5:13" ht="15.95" customHeight="1" x14ac:dyDescent="0.2">
      <c r="E77" s="452"/>
      <c r="G77" s="451"/>
      <c r="M77" s="453"/>
    </row>
    <row r="78" spans="5:13" ht="15.95" customHeight="1" x14ac:dyDescent="0.2">
      <c r="E78" s="452"/>
      <c r="G78" s="451"/>
      <c r="M78" s="453"/>
    </row>
    <row r="79" spans="5:13" ht="15.95" customHeight="1" x14ac:dyDescent="0.2">
      <c r="E79" s="452"/>
      <c r="G79" s="451"/>
      <c r="M79" s="453"/>
    </row>
    <row r="80" spans="5:13" ht="15.95" customHeight="1" x14ac:dyDescent="0.2">
      <c r="E80" s="452"/>
      <c r="G80" s="451"/>
      <c r="M80" s="453"/>
    </row>
    <row r="81" spans="5:13" ht="15.95" customHeight="1" x14ac:dyDescent="0.2">
      <c r="E81" s="452"/>
      <c r="G81" s="451"/>
      <c r="M81" s="453"/>
    </row>
    <row r="82" spans="5:13" ht="15.95" customHeight="1" x14ac:dyDescent="0.2">
      <c r="E82" s="452"/>
      <c r="G82" s="451"/>
      <c r="M82" s="453"/>
    </row>
    <row r="83" spans="5:13" ht="15.95" customHeight="1" x14ac:dyDescent="0.2">
      <c r="E83" s="452"/>
      <c r="G83" s="451"/>
      <c r="M83" s="453"/>
    </row>
    <row r="84" spans="5:13" ht="15.95" customHeight="1" x14ac:dyDescent="0.2">
      <c r="E84" s="452"/>
      <c r="G84" s="451"/>
      <c r="M84" s="453"/>
    </row>
    <row r="85" spans="5:13" ht="15.95" customHeight="1" x14ac:dyDescent="0.2">
      <c r="E85" s="452"/>
      <c r="G85" s="451"/>
      <c r="M85" s="453"/>
    </row>
    <row r="86" spans="5:13" ht="15.95" customHeight="1" x14ac:dyDescent="0.2">
      <c r="E86" s="452"/>
      <c r="G86" s="451"/>
      <c r="M86" s="453"/>
    </row>
    <row r="87" spans="5:13" ht="15.95" customHeight="1" x14ac:dyDescent="0.2">
      <c r="E87" s="452"/>
      <c r="G87" s="451"/>
      <c r="M87" s="453"/>
    </row>
    <row r="88" spans="5:13" ht="15.95" customHeight="1" x14ac:dyDescent="0.2">
      <c r="E88" s="452"/>
      <c r="G88" s="451"/>
      <c r="M88" s="453"/>
    </row>
    <row r="89" spans="5:13" ht="15.95" customHeight="1" x14ac:dyDescent="0.2">
      <c r="E89" s="452"/>
      <c r="G89" s="451"/>
      <c r="M89" s="453"/>
    </row>
    <row r="90" spans="5:13" ht="15.95" customHeight="1" x14ac:dyDescent="0.2">
      <c r="E90" s="452"/>
      <c r="G90" s="451"/>
      <c r="M90" s="453"/>
    </row>
    <row r="91" spans="5:13" ht="15.95" customHeight="1" x14ac:dyDescent="0.2">
      <c r="E91" s="452"/>
      <c r="G91" s="451"/>
      <c r="M91" s="453"/>
    </row>
    <row r="92" spans="5:13" ht="15.95" customHeight="1" x14ac:dyDescent="0.2">
      <c r="E92" s="452"/>
      <c r="G92" s="451"/>
      <c r="M92" s="453"/>
    </row>
    <row r="93" spans="5:13" ht="15.95" customHeight="1" x14ac:dyDescent="0.2">
      <c r="E93" s="452"/>
      <c r="G93" s="451"/>
      <c r="M93" s="453"/>
    </row>
    <row r="94" spans="5:13" ht="15.95" customHeight="1" x14ac:dyDescent="0.2">
      <c r="E94" s="452"/>
      <c r="G94" s="451"/>
      <c r="M94" s="453"/>
    </row>
    <row r="95" spans="5:13" ht="15.95" customHeight="1" x14ac:dyDescent="0.2">
      <c r="E95" s="452"/>
      <c r="G95" s="451"/>
      <c r="M95" s="453"/>
    </row>
    <row r="96" spans="5:13" ht="15.95" customHeight="1" x14ac:dyDescent="0.2">
      <c r="E96" s="452"/>
      <c r="G96" s="451"/>
      <c r="M96" s="453"/>
    </row>
    <row r="97" spans="5:13" ht="15.95" customHeight="1" x14ac:dyDescent="0.2">
      <c r="E97" s="452"/>
      <c r="G97" s="451"/>
      <c r="M97" s="453"/>
    </row>
    <row r="98" spans="5:13" ht="15.95" customHeight="1" x14ac:dyDescent="0.2">
      <c r="E98" s="452"/>
      <c r="G98" s="451"/>
      <c r="M98" s="453"/>
    </row>
    <row r="99" spans="5:13" ht="15.95" customHeight="1" x14ac:dyDescent="0.2">
      <c r="E99" s="452"/>
      <c r="G99" s="451"/>
      <c r="M99" s="453"/>
    </row>
    <row r="100" spans="5:13" ht="15.95" customHeight="1" x14ac:dyDescent="0.2">
      <c r="E100" s="452"/>
      <c r="G100" s="451"/>
      <c r="M100" s="453"/>
    </row>
    <row r="101" spans="5:13" ht="15.95" customHeight="1" x14ac:dyDescent="0.2">
      <c r="E101" s="452"/>
      <c r="G101" s="451"/>
      <c r="M101" s="453"/>
    </row>
    <row r="102" spans="5:13" ht="15.95" customHeight="1" x14ac:dyDescent="0.2">
      <c r="E102" s="452"/>
      <c r="G102" s="451"/>
      <c r="M102" s="453"/>
    </row>
    <row r="103" spans="5:13" ht="15.95" customHeight="1" x14ac:dyDescent="0.2">
      <c r="E103" s="452"/>
      <c r="G103" s="451"/>
      <c r="M103" s="453"/>
    </row>
    <row r="104" spans="5:13" ht="15.95" customHeight="1" x14ac:dyDescent="0.2">
      <c r="E104" s="452"/>
      <c r="G104" s="451"/>
      <c r="M104" s="453"/>
    </row>
    <row r="105" spans="5:13" ht="15.95" customHeight="1" x14ac:dyDescent="0.2">
      <c r="E105" s="452"/>
      <c r="G105" s="451"/>
      <c r="M105" s="453"/>
    </row>
    <row r="106" spans="5:13" ht="15.95" customHeight="1" x14ac:dyDescent="0.2">
      <c r="E106" s="452"/>
      <c r="G106" s="451"/>
      <c r="M106" s="453"/>
    </row>
    <row r="107" spans="5:13" ht="15.95" customHeight="1" x14ac:dyDescent="0.2">
      <c r="E107" s="452"/>
      <c r="G107" s="451"/>
      <c r="M107" s="453"/>
    </row>
    <row r="108" spans="5:13" ht="15.95" customHeight="1" x14ac:dyDescent="0.2">
      <c r="E108" s="452"/>
      <c r="G108" s="451"/>
      <c r="M108" s="453"/>
    </row>
    <row r="109" spans="5:13" ht="15.95" customHeight="1" x14ac:dyDescent="0.2">
      <c r="E109" s="452"/>
      <c r="G109" s="451"/>
      <c r="M109" s="453"/>
    </row>
    <row r="110" spans="5:13" ht="15.95" customHeight="1" x14ac:dyDescent="0.2">
      <c r="E110" s="452"/>
      <c r="G110" s="451"/>
      <c r="M110" s="453"/>
    </row>
    <row r="111" spans="5:13" ht="15.95" customHeight="1" x14ac:dyDescent="0.2">
      <c r="E111" s="452"/>
      <c r="G111" s="451"/>
      <c r="M111" s="453"/>
    </row>
    <row r="112" spans="5:13" ht="15.95" customHeight="1" x14ac:dyDescent="0.2"/>
    <row r="113" ht="15.95" customHeight="1" x14ac:dyDescent="0.2"/>
    <row r="114" ht="15.95" customHeight="1" x14ac:dyDescent="0.2"/>
    <row r="115" ht="15.95" customHeight="1" x14ac:dyDescent="0.2"/>
    <row r="116" ht="15.95" customHeight="1" x14ac:dyDescent="0.2"/>
    <row r="117" ht="15.95" customHeight="1" x14ac:dyDescent="0.2"/>
    <row r="118" ht="15.95" customHeight="1" x14ac:dyDescent="0.2"/>
    <row r="119" ht="15.95" customHeight="1" x14ac:dyDescent="0.2"/>
    <row r="120" ht="15.95" customHeight="1" x14ac:dyDescent="0.2"/>
    <row r="121" ht="15.95" customHeight="1" x14ac:dyDescent="0.2"/>
    <row r="122" ht="15.95" customHeight="1" x14ac:dyDescent="0.2"/>
    <row r="123" ht="15.95" customHeight="1" x14ac:dyDescent="0.2"/>
    <row r="124" ht="15.95" customHeight="1" x14ac:dyDescent="0.2"/>
    <row r="125" ht="15.95" customHeight="1" x14ac:dyDescent="0.2"/>
    <row r="126" ht="15.95" customHeight="1" x14ac:dyDescent="0.2"/>
    <row r="127" ht="15.95" customHeight="1" x14ac:dyDescent="0.2"/>
    <row r="128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  <row r="693" ht="15.95" customHeight="1" x14ac:dyDescent="0.2"/>
    <row r="694" ht="15.95" customHeight="1" x14ac:dyDescent="0.2"/>
    <row r="695" ht="15.95" customHeight="1" x14ac:dyDescent="0.2"/>
    <row r="696" ht="15.95" customHeight="1" x14ac:dyDescent="0.2"/>
    <row r="697" ht="15.95" customHeight="1" x14ac:dyDescent="0.2"/>
    <row r="698" ht="15.95" customHeight="1" x14ac:dyDescent="0.2"/>
    <row r="699" ht="15.95" customHeight="1" x14ac:dyDescent="0.2"/>
    <row r="700" ht="15.95" customHeight="1" x14ac:dyDescent="0.2"/>
  </sheetData>
  <dataConsolidate/>
  <mergeCells count="15">
    <mergeCell ref="J7:J8"/>
    <mergeCell ref="K7:K8"/>
    <mergeCell ref="L7:L8"/>
    <mergeCell ref="M7:M9"/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I7:I8"/>
  </mergeCells>
  <conditionalFormatting sqref="E41 E33 E27:E28 E24:F26 E30:F32 E38:F40">
    <cfRule type="expression" dxfId="32" priority="1" stopIfTrue="1">
      <formula>#REF!="B"</formula>
    </cfRule>
  </conditionalFormatting>
  <conditionalFormatting sqref="E35:E36 E19 E21:E22 E11:E12 E14:F18">
    <cfRule type="expression" dxfId="31" priority="2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  <pageSetUpPr fitToPage="1"/>
  </sheetPr>
  <dimension ref="B1:U624"/>
  <sheetViews>
    <sheetView topLeftCell="B1" zoomScale="85" zoomScaleNormal="85" zoomScaleSheetLayoutView="85" workbookViewId="0">
      <pane ySplit="10" topLeftCell="A104" activePane="bottomLeft" state="frozen"/>
      <selection activeCell="C2" sqref="C2:U36"/>
      <selection pane="bottomLeft" activeCell="D15" sqref="D15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451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379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529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40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0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38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1"/>
      <c r="G8" s="611"/>
      <c r="H8" s="611"/>
      <c r="I8" s="611"/>
      <c r="J8" s="611"/>
      <c r="K8" s="611"/>
      <c r="L8" s="611"/>
      <c r="M8" s="639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416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40"/>
      <c r="O9" s="417"/>
    </row>
    <row r="10" spans="2:21" ht="15.95" customHeight="1" thickTop="1" x14ac:dyDescent="0.2">
      <c r="B10" s="418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20"/>
    </row>
    <row r="11" spans="2:21" ht="15.95" customHeight="1" x14ac:dyDescent="0.2">
      <c r="B11" s="463"/>
      <c r="C11" s="470" t="s">
        <v>548</v>
      </c>
      <c r="D11" s="464"/>
      <c r="E11" s="465"/>
      <c r="F11" s="466"/>
      <c r="G11" s="467"/>
      <c r="H11" s="468"/>
      <c r="I11" s="468"/>
      <c r="J11" s="468"/>
      <c r="K11" s="468"/>
      <c r="L11" s="468"/>
      <c r="M11" s="469"/>
    </row>
    <row r="12" spans="2:21" ht="15.95" customHeight="1" x14ac:dyDescent="0.2">
      <c r="B12" s="243"/>
      <c r="C12" s="244"/>
      <c r="D12" s="245"/>
      <c r="E12" s="246"/>
      <c r="F12" s="279"/>
      <c r="G12" s="280"/>
      <c r="H12" s="281"/>
      <c r="I12" s="281"/>
      <c r="J12" s="281"/>
      <c r="K12" s="281"/>
      <c r="L12" s="281"/>
      <c r="M12" s="282"/>
    </row>
    <row r="13" spans="2:21" ht="15.95" customHeight="1" x14ac:dyDescent="0.2">
      <c r="B13" s="82"/>
      <c r="C13" s="242" t="s">
        <v>460</v>
      </c>
      <c r="D13" s="227"/>
      <c r="E13" s="228"/>
      <c r="F13" s="242"/>
      <c r="G13" s="227"/>
      <c r="H13" s="227"/>
      <c r="I13" s="227"/>
      <c r="J13" s="227"/>
      <c r="K13" s="227"/>
      <c r="L13" s="227"/>
      <c r="M13" s="274"/>
    </row>
    <row r="14" spans="2:21" ht="15.95" customHeight="1" x14ac:dyDescent="0.2">
      <c r="B14" s="58" t="s">
        <v>321</v>
      </c>
      <c r="C14" s="56" t="s">
        <v>429</v>
      </c>
      <c r="D14" s="316">
        <v>0</v>
      </c>
      <c r="E14" s="309">
        <v>1.73</v>
      </c>
      <c r="F14" s="271">
        <f>8.1*7.2*4.5*$Q$3</f>
        <v>249.31799999999998</v>
      </c>
      <c r="G14" s="24">
        <f>+E14*F14*D14</f>
        <v>0</v>
      </c>
      <c r="H14" s="16">
        <v>-26.55</v>
      </c>
      <c r="I14" s="16">
        <v>28.2</v>
      </c>
      <c r="J14" s="16">
        <v>3.3</v>
      </c>
      <c r="K14" s="16">
        <v>4</v>
      </c>
      <c r="L14" s="16">
        <v>5</v>
      </c>
      <c r="M14" s="312"/>
    </row>
    <row r="15" spans="2:21" ht="15.95" customHeight="1" x14ac:dyDescent="0.2">
      <c r="B15" s="59" t="s">
        <v>322</v>
      </c>
      <c r="C15" s="56" t="s">
        <v>429</v>
      </c>
      <c r="D15" s="317">
        <v>0</v>
      </c>
      <c r="E15" s="310">
        <v>1.73</v>
      </c>
      <c r="F15" s="271">
        <f>8.1*5.4*4.5*$Q$3</f>
        <v>186.98850000000002</v>
      </c>
      <c r="G15" s="24">
        <f>+E15*F15*D15</f>
        <v>0</v>
      </c>
      <c r="H15" s="9">
        <v>-26.55</v>
      </c>
      <c r="I15" s="9">
        <v>36.6</v>
      </c>
      <c r="J15" s="9">
        <v>3.3</v>
      </c>
      <c r="K15" s="9">
        <v>4</v>
      </c>
      <c r="L15" s="9">
        <v>5</v>
      </c>
      <c r="M15" s="313"/>
    </row>
    <row r="16" spans="2:21" ht="15.95" customHeight="1" thickBot="1" x14ac:dyDescent="0.25">
      <c r="B16" s="255"/>
      <c r="C16" s="252"/>
      <c r="D16" s="316"/>
      <c r="E16" s="256"/>
      <c r="F16" s="272"/>
      <c r="G16" s="253"/>
      <c r="H16" s="250"/>
      <c r="I16" s="250"/>
      <c r="J16" s="250"/>
      <c r="K16" s="250"/>
      <c r="L16" s="250"/>
      <c r="M16" s="276"/>
    </row>
    <row r="17" spans="2:21" ht="15.95" customHeight="1" thickTop="1" x14ac:dyDescent="0.2">
      <c r="B17" s="318"/>
      <c r="C17" s="319"/>
      <c r="D17" s="320"/>
      <c r="E17" s="321"/>
      <c r="F17" s="322" t="s">
        <v>33</v>
      </c>
      <c r="G17" s="323">
        <f>SUBTOTAL(9,G14:G16)</f>
        <v>0</v>
      </c>
      <c r="H17" s="324">
        <f>IF($G17=0,0,SUMPRODUCT($G14:$G16,H14:H16)/$G17)</f>
        <v>0</v>
      </c>
      <c r="I17" s="324">
        <f>IF($G17=0,0,SUMPRODUCT($G14:$G16,I14:I16)/$G17)</f>
        <v>0</v>
      </c>
      <c r="J17" s="324">
        <f>IF($G17=0,0,SUMPRODUCT($G14:$G16,J14:J16)/$G17)</f>
        <v>0</v>
      </c>
      <c r="K17" s="324">
        <f>SUBTOTAL(9,K14:K16)</f>
        <v>8</v>
      </c>
      <c r="L17" s="324">
        <f>SUBTOTAL(9,L14:L16)</f>
        <v>10</v>
      </c>
      <c r="M17" s="444"/>
      <c r="O17" s="445" t="s">
        <v>551</v>
      </c>
      <c r="P17" s="446">
        <f t="shared" ref="P17:U17" si="0">G17</f>
        <v>0</v>
      </c>
      <c r="Q17" s="446">
        <f t="shared" si="0"/>
        <v>0</v>
      </c>
      <c r="R17" s="446">
        <f t="shared" si="0"/>
        <v>0</v>
      </c>
      <c r="S17" s="446">
        <f t="shared" si="0"/>
        <v>0</v>
      </c>
      <c r="T17" s="446">
        <f t="shared" si="0"/>
        <v>8</v>
      </c>
      <c r="U17" s="447">
        <f t="shared" si="0"/>
        <v>10</v>
      </c>
    </row>
    <row r="18" spans="2:21" ht="15.95" customHeight="1" x14ac:dyDescent="0.2">
      <c r="B18" s="243"/>
      <c r="C18" s="244"/>
      <c r="D18" s="245"/>
      <c r="E18" s="246"/>
      <c r="F18" s="257"/>
      <c r="G18" s="247"/>
      <c r="H18" s="248"/>
      <c r="I18" s="248"/>
      <c r="J18" s="248"/>
      <c r="K18" s="248"/>
      <c r="L18" s="248"/>
      <c r="M18" s="282"/>
    </row>
    <row r="19" spans="2:21" ht="15.95" customHeight="1" x14ac:dyDescent="0.2">
      <c r="B19" s="82"/>
      <c r="C19" s="242" t="s">
        <v>462</v>
      </c>
      <c r="D19" s="227"/>
      <c r="E19" s="228"/>
      <c r="F19" s="242"/>
      <c r="G19" s="227"/>
      <c r="H19" s="227"/>
      <c r="I19" s="227"/>
      <c r="J19" s="227"/>
      <c r="K19" s="227"/>
      <c r="L19" s="227"/>
      <c r="M19" s="274"/>
    </row>
    <row r="20" spans="2:21" ht="15.95" customHeight="1" x14ac:dyDescent="0.2">
      <c r="B20" s="314" t="s">
        <v>430</v>
      </c>
      <c r="C20" s="56" t="s">
        <v>431</v>
      </c>
      <c r="D20" s="316">
        <v>0.8</v>
      </c>
      <c r="E20" s="310">
        <v>1.73</v>
      </c>
      <c r="F20" s="311">
        <v>61</v>
      </c>
      <c r="G20" s="24">
        <f>+E20*F20*D20</f>
        <v>84.424000000000007</v>
      </c>
      <c r="H20" s="9">
        <v>-26.5</v>
      </c>
      <c r="I20" s="9">
        <v>37.15</v>
      </c>
      <c r="J20" s="9">
        <v>10.5</v>
      </c>
      <c r="K20" s="9">
        <v>1000</v>
      </c>
      <c r="L20" s="9">
        <v>1000</v>
      </c>
      <c r="M20" s="313"/>
    </row>
    <row r="21" spans="2:21" ht="15.95" customHeight="1" x14ac:dyDescent="0.2">
      <c r="B21" s="314" t="s">
        <v>432</v>
      </c>
      <c r="C21" s="56" t="s">
        <v>433</v>
      </c>
      <c r="D21" s="316">
        <v>0.8</v>
      </c>
      <c r="E21" s="310">
        <v>1.73</v>
      </c>
      <c r="F21" s="311">
        <v>61</v>
      </c>
      <c r="G21" s="24">
        <f>+E21*F21*D21</f>
        <v>84.424000000000007</v>
      </c>
      <c r="H21" s="9">
        <v>-26.5</v>
      </c>
      <c r="I21" s="9">
        <v>33</v>
      </c>
      <c r="J21" s="9">
        <v>10.5</v>
      </c>
      <c r="K21" s="9">
        <v>1000</v>
      </c>
      <c r="L21" s="9">
        <v>1000</v>
      </c>
      <c r="M21" s="313"/>
    </row>
    <row r="22" spans="2:21" ht="15.95" customHeight="1" x14ac:dyDescent="0.2">
      <c r="B22" s="314" t="s">
        <v>434</v>
      </c>
      <c r="C22" s="56" t="s">
        <v>435</v>
      </c>
      <c r="D22" s="317">
        <v>0.8</v>
      </c>
      <c r="E22" s="309">
        <v>1.73</v>
      </c>
      <c r="F22" s="311">
        <v>61</v>
      </c>
      <c r="G22" s="24">
        <f>+E22*F22*D22</f>
        <v>84.424000000000007</v>
      </c>
      <c r="H22" s="16">
        <v>-26.5</v>
      </c>
      <c r="I22" s="16">
        <v>29.2</v>
      </c>
      <c r="J22" s="16">
        <v>10.5</v>
      </c>
      <c r="K22" s="16">
        <v>1000</v>
      </c>
      <c r="L22" s="16">
        <v>1000</v>
      </c>
      <c r="M22" s="313"/>
    </row>
    <row r="23" spans="2:21" ht="15.95" customHeight="1" thickBot="1" x14ac:dyDescent="0.25">
      <c r="B23" s="255"/>
      <c r="C23" s="252"/>
      <c r="D23" s="316"/>
      <c r="E23" s="256"/>
      <c r="F23" s="272"/>
      <c r="G23" s="253"/>
      <c r="H23" s="250"/>
      <c r="I23" s="250"/>
      <c r="J23" s="250"/>
      <c r="K23" s="250"/>
      <c r="L23" s="250"/>
      <c r="M23" s="276"/>
    </row>
    <row r="24" spans="2:21" ht="15.95" customHeight="1" thickTop="1" x14ac:dyDescent="0.2">
      <c r="B24" s="318"/>
      <c r="C24" s="319"/>
      <c r="D24" s="320"/>
      <c r="E24" s="321"/>
      <c r="F24" s="322" t="s">
        <v>33</v>
      </c>
      <c r="G24" s="323">
        <f>SUBTOTAL(9,G20:G23)</f>
        <v>253.27200000000002</v>
      </c>
      <c r="H24" s="324">
        <f>IF($G24=0,0,SUMPRODUCT($G20:$G23,H20:H23)/$G24)</f>
        <v>-26.5</v>
      </c>
      <c r="I24" s="324">
        <f>IF($G24=0,0,SUMPRODUCT($G20:$G23,I20:I23)/$G24)</f>
        <v>33.116666666666667</v>
      </c>
      <c r="J24" s="324">
        <f>IF($G24=0,0,SUMPRODUCT($G20:$G23,J20:J23)/$G24)</f>
        <v>10.5</v>
      </c>
      <c r="K24" s="324">
        <f>SUBTOTAL(9,K20:K23)</f>
        <v>3000</v>
      </c>
      <c r="L24" s="324">
        <f>SUBTOTAL(9,L20:L23)</f>
        <v>3000</v>
      </c>
      <c r="M24" s="444"/>
      <c r="O24" s="445" t="s">
        <v>552</v>
      </c>
      <c r="P24" s="446">
        <f t="shared" ref="P24:U24" si="1">G24</f>
        <v>253.27200000000002</v>
      </c>
      <c r="Q24" s="446">
        <f t="shared" si="1"/>
        <v>-26.5</v>
      </c>
      <c r="R24" s="446">
        <f t="shared" si="1"/>
        <v>33.116666666666667</v>
      </c>
      <c r="S24" s="446">
        <f t="shared" si="1"/>
        <v>10.5</v>
      </c>
      <c r="T24" s="446">
        <f t="shared" si="1"/>
        <v>3000</v>
      </c>
      <c r="U24" s="447">
        <f t="shared" si="1"/>
        <v>3000</v>
      </c>
    </row>
    <row r="25" spans="2:21" ht="15.95" customHeight="1" x14ac:dyDescent="0.2">
      <c r="B25" s="456"/>
      <c r="C25" s="448"/>
      <c r="D25" s="471"/>
      <c r="E25" s="449"/>
      <c r="F25" s="472"/>
      <c r="G25" s="473"/>
      <c r="H25" s="474"/>
      <c r="I25" s="474"/>
      <c r="J25" s="474"/>
      <c r="K25" s="474"/>
      <c r="L25" s="474"/>
      <c r="M25" s="460"/>
    </row>
    <row r="26" spans="2:21" ht="15.95" customHeight="1" x14ac:dyDescent="0.2">
      <c r="B26" s="463"/>
      <c r="C26" s="470" t="s">
        <v>549</v>
      </c>
      <c r="D26" s="464"/>
      <c r="E26" s="465"/>
      <c r="F26" s="466"/>
      <c r="G26" s="467"/>
      <c r="H26" s="468"/>
      <c r="I26" s="468"/>
      <c r="J26" s="468"/>
      <c r="K26" s="468"/>
      <c r="L26" s="468"/>
      <c r="M26" s="469"/>
    </row>
    <row r="27" spans="2:21" ht="15.95" customHeight="1" x14ac:dyDescent="0.2">
      <c r="B27" s="243"/>
      <c r="C27" s="244"/>
      <c r="D27" s="245"/>
      <c r="E27" s="246"/>
      <c r="F27" s="279"/>
      <c r="G27" s="280"/>
      <c r="H27" s="281"/>
      <c r="I27" s="281"/>
      <c r="J27" s="281"/>
      <c r="K27" s="281"/>
      <c r="L27" s="281"/>
      <c r="M27" s="282"/>
    </row>
    <row r="28" spans="2:21" ht="15.95" customHeight="1" x14ac:dyDescent="0.2">
      <c r="B28" s="82"/>
      <c r="C28" s="242" t="s">
        <v>460</v>
      </c>
      <c r="D28" s="227"/>
      <c r="E28" s="228"/>
      <c r="F28" s="242"/>
      <c r="G28" s="227"/>
      <c r="H28" s="227"/>
      <c r="I28" s="227"/>
      <c r="J28" s="227"/>
      <c r="K28" s="227"/>
      <c r="L28" s="227"/>
      <c r="M28" s="274"/>
    </row>
    <row r="29" spans="2:21" ht="15.95" customHeight="1" x14ac:dyDescent="0.2">
      <c r="B29" s="58" t="s">
        <v>436</v>
      </c>
      <c r="C29" s="56" t="s">
        <v>437</v>
      </c>
      <c r="D29" s="316">
        <v>0.8</v>
      </c>
      <c r="E29" s="309">
        <v>1.73</v>
      </c>
      <c r="F29" s="271">
        <f>8.1*5.4*4.5*$Q$3</f>
        <v>186.98850000000002</v>
      </c>
      <c r="G29" s="24">
        <f>+E29*F29*D29</f>
        <v>258.79208400000005</v>
      </c>
      <c r="H29" s="16">
        <v>-26.55</v>
      </c>
      <c r="I29" s="16">
        <v>-28.2</v>
      </c>
      <c r="J29" s="16">
        <v>3.3</v>
      </c>
      <c r="K29" s="16">
        <v>4</v>
      </c>
      <c r="L29" s="16">
        <v>5</v>
      </c>
      <c r="M29" s="273"/>
    </row>
    <row r="30" spans="2:21" ht="15.95" customHeight="1" x14ac:dyDescent="0.2">
      <c r="B30" s="59" t="s">
        <v>438</v>
      </c>
      <c r="C30" s="56" t="s">
        <v>437</v>
      </c>
      <c r="D30" s="317">
        <v>0.8</v>
      </c>
      <c r="E30" s="310">
        <v>1.73</v>
      </c>
      <c r="F30" s="271">
        <f>8.1*7.2*4.5*$Q$3</f>
        <v>249.31799999999998</v>
      </c>
      <c r="G30" s="24">
        <f>+E30*F30*D30</f>
        <v>345.05611199999998</v>
      </c>
      <c r="H30" s="9">
        <v>-26.55</v>
      </c>
      <c r="I30" s="9">
        <v>-36.6</v>
      </c>
      <c r="J30" s="9">
        <v>3.3</v>
      </c>
      <c r="K30" s="9">
        <v>4</v>
      </c>
      <c r="L30" s="9">
        <v>5</v>
      </c>
      <c r="M30" s="273"/>
    </row>
    <row r="31" spans="2:21" ht="15.95" customHeight="1" thickBot="1" x14ac:dyDescent="0.25">
      <c r="B31" s="255"/>
      <c r="C31" s="252"/>
      <c r="D31" s="316"/>
      <c r="E31" s="256"/>
      <c r="F31" s="272"/>
      <c r="G31" s="253"/>
      <c r="H31" s="250"/>
      <c r="I31" s="250"/>
      <c r="J31" s="250"/>
      <c r="K31" s="250"/>
      <c r="L31" s="250"/>
      <c r="M31" s="276"/>
    </row>
    <row r="32" spans="2:21" ht="15.95" customHeight="1" thickTop="1" x14ac:dyDescent="0.2">
      <c r="B32" s="318"/>
      <c r="C32" s="319"/>
      <c r="D32" s="320"/>
      <c r="E32" s="321"/>
      <c r="F32" s="322" t="s">
        <v>33</v>
      </c>
      <c r="G32" s="323">
        <f>SUBTOTAL(9,G29:G31)</f>
        <v>603.84819600000003</v>
      </c>
      <c r="H32" s="324">
        <f>IF($G32=0,0,SUMPRODUCT($G29:$G31,H29:H31)/$G32)</f>
        <v>-26.55</v>
      </c>
      <c r="I32" s="324">
        <f>IF($G32=0,0,SUMPRODUCT($G29:$G31,I29:I31)/$G32)</f>
        <v>-33</v>
      </c>
      <c r="J32" s="324">
        <f>IF($G32=0,0,SUMPRODUCT($G29:$G31,J29:J31)/$G32)</f>
        <v>3.3</v>
      </c>
      <c r="K32" s="324">
        <f>SUBTOTAL(9,K29:K31)</f>
        <v>8</v>
      </c>
      <c r="L32" s="324">
        <f>SUBTOTAL(9,L29:L31)</f>
        <v>10</v>
      </c>
      <c r="M32" s="444"/>
      <c r="O32" s="445" t="s">
        <v>553</v>
      </c>
      <c r="P32" s="446">
        <f t="shared" ref="P32:U32" si="2">G32</f>
        <v>603.84819600000003</v>
      </c>
      <c r="Q32" s="446">
        <f t="shared" si="2"/>
        <v>-26.55</v>
      </c>
      <c r="R32" s="446">
        <f t="shared" si="2"/>
        <v>-33</v>
      </c>
      <c r="S32" s="446">
        <f t="shared" si="2"/>
        <v>3.3</v>
      </c>
      <c r="T32" s="446">
        <f t="shared" si="2"/>
        <v>8</v>
      </c>
      <c r="U32" s="447">
        <f t="shared" si="2"/>
        <v>10</v>
      </c>
    </row>
    <row r="33" spans="2:21" ht="15.95" customHeight="1" x14ac:dyDescent="0.2">
      <c r="B33" s="243"/>
      <c r="C33" s="244"/>
      <c r="D33" s="245"/>
      <c r="E33" s="246"/>
      <c r="F33" s="257"/>
      <c r="G33" s="247"/>
      <c r="H33" s="248"/>
      <c r="I33" s="248"/>
      <c r="J33" s="248"/>
      <c r="K33" s="248"/>
      <c r="L33" s="248"/>
      <c r="M33" s="282"/>
    </row>
    <row r="34" spans="2:21" ht="15.95" customHeight="1" x14ac:dyDescent="0.2">
      <c r="B34" s="82"/>
      <c r="C34" s="242" t="s">
        <v>462</v>
      </c>
      <c r="D34" s="227"/>
      <c r="E34" s="228"/>
      <c r="F34" s="242"/>
      <c r="G34" s="227"/>
      <c r="H34" s="227"/>
      <c r="I34" s="227"/>
      <c r="J34" s="227"/>
      <c r="K34" s="227"/>
      <c r="L34" s="227"/>
      <c r="M34" s="274"/>
    </row>
    <row r="35" spans="2:21" ht="15.95" customHeight="1" x14ac:dyDescent="0.2">
      <c r="B35" s="58" t="s">
        <v>439</v>
      </c>
      <c r="C35" s="56" t="s">
        <v>440</v>
      </c>
      <c r="D35" s="316">
        <v>0.9</v>
      </c>
      <c r="E35" s="309">
        <v>1.506</v>
      </c>
      <c r="F35" s="271">
        <v>61</v>
      </c>
      <c r="G35" s="24">
        <f>+E35*F35*D35</f>
        <v>82.679400000000001</v>
      </c>
      <c r="H35" s="9">
        <v>-26.5</v>
      </c>
      <c r="I35" s="9">
        <v>-37.15</v>
      </c>
      <c r="J35" s="16">
        <v>10.5</v>
      </c>
      <c r="K35" s="16">
        <v>4</v>
      </c>
      <c r="L35" s="16">
        <v>5</v>
      </c>
      <c r="M35" s="273"/>
    </row>
    <row r="36" spans="2:21" ht="15.95" customHeight="1" x14ac:dyDescent="0.2">
      <c r="B36" s="58" t="s">
        <v>441</v>
      </c>
      <c r="C36" s="56" t="s">
        <v>442</v>
      </c>
      <c r="D36" s="316">
        <v>0.9</v>
      </c>
      <c r="E36" s="310">
        <v>1.51</v>
      </c>
      <c r="F36" s="271">
        <v>61</v>
      </c>
      <c r="G36" s="24">
        <f>+E36*F36*D36</f>
        <v>82.899000000000001</v>
      </c>
      <c r="H36" s="9">
        <v>-26.5</v>
      </c>
      <c r="I36" s="9">
        <v>-33</v>
      </c>
      <c r="J36" s="9">
        <v>10.5</v>
      </c>
      <c r="K36" s="9">
        <v>4</v>
      </c>
      <c r="L36" s="9">
        <v>5</v>
      </c>
      <c r="M36" s="275"/>
    </row>
    <row r="37" spans="2:21" ht="15.95" customHeight="1" x14ac:dyDescent="0.2">
      <c r="B37" s="58" t="s">
        <v>443</v>
      </c>
      <c r="C37" s="56" t="s">
        <v>444</v>
      </c>
      <c r="D37" s="317">
        <v>0.9</v>
      </c>
      <c r="E37" s="310">
        <v>1.51</v>
      </c>
      <c r="F37" s="271">
        <v>61</v>
      </c>
      <c r="G37" s="24">
        <f>+E37*F37*D37</f>
        <v>82.899000000000001</v>
      </c>
      <c r="H37" s="16">
        <v>-26.5</v>
      </c>
      <c r="I37" s="16">
        <v>-29.2</v>
      </c>
      <c r="J37" s="9">
        <v>10.5</v>
      </c>
      <c r="K37" s="9">
        <v>4</v>
      </c>
      <c r="L37" s="9">
        <v>5</v>
      </c>
      <c r="M37" s="276"/>
    </row>
    <row r="38" spans="2:21" ht="15.95" customHeight="1" thickBot="1" x14ac:dyDescent="0.25">
      <c r="B38" s="255"/>
      <c r="C38" s="252"/>
      <c r="D38" s="316"/>
      <c r="E38" s="256"/>
      <c r="F38" s="272"/>
      <c r="G38" s="253"/>
      <c r="H38" s="250"/>
      <c r="I38" s="250"/>
      <c r="J38" s="250"/>
      <c r="K38" s="250"/>
      <c r="L38" s="250"/>
      <c r="M38" s="276"/>
    </row>
    <row r="39" spans="2:21" ht="15.95" customHeight="1" thickTop="1" x14ac:dyDescent="0.2">
      <c r="B39" s="318"/>
      <c r="C39" s="319"/>
      <c r="D39" s="320"/>
      <c r="E39" s="321"/>
      <c r="F39" s="322" t="s">
        <v>33</v>
      </c>
      <c r="G39" s="323">
        <f>SUBTOTAL(9,G35:G38)</f>
        <v>248.47739999999999</v>
      </c>
      <c r="H39" s="324">
        <f>IF($G39=0,0,SUMPRODUCT($G35:$G38,H35:H38)/$G39)</f>
        <v>-26.500000000000004</v>
      </c>
      <c r="I39" s="324">
        <f>IF($G39=0,0,SUMPRODUCT($G35:$G38,I35:I38)/$G39)</f>
        <v>-33.113102076889085</v>
      </c>
      <c r="J39" s="324">
        <f>IF($G39=0,0,SUMPRODUCT($G35:$G38,J35:J38)/$G39)</f>
        <v>10.5</v>
      </c>
      <c r="K39" s="324">
        <f>SUBTOTAL(9,K35:K38)</f>
        <v>12</v>
      </c>
      <c r="L39" s="324">
        <f>SUBTOTAL(9,L35:L38)</f>
        <v>15</v>
      </c>
      <c r="M39" s="444"/>
      <c r="O39" s="445" t="s">
        <v>554</v>
      </c>
      <c r="P39" s="446">
        <f t="shared" ref="P39:U39" si="3">G39</f>
        <v>248.47739999999999</v>
      </c>
      <c r="Q39" s="446">
        <f t="shared" si="3"/>
        <v>-26.500000000000004</v>
      </c>
      <c r="R39" s="446">
        <f t="shared" si="3"/>
        <v>-33.113102076889085</v>
      </c>
      <c r="S39" s="446">
        <f t="shared" si="3"/>
        <v>10.5</v>
      </c>
      <c r="T39" s="446">
        <f t="shared" si="3"/>
        <v>12</v>
      </c>
      <c r="U39" s="447">
        <f t="shared" si="3"/>
        <v>15</v>
      </c>
    </row>
    <row r="40" spans="2:21" ht="15.95" customHeight="1" x14ac:dyDescent="0.2">
      <c r="B40" s="456"/>
      <c r="C40" s="448"/>
      <c r="D40" s="471"/>
      <c r="E40" s="449"/>
      <c r="F40" s="472"/>
      <c r="G40" s="473"/>
      <c r="H40" s="474"/>
      <c r="I40" s="474"/>
      <c r="J40" s="474"/>
      <c r="K40" s="474"/>
      <c r="L40" s="474"/>
      <c r="M40" s="460"/>
    </row>
    <row r="41" spans="2:21" ht="15.95" customHeight="1" x14ac:dyDescent="0.2">
      <c r="B41" s="463"/>
      <c r="C41" s="470" t="s">
        <v>550</v>
      </c>
      <c r="D41" s="464"/>
      <c r="E41" s="465"/>
      <c r="F41" s="466"/>
      <c r="G41" s="467"/>
      <c r="H41" s="468"/>
      <c r="I41" s="468"/>
      <c r="J41" s="468"/>
      <c r="K41" s="468"/>
      <c r="L41" s="468"/>
      <c r="M41" s="469"/>
    </row>
    <row r="42" spans="2:21" ht="15.95" customHeight="1" x14ac:dyDescent="0.2">
      <c r="B42" s="243"/>
      <c r="C42" s="244"/>
      <c r="D42" s="245"/>
      <c r="E42" s="246"/>
      <c r="F42" s="279"/>
      <c r="G42" s="280"/>
      <c r="H42" s="281"/>
      <c r="I42" s="281"/>
      <c r="J42" s="281"/>
      <c r="K42" s="281"/>
      <c r="L42" s="281"/>
      <c r="M42" s="282"/>
    </row>
    <row r="43" spans="2:21" ht="15.95" customHeight="1" x14ac:dyDescent="0.2">
      <c r="B43" s="82"/>
      <c r="C43" s="242" t="s">
        <v>460</v>
      </c>
      <c r="D43" s="227"/>
      <c r="E43" s="228"/>
      <c r="F43" s="242"/>
      <c r="G43" s="227"/>
      <c r="H43" s="227"/>
      <c r="I43" s="227"/>
      <c r="J43" s="227"/>
      <c r="K43" s="227"/>
      <c r="L43" s="227"/>
      <c r="M43" s="274"/>
    </row>
    <row r="44" spans="2:21" ht="15.95" customHeight="1" x14ac:dyDescent="0.2">
      <c r="B44" s="58" t="s">
        <v>319</v>
      </c>
      <c r="C44" s="56" t="s">
        <v>424</v>
      </c>
      <c r="D44" s="316">
        <v>0.8</v>
      </c>
      <c r="E44" s="218">
        <v>1.0249999999999999</v>
      </c>
      <c r="F44" s="271">
        <v>240</v>
      </c>
      <c r="G44" s="24">
        <f>+E44*F44*D44</f>
        <v>196.79999999999998</v>
      </c>
      <c r="H44" s="16">
        <v>43.35</v>
      </c>
      <c r="I44" s="16">
        <v>3.45</v>
      </c>
      <c r="J44" s="16">
        <v>3.5</v>
      </c>
      <c r="K44" s="271">
        <v>4</v>
      </c>
      <c r="L44" s="271">
        <v>5</v>
      </c>
      <c r="M44" s="275" t="s">
        <v>408</v>
      </c>
    </row>
    <row r="45" spans="2:21" ht="15.95" customHeight="1" x14ac:dyDescent="0.2">
      <c r="B45" s="59" t="s">
        <v>425</v>
      </c>
      <c r="C45" s="56" t="s">
        <v>424</v>
      </c>
      <c r="D45" s="317">
        <v>0.8</v>
      </c>
      <c r="E45" s="218">
        <v>1.0249999999999999</v>
      </c>
      <c r="F45" s="311">
        <v>240</v>
      </c>
      <c r="G45" s="24">
        <f>+E45*F45*D45</f>
        <v>196.79999999999998</v>
      </c>
      <c r="H45" s="9">
        <v>43.35</v>
      </c>
      <c r="I45" s="9">
        <v>-3.45</v>
      </c>
      <c r="J45" s="9">
        <v>3.5</v>
      </c>
      <c r="K45" s="311">
        <v>4</v>
      </c>
      <c r="L45" s="311">
        <v>5</v>
      </c>
      <c r="M45" s="276"/>
    </row>
    <row r="46" spans="2:21" ht="15.95" customHeight="1" thickBot="1" x14ac:dyDescent="0.25">
      <c r="B46" s="255"/>
      <c r="C46" s="252"/>
      <c r="D46" s="316"/>
      <c r="E46" s="256"/>
      <c r="F46" s="272"/>
      <c r="G46" s="253"/>
      <c r="H46" s="250"/>
      <c r="I46" s="250"/>
      <c r="J46" s="250"/>
      <c r="K46" s="250"/>
      <c r="L46" s="250"/>
      <c r="M46" s="276"/>
    </row>
    <row r="47" spans="2:21" ht="15.95" customHeight="1" thickTop="1" x14ac:dyDescent="0.2">
      <c r="B47" s="318"/>
      <c r="C47" s="319"/>
      <c r="D47" s="320"/>
      <c r="E47" s="321"/>
      <c r="F47" s="322" t="s">
        <v>33</v>
      </c>
      <c r="G47" s="323">
        <f>SUBTOTAL(9,G44:G46)</f>
        <v>393.59999999999997</v>
      </c>
      <c r="H47" s="324">
        <f>IF($G47=0,0,SUMPRODUCT($G44:$G46,H44:H46)/$G47)</f>
        <v>43.349999999999994</v>
      </c>
      <c r="I47" s="324">
        <f>IF($G47=0,0,SUMPRODUCT($G44:$G46,I44:I46)/$G47)</f>
        <v>0</v>
      </c>
      <c r="J47" s="324">
        <f>IF($G47=0,0,SUMPRODUCT($G44:$G46,J44:J46)/$G47)</f>
        <v>3.5</v>
      </c>
      <c r="K47" s="324">
        <f>SUBTOTAL(9,K44:K46)</f>
        <v>8</v>
      </c>
      <c r="L47" s="324">
        <f>SUBTOTAL(9,L44:L46)</f>
        <v>10</v>
      </c>
      <c r="M47" s="444"/>
      <c r="O47" s="445" t="s">
        <v>555</v>
      </c>
      <c r="P47" s="446">
        <f t="shared" ref="P47:U47" si="4">G47</f>
        <v>393.59999999999997</v>
      </c>
      <c r="Q47" s="446">
        <f t="shared" si="4"/>
        <v>43.349999999999994</v>
      </c>
      <c r="R47" s="446">
        <f t="shared" si="4"/>
        <v>0</v>
      </c>
      <c r="S47" s="446">
        <f t="shared" si="4"/>
        <v>3.5</v>
      </c>
      <c r="T47" s="446">
        <f t="shared" si="4"/>
        <v>8</v>
      </c>
      <c r="U47" s="447">
        <f t="shared" si="4"/>
        <v>10</v>
      </c>
    </row>
    <row r="48" spans="2:21" ht="15.95" customHeight="1" x14ac:dyDescent="0.2">
      <c r="B48" s="243"/>
      <c r="C48" s="244"/>
      <c r="D48" s="245"/>
      <c r="E48" s="246"/>
      <c r="F48" s="257"/>
      <c r="G48" s="247"/>
      <c r="H48" s="248"/>
      <c r="I48" s="248"/>
      <c r="J48" s="248"/>
      <c r="K48" s="248"/>
      <c r="L48" s="248"/>
      <c r="M48" s="282"/>
    </row>
    <row r="49" spans="2:21" ht="15.95" customHeight="1" x14ac:dyDescent="0.2">
      <c r="B49" s="82"/>
      <c r="C49" s="242" t="s">
        <v>461</v>
      </c>
      <c r="D49" s="227"/>
      <c r="E49" s="228"/>
      <c r="F49" s="242"/>
      <c r="G49" s="227"/>
      <c r="H49" s="227"/>
      <c r="I49" s="227"/>
      <c r="J49" s="227"/>
      <c r="K49" s="227"/>
      <c r="L49" s="227"/>
      <c r="M49" s="274"/>
    </row>
    <row r="50" spans="2:21" ht="15.95" customHeight="1" x14ac:dyDescent="0.2">
      <c r="B50" s="58" t="s">
        <v>426</v>
      </c>
      <c r="C50" s="56" t="s">
        <v>428</v>
      </c>
      <c r="D50" s="316">
        <v>0.8</v>
      </c>
      <c r="E50" s="218">
        <v>1</v>
      </c>
      <c r="F50" s="271">
        <v>144</v>
      </c>
      <c r="G50" s="24">
        <f>+E50*F50*D50</f>
        <v>115.2</v>
      </c>
      <c r="H50" s="16">
        <v>43.35</v>
      </c>
      <c r="I50" s="16">
        <v>3.45</v>
      </c>
      <c r="J50" s="16">
        <v>10.5</v>
      </c>
      <c r="K50" s="271">
        <v>4</v>
      </c>
      <c r="L50" s="271">
        <v>5</v>
      </c>
      <c r="M50" s="276"/>
    </row>
    <row r="51" spans="2:21" ht="15.95" customHeight="1" x14ac:dyDescent="0.2">
      <c r="B51" s="59" t="s">
        <v>427</v>
      </c>
      <c r="C51" s="56" t="s">
        <v>428</v>
      </c>
      <c r="D51" s="316">
        <v>0.8</v>
      </c>
      <c r="E51" s="218">
        <v>1</v>
      </c>
      <c r="F51" s="311">
        <v>144</v>
      </c>
      <c r="G51" s="24">
        <f>+E51*F51*D51</f>
        <v>115.2</v>
      </c>
      <c r="H51" s="9">
        <v>43.35</v>
      </c>
      <c r="I51" s="9">
        <v>-3.45</v>
      </c>
      <c r="J51" s="9">
        <v>10.5</v>
      </c>
      <c r="K51" s="311">
        <v>4</v>
      </c>
      <c r="L51" s="311">
        <v>5</v>
      </c>
      <c r="M51" s="276"/>
    </row>
    <row r="52" spans="2:21" ht="15.95" customHeight="1" thickBot="1" x14ac:dyDescent="0.25">
      <c r="B52" s="255"/>
      <c r="C52" s="252"/>
      <c r="D52" s="316"/>
      <c r="E52" s="256"/>
      <c r="F52" s="272"/>
      <c r="G52" s="253"/>
      <c r="H52" s="250"/>
      <c r="I52" s="250"/>
      <c r="J52" s="250"/>
      <c r="K52" s="250"/>
      <c r="L52" s="250"/>
      <c r="M52" s="276"/>
    </row>
    <row r="53" spans="2:21" ht="15.95" customHeight="1" thickTop="1" x14ac:dyDescent="0.2">
      <c r="B53" s="318"/>
      <c r="C53" s="319"/>
      <c r="D53" s="320"/>
      <c r="E53" s="321"/>
      <c r="F53" s="322" t="s">
        <v>33</v>
      </c>
      <c r="G53" s="323">
        <f>SUBTOTAL(9,G50:G52)</f>
        <v>230.4</v>
      </c>
      <c r="H53" s="324">
        <f>IF($G53=0,0,SUMPRODUCT($G50:$G52,H50:H52)/$G53)</f>
        <v>43.35</v>
      </c>
      <c r="I53" s="324">
        <f>IF($G53=0,0,SUMPRODUCT($G50:$G52,I50:I52)/$G53)</f>
        <v>0</v>
      </c>
      <c r="J53" s="324">
        <f>IF($G53=0,0,SUMPRODUCT($G50:$G52,J50:J52)/$G53)</f>
        <v>10.500000000000002</v>
      </c>
      <c r="K53" s="324">
        <f>SUBTOTAL(9,K50:K52)</f>
        <v>8</v>
      </c>
      <c r="L53" s="324">
        <f>SUBTOTAL(9,L50:L52)</f>
        <v>10</v>
      </c>
      <c r="M53" s="444"/>
      <c r="O53" s="445" t="s">
        <v>556</v>
      </c>
      <c r="P53" s="446">
        <f t="shared" ref="P53:U53" si="5">G53</f>
        <v>230.4</v>
      </c>
      <c r="Q53" s="446">
        <f t="shared" si="5"/>
        <v>43.35</v>
      </c>
      <c r="R53" s="446">
        <f t="shared" si="5"/>
        <v>0</v>
      </c>
      <c r="S53" s="446">
        <f t="shared" si="5"/>
        <v>10.500000000000002</v>
      </c>
      <c r="T53" s="446">
        <f t="shared" si="5"/>
        <v>8</v>
      </c>
      <c r="U53" s="447">
        <f t="shared" si="5"/>
        <v>10</v>
      </c>
    </row>
    <row r="54" spans="2:21" ht="15.95" customHeight="1" x14ac:dyDescent="0.2">
      <c r="B54" s="456"/>
      <c r="C54" s="448"/>
      <c r="D54" s="471"/>
      <c r="E54" s="449"/>
      <c r="F54" s="472"/>
      <c r="G54" s="473"/>
      <c r="H54" s="474"/>
      <c r="I54" s="474"/>
      <c r="J54" s="474"/>
      <c r="K54" s="474"/>
      <c r="L54" s="474"/>
      <c r="M54" s="460"/>
    </row>
    <row r="55" spans="2:21" ht="15.95" customHeight="1" x14ac:dyDescent="0.2">
      <c r="B55" s="463"/>
      <c r="C55" s="470" t="s">
        <v>530</v>
      </c>
      <c r="D55" s="464"/>
      <c r="E55" s="465"/>
      <c r="F55" s="466"/>
      <c r="G55" s="467"/>
      <c r="H55" s="468"/>
      <c r="I55" s="468"/>
      <c r="J55" s="468"/>
      <c r="K55" s="468"/>
      <c r="L55" s="468"/>
      <c r="M55" s="469"/>
    </row>
    <row r="56" spans="2:21" ht="15.95" customHeight="1" x14ac:dyDescent="0.2">
      <c r="B56" s="243"/>
      <c r="C56" s="244"/>
      <c r="D56" s="245"/>
      <c r="E56" s="246"/>
      <c r="F56" s="279"/>
      <c r="G56" s="280"/>
      <c r="H56" s="281"/>
      <c r="I56" s="281"/>
      <c r="J56" s="281"/>
      <c r="K56" s="281"/>
      <c r="L56" s="281"/>
      <c r="M56" s="282"/>
    </row>
    <row r="57" spans="2:21" ht="15.95" customHeight="1" x14ac:dyDescent="0.2">
      <c r="B57" s="82"/>
      <c r="C57" s="242" t="s">
        <v>460</v>
      </c>
      <c r="D57" s="227"/>
      <c r="E57" s="228"/>
      <c r="F57" s="229"/>
      <c r="G57" s="227"/>
      <c r="H57" s="227"/>
      <c r="I57" s="227"/>
      <c r="J57" s="227"/>
      <c r="K57" s="227"/>
      <c r="L57" s="227"/>
      <c r="M57" s="274"/>
    </row>
    <row r="58" spans="2:21" ht="15.95" customHeight="1" x14ac:dyDescent="0.2">
      <c r="B58" s="230" t="s">
        <v>319</v>
      </c>
      <c r="C58" s="231" t="s">
        <v>324</v>
      </c>
      <c r="D58" s="232">
        <v>50</v>
      </c>
      <c r="E58" s="233">
        <v>1.73</v>
      </c>
      <c r="F58" s="234">
        <v>60</v>
      </c>
      <c r="G58" s="235">
        <f>+E58*F58*D58/100</f>
        <v>51.9</v>
      </c>
      <c r="H58" s="236">
        <v>-16.425000000000001</v>
      </c>
      <c r="I58" s="236">
        <v>18.45</v>
      </c>
      <c r="J58" s="236">
        <v>32.200000000000003</v>
      </c>
      <c r="K58" s="236">
        <v>4</v>
      </c>
      <c r="L58" s="236">
        <v>5</v>
      </c>
      <c r="M58" s="275"/>
    </row>
    <row r="59" spans="2:21" ht="15.95" customHeight="1" x14ac:dyDescent="0.2">
      <c r="B59" s="230" t="s">
        <v>321</v>
      </c>
      <c r="C59" s="231" t="s">
        <v>325</v>
      </c>
      <c r="D59" s="232">
        <v>50</v>
      </c>
      <c r="E59" s="239">
        <v>1.73</v>
      </c>
      <c r="F59" s="240">
        <v>60</v>
      </c>
      <c r="G59" s="235">
        <f t="shared" ref="G59:G65" si="6">+E59*F59*D59/100</f>
        <v>51.9</v>
      </c>
      <c r="H59" s="241">
        <f>H58-4.2</f>
        <v>-20.625</v>
      </c>
      <c r="I59" s="241">
        <v>18.45</v>
      </c>
      <c r="J59" s="236">
        <v>32.200000000000003</v>
      </c>
      <c r="K59" s="236">
        <v>4</v>
      </c>
      <c r="L59" s="236">
        <v>5</v>
      </c>
      <c r="M59" s="275"/>
    </row>
    <row r="60" spans="2:21" ht="15.95" customHeight="1" x14ac:dyDescent="0.2">
      <c r="B60" s="230" t="s">
        <v>322</v>
      </c>
      <c r="C60" s="231" t="s">
        <v>326</v>
      </c>
      <c r="D60" s="232">
        <v>50</v>
      </c>
      <c r="E60" s="239">
        <v>1.73</v>
      </c>
      <c r="F60" s="240">
        <v>60</v>
      </c>
      <c r="G60" s="235">
        <f t="shared" si="6"/>
        <v>51.9</v>
      </c>
      <c r="H60" s="241">
        <f>H59-4.2</f>
        <v>-24.824999999999999</v>
      </c>
      <c r="I60" s="241">
        <v>18.45</v>
      </c>
      <c r="J60" s="236">
        <v>32.200000000000003</v>
      </c>
      <c r="K60" s="236">
        <v>4</v>
      </c>
      <c r="L60" s="236">
        <v>5</v>
      </c>
      <c r="M60" s="275"/>
    </row>
    <row r="61" spans="2:21" ht="15.95" customHeight="1" x14ac:dyDescent="0.2">
      <c r="B61" s="230" t="s">
        <v>327</v>
      </c>
      <c r="C61" s="231" t="s">
        <v>328</v>
      </c>
      <c r="D61" s="232">
        <v>50</v>
      </c>
      <c r="E61" s="239">
        <v>1.73</v>
      </c>
      <c r="F61" s="240">
        <v>60</v>
      </c>
      <c r="G61" s="235">
        <f t="shared" si="6"/>
        <v>51.9</v>
      </c>
      <c r="H61" s="241">
        <f>H60-4.2</f>
        <v>-29.024999999999999</v>
      </c>
      <c r="I61" s="241">
        <v>18.45</v>
      </c>
      <c r="J61" s="236">
        <v>32.200000000000003</v>
      </c>
      <c r="K61" s="236">
        <v>4</v>
      </c>
      <c r="L61" s="236">
        <v>5</v>
      </c>
      <c r="M61" s="275"/>
    </row>
    <row r="62" spans="2:21" ht="15.95" customHeight="1" x14ac:dyDescent="0.2">
      <c r="B62" s="230" t="s">
        <v>329</v>
      </c>
      <c r="C62" s="231" t="s">
        <v>330</v>
      </c>
      <c r="D62" s="232">
        <v>50</v>
      </c>
      <c r="E62" s="239">
        <v>1.73</v>
      </c>
      <c r="F62" s="240">
        <v>60</v>
      </c>
      <c r="G62" s="235">
        <f t="shared" si="6"/>
        <v>51.9</v>
      </c>
      <c r="H62" s="236">
        <v>-16.425000000000001</v>
      </c>
      <c r="I62" s="241">
        <v>20.7</v>
      </c>
      <c r="J62" s="236">
        <v>32.200000000000003</v>
      </c>
      <c r="K62" s="236">
        <v>4</v>
      </c>
      <c r="L62" s="236">
        <v>5</v>
      </c>
      <c r="M62" s="275"/>
    </row>
    <row r="63" spans="2:21" ht="15.95" customHeight="1" x14ac:dyDescent="0.2">
      <c r="B63" s="230" t="s">
        <v>331</v>
      </c>
      <c r="C63" s="231" t="s">
        <v>332</v>
      </c>
      <c r="D63" s="232">
        <v>50</v>
      </c>
      <c r="E63" s="239">
        <v>1.73</v>
      </c>
      <c r="F63" s="240">
        <v>60</v>
      </c>
      <c r="G63" s="235">
        <f t="shared" si="6"/>
        <v>51.9</v>
      </c>
      <c r="H63" s="241">
        <f>H62-4.2</f>
        <v>-20.625</v>
      </c>
      <c r="I63" s="241">
        <v>22.95</v>
      </c>
      <c r="J63" s="236">
        <v>32.200000000000003</v>
      </c>
      <c r="K63" s="236">
        <v>4</v>
      </c>
      <c r="L63" s="236">
        <v>5</v>
      </c>
      <c r="M63" s="275"/>
    </row>
    <row r="64" spans="2:21" ht="15.95" customHeight="1" x14ac:dyDescent="0.2">
      <c r="B64" s="230" t="s">
        <v>333</v>
      </c>
      <c r="C64" s="231" t="s">
        <v>334</v>
      </c>
      <c r="D64" s="232">
        <v>50</v>
      </c>
      <c r="E64" s="239">
        <v>1.73</v>
      </c>
      <c r="F64" s="240">
        <v>60</v>
      </c>
      <c r="G64" s="235">
        <f t="shared" si="6"/>
        <v>51.9</v>
      </c>
      <c r="H64" s="241">
        <f>H63-4.2</f>
        <v>-24.824999999999999</v>
      </c>
      <c r="I64" s="241">
        <v>22.95</v>
      </c>
      <c r="J64" s="236">
        <v>32.200000000000003</v>
      </c>
      <c r="K64" s="236">
        <v>4</v>
      </c>
      <c r="L64" s="236">
        <v>5</v>
      </c>
      <c r="M64" s="275"/>
    </row>
    <row r="65" spans="2:21" ht="15.95" customHeight="1" x14ac:dyDescent="0.2">
      <c r="B65" s="230" t="s">
        <v>335</v>
      </c>
      <c r="C65" s="231" t="s">
        <v>336</v>
      </c>
      <c r="D65" s="232">
        <v>50</v>
      </c>
      <c r="E65" s="239">
        <v>1.73</v>
      </c>
      <c r="F65" s="240">
        <v>60</v>
      </c>
      <c r="G65" s="235">
        <f t="shared" si="6"/>
        <v>51.9</v>
      </c>
      <c r="H65" s="241">
        <f>H64-4.2</f>
        <v>-29.024999999999999</v>
      </c>
      <c r="I65" s="241">
        <v>22.95</v>
      </c>
      <c r="J65" s="236">
        <v>32.200000000000003</v>
      </c>
      <c r="K65" s="236">
        <v>4</v>
      </c>
      <c r="L65" s="236">
        <v>5</v>
      </c>
      <c r="M65" s="275"/>
    </row>
    <row r="66" spans="2:21" ht="15.95" customHeight="1" thickBot="1" x14ac:dyDescent="0.25">
      <c r="B66" s="255"/>
      <c r="C66" s="252"/>
      <c r="D66" s="278"/>
      <c r="E66" s="256"/>
      <c r="F66" s="272"/>
      <c r="G66" s="253"/>
      <c r="H66" s="250"/>
      <c r="I66" s="250"/>
      <c r="J66" s="250"/>
      <c r="K66" s="250"/>
      <c r="L66" s="250"/>
      <c r="M66" s="276"/>
    </row>
    <row r="67" spans="2:21" ht="15.95" customHeight="1" thickTop="1" x14ac:dyDescent="0.2">
      <c r="B67" s="318"/>
      <c r="C67" s="319"/>
      <c r="D67" s="320"/>
      <c r="E67" s="321"/>
      <c r="F67" s="322" t="s">
        <v>33</v>
      </c>
      <c r="G67" s="323">
        <f>SUBTOTAL(9,G58:G66)</f>
        <v>415.19999999999993</v>
      </c>
      <c r="H67" s="324">
        <f>IF($G67=0,0,SUMPRODUCT($G58:$G66,H58:H66)/$G67)</f>
        <v>-22.724999999999998</v>
      </c>
      <c r="I67" s="324">
        <f>IF($G67=0,0,SUMPRODUCT($G58:$G66,I58:I66)/$G67)</f>
        <v>20.418749999999999</v>
      </c>
      <c r="J67" s="324">
        <f>IF($G67=0,0,SUMPRODUCT($G58:$G66,J58:J66)/$G67)</f>
        <v>32.20000000000001</v>
      </c>
      <c r="K67" s="324">
        <f>SUBTOTAL(9,K58:K66)</f>
        <v>32</v>
      </c>
      <c r="L67" s="324">
        <f>SUBTOTAL(9,L58:L66)</f>
        <v>40</v>
      </c>
      <c r="M67" s="444"/>
      <c r="O67" s="445" t="s">
        <v>534</v>
      </c>
      <c r="P67" s="446">
        <f t="shared" ref="P67:U67" si="7">G67</f>
        <v>415.19999999999993</v>
      </c>
      <c r="Q67" s="446">
        <f t="shared" si="7"/>
        <v>-22.724999999999998</v>
      </c>
      <c r="R67" s="446">
        <f t="shared" si="7"/>
        <v>20.418749999999999</v>
      </c>
      <c r="S67" s="446">
        <f t="shared" si="7"/>
        <v>32.20000000000001</v>
      </c>
      <c r="T67" s="446">
        <f t="shared" si="7"/>
        <v>32</v>
      </c>
      <c r="U67" s="447">
        <f t="shared" si="7"/>
        <v>40</v>
      </c>
    </row>
    <row r="68" spans="2:21" ht="15.95" customHeight="1" x14ac:dyDescent="0.2">
      <c r="B68" s="485"/>
      <c r="C68" s="452"/>
      <c r="D68" s="452"/>
      <c r="F68" s="452"/>
      <c r="G68" s="383"/>
      <c r="H68" s="452"/>
      <c r="I68" s="452"/>
      <c r="J68" s="452"/>
      <c r="K68" s="452"/>
      <c r="L68" s="452"/>
      <c r="M68" s="486"/>
    </row>
    <row r="69" spans="2:21" ht="15.95" customHeight="1" x14ac:dyDescent="0.2">
      <c r="B69" s="82"/>
      <c r="C69" s="242" t="s">
        <v>480</v>
      </c>
      <c r="D69" s="227"/>
      <c r="E69" s="228"/>
      <c r="F69" s="242"/>
      <c r="G69" s="227"/>
      <c r="H69" s="227"/>
      <c r="I69" s="227"/>
      <c r="J69" s="227"/>
      <c r="K69" s="227"/>
      <c r="L69" s="227"/>
      <c r="M69" s="274"/>
    </row>
    <row r="70" spans="2:21" ht="15.95" customHeight="1" x14ac:dyDescent="0.2">
      <c r="B70" s="58" t="s">
        <v>337</v>
      </c>
      <c r="C70" s="56" t="s">
        <v>343</v>
      </c>
      <c r="D70" s="55" t="s">
        <v>38</v>
      </c>
      <c r="E70" s="218" t="s">
        <v>38</v>
      </c>
      <c r="F70" s="16" t="s">
        <v>38</v>
      </c>
      <c r="G70" s="24">
        <v>10</v>
      </c>
      <c r="H70" s="16">
        <v>-24.34</v>
      </c>
      <c r="I70" s="16">
        <v>-1.4</v>
      </c>
      <c r="J70" s="16">
        <v>33</v>
      </c>
      <c r="K70" s="169" t="s">
        <v>38</v>
      </c>
      <c r="L70" s="169" t="s">
        <v>38</v>
      </c>
      <c r="M70" s="273"/>
    </row>
    <row r="71" spans="2:21" ht="15.95" customHeight="1" x14ac:dyDescent="0.2">
      <c r="B71" s="259" t="s">
        <v>338</v>
      </c>
      <c r="C71" s="260" t="s">
        <v>339</v>
      </c>
      <c r="D71" s="261" t="s">
        <v>38</v>
      </c>
      <c r="E71" s="262" t="s">
        <v>38</v>
      </c>
      <c r="F71" s="263" t="s">
        <v>38</v>
      </c>
      <c r="G71" s="264">
        <v>10</v>
      </c>
      <c r="H71" s="265">
        <v>-24.34</v>
      </c>
      <c r="I71" s="265">
        <v>-15.8</v>
      </c>
      <c r="J71" s="265">
        <v>33</v>
      </c>
      <c r="K71" s="265" t="s">
        <v>38</v>
      </c>
      <c r="L71" s="265" t="s">
        <v>38</v>
      </c>
      <c r="M71" s="275"/>
    </row>
    <row r="72" spans="2:21" ht="15.95" customHeight="1" x14ac:dyDescent="0.2">
      <c r="B72" s="237" t="s">
        <v>340</v>
      </c>
      <c r="C72" s="231" t="s">
        <v>341</v>
      </c>
      <c r="D72" s="232">
        <v>3</v>
      </c>
      <c r="E72" s="232">
        <v>0.88</v>
      </c>
      <c r="F72" s="232">
        <v>192</v>
      </c>
      <c r="G72" s="264">
        <v>5</v>
      </c>
      <c r="H72" s="241">
        <v>-16.7</v>
      </c>
      <c r="I72" s="241">
        <v>-20.100000000000001</v>
      </c>
      <c r="J72" s="241">
        <v>33</v>
      </c>
      <c r="K72" s="241">
        <v>4</v>
      </c>
      <c r="L72" s="241">
        <v>5</v>
      </c>
      <c r="M72" s="275"/>
    </row>
    <row r="73" spans="2:21" ht="15.95" customHeight="1" x14ac:dyDescent="0.2">
      <c r="B73" s="237" t="s">
        <v>342</v>
      </c>
      <c r="C73" s="231" t="s">
        <v>343</v>
      </c>
      <c r="D73" s="238">
        <v>3</v>
      </c>
      <c r="E73" s="239">
        <v>1.506</v>
      </c>
      <c r="F73" s="266">
        <v>10</v>
      </c>
      <c r="G73" s="235">
        <v>10</v>
      </c>
      <c r="H73" s="241">
        <v>-22.3</v>
      </c>
      <c r="I73" s="241">
        <v>25.8</v>
      </c>
      <c r="J73" s="241">
        <v>31</v>
      </c>
      <c r="K73" s="241">
        <v>4</v>
      </c>
      <c r="L73" s="241">
        <v>5</v>
      </c>
      <c r="M73" s="275"/>
    </row>
    <row r="74" spans="2:21" ht="15.95" customHeight="1" x14ac:dyDescent="0.2">
      <c r="B74" s="237" t="s">
        <v>344</v>
      </c>
      <c r="C74" s="258" t="s">
        <v>345</v>
      </c>
      <c r="D74" s="238">
        <v>3</v>
      </c>
      <c r="E74" s="239">
        <v>1.506</v>
      </c>
      <c r="F74" s="241">
        <v>2</v>
      </c>
      <c r="G74" s="235">
        <v>10</v>
      </c>
      <c r="H74" s="241">
        <v>-23.31</v>
      </c>
      <c r="I74" s="241">
        <v>40.18</v>
      </c>
      <c r="J74" s="241">
        <v>31</v>
      </c>
      <c r="K74" s="241">
        <v>4</v>
      </c>
      <c r="L74" s="241">
        <v>5</v>
      </c>
      <c r="M74" s="275"/>
    </row>
    <row r="75" spans="2:21" ht="15.95" customHeight="1" x14ac:dyDescent="0.2">
      <c r="B75" s="237" t="s">
        <v>346</v>
      </c>
      <c r="C75" s="249" t="s">
        <v>347</v>
      </c>
      <c r="D75" s="238">
        <v>3</v>
      </c>
      <c r="E75" s="239">
        <v>1.506</v>
      </c>
      <c r="F75" s="267">
        <v>10</v>
      </c>
      <c r="G75" s="235">
        <v>10</v>
      </c>
      <c r="H75" s="250">
        <v>-29.5</v>
      </c>
      <c r="I75" s="250">
        <v>39.049999999999997</v>
      </c>
      <c r="J75" s="250">
        <v>31</v>
      </c>
      <c r="K75" s="241">
        <v>4</v>
      </c>
      <c r="L75" s="241">
        <v>5</v>
      </c>
      <c r="M75" s="275"/>
    </row>
    <row r="76" spans="2:21" ht="15.95" customHeight="1" x14ac:dyDescent="0.2">
      <c r="B76" s="230" t="s">
        <v>348</v>
      </c>
      <c r="C76" s="244" t="s">
        <v>349</v>
      </c>
      <c r="D76" s="232" t="s">
        <v>38</v>
      </c>
      <c r="E76" s="233" t="s">
        <v>38</v>
      </c>
      <c r="F76" s="234" t="s">
        <v>38</v>
      </c>
      <c r="G76" s="264">
        <v>20</v>
      </c>
      <c r="H76" s="236">
        <v>-26.6</v>
      </c>
      <c r="I76" s="236">
        <v>29.3</v>
      </c>
      <c r="J76" s="236">
        <v>31</v>
      </c>
      <c r="K76" s="236" t="s">
        <v>38</v>
      </c>
      <c r="L76" s="236" t="s">
        <v>38</v>
      </c>
      <c r="M76" s="275"/>
    </row>
    <row r="77" spans="2:21" ht="15.95" customHeight="1" thickBot="1" x14ac:dyDescent="0.25">
      <c r="B77" s="255"/>
      <c r="C77" s="252"/>
      <c r="D77" s="278"/>
      <c r="E77" s="256"/>
      <c r="F77" s="272"/>
      <c r="G77" s="253"/>
      <c r="H77" s="250"/>
      <c r="I77" s="250"/>
      <c r="J77" s="250"/>
      <c r="K77" s="250"/>
      <c r="L77" s="250"/>
      <c r="M77" s="276"/>
    </row>
    <row r="78" spans="2:21" ht="15.95" customHeight="1" thickTop="1" x14ac:dyDescent="0.2">
      <c r="B78" s="318"/>
      <c r="C78" s="319"/>
      <c r="D78" s="320"/>
      <c r="E78" s="321"/>
      <c r="F78" s="322" t="s">
        <v>33</v>
      </c>
      <c r="G78" s="323">
        <f>SUBTOTAL(9,G70:G77)</f>
        <v>75</v>
      </c>
      <c r="H78" s="324">
        <f>IF($G78=0,0,SUMPRODUCT($G70:$G77,H70:H77)/$G78)</f>
        <v>-24.712</v>
      </c>
      <c r="I78" s="324">
        <f>IF($G78=0,0,SUMPRODUCT($G70:$G77,I70:I77)/$G78)</f>
        <v>18.184000000000001</v>
      </c>
      <c r="J78" s="324">
        <f>IF($G78=0,0,SUMPRODUCT($G70:$G77,J70:J77)/$G78)</f>
        <v>31.666666666666668</v>
      </c>
      <c r="K78" s="324">
        <f>SUBTOTAL(9,K70:K77)</f>
        <v>16</v>
      </c>
      <c r="L78" s="324">
        <f>SUBTOTAL(9,L70:L77)</f>
        <v>20</v>
      </c>
      <c r="M78" s="444"/>
      <c r="O78" s="445" t="s">
        <v>535</v>
      </c>
      <c r="P78" s="446">
        <f t="shared" ref="P78:U78" si="8">G78</f>
        <v>75</v>
      </c>
      <c r="Q78" s="446">
        <f t="shared" si="8"/>
        <v>-24.712</v>
      </c>
      <c r="R78" s="446">
        <f t="shared" si="8"/>
        <v>18.184000000000001</v>
      </c>
      <c r="S78" s="446">
        <f t="shared" si="8"/>
        <v>31.666666666666668</v>
      </c>
      <c r="T78" s="446">
        <f t="shared" si="8"/>
        <v>16</v>
      </c>
      <c r="U78" s="447">
        <f t="shared" si="8"/>
        <v>20</v>
      </c>
    </row>
    <row r="79" spans="2:21" ht="15.95" customHeight="1" x14ac:dyDescent="0.2">
      <c r="B79" s="485"/>
      <c r="C79" s="452"/>
      <c r="D79" s="452"/>
      <c r="F79" s="452"/>
      <c r="G79" s="383"/>
      <c r="H79" s="452"/>
      <c r="I79" s="452"/>
      <c r="J79" s="452"/>
      <c r="K79" s="452"/>
      <c r="L79" s="452"/>
      <c r="M79" s="486"/>
    </row>
    <row r="80" spans="2:21" ht="15.95" customHeight="1" x14ac:dyDescent="0.2">
      <c r="B80" s="82"/>
      <c r="C80" s="242" t="s">
        <v>481</v>
      </c>
      <c r="D80" s="227"/>
      <c r="E80" s="228"/>
      <c r="F80" s="242"/>
      <c r="G80" s="227"/>
      <c r="H80" s="227"/>
      <c r="I80" s="227"/>
      <c r="J80" s="227"/>
      <c r="K80" s="227"/>
      <c r="L80" s="227"/>
      <c r="M80" s="274"/>
    </row>
    <row r="81" spans="2:21" ht="15.95" customHeight="1" x14ac:dyDescent="0.2">
      <c r="B81" s="58" t="s">
        <v>350</v>
      </c>
      <c r="C81" s="56" t="s">
        <v>351</v>
      </c>
      <c r="D81" s="55" t="s">
        <v>38</v>
      </c>
      <c r="E81" s="218" t="s">
        <v>38</v>
      </c>
      <c r="F81" s="16" t="s">
        <v>38</v>
      </c>
      <c r="G81" s="24">
        <v>200</v>
      </c>
      <c r="H81" s="16">
        <v>-6</v>
      </c>
      <c r="I81" s="16">
        <v>33</v>
      </c>
      <c r="J81" s="16">
        <v>33.4</v>
      </c>
      <c r="K81" s="169" t="s">
        <v>38</v>
      </c>
      <c r="L81" s="169" t="s">
        <v>38</v>
      </c>
      <c r="M81" s="273"/>
    </row>
    <row r="82" spans="2:21" ht="15.95" customHeight="1" x14ac:dyDescent="0.2">
      <c r="B82" s="259" t="s">
        <v>352</v>
      </c>
      <c r="C82" s="260" t="s">
        <v>353</v>
      </c>
      <c r="D82" s="261" t="s">
        <v>38</v>
      </c>
      <c r="E82" s="261" t="s">
        <v>38</v>
      </c>
      <c r="F82" s="261" t="s">
        <v>38</v>
      </c>
      <c r="G82" s="264">
        <v>10</v>
      </c>
      <c r="H82" s="265">
        <v>-8</v>
      </c>
      <c r="I82" s="265">
        <v>-36</v>
      </c>
      <c r="J82" s="16">
        <v>33.4</v>
      </c>
      <c r="K82" s="265" t="s">
        <v>38</v>
      </c>
      <c r="L82" s="265" t="s">
        <v>38</v>
      </c>
      <c r="M82" s="275"/>
    </row>
    <row r="83" spans="2:21" ht="15.95" customHeight="1" x14ac:dyDescent="0.2">
      <c r="B83" s="268" t="s">
        <v>354</v>
      </c>
      <c r="C83" s="260" t="s">
        <v>355</v>
      </c>
      <c r="D83" s="261" t="s">
        <v>38</v>
      </c>
      <c r="E83" s="261" t="s">
        <v>38</v>
      </c>
      <c r="F83" s="261" t="s">
        <v>38</v>
      </c>
      <c r="G83" s="264">
        <v>10</v>
      </c>
      <c r="H83" s="269">
        <v>-8</v>
      </c>
      <c r="I83" s="269">
        <v>-36.200000000000003</v>
      </c>
      <c r="J83" s="16">
        <v>33.4</v>
      </c>
      <c r="K83" s="265" t="s">
        <v>38</v>
      </c>
      <c r="L83" s="265" t="s">
        <v>38</v>
      </c>
      <c r="M83" s="275"/>
    </row>
    <row r="84" spans="2:21" ht="15.95" customHeight="1" x14ac:dyDescent="0.2">
      <c r="B84" s="243" t="s">
        <v>356</v>
      </c>
      <c r="C84" s="231" t="s">
        <v>357</v>
      </c>
      <c r="D84" s="232" t="s">
        <v>38</v>
      </c>
      <c r="E84" s="232" t="s">
        <v>38</v>
      </c>
      <c r="F84" s="232" t="s">
        <v>38</v>
      </c>
      <c r="G84" s="264">
        <v>20</v>
      </c>
      <c r="H84" s="254">
        <v>16.350000000000001</v>
      </c>
      <c r="I84" s="254">
        <v>-15.2</v>
      </c>
      <c r="J84" s="16">
        <v>33.4</v>
      </c>
      <c r="K84" s="236" t="s">
        <v>38</v>
      </c>
      <c r="L84" s="236" t="s">
        <v>38</v>
      </c>
      <c r="M84" s="275"/>
    </row>
    <row r="85" spans="2:21" ht="15.95" customHeight="1" x14ac:dyDescent="0.2">
      <c r="B85" s="237" t="s">
        <v>358</v>
      </c>
      <c r="C85" s="249" t="s">
        <v>359</v>
      </c>
      <c r="D85" s="238">
        <v>3</v>
      </c>
      <c r="E85" s="239">
        <v>1.506</v>
      </c>
      <c r="F85" s="232">
        <f>2*2</f>
        <v>4</v>
      </c>
      <c r="G85" s="235">
        <v>5</v>
      </c>
      <c r="H85" s="250">
        <v>-12.4</v>
      </c>
      <c r="I85" s="250">
        <v>19.899999999999999</v>
      </c>
      <c r="J85" s="16">
        <v>33.4</v>
      </c>
      <c r="K85" s="241">
        <v>4</v>
      </c>
      <c r="L85" s="241">
        <v>5</v>
      </c>
      <c r="M85" s="275"/>
    </row>
    <row r="86" spans="2:21" ht="15.95" customHeight="1" x14ac:dyDescent="0.2">
      <c r="B86" s="270" t="s">
        <v>360</v>
      </c>
      <c r="C86" s="260" t="s">
        <v>361</v>
      </c>
      <c r="D86" s="261" t="s">
        <v>38</v>
      </c>
      <c r="E86" s="261" t="s">
        <v>38</v>
      </c>
      <c r="F86" s="261" t="s">
        <v>38</v>
      </c>
      <c r="G86" s="264">
        <v>2</v>
      </c>
      <c r="H86" s="267">
        <v>-2</v>
      </c>
      <c r="I86" s="267">
        <v>-14.25</v>
      </c>
      <c r="J86" s="16">
        <v>33.4</v>
      </c>
      <c r="K86" s="265" t="s">
        <v>38</v>
      </c>
      <c r="L86" s="265" t="s">
        <v>38</v>
      </c>
      <c r="M86" s="275"/>
    </row>
    <row r="87" spans="2:21" ht="15.95" customHeight="1" x14ac:dyDescent="0.2">
      <c r="B87" s="270" t="s">
        <v>362</v>
      </c>
      <c r="C87" s="260" t="s">
        <v>363</v>
      </c>
      <c r="D87" s="261" t="s">
        <v>38</v>
      </c>
      <c r="E87" s="261" t="s">
        <v>38</v>
      </c>
      <c r="F87" s="261" t="s">
        <v>38</v>
      </c>
      <c r="G87" s="264">
        <v>2</v>
      </c>
      <c r="H87" s="267">
        <v>-2</v>
      </c>
      <c r="I87" s="267">
        <v>-14.25</v>
      </c>
      <c r="J87" s="16">
        <v>33.4</v>
      </c>
      <c r="K87" s="265" t="s">
        <v>38</v>
      </c>
      <c r="L87" s="265" t="s">
        <v>38</v>
      </c>
      <c r="M87" s="275"/>
    </row>
    <row r="88" spans="2:21" ht="15.95" customHeight="1" x14ac:dyDescent="0.2">
      <c r="B88" s="237" t="s">
        <v>364</v>
      </c>
      <c r="C88" s="249" t="s">
        <v>365</v>
      </c>
      <c r="D88" s="238" t="s">
        <v>38</v>
      </c>
      <c r="E88" s="239" t="s">
        <v>38</v>
      </c>
      <c r="F88" s="250" t="s">
        <v>38</v>
      </c>
      <c r="G88" s="251">
        <v>5</v>
      </c>
      <c r="H88" s="250">
        <v>0</v>
      </c>
      <c r="I88" s="250">
        <v>-31.8</v>
      </c>
      <c r="J88" s="16">
        <v>33.4</v>
      </c>
      <c r="K88" s="250" t="s">
        <v>38</v>
      </c>
      <c r="L88" s="250" t="s">
        <v>38</v>
      </c>
      <c r="M88" s="276"/>
    </row>
    <row r="89" spans="2:21" ht="15.95" customHeight="1" thickBot="1" x14ac:dyDescent="0.25">
      <c r="B89" s="255"/>
      <c r="C89" s="252"/>
      <c r="D89" s="278"/>
      <c r="E89" s="256"/>
      <c r="F89" s="272"/>
      <c r="G89" s="253"/>
      <c r="H89" s="250"/>
      <c r="I89" s="250"/>
      <c r="J89" s="250"/>
      <c r="K89" s="250"/>
      <c r="L89" s="250"/>
      <c r="M89" s="276"/>
    </row>
    <row r="90" spans="2:21" ht="15.95" customHeight="1" thickTop="1" x14ac:dyDescent="0.2">
      <c r="B90" s="318"/>
      <c r="C90" s="319"/>
      <c r="D90" s="320"/>
      <c r="E90" s="321"/>
      <c r="F90" s="322" t="s">
        <v>33</v>
      </c>
      <c r="G90" s="323">
        <f>SUBTOTAL(9,G81:G89)</f>
        <v>254</v>
      </c>
      <c r="H90" s="324">
        <f>IF($G90=0,0,SUMPRODUCT($G82:$G89,H82:H89)/$G90)</f>
        <v>0.38188976377952755</v>
      </c>
      <c r="I90" s="324">
        <f>IF($G90=0,0,SUMPRODUCT($G82:$G89,I82:I89)/$G90)</f>
        <v>-4.4980314960629917</v>
      </c>
      <c r="J90" s="324">
        <f>IF($G90=0,0,SUMPRODUCT($G82:$G89,J82:J89)/$G90)</f>
        <v>7.1007874015748031</v>
      </c>
      <c r="K90" s="324">
        <f>SUBTOTAL(9,K82:K89)</f>
        <v>4</v>
      </c>
      <c r="L90" s="324">
        <f>SUBTOTAL(9,L82:L89)</f>
        <v>5</v>
      </c>
      <c r="M90" s="444"/>
      <c r="O90" s="445" t="s">
        <v>536</v>
      </c>
      <c r="P90" s="446">
        <f t="shared" ref="P90:U90" si="9">G90</f>
        <v>254</v>
      </c>
      <c r="Q90" s="446">
        <f t="shared" si="9"/>
        <v>0.38188976377952755</v>
      </c>
      <c r="R90" s="446">
        <f t="shared" si="9"/>
        <v>-4.4980314960629917</v>
      </c>
      <c r="S90" s="446">
        <f t="shared" si="9"/>
        <v>7.1007874015748031</v>
      </c>
      <c r="T90" s="446">
        <f t="shared" si="9"/>
        <v>4</v>
      </c>
      <c r="U90" s="447">
        <f t="shared" si="9"/>
        <v>5</v>
      </c>
    </row>
    <row r="91" spans="2:21" ht="15.95" customHeight="1" x14ac:dyDescent="0.2">
      <c r="B91" s="485"/>
      <c r="C91" s="452"/>
      <c r="D91" s="452"/>
      <c r="F91" s="452"/>
      <c r="G91" s="383"/>
      <c r="H91" s="452"/>
      <c r="I91" s="452"/>
      <c r="J91" s="452"/>
      <c r="K91" s="452"/>
      <c r="L91" s="452"/>
      <c r="M91" s="486"/>
    </row>
    <row r="92" spans="2:21" ht="15.95" customHeight="1" x14ac:dyDescent="0.2">
      <c r="B92" s="82"/>
      <c r="C92" s="242" t="s">
        <v>482</v>
      </c>
      <c r="D92" s="227"/>
      <c r="E92" s="228"/>
      <c r="F92" s="242"/>
      <c r="G92" s="227"/>
      <c r="H92" s="227"/>
      <c r="I92" s="227"/>
      <c r="J92" s="227"/>
      <c r="K92" s="227"/>
      <c r="L92" s="227"/>
      <c r="M92" s="274"/>
    </row>
    <row r="93" spans="2:21" ht="15.95" customHeight="1" x14ac:dyDescent="0.2">
      <c r="B93" s="58" t="s">
        <v>366</v>
      </c>
      <c r="C93" s="56" t="s">
        <v>367</v>
      </c>
      <c r="D93" s="55" t="s">
        <v>38</v>
      </c>
      <c r="E93" s="218" t="s">
        <v>38</v>
      </c>
      <c r="F93" s="16" t="s">
        <v>38</v>
      </c>
      <c r="G93" s="24">
        <v>5</v>
      </c>
      <c r="H93" s="16">
        <v>26.7</v>
      </c>
      <c r="I93" s="16">
        <v>12.8</v>
      </c>
      <c r="J93" s="16">
        <v>33.4</v>
      </c>
      <c r="K93" s="169" t="s">
        <v>38</v>
      </c>
      <c r="L93" s="169" t="s">
        <v>38</v>
      </c>
      <c r="M93" s="273"/>
    </row>
    <row r="94" spans="2:21" ht="15.95" customHeight="1" x14ac:dyDescent="0.2">
      <c r="B94" s="237" t="s">
        <v>368</v>
      </c>
      <c r="C94" s="231" t="s">
        <v>369</v>
      </c>
      <c r="D94" s="232" t="s">
        <v>38</v>
      </c>
      <c r="E94" s="232" t="s">
        <v>38</v>
      </c>
      <c r="F94" s="232" t="s">
        <v>38</v>
      </c>
      <c r="G94" s="264">
        <v>10</v>
      </c>
      <c r="H94" s="241">
        <v>30</v>
      </c>
      <c r="I94" s="241">
        <v>14.5</v>
      </c>
      <c r="J94" s="16">
        <v>33.4</v>
      </c>
      <c r="K94" s="236" t="s">
        <v>38</v>
      </c>
      <c r="L94" s="236" t="s">
        <v>38</v>
      </c>
      <c r="M94" s="275"/>
    </row>
    <row r="95" spans="2:21" ht="15.95" customHeight="1" x14ac:dyDescent="0.2">
      <c r="B95" s="230" t="s">
        <v>370</v>
      </c>
      <c r="C95" s="231" t="s">
        <v>367</v>
      </c>
      <c r="D95" s="232" t="s">
        <v>38</v>
      </c>
      <c r="E95" s="232" t="s">
        <v>38</v>
      </c>
      <c r="F95" s="232" t="s">
        <v>38</v>
      </c>
      <c r="G95" s="264">
        <v>5</v>
      </c>
      <c r="H95" s="236">
        <v>26.7</v>
      </c>
      <c r="I95" s="236">
        <v>-12.8</v>
      </c>
      <c r="J95" s="16">
        <v>33.4</v>
      </c>
      <c r="K95" s="236" t="s">
        <v>38</v>
      </c>
      <c r="L95" s="236" t="s">
        <v>38</v>
      </c>
      <c r="M95" s="275"/>
    </row>
    <row r="96" spans="2:21" ht="15.95" customHeight="1" x14ac:dyDescent="0.2">
      <c r="B96" s="237" t="s">
        <v>371</v>
      </c>
      <c r="C96" s="231" t="s">
        <v>369</v>
      </c>
      <c r="D96" s="232" t="s">
        <v>38</v>
      </c>
      <c r="E96" s="232" t="s">
        <v>38</v>
      </c>
      <c r="F96" s="232" t="s">
        <v>38</v>
      </c>
      <c r="G96" s="264">
        <v>5</v>
      </c>
      <c r="H96" s="241">
        <v>37</v>
      </c>
      <c r="I96" s="241">
        <v>-20.6</v>
      </c>
      <c r="J96" s="16">
        <v>33.4</v>
      </c>
      <c r="K96" s="236" t="s">
        <v>38</v>
      </c>
      <c r="L96" s="236" t="s">
        <v>38</v>
      </c>
      <c r="M96" s="275"/>
    </row>
    <row r="97" spans="2:21" ht="15.95" customHeight="1" x14ac:dyDescent="0.2">
      <c r="B97" s="237" t="s">
        <v>372</v>
      </c>
      <c r="C97" s="258" t="s">
        <v>373</v>
      </c>
      <c r="D97" s="232" t="s">
        <v>38</v>
      </c>
      <c r="E97" s="232" t="s">
        <v>38</v>
      </c>
      <c r="F97" s="232" t="s">
        <v>38</v>
      </c>
      <c r="G97" s="264">
        <v>200</v>
      </c>
      <c r="H97" s="241">
        <v>12</v>
      </c>
      <c r="I97" s="241">
        <v>0</v>
      </c>
      <c r="J97" s="241">
        <v>33.4</v>
      </c>
      <c r="K97" s="236" t="s">
        <v>38</v>
      </c>
      <c r="L97" s="236" t="s">
        <v>38</v>
      </c>
      <c r="M97" s="275"/>
    </row>
    <row r="98" spans="2:21" ht="15.95" customHeight="1" x14ac:dyDescent="0.2">
      <c r="B98" s="243" t="s">
        <v>374</v>
      </c>
      <c r="C98" s="258" t="s">
        <v>375</v>
      </c>
      <c r="D98" s="232" t="s">
        <v>38</v>
      </c>
      <c r="E98" s="232" t="s">
        <v>38</v>
      </c>
      <c r="F98" s="232" t="s">
        <v>38</v>
      </c>
      <c r="G98" s="264">
        <v>20</v>
      </c>
      <c r="H98" s="254">
        <v>10.7</v>
      </c>
      <c r="I98" s="254">
        <v>15.4</v>
      </c>
      <c r="J98" s="241">
        <v>33.4</v>
      </c>
      <c r="K98" s="236" t="s">
        <v>38</v>
      </c>
      <c r="L98" s="236" t="s">
        <v>38</v>
      </c>
      <c r="M98" s="275"/>
    </row>
    <row r="99" spans="2:21" ht="15.95" customHeight="1" thickBot="1" x14ac:dyDescent="0.25">
      <c r="B99" s="255"/>
      <c r="C99" s="252"/>
      <c r="D99" s="278"/>
      <c r="E99" s="256"/>
      <c r="F99" s="272"/>
      <c r="G99" s="253"/>
      <c r="H99" s="250"/>
      <c r="I99" s="250"/>
      <c r="J99" s="250"/>
      <c r="K99" s="250"/>
      <c r="L99" s="250"/>
      <c r="M99" s="276"/>
    </row>
    <row r="100" spans="2:21" ht="15.95" customHeight="1" thickTop="1" x14ac:dyDescent="0.2">
      <c r="B100" s="318"/>
      <c r="C100" s="319"/>
      <c r="D100" s="320"/>
      <c r="E100" s="321"/>
      <c r="F100" s="322" t="s">
        <v>33</v>
      </c>
      <c r="G100" s="323">
        <f>SUBTOTAL(9,G93:G99)</f>
        <v>245</v>
      </c>
      <c r="H100" s="324">
        <f>IF($G100=0,0,SUMPRODUCT($G93:$G99,H93:H99)/$G100)</f>
        <v>13.738775510204082</v>
      </c>
      <c r="I100" s="324">
        <f>IF($G100=0,0,SUMPRODUCT($G93:$G99,I93:I99)/$G100)</f>
        <v>1.4285714285714286</v>
      </c>
      <c r="J100" s="324">
        <f>IF($G100=0,0,SUMPRODUCT($G93:$G99,J93:J99)/$G100)</f>
        <v>33.4</v>
      </c>
      <c r="K100" s="324">
        <f>SUBTOTAL(9,K93:K99)</f>
        <v>0</v>
      </c>
      <c r="L100" s="324">
        <f>SUBTOTAL(9,L93:L99)</f>
        <v>0</v>
      </c>
      <c r="M100" s="444"/>
      <c r="O100" s="445" t="s">
        <v>537</v>
      </c>
      <c r="P100" s="446">
        <f t="shared" ref="P100:U100" si="10">G100</f>
        <v>245</v>
      </c>
      <c r="Q100" s="446">
        <f t="shared" si="10"/>
        <v>13.738775510204082</v>
      </c>
      <c r="R100" s="446">
        <f t="shared" si="10"/>
        <v>1.4285714285714286</v>
      </c>
      <c r="S100" s="446">
        <f t="shared" si="10"/>
        <v>33.4</v>
      </c>
      <c r="T100" s="446">
        <f t="shared" si="10"/>
        <v>0</v>
      </c>
      <c r="U100" s="447">
        <f t="shared" si="10"/>
        <v>0</v>
      </c>
    </row>
    <row r="101" spans="2:21" ht="15.95" customHeight="1" x14ac:dyDescent="0.2">
      <c r="B101" s="485"/>
      <c r="C101" s="452"/>
      <c r="D101" s="452"/>
      <c r="F101" s="452"/>
      <c r="G101" s="383"/>
      <c r="H101" s="452"/>
      <c r="I101" s="452"/>
      <c r="J101" s="452"/>
      <c r="K101" s="452"/>
      <c r="L101" s="452"/>
      <c r="M101" s="486"/>
    </row>
    <row r="102" spans="2:21" ht="15.95" customHeight="1" x14ac:dyDescent="0.2">
      <c r="B102" s="82"/>
      <c r="C102" s="242" t="s">
        <v>422</v>
      </c>
      <c r="D102" s="227"/>
      <c r="E102" s="228"/>
      <c r="F102" s="242"/>
      <c r="G102" s="227"/>
      <c r="H102" s="227"/>
      <c r="I102" s="227"/>
      <c r="J102" s="227"/>
      <c r="K102" s="227"/>
      <c r="L102" s="227"/>
      <c r="M102" s="274"/>
    </row>
    <row r="103" spans="2:21" ht="15.95" customHeight="1" x14ac:dyDescent="0.2">
      <c r="B103" s="230" t="s">
        <v>447</v>
      </c>
      <c r="C103" s="231" t="s">
        <v>445</v>
      </c>
      <c r="D103" s="225"/>
      <c r="E103" s="232">
        <v>10</v>
      </c>
      <c r="F103" s="233">
        <v>1</v>
      </c>
      <c r="G103" s="235">
        <f>+E103*F103</f>
        <v>10</v>
      </c>
      <c r="H103" s="236">
        <v>22</v>
      </c>
      <c r="I103" s="236">
        <v>0</v>
      </c>
      <c r="J103" s="236">
        <v>34</v>
      </c>
      <c r="K103" s="236" t="s">
        <v>38</v>
      </c>
      <c r="L103" s="236" t="s">
        <v>38</v>
      </c>
      <c r="M103" s="275"/>
    </row>
    <row r="104" spans="2:21" ht="15.95" customHeight="1" x14ac:dyDescent="0.2">
      <c r="B104" s="230" t="s">
        <v>448</v>
      </c>
      <c r="C104" s="231" t="s">
        <v>446</v>
      </c>
      <c r="D104" s="225"/>
      <c r="E104" s="238">
        <v>15</v>
      </c>
      <c r="F104" s="239">
        <v>1</v>
      </c>
      <c r="G104" s="235">
        <v>25</v>
      </c>
      <c r="H104" s="241">
        <v>22</v>
      </c>
      <c r="I104" s="241">
        <v>0</v>
      </c>
      <c r="J104" s="236">
        <v>34</v>
      </c>
      <c r="K104" s="236" t="s">
        <v>38</v>
      </c>
      <c r="L104" s="236" t="s">
        <v>38</v>
      </c>
      <c r="M104" s="275"/>
    </row>
    <row r="105" spans="2:21" ht="15.95" customHeight="1" x14ac:dyDescent="0.2">
      <c r="B105" s="315" t="s">
        <v>449</v>
      </c>
      <c r="C105" s="252" t="s">
        <v>39</v>
      </c>
      <c r="D105" s="225"/>
      <c r="E105" s="278">
        <v>10</v>
      </c>
      <c r="F105" s="256">
        <v>1</v>
      </c>
      <c r="G105" s="253">
        <v>15</v>
      </c>
      <c r="H105" s="241">
        <v>22</v>
      </c>
      <c r="I105" s="241">
        <v>0</v>
      </c>
      <c r="J105" s="236">
        <v>34</v>
      </c>
      <c r="K105" s="236" t="s">
        <v>38</v>
      </c>
      <c r="L105" s="236" t="s">
        <v>38</v>
      </c>
      <c r="M105" s="276"/>
    </row>
    <row r="106" spans="2:21" ht="15.95" customHeight="1" thickBot="1" x14ac:dyDescent="0.25">
      <c r="B106" s="255"/>
      <c r="C106" s="252"/>
      <c r="D106" s="278"/>
      <c r="E106" s="256"/>
      <c r="F106" s="272"/>
      <c r="G106" s="253"/>
      <c r="H106" s="250"/>
      <c r="I106" s="250"/>
      <c r="J106" s="250"/>
      <c r="K106" s="250"/>
      <c r="L106" s="250"/>
      <c r="M106" s="276"/>
    </row>
    <row r="107" spans="2:21" ht="15.95" customHeight="1" thickTop="1" x14ac:dyDescent="0.2">
      <c r="B107" s="318"/>
      <c r="C107" s="319"/>
      <c r="D107" s="320"/>
      <c r="E107" s="321"/>
      <c r="F107" s="322" t="s">
        <v>33</v>
      </c>
      <c r="G107" s="323">
        <f>SUBTOTAL(9,G103:G106)</f>
        <v>50</v>
      </c>
      <c r="H107" s="324">
        <f>IF($G107=0,0,SUMPRODUCT($G103:$G106,H103:H106)/$G107)</f>
        <v>22</v>
      </c>
      <c r="I107" s="324">
        <f>IF($G107=0,0,SUMPRODUCT($G103:$G106,I103:I106)/$G107)</f>
        <v>0</v>
      </c>
      <c r="J107" s="324">
        <f>IF($G107=0,0,SUMPRODUCT($G103:$G106,J103:J106)/$G107)</f>
        <v>34</v>
      </c>
      <c r="K107" s="324" t="s">
        <v>38</v>
      </c>
      <c r="L107" s="324" t="s">
        <v>38</v>
      </c>
      <c r="M107" s="444"/>
      <c r="O107" s="445" t="s">
        <v>538</v>
      </c>
      <c r="P107" s="446">
        <f t="shared" ref="P107:U107" si="11">G107</f>
        <v>50</v>
      </c>
      <c r="Q107" s="446">
        <f t="shared" si="11"/>
        <v>22</v>
      </c>
      <c r="R107" s="446">
        <f t="shared" si="11"/>
        <v>0</v>
      </c>
      <c r="S107" s="446">
        <f t="shared" si="11"/>
        <v>34</v>
      </c>
      <c r="T107" s="446" t="str">
        <f t="shared" si="11"/>
        <v>n/a</v>
      </c>
      <c r="U107" s="447" t="str">
        <f t="shared" si="11"/>
        <v>n/a</v>
      </c>
    </row>
    <row r="108" spans="2:21" ht="15.95" customHeight="1" x14ac:dyDescent="0.2">
      <c r="B108" s="485"/>
      <c r="C108" s="452"/>
      <c r="D108" s="452"/>
      <c r="F108" s="452"/>
      <c r="G108" s="383"/>
      <c r="H108" s="452"/>
      <c r="I108" s="452"/>
      <c r="J108" s="452"/>
      <c r="K108" s="452"/>
      <c r="L108" s="452"/>
      <c r="M108" s="486"/>
    </row>
    <row r="109" spans="2:21" ht="15.95" customHeight="1" x14ac:dyDescent="0.2">
      <c r="B109" s="463"/>
      <c r="C109" s="470" t="s">
        <v>531</v>
      </c>
      <c r="D109" s="464"/>
      <c r="E109" s="465"/>
      <c r="F109" s="466"/>
      <c r="G109" s="467"/>
      <c r="H109" s="468"/>
      <c r="I109" s="468"/>
      <c r="J109" s="468"/>
      <c r="K109" s="468"/>
      <c r="L109" s="468"/>
      <c r="M109" s="469"/>
    </row>
    <row r="110" spans="2:21" ht="15.95" customHeight="1" x14ac:dyDescent="0.2">
      <c r="B110" s="243"/>
      <c r="C110" s="244"/>
      <c r="D110" s="245"/>
      <c r="E110" s="246"/>
      <c r="F110" s="279"/>
      <c r="G110" s="280"/>
      <c r="H110" s="281"/>
      <c r="I110" s="281"/>
      <c r="J110" s="281"/>
      <c r="K110" s="281"/>
      <c r="L110" s="281"/>
      <c r="M110" s="282"/>
    </row>
    <row r="111" spans="2:21" ht="15.95" customHeight="1" x14ac:dyDescent="0.2">
      <c r="B111" s="82"/>
      <c r="C111" s="242" t="s">
        <v>486</v>
      </c>
      <c r="D111" s="227"/>
      <c r="E111" s="228"/>
      <c r="F111" s="242"/>
      <c r="G111" s="227"/>
      <c r="H111" s="227"/>
      <c r="I111" s="227"/>
      <c r="J111" s="227"/>
      <c r="K111" s="227"/>
      <c r="L111" s="227"/>
      <c r="M111" s="274"/>
    </row>
    <row r="112" spans="2:21" ht="15.95" customHeight="1" x14ac:dyDescent="0.2">
      <c r="B112" s="230" t="s">
        <v>377</v>
      </c>
      <c r="C112" s="343" t="s">
        <v>378</v>
      </c>
      <c r="D112" s="345"/>
      <c r="E112" s="232">
        <v>26.3</v>
      </c>
      <c r="F112" s="232">
        <v>25000</v>
      </c>
      <c r="G112" s="235">
        <f>+E112*F112/2205</f>
        <v>298.18594104308391</v>
      </c>
      <c r="H112" s="236">
        <v>-2</v>
      </c>
      <c r="I112" s="236">
        <v>0</v>
      </c>
      <c r="J112" s="236">
        <v>37.6</v>
      </c>
      <c r="K112" s="236" t="s">
        <v>38</v>
      </c>
      <c r="L112" s="236" t="s">
        <v>38</v>
      </c>
      <c r="M112" s="273"/>
    </row>
    <row r="113" spans="2:21" ht="15.95" customHeight="1" x14ac:dyDescent="0.2">
      <c r="B113" s="230" t="s">
        <v>379</v>
      </c>
      <c r="C113" s="342" t="s">
        <v>380</v>
      </c>
      <c r="D113" s="346"/>
      <c r="E113" s="232">
        <v>19.5</v>
      </c>
      <c r="F113" s="233">
        <v>5000</v>
      </c>
      <c r="G113" s="235">
        <f>+E113*F113/2205</f>
        <v>44.217687074829932</v>
      </c>
      <c r="H113" s="236">
        <v>-2</v>
      </c>
      <c r="I113" s="236">
        <v>0</v>
      </c>
      <c r="J113" s="236">
        <v>37.6</v>
      </c>
      <c r="K113" s="236" t="s">
        <v>38</v>
      </c>
      <c r="L113" s="236" t="s">
        <v>38</v>
      </c>
      <c r="M113" s="273"/>
    </row>
    <row r="114" spans="2:21" ht="15.95" customHeight="1" x14ac:dyDescent="0.2">
      <c r="B114" s="230" t="s">
        <v>381</v>
      </c>
      <c r="C114" s="343" t="s">
        <v>382</v>
      </c>
      <c r="D114" s="346"/>
      <c r="E114" s="232">
        <v>38.700000000000003</v>
      </c>
      <c r="F114" s="233">
        <v>900</v>
      </c>
      <c r="G114" s="235">
        <f>+E114*F114/2205</f>
        <v>15.795918367346939</v>
      </c>
      <c r="H114" s="236">
        <v>-2</v>
      </c>
      <c r="I114" s="236">
        <v>0</v>
      </c>
      <c r="J114" s="236">
        <v>37.6</v>
      </c>
      <c r="K114" s="236" t="s">
        <v>38</v>
      </c>
      <c r="L114" s="236" t="s">
        <v>38</v>
      </c>
      <c r="M114" s="273"/>
    </row>
    <row r="115" spans="2:21" ht="15.95" customHeight="1" x14ac:dyDescent="0.2">
      <c r="B115" s="230" t="s">
        <v>383</v>
      </c>
      <c r="C115" s="343" t="s">
        <v>384</v>
      </c>
      <c r="D115" s="346"/>
      <c r="E115" s="232">
        <v>148</v>
      </c>
      <c r="F115" s="233">
        <f>31*24</f>
        <v>744</v>
      </c>
      <c r="G115" s="235">
        <f>+E115*F115/2205</f>
        <v>49.937414965986392</v>
      </c>
      <c r="H115" s="236">
        <v>-2</v>
      </c>
      <c r="I115" s="236">
        <v>0</v>
      </c>
      <c r="J115" s="236">
        <v>37.6</v>
      </c>
      <c r="K115" s="236" t="s">
        <v>38</v>
      </c>
      <c r="L115" s="236" t="s">
        <v>38</v>
      </c>
      <c r="M115" s="273"/>
    </row>
    <row r="116" spans="2:21" ht="15.95" customHeight="1" x14ac:dyDescent="0.2">
      <c r="B116" s="230" t="s">
        <v>385</v>
      </c>
      <c r="C116" s="343" t="s">
        <v>386</v>
      </c>
      <c r="D116" s="346"/>
      <c r="E116" s="232">
        <v>100</v>
      </c>
      <c r="F116" s="233">
        <f>31*24</f>
        <v>744</v>
      </c>
      <c r="G116" s="235">
        <f>+E116*F116/2205</f>
        <v>33.741496598639458</v>
      </c>
      <c r="H116" s="236">
        <v>-2</v>
      </c>
      <c r="I116" s="236">
        <v>0</v>
      </c>
      <c r="J116" s="236">
        <v>37.6</v>
      </c>
      <c r="K116" s="236" t="s">
        <v>38</v>
      </c>
      <c r="L116" s="236" t="s">
        <v>38</v>
      </c>
      <c r="M116" s="273"/>
    </row>
    <row r="117" spans="2:21" ht="15.95" customHeight="1" x14ac:dyDescent="0.2">
      <c r="B117" s="315"/>
      <c r="C117" s="344" t="s">
        <v>511</v>
      </c>
      <c r="D117" s="367"/>
      <c r="E117" s="368"/>
      <c r="F117" s="369"/>
      <c r="G117" s="253">
        <v>300</v>
      </c>
      <c r="H117" s="254">
        <v>-10</v>
      </c>
      <c r="I117" s="254">
        <v>0</v>
      </c>
      <c r="J117" s="236">
        <v>37.6</v>
      </c>
      <c r="K117" s="254"/>
      <c r="L117" s="254"/>
      <c r="M117" s="277"/>
    </row>
    <row r="118" spans="2:21" ht="15.95" customHeight="1" thickBot="1" x14ac:dyDescent="0.25">
      <c r="B118" s="255"/>
      <c r="C118" s="344"/>
      <c r="D118" s="347"/>
      <c r="E118" s="256"/>
      <c r="F118" s="272"/>
      <c r="G118" s="253"/>
      <c r="H118" s="250"/>
      <c r="I118" s="250"/>
      <c r="J118" s="250"/>
      <c r="K118" s="250"/>
      <c r="L118" s="250"/>
      <c r="M118" s="276"/>
    </row>
    <row r="119" spans="2:21" ht="15.95" customHeight="1" thickTop="1" x14ac:dyDescent="0.2">
      <c r="B119" s="318"/>
      <c r="C119" s="319"/>
      <c r="D119" s="320"/>
      <c r="E119" s="321"/>
      <c r="F119" s="322" t="s">
        <v>33</v>
      </c>
      <c r="G119" s="323">
        <f>SUBTOTAL(9,G112:G118)</f>
        <v>741.8784580498866</v>
      </c>
      <c r="H119" s="324">
        <f>IF($G119=0,0,SUMPRODUCT($G112:$G118,H112:H118)/$G119)</f>
        <v>-5.2350312560748531</v>
      </c>
      <c r="I119" s="324">
        <f>IF($G119=0,0,SUMPRODUCT($G112:$G118,I112:I118)/$G119)</f>
        <v>0</v>
      </c>
      <c r="J119" s="324">
        <f>IF($G119=0,0,SUMPRODUCT($G112:$G118,J112:J118)/$G119)</f>
        <v>37.6</v>
      </c>
      <c r="K119" s="324">
        <f>SUBTOTAL(9,K112:K118)</f>
        <v>0</v>
      </c>
      <c r="L119" s="324">
        <f>SUBTOTAL(9,L112:L118)</f>
        <v>0</v>
      </c>
      <c r="M119" s="444"/>
      <c r="O119" s="445" t="s">
        <v>542</v>
      </c>
      <c r="P119" s="446">
        <f t="shared" ref="P119:U119" si="12">G119</f>
        <v>741.8784580498866</v>
      </c>
      <c r="Q119" s="446">
        <f t="shared" si="12"/>
        <v>-5.2350312560748531</v>
      </c>
      <c r="R119" s="446">
        <f t="shared" si="12"/>
        <v>0</v>
      </c>
      <c r="S119" s="446">
        <f t="shared" si="12"/>
        <v>37.6</v>
      </c>
      <c r="T119" s="446">
        <f t="shared" si="12"/>
        <v>0</v>
      </c>
      <c r="U119" s="447">
        <f t="shared" si="12"/>
        <v>0</v>
      </c>
    </row>
    <row r="120" spans="2:21" ht="15.95" customHeight="1" x14ac:dyDescent="0.2">
      <c r="B120" s="485"/>
      <c r="C120" s="452"/>
      <c r="D120" s="452"/>
      <c r="F120" s="452"/>
      <c r="G120" s="383"/>
      <c r="H120" s="452"/>
      <c r="I120" s="452"/>
      <c r="J120" s="452"/>
      <c r="K120" s="452"/>
      <c r="L120" s="452"/>
      <c r="M120" s="486"/>
    </row>
    <row r="121" spans="2:21" ht="15.95" customHeight="1" x14ac:dyDescent="0.2">
      <c r="B121" s="82"/>
      <c r="C121" s="242" t="s">
        <v>421</v>
      </c>
      <c r="D121" s="227"/>
      <c r="E121" s="228"/>
      <c r="F121" s="242"/>
      <c r="G121" s="227"/>
      <c r="H121" s="227"/>
      <c r="I121" s="227"/>
      <c r="J121" s="227"/>
      <c r="K121" s="227"/>
      <c r="L121" s="227"/>
      <c r="M121" s="274"/>
    </row>
    <row r="122" spans="2:21" ht="15.95" customHeight="1" x14ac:dyDescent="0.2">
      <c r="B122" s="58"/>
      <c r="C122" s="56" t="s">
        <v>387</v>
      </c>
      <c r="D122" s="55"/>
      <c r="E122" s="218" t="s">
        <v>38</v>
      </c>
      <c r="F122" s="16" t="s">
        <v>38</v>
      </c>
      <c r="G122" s="24">
        <v>544</v>
      </c>
      <c r="H122" s="16">
        <v>4</v>
      </c>
      <c r="I122" s="16">
        <v>0</v>
      </c>
      <c r="J122" s="16">
        <v>68.8</v>
      </c>
      <c r="K122" s="169" t="s">
        <v>38</v>
      </c>
      <c r="L122" s="169" t="s">
        <v>38</v>
      </c>
      <c r="M122" s="273" t="s">
        <v>500</v>
      </c>
    </row>
    <row r="123" spans="2:21" ht="15.95" customHeight="1" thickBot="1" x14ac:dyDescent="0.25">
      <c r="B123" s="255"/>
      <c r="C123" s="252"/>
      <c r="D123" s="278"/>
      <c r="E123" s="256"/>
      <c r="F123" s="272"/>
      <c r="G123" s="253"/>
      <c r="H123" s="250"/>
      <c r="I123" s="250"/>
      <c r="J123" s="250"/>
      <c r="K123" s="250"/>
      <c r="L123" s="250"/>
      <c r="M123" s="276"/>
    </row>
    <row r="124" spans="2:21" ht="15.95" customHeight="1" thickTop="1" x14ac:dyDescent="0.2">
      <c r="B124" s="318"/>
      <c r="C124" s="319"/>
      <c r="D124" s="320"/>
      <c r="E124" s="321"/>
      <c r="F124" s="322" t="s">
        <v>33</v>
      </c>
      <c r="G124" s="323">
        <f>SUBTOTAL(9,G122:G123)</f>
        <v>544</v>
      </c>
      <c r="H124" s="324">
        <f>IF($G124=0,0,SUMPRODUCT($G122:$G123,H122:H123)/$G124)</f>
        <v>4</v>
      </c>
      <c r="I124" s="324">
        <f>IF($G124=0,0,SUMPRODUCT($G122:$G123,I122:I123)/$G124)</f>
        <v>0</v>
      </c>
      <c r="J124" s="324">
        <f>IF($G124=0,0,SUMPRODUCT($G122:$G123,J122:J123)/$G124)</f>
        <v>68.8</v>
      </c>
      <c r="K124" s="324">
        <f>SUBTOTAL(9,K122:K123)</f>
        <v>0</v>
      </c>
      <c r="L124" s="324">
        <f>SUBTOTAL(9,L122:L123)</f>
        <v>0</v>
      </c>
      <c r="M124" s="444"/>
      <c r="O124" s="445" t="s">
        <v>539</v>
      </c>
      <c r="P124" s="446">
        <f t="shared" ref="P124:U124" si="13">G124</f>
        <v>544</v>
      </c>
      <c r="Q124" s="446">
        <f t="shared" si="13"/>
        <v>4</v>
      </c>
      <c r="R124" s="446">
        <f t="shared" si="13"/>
        <v>0</v>
      </c>
      <c r="S124" s="446">
        <f t="shared" si="13"/>
        <v>68.8</v>
      </c>
      <c r="T124" s="446">
        <f t="shared" si="13"/>
        <v>0</v>
      </c>
      <c r="U124" s="447">
        <f t="shared" si="13"/>
        <v>0</v>
      </c>
    </row>
    <row r="125" spans="2:21" ht="15.95" customHeight="1" x14ac:dyDescent="0.2">
      <c r="B125" s="485"/>
      <c r="C125" s="452"/>
      <c r="D125" s="452"/>
      <c r="F125" s="452"/>
      <c r="G125" s="383"/>
      <c r="H125" s="452"/>
      <c r="I125" s="452"/>
      <c r="J125" s="452"/>
      <c r="K125" s="452"/>
      <c r="L125" s="452"/>
      <c r="M125" s="486"/>
    </row>
    <row r="126" spans="2:21" ht="15.95" customHeight="1" x14ac:dyDescent="0.2">
      <c r="B126" s="82"/>
      <c r="C126" s="242" t="s">
        <v>483</v>
      </c>
      <c r="D126" s="227"/>
      <c r="E126" s="228"/>
      <c r="F126" s="242"/>
      <c r="G126" s="227"/>
      <c r="H126" s="227"/>
      <c r="I126" s="227"/>
      <c r="J126" s="227"/>
      <c r="K126" s="227"/>
      <c r="L126" s="227"/>
      <c r="M126" s="274"/>
    </row>
    <row r="127" spans="2:21" ht="15.95" customHeight="1" x14ac:dyDescent="0.2">
      <c r="B127" s="58" t="s">
        <v>388</v>
      </c>
      <c r="C127" s="56" t="s">
        <v>484</v>
      </c>
      <c r="D127" s="55"/>
      <c r="E127" s="218" t="s">
        <v>38</v>
      </c>
      <c r="F127" s="16" t="s">
        <v>38</v>
      </c>
      <c r="G127" s="24">
        <v>100</v>
      </c>
      <c r="H127" s="16">
        <v>-6.31</v>
      </c>
      <c r="I127" s="16">
        <v>41.36</v>
      </c>
      <c r="J127" s="16">
        <v>36.6</v>
      </c>
      <c r="K127" s="169"/>
      <c r="L127" s="169"/>
      <c r="M127" s="273"/>
    </row>
    <row r="128" spans="2:21" ht="15.95" customHeight="1" x14ac:dyDescent="0.2">
      <c r="B128" s="58" t="s">
        <v>389</v>
      </c>
      <c r="C128" s="56" t="s">
        <v>485</v>
      </c>
      <c r="D128" s="55"/>
      <c r="E128" s="218" t="s">
        <v>38</v>
      </c>
      <c r="F128" s="16" t="s">
        <v>38</v>
      </c>
      <c r="G128" s="24">
        <v>100</v>
      </c>
      <c r="H128" s="16">
        <v>-6.31</v>
      </c>
      <c r="I128" s="16">
        <v>-41.36</v>
      </c>
      <c r="J128" s="16">
        <v>36.6</v>
      </c>
      <c r="K128" s="169"/>
      <c r="L128" s="169"/>
      <c r="M128" s="273"/>
    </row>
    <row r="129" spans="2:21" ht="15.95" customHeight="1" thickBot="1" x14ac:dyDescent="0.25">
      <c r="B129" s="255"/>
      <c r="C129" s="252"/>
      <c r="D129" s="278"/>
      <c r="E129" s="256"/>
      <c r="F129" s="272"/>
      <c r="G129" s="253"/>
      <c r="H129" s="250"/>
      <c r="I129" s="250"/>
      <c r="J129" s="250"/>
      <c r="K129" s="250"/>
      <c r="L129" s="250"/>
      <c r="M129" s="276"/>
    </row>
    <row r="130" spans="2:21" ht="15.95" customHeight="1" thickTop="1" x14ac:dyDescent="0.2">
      <c r="B130" s="318"/>
      <c r="C130" s="319"/>
      <c r="D130" s="320"/>
      <c r="E130" s="321"/>
      <c r="F130" s="322" t="s">
        <v>33</v>
      </c>
      <c r="G130" s="323">
        <f>SUBTOTAL(9,G127:G129)</f>
        <v>200</v>
      </c>
      <c r="H130" s="324">
        <f>IF($G130=0,0,SUMPRODUCT($G127:$G129,H127:H129)/$G130)</f>
        <v>-6.31</v>
      </c>
      <c r="I130" s="324">
        <f>IF($G130=0,0,SUMPRODUCT($G127:$G129,I127:I129)/$G130)</f>
        <v>0</v>
      </c>
      <c r="J130" s="324">
        <f>IF($G130=0,0,SUMPRODUCT($G127:$G129,J127:J129)/$G130)</f>
        <v>36.6</v>
      </c>
      <c r="K130" s="324">
        <f>SUBTOTAL(9,K127:K129)</f>
        <v>0</v>
      </c>
      <c r="L130" s="324">
        <f>SUBTOTAL(9,L127:L129)</f>
        <v>0</v>
      </c>
      <c r="M130" s="444"/>
      <c r="O130" s="445" t="s">
        <v>540</v>
      </c>
      <c r="P130" s="446">
        <f t="shared" ref="P130:U130" si="14">G130</f>
        <v>200</v>
      </c>
      <c r="Q130" s="446">
        <f t="shared" si="14"/>
        <v>-6.31</v>
      </c>
      <c r="R130" s="446">
        <f t="shared" si="14"/>
        <v>0</v>
      </c>
      <c r="S130" s="446">
        <f t="shared" si="14"/>
        <v>36.6</v>
      </c>
      <c r="T130" s="446">
        <f t="shared" si="14"/>
        <v>0</v>
      </c>
      <c r="U130" s="447">
        <f t="shared" si="14"/>
        <v>0</v>
      </c>
    </row>
    <row r="131" spans="2:21" ht="15.95" customHeight="1" x14ac:dyDescent="0.2">
      <c r="B131" s="485"/>
      <c r="C131" s="452"/>
      <c r="D131" s="452"/>
      <c r="F131" s="452"/>
      <c r="G131" s="383"/>
      <c r="H131" s="452"/>
      <c r="I131" s="452"/>
      <c r="J131" s="452"/>
      <c r="K131" s="452"/>
      <c r="L131" s="452"/>
      <c r="M131" s="486"/>
    </row>
    <row r="132" spans="2:21" ht="15.95" customHeight="1" x14ac:dyDescent="0.2">
      <c r="B132" s="82"/>
      <c r="C132" s="242" t="s">
        <v>492</v>
      </c>
      <c r="D132" s="227"/>
      <c r="E132" s="228"/>
      <c r="F132" s="242"/>
      <c r="G132" s="227"/>
      <c r="H132" s="227"/>
      <c r="I132" s="227"/>
      <c r="J132" s="227"/>
      <c r="K132" s="227"/>
      <c r="L132" s="227"/>
      <c r="M132" s="274"/>
    </row>
    <row r="133" spans="2:21" ht="15.95" customHeight="1" x14ac:dyDescent="0.2">
      <c r="B133" s="230" t="s">
        <v>390</v>
      </c>
      <c r="C133" s="231" t="s">
        <v>391</v>
      </c>
      <c r="D133" s="232">
        <v>50</v>
      </c>
      <c r="E133" s="233">
        <v>1.73</v>
      </c>
      <c r="F133" s="234">
        <v>8</v>
      </c>
      <c r="G133" s="235">
        <f>+E133*F133*D133/100</f>
        <v>6.92</v>
      </c>
      <c r="H133" s="236">
        <v>0</v>
      </c>
      <c r="I133" s="236">
        <v>0</v>
      </c>
      <c r="J133" s="236">
        <v>37</v>
      </c>
      <c r="K133" s="236"/>
      <c r="L133" s="236"/>
      <c r="M133" s="273"/>
    </row>
    <row r="134" spans="2:21" ht="15.95" customHeight="1" x14ac:dyDescent="0.2">
      <c r="B134" s="230" t="s">
        <v>392</v>
      </c>
      <c r="C134" s="231" t="s">
        <v>391</v>
      </c>
      <c r="D134" s="232">
        <v>50</v>
      </c>
      <c r="E134" s="233">
        <v>1.73</v>
      </c>
      <c r="F134" s="234">
        <v>8</v>
      </c>
      <c r="G134" s="235">
        <f t="shared" ref="G134:G140" si="15">+E134*F134*D134/100</f>
        <v>6.92</v>
      </c>
      <c r="H134" s="236">
        <v>0</v>
      </c>
      <c r="I134" s="236">
        <v>0</v>
      </c>
      <c r="J134" s="236">
        <v>37</v>
      </c>
      <c r="K134" s="236"/>
      <c r="L134" s="236"/>
      <c r="M134" s="273"/>
    </row>
    <row r="135" spans="2:21" ht="15.95" customHeight="1" x14ac:dyDescent="0.2">
      <c r="B135" s="230" t="s">
        <v>342</v>
      </c>
      <c r="C135" s="231" t="s">
        <v>393</v>
      </c>
      <c r="D135" s="232">
        <v>50</v>
      </c>
      <c r="E135" s="233">
        <v>1.73</v>
      </c>
      <c r="F135" s="234">
        <v>16</v>
      </c>
      <c r="G135" s="235">
        <f t="shared" si="15"/>
        <v>13.84</v>
      </c>
      <c r="H135" s="236">
        <v>0</v>
      </c>
      <c r="I135" s="236">
        <v>0</v>
      </c>
      <c r="J135" s="236">
        <v>37</v>
      </c>
      <c r="K135" s="236"/>
      <c r="L135" s="236"/>
      <c r="M135" s="273"/>
    </row>
    <row r="136" spans="2:21" ht="15.95" customHeight="1" x14ac:dyDescent="0.2">
      <c r="B136" s="230" t="s">
        <v>344</v>
      </c>
      <c r="C136" s="231" t="s">
        <v>394</v>
      </c>
      <c r="D136" s="232">
        <v>50</v>
      </c>
      <c r="E136" s="233">
        <v>1.73</v>
      </c>
      <c r="F136" s="234">
        <v>12</v>
      </c>
      <c r="G136" s="235">
        <f t="shared" si="15"/>
        <v>10.38</v>
      </c>
      <c r="H136" s="236">
        <v>0</v>
      </c>
      <c r="I136" s="236">
        <v>0</v>
      </c>
      <c r="J136" s="236">
        <v>37</v>
      </c>
      <c r="K136" s="236"/>
      <c r="L136" s="236"/>
      <c r="M136" s="273"/>
    </row>
    <row r="137" spans="2:21" ht="15.95" customHeight="1" x14ac:dyDescent="0.2">
      <c r="B137" s="230" t="s">
        <v>342</v>
      </c>
      <c r="C137" s="231" t="s">
        <v>395</v>
      </c>
      <c r="D137" s="232">
        <v>50</v>
      </c>
      <c r="E137" s="233">
        <v>1.73</v>
      </c>
      <c r="F137" s="234">
        <v>16</v>
      </c>
      <c r="G137" s="235">
        <f t="shared" si="15"/>
        <v>13.84</v>
      </c>
      <c r="H137" s="236">
        <v>0</v>
      </c>
      <c r="I137" s="236">
        <v>0</v>
      </c>
      <c r="J137" s="236">
        <v>37</v>
      </c>
      <c r="K137" s="236"/>
      <c r="L137" s="236"/>
      <c r="M137" s="273"/>
    </row>
    <row r="138" spans="2:21" ht="15.95" customHeight="1" x14ac:dyDescent="0.2">
      <c r="B138" s="230" t="s">
        <v>344</v>
      </c>
      <c r="C138" s="231" t="s">
        <v>396</v>
      </c>
      <c r="D138" s="232">
        <v>50</v>
      </c>
      <c r="E138" s="233">
        <v>1.73</v>
      </c>
      <c r="F138" s="234">
        <v>16</v>
      </c>
      <c r="G138" s="235">
        <f t="shared" si="15"/>
        <v>13.84</v>
      </c>
      <c r="H138" s="236">
        <v>0</v>
      </c>
      <c r="I138" s="236">
        <v>0</v>
      </c>
      <c r="J138" s="236">
        <v>37</v>
      </c>
      <c r="K138" s="236"/>
      <c r="L138" s="236"/>
      <c r="M138" s="273"/>
    </row>
    <row r="139" spans="2:21" ht="15.95" customHeight="1" x14ac:dyDescent="0.2">
      <c r="B139" s="230" t="s">
        <v>344</v>
      </c>
      <c r="C139" s="231" t="s">
        <v>397</v>
      </c>
      <c r="D139" s="232">
        <v>50</v>
      </c>
      <c r="E139" s="233">
        <v>1.73</v>
      </c>
      <c r="F139" s="234">
        <v>2</v>
      </c>
      <c r="G139" s="235">
        <f t="shared" si="15"/>
        <v>1.73</v>
      </c>
      <c r="H139" s="236">
        <v>0</v>
      </c>
      <c r="I139" s="236">
        <v>0</v>
      </c>
      <c r="J139" s="236">
        <v>37</v>
      </c>
      <c r="K139" s="236"/>
      <c r="L139" s="236"/>
      <c r="M139" s="273"/>
    </row>
    <row r="140" spans="2:21" ht="15.95" customHeight="1" x14ac:dyDescent="0.2">
      <c r="B140" s="230" t="s">
        <v>398</v>
      </c>
      <c r="C140" s="231" t="s">
        <v>399</v>
      </c>
      <c r="D140" s="232">
        <v>50</v>
      </c>
      <c r="E140" s="233">
        <v>1.73</v>
      </c>
      <c r="F140" s="234">
        <v>16</v>
      </c>
      <c r="G140" s="235">
        <f t="shared" si="15"/>
        <v>13.84</v>
      </c>
      <c r="H140" s="236">
        <v>0</v>
      </c>
      <c r="I140" s="236">
        <v>0</v>
      </c>
      <c r="J140" s="236">
        <v>37</v>
      </c>
      <c r="K140" s="236"/>
      <c r="L140" s="236"/>
      <c r="M140" s="273"/>
    </row>
    <row r="141" spans="2:21" ht="15.95" customHeight="1" thickBot="1" x14ac:dyDescent="0.25">
      <c r="B141" s="255"/>
      <c r="C141" s="252"/>
      <c r="D141" s="278"/>
      <c r="E141" s="256"/>
      <c r="F141" s="272"/>
      <c r="G141" s="253"/>
      <c r="H141" s="250"/>
      <c r="I141" s="250"/>
      <c r="J141" s="250"/>
      <c r="K141" s="250"/>
      <c r="L141" s="250"/>
      <c r="M141" s="276"/>
    </row>
    <row r="142" spans="2:21" ht="15.95" customHeight="1" thickTop="1" x14ac:dyDescent="0.2">
      <c r="B142" s="318"/>
      <c r="C142" s="319"/>
      <c r="D142" s="320"/>
      <c r="E142" s="321"/>
      <c r="F142" s="322" t="s">
        <v>33</v>
      </c>
      <c r="G142" s="323">
        <f>SUBTOTAL(9,G133:G141)</f>
        <v>81.310000000000016</v>
      </c>
      <c r="H142" s="324">
        <f>IF($G142=0,0,SUMPRODUCT($G133:$G141,H133:H141)/$G142)</f>
        <v>0</v>
      </c>
      <c r="I142" s="324">
        <f>IF($G142=0,0,SUMPRODUCT($G133:$G141,I133:I141)/$G142)</f>
        <v>0</v>
      </c>
      <c r="J142" s="324">
        <f>IF($G142=0,0,SUMPRODUCT($G133:$G141,J133:J141)/$G142)</f>
        <v>36.999999999999993</v>
      </c>
      <c r="K142" s="324" t="s">
        <v>38</v>
      </c>
      <c r="L142" s="324" t="s">
        <v>38</v>
      </c>
      <c r="M142" s="444"/>
      <c r="O142" s="445" t="s">
        <v>541</v>
      </c>
      <c r="P142" s="446">
        <f t="shared" ref="P142:U142" si="16">G142</f>
        <v>81.310000000000016</v>
      </c>
      <c r="Q142" s="446">
        <f t="shared" si="16"/>
        <v>0</v>
      </c>
      <c r="R142" s="446">
        <f t="shared" si="16"/>
        <v>0</v>
      </c>
      <c r="S142" s="446">
        <f t="shared" si="16"/>
        <v>36.999999999999993</v>
      </c>
      <c r="T142" s="446" t="str">
        <f t="shared" si="16"/>
        <v>n/a</v>
      </c>
      <c r="U142" s="447" t="str">
        <f t="shared" si="16"/>
        <v>n/a</v>
      </c>
    </row>
    <row r="143" spans="2:21" ht="15.95" customHeight="1" x14ac:dyDescent="0.2">
      <c r="B143" s="485"/>
      <c r="C143" s="452"/>
      <c r="D143" s="452"/>
      <c r="F143" s="452"/>
      <c r="G143" s="383"/>
      <c r="H143" s="452"/>
      <c r="I143" s="452"/>
      <c r="J143" s="452"/>
      <c r="K143" s="452"/>
      <c r="L143" s="452"/>
      <c r="M143" s="486"/>
    </row>
    <row r="144" spans="2:21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</sheetData>
  <dataConsolidate/>
  <mergeCells count="15">
    <mergeCell ref="J7:J8"/>
    <mergeCell ref="O7:U7"/>
    <mergeCell ref="F7:F8"/>
    <mergeCell ref="G7:G8"/>
    <mergeCell ref="H7:H8"/>
    <mergeCell ref="I7:I8"/>
    <mergeCell ref="K7:K8"/>
    <mergeCell ref="L7:L8"/>
    <mergeCell ref="M7:M9"/>
    <mergeCell ref="D2:I3"/>
    <mergeCell ref="D4:I5"/>
    <mergeCell ref="B7:B9"/>
    <mergeCell ref="C7:C9"/>
    <mergeCell ref="D7:D8"/>
    <mergeCell ref="E7:E8"/>
  </mergeCells>
  <phoneticPr fontId="4" type="noConversion"/>
  <conditionalFormatting sqref="E142 E133:F141 E14:F16 E127:F129 E130 E122:F123 E110 F113:F118 E124 E118:E119 F103:F106 E106:E107 E93:F93 E99:F99 E100 E88:F89 E85 E81:F81 E90 E70:F71 E73:F77 E78 E53 E56 E58:F66 E50:F52 E47:E48 E39 E42 E44:F46 E35:F38 E32:E33 E24 E27 E29:F31 E20:F23 E17:E18 E12 E67">
    <cfRule type="expression" dxfId="46" priority="1" stopIfTrue="1">
      <formula>#REF!="B"</formula>
    </cfRule>
  </conditionalFormatting>
  <conditionalFormatting sqref="E11 E54:E55 E40:E41 E25:E26 E109">
    <cfRule type="expression" dxfId="45" priority="2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U692"/>
  <sheetViews>
    <sheetView zoomScale="85" zoomScaleNormal="85" zoomScaleSheetLayoutView="85" workbookViewId="0">
      <pane ySplit="10" topLeftCell="A35" activePane="bottomLeft" state="frozen"/>
      <selection activeCell="F41" sqref="F41:F43"/>
      <selection pane="bottomLeft" activeCell="D49" sqref="D49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558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548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529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54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5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17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6"/>
      <c r="G8" s="611"/>
      <c r="H8" s="611"/>
      <c r="I8" s="611"/>
      <c r="J8" s="611"/>
      <c r="K8" s="611"/>
      <c r="L8" s="611"/>
      <c r="M8" s="618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550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19"/>
      <c r="O9" s="417"/>
    </row>
    <row r="10" spans="2:21" ht="15.95" customHeight="1" thickTop="1" x14ac:dyDescent="0.2">
      <c r="B10" s="418"/>
      <c r="C10" s="419"/>
      <c r="D10" s="477"/>
      <c r="E10" s="419"/>
      <c r="F10" s="551"/>
      <c r="G10" s="419"/>
      <c r="H10" s="419"/>
      <c r="I10" s="419"/>
      <c r="J10" s="419"/>
      <c r="K10" s="419"/>
      <c r="L10" s="419"/>
      <c r="M10" s="420"/>
    </row>
    <row r="11" spans="2:21" s="429" customFormat="1" ht="15.95" customHeight="1" x14ac:dyDescent="0.2">
      <c r="B11" s="463"/>
      <c r="C11" s="470" t="s">
        <v>528</v>
      </c>
      <c r="D11" s="478"/>
      <c r="E11" s="465"/>
      <c r="F11" s="552"/>
      <c r="G11" s="467"/>
      <c r="H11" s="468"/>
      <c r="I11" s="468"/>
      <c r="J11" s="468"/>
      <c r="K11" s="468"/>
      <c r="L11" s="468"/>
      <c r="M11" s="469"/>
      <c r="N11" s="381"/>
      <c r="O11" s="445"/>
      <c r="P11" s="446"/>
      <c r="Q11" s="446"/>
      <c r="R11" s="446"/>
      <c r="S11" s="446"/>
      <c r="T11" s="446"/>
      <c r="U11" s="447"/>
    </row>
    <row r="12" spans="2:21" s="429" customFormat="1" ht="15.95" customHeight="1" x14ac:dyDescent="0.2">
      <c r="B12" s="59" t="s">
        <v>88</v>
      </c>
      <c r="C12" s="29" t="s">
        <v>456</v>
      </c>
      <c r="D12" s="316">
        <v>1</v>
      </c>
      <c r="E12" s="218">
        <v>1.0249999999999999</v>
      </c>
      <c r="F12" s="271">
        <f>(0.5*PI()*3.3^2*9+(11.1-3.3)*9*6.6)*$Q$3</f>
        <v>586.41006058970936</v>
      </c>
      <c r="G12" s="24">
        <f>E12*F12*D12</f>
        <v>601.070312104452</v>
      </c>
      <c r="H12" s="16">
        <v>-27.6</v>
      </c>
      <c r="I12" s="16">
        <v>13.5</v>
      </c>
      <c r="J12" s="16">
        <v>3.3</v>
      </c>
      <c r="K12" s="169">
        <v>0</v>
      </c>
      <c r="L12" s="169">
        <v>0</v>
      </c>
      <c r="M12" s="430"/>
      <c r="N12" s="381"/>
      <c r="O12" s="426"/>
      <c r="P12" s="427"/>
      <c r="Q12" s="427"/>
      <c r="R12" s="427"/>
      <c r="S12" s="427"/>
      <c r="T12" s="427"/>
      <c r="U12" s="428"/>
    </row>
    <row r="13" spans="2:21" s="429" customFormat="1" ht="15.95" customHeight="1" x14ac:dyDescent="0.2">
      <c r="B13" s="59" t="s">
        <v>90</v>
      </c>
      <c r="C13" s="29" t="s">
        <v>468</v>
      </c>
      <c r="D13" s="316">
        <v>1</v>
      </c>
      <c r="E13" s="218">
        <v>1.0249999999999999</v>
      </c>
      <c r="F13" s="271">
        <f t="shared" ref="F13:F15" si="0">(0.5*PI()*3.3^2*9+(11.1-3.3)*9*6.6)*$Q$3</f>
        <v>586.41006058970936</v>
      </c>
      <c r="G13" s="24">
        <f t="shared" ref="G13:G19" si="1">E13*F13*D13</f>
        <v>601.070312104452</v>
      </c>
      <c r="H13" s="16">
        <v>-27.6</v>
      </c>
      <c r="I13" s="16">
        <v>4.5</v>
      </c>
      <c r="J13" s="16">
        <v>3.3</v>
      </c>
      <c r="K13" s="169">
        <v>0</v>
      </c>
      <c r="L13" s="169">
        <v>0</v>
      </c>
      <c r="M13" s="430"/>
      <c r="N13" s="381"/>
      <c r="O13" s="426"/>
      <c r="P13" s="427"/>
      <c r="Q13" s="427"/>
      <c r="R13" s="427"/>
      <c r="S13" s="427"/>
      <c r="T13" s="427"/>
      <c r="U13" s="428"/>
    </row>
    <row r="14" spans="2:21" s="429" customFormat="1" ht="15.95" customHeight="1" x14ac:dyDescent="0.2">
      <c r="B14" s="59" t="s">
        <v>467</v>
      </c>
      <c r="C14" s="29" t="s">
        <v>469</v>
      </c>
      <c r="D14" s="316">
        <v>1</v>
      </c>
      <c r="E14" s="218">
        <v>1.0249999999999999</v>
      </c>
      <c r="F14" s="271">
        <f t="shared" si="0"/>
        <v>586.41006058970936</v>
      </c>
      <c r="G14" s="24">
        <f t="shared" si="1"/>
        <v>601.070312104452</v>
      </c>
      <c r="H14" s="16">
        <v>-27.6</v>
      </c>
      <c r="I14" s="16">
        <v>-4.5</v>
      </c>
      <c r="J14" s="16">
        <v>3.3</v>
      </c>
      <c r="K14" s="169">
        <v>0</v>
      </c>
      <c r="L14" s="169">
        <v>0</v>
      </c>
      <c r="M14" s="430"/>
      <c r="N14" s="381"/>
      <c r="O14" s="426"/>
      <c r="P14" s="427"/>
      <c r="Q14" s="427"/>
      <c r="R14" s="427"/>
      <c r="S14" s="427"/>
      <c r="T14" s="427"/>
      <c r="U14" s="428"/>
    </row>
    <row r="15" spans="2:21" s="429" customFormat="1" ht="15.95" customHeight="1" x14ac:dyDescent="0.2">
      <c r="B15" s="59" t="s">
        <v>114</v>
      </c>
      <c r="C15" s="29" t="s">
        <v>470</v>
      </c>
      <c r="D15" s="316">
        <v>1</v>
      </c>
      <c r="E15" s="218">
        <v>1.0249999999999999</v>
      </c>
      <c r="F15" s="271">
        <f t="shared" si="0"/>
        <v>586.41006058970936</v>
      </c>
      <c r="G15" s="24">
        <f t="shared" si="1"/>
        <v>601.070312104452</v>
      </c>
      <c r="H15" s="16">
        <v>-27.6</v>
      </c>
      <c r="I15" s="16">
        <v>-13.5</v>
      </c>
      <c r="J15" s="16">
        <v>3.3</v>
      </c>
      <c r="K15" s="169">
        <v>0</v>
      </c>
      <c r="L15" s="169">
        <v>0</v>
      </c>
      <c r="M15" s="430"/>
      <c r="N15" s="381"/>
      <c r="O15" s="426"/>
      <c r="P15" s="427"/>
      <c r="Q15" s="427"/>
      <c r="R15" s="427"/>
      <c r="S15" s="427"/>
      <c r="T15" s="427"/>
      <c r="U15" s="428"/>
    </row>
    <row r="16" spans="2:21" s="429" customFormat="1" ht="15.95" customHeight="1" x14ac:dyDescent="0.2">
      <c r="B16" s="59" t="s">
        <v>294</v>
      </c>
      <c r="C16" s="29" t="s">
        <v>474</v>
      </c>
      <c r="D16" s="316">
        <v>1</v>
      </c>
      <c r="E16" s="218">
        <v>1.0249999999999999</v>
      </c>
      <c r="F16" s="271">
        <f>((2.1*6.6-(1-1/4*PI())*3.3^2)*15+9*15*2.1)*$Q$3</f>
        <v>433.52755049142451</v>
      </c>
      <c r="G16" s="24">
        <f t="shared" si="1"/>
        <v>444.3657392537101</v>
      </c>
      <c r="H16" s="16">
        <v>-31.6</v>
      </c>
      <c r="I16" s="16">
        <v>33.700000000000003</v>
      </c>
      <c r="J16" s="16">
        <v>2.5</v>
      </c>
      <c r="K16" s="169">
        <v>0</v>
      </c>
      <c r="L16" s="169">
        <v>0</v>
      </c>
      <c r="M16" s="430"/>
      <c r="N16" s="381"/>
      <c r="O16" s="426"/>
      <c r="P16" s="427"/>
      <c r="Q16" s="427"/>
      <c r="R16" s="427"/>
      <c r="S16" s="427"/>
      <c r="T16" s="427"/>
      <c r="U16" s="428"/>
    </row>
    <row r="17" spans="2:21" s="429" customFormat="1" ht="15.95" customHeight="1" x14ac:dyDescent="0.2">
      <c r="B17" s="58" t="s">
        <v>299</v>
      </c>
      <c r="C17" s="56" t="s">
        <v>476</v>
      </c>
      <c r="D17" s="316">
        <v>1</v>
      </c>
      <c r="E17" s="218">
        <v>1.0249999999999999</v>
      </c>
      <c r="F17" s="271">
        <f>(0.5*PI()*3.3^2*8.4+(9+1.5-1.8-3.3)*8.4*6.6)*$Q$3</f>
        <v>420.91285655039542</v>
      </c>
      <c r="G17" s="24">
        <f t="shared" si="1"/>
        <v>431.43567796415527</v>
      </c>
      <c r="H17" s="16">
        <v>-16.8</v>
      </c>
      <c r="I17" s="16">
        <v>23.22</v>
      </c>
      <c r="J17" s="16">
        <v>3.3</v>
      </c>
      <c r="K17" s="169">
        <v>0</v>
      </c>
      <c r="L17" s="169">
        <v>0</v>
      </c>
      <c r="M17" s="430"/>
      <c r="N17" s="381"/>
      <c r="O17" s="426"/>
      <c r="P17" s="427"/>
      <c r="Q17" s="427"/>
      <c r="R17" s="427"/>
      <c r="S17" s="427"/>
      <c r="T17" s="427"/>
      <c r="U17" s="428"/>
    </row>
    <row r="18" spans="2:21" s="429" customFormat="1" ht="15.95" customHeight="1" x14ac:dyDescent="0.2">
      <c r="B18" s="59" t="s">
        <v>295</v>
      </c>
      <c r="C18" s="29" t="s">
        <v>475</v>
      </c>
      <c r="D18" s="316">
        <v>1</v>
      </c>
      <c r="E18" s="218">
        <v>1.0249999999999999</v>
      </c>
      <c r="F18" s="271">
        <f>((2.1*6.6-(1-1/4*PI())*3.3^2)*15+9*15*2.1)*$Q$3</f>
        <v>433.52755049142451</v>
      </c>
      <c r="G18" s="24">
        <f t="shared" si="1"/>
        <v>444.3657392537101</v>
      </c>
      <c r="H18" s="16">
        <v>-31.6</v>
      </c>
      <c r="I18" s="16">
        <v>-33.700000000000003</v>
      </c>
      <c r="J18" s="16">
        <v>2.5</v>
      </c>
      <c r="K18" s="169">
        <v>0</v>
      </c>
      <c r="L18" s="169">
        <v>0</v>
      </c>
      <c r="M18" s="430"/>
      <c r="N18" s="381"/>
      <c r="O18" s="445"/>
      <c r="P18" s="446"/>
      <c r="Q18" s="446"/>
      <c r="R18" s="446"/>
      <c r="S18" s="446"/>
      <c r="T18" s="446"/>
      <c r="U18" s="447"/>
    </row>
    <row r="19" spans="2:21" s="429" customFormat="1" ht="15.95" customHeight="1" x14ac:dyDescent="0.2">
      <c r="B19" s="59" t="s">
        <v>300</v>
      </c>
      <c r="C19" s="56" t="s">
        <v>477</v>
      </c>
      <c r="D19" s="316">
        <v>1</v>
      </c>
      <c r="E19" s="218">
        <v>1.0249999999999999</v>
      </c>
      <c r="F19" s="271">
        <f>(0.5*PI()*3.3^2*8.4+(9+1.5-1.8-3.3)*8.4*6.6)*$Q$3</f>
        <v>420.91285655039542</v>
      </c>
      <c r="G19" s="24">
        <f t="shared" si="1"/>
        <v>431.43567796415527</v>
      </c>
      <c r="H19" s="16">
        <v>-16.8</v>
      </c>
      <c r="I19" s="16">
        <v>-23.22</v>
      </c>
      <c r="J19" s="16">
        <v>3.3</v>
      </c>
      <c r="K19" s="169">
        <v>0</v>
      </c>
      <c r="L19" s="169">
        <v>0</v>
      </c>
      <c r="M19" s="430"/>
      <c r="N19" s="381"/>
      <c r="O19" s="426"/>
      <c r="P19" s="427"/>
      <c r="Q19" s="427"/>
      <c r="R19" s="427"/>
      <c r="S19" s="427"/>
      <c r="T19" s="427"/>
      <c r="U19" s="428"/>
    </row>
    <row r="20" spans="2:21" s="429" customFormat="1" ht="15.95" customHeight="1" thickBot="1" x14ac:dyDescent="0.25">
      <c r="B20" s="431"/>
      <c r="C20" s="432"/>
      <c r="D20" s="316"/>
      <c r="E20" s="433"/>
      <c r="F20" s="434"/>
      <c r="G20" s="435"/>
      <c r="H20" s="436"/>
      <c r="I20" s="436"/>
      <c r="J20" s="436"/>
      <c r="K20" s="436"/>
      <c r="L20" s="436"/>
      <c r="M20" s="437"/>
      <c r="N20" s="454"/>
      <c r="O20" s="426"/>
      <c r="P20" s="427"/>
      <c r="Q20" s="427"/>
      <c r="R20" s="427"/>
      <c r="S20" s="427"/>
      <c r="T20" s="427"/>
      <c r="U20" s="428"/>
    </row>
    <row r="21" spans="2:21" s="429" customFormat="1" ht="15.95" customHeight="1" thickTop="1" x14ac:dyDescent="0.2">
      <c r="B21" s="438"/>
      <c r="C21" s="439"/>
      <c r="D21" s="479"/>
      <c r="E21" s="440"/>
      <c r="F21" s="553" t="s">
        <v>33</v>
      </c>
      <c r="G21" s="442">
        <f>SUBTOTAL(9,G12:G20)</f>
        <v>4155.8840828535394</v>
      </c>
      <c r="H21" s="443">
        <f>IF($G21=0,0,SUMPRODUCT($G12:$G20,H12:H20)/$G21)</f>
        <v>-26.21303043706688</v>
      </c>
      <c r="I21" s="443">
        <f>IF($G21=0,0,SUMPRODUCT($G12:$G20,I12:I20)/$G21)</f>
        <v>-4.3769012014812752E-16</v>
      </c>
      <c r="J21" s="443">
        <f>IF($G21=0,0,SUMPRODUCT($G12:$G20,J12:J20)/$G21)</f>
        <v>3.1289208340195667</v>
      </c>
      <c r="K21" s="443">
        <f>SUBTOTAL(9,K12:K20)</f>
        <v>0</v>
      </c>
      <c r="L21" s="443">
        <f>SUBTOTAL(9,L12:L20)</f>
        <v>0</v>
      </c>
      <c r="M21" s="444"/>
      <c r="N21" s="454"/>
      <c r="O21" s="445" t="s">
        <v>563</v>
      </c>
      <c r="P21" s="446">
        <f t="shared" ref="P21:U21" si="2">G21</f>
        <v>4155.8840828535394</v>
      </c>
      <c r="Q21" s="446">
        <f t="shared" si="2"/>
        <v>-26.21303043706688</v>
      </c>
      <c r="R21" s="446">
        <f t="shared" si="2"/>
        <v>-4.3769012014812752E-16</v>
      </c>
      <c r="S21" s="446">
        <f t="shared" si="2"/>
        <v>3.1289208340195667</v>
      </c>
      <c r="T21" s="446">
        <f t="shared" si="2"/>
        <v>0</v>
      </c>
      <c r="U21" s="447">
        <f t="shared" si="2"/>
        <v>0</v>
      </c>
    </row>
    <row r="22" spans="2:21" s="429" customFormat="1" ht="15.95" customHeight="1" x14ac:dyDescent="0.2">
      <c r="B22" s="456"/>
      <c r="C22" s="448"/>
      <c r="D22" s="480"/>
      <c r="E22" s="449"/>
      <c r="F22" s="554"/>
      <c r="G22" s="461"/>
      <c r="H22" s="462"/>
      <c r="I22" s="462"/>
      <c r="J22" s="462"/>
      <c r="K22" s="462"/>
      <c r="L22" s="462"/>
      <c r="M22" s="460"/>
      <c r="N22" s="454"/>
      <c r="O22" s="426"/>
      <c r="P22" s="427"/>
      <c r="Q22" s="427"/>
      <c r="R22" s="427"/>
      <c r="S22" s="427"/>
      <c r="T22" s="427"/>
      <c r="U22" s="428"/>
    </row>
    <row r="23" spans="2:21" s="429" customFormat="1" ht="15.95" customHeight="1" x14ac:dyDescent="0.2">
      <c r="B23" s="463"/>
      <c r="C23" s="470" t="s">
        <v>544</v>
      </c>
      <c r="D23" s="478"/>
      <c r="E23" s="465"/>
      <c r="F23" s="552"/>
      <c r="G23" s="467"/>
      <c r="H23" s="468"/>
      <c r="I23" s="468"/>
      <c r="J23" s="468"/>
      <c r="K23" s="468"/>
      <c r="L23" s="468"/>
      <c r="M23" s="469"/>
      <c r="N23" s="454"/>
      <c r="O23" s="426"/>
      <c r="P23" s="427"/>
      <c r="Q23" s="427"/>
      <c r="R23" s="427"/>
      <c r="S23" s="427"/>
      <c r="T23" s="427"/>
      <c r="U23" s="428"/>
    </row>
    <row r="24" spans="2:21" ht="15.95" customHeight="1" x14ac:dyDescent="0.2">
      <c r="B24" s="59" t="s">
        <v>471</v>
      </c>
      <c r="C24" s="29" t="s">
        <v>288</v>
      </c>
      <c r="D24" s="316">
        <v>1</v>
      </c>
      <c r="E24" s="218">
        <v>1.0249999999999999</v>
      </c>
      <c r="F24" s="271">
        <f>9*(0.5*PI()*3.3^2+(12-3.3)*6.6)*$Q$3</f>
        <v>637.19706058970939</v>
      </c>
      <c r="G24" s="24">
        <f>E24*F24*D24</f>
        <v>653.12698710445204</v>
      </c>
      <c r="H24" s="16">
        <v>-2.94</v>
      </c>
      <c r="I24" s="16">
        <v>29.71</v>
      </c>
      <c r="J24" s="16">
        <v>3.3</v>
      </c>
      <c r="K24" s="169">
        <v>0</v>
      </c>
      <c r="L24" s="169">
        <v>0</v>
      </c>
      <c r="M24" s="273" t="s">
        <v>407</v>
      </c>
    </row>
    <row r="25" spans="2:21" ht="15.95" customHeight="1" x14ac:dyDescent="0.2">
      <c r="B25" s="58" t="s">
        <v>472</v>
      </c>
      <c r="C25" s="56" t="s">
        <v>503</v>
      </c>
      <c r="D25" s="316">
        <v>1</v>
      </c>
      <c r="E25" s="218">
        <v>1.0249999999999999</v>
      </c>
      <c r="F25" s="271">
        <f>9*(0.5*PI()*3.3^2+(12-3.3)*6.6)*$Q$3</f>
        <v>637.19706058970939</v>
      </c>
      <c r="G25" s="24">
        <f>E25*F25*D25</f>
        <v>653.12698710445204</v>
      </c>
      <c r="H25" s="16">
        <v>5.3</v>
      </c>
      <c r="I25" s="16">
        <v>26.17</v>
      </c>
      <c r="J25" s="16">
        <v>3.3</v>
      </c>
      <c r="K25" s="169">
        <v>0</v>
      </c>
      <c r="L25" s="169">
        <v>0</v>
      </c>
      <c r="M25" s="273" t="s">
        <v>407</v>
      </c>
    </row>
    <row r="26" spans="2:21" ht="15.95" customHeight="1" x14ac:dyDescent="0.2">
      <c r="B26" s="59" t="s">
        <v>94</v>
      </c>
      <c r="C26" s="29" t="s">
        <v>502</v>
      </c>
      <c r="D26" s="316">
        <v>1</v>
      </c>
      <c r="E26" s="218">
        <v>1.0249999999999999</v>
      </c>
      <c r="F26" s="271">
        <f>10.8*(0.5*PI()*3.3^2+(12-3.3)*6.6)*$Q$3</f>
        <v>764.63647270765125</v>
      </c>
      <c r="G26" s="24">
        <f>E26*F26*D26</f>
        <v>783.75238452534245</v>
      </c>
      <c r="H26" s="16">
        <v>21.05</v>
      </c>
      <c r="I26" s="16">
        <v>19.434999999999999</v>
      </c>
      <c r="J26" s="16">
        <v>3.3</v>
      </c>
      <c r="K26" s="169">
        <v>0</v>
      </c>
      <c r="L26" s="169">
        <v>0</v>
      </c>
      <c r="M26" s="273" t="s">
        <v>407</v>
      </c>
    </row>
    <row r="27" spans="2:21" ht="15.95" customHeight="1" x14ac:dyDescent="0.2">
      <c r="B27" s="58" t="s">
        <v>292</v>
      </c>
      <c r="C27" s="56" t="s">
        <v>478</v>
      </c>
      <c r="D27" s="316">
        <v>1</v>
      </c>
      <c r="E27" s="218">
        <v>1.0249999999999999</v>
      </c>
      <c r="F27" s="271">
        <f>7.2*(0.5*PI()*3.3^2+(12-3.3)*6.6)*$Q$3</f>
        <v>509.75764847176754</v>
      </c>
      <c r="G27" s="24">
        <f>E27*F27*D27</f>
        <v>522.50158968356163</v>
      </c>
      <c r="H27" s="16">
        <v>47</v>
      </c>
      <c r="I27" s="16">
        <v>7</v>
      </c>
      <c r="J27" s="16">
        <v>3.3</v>
      </c>
      <c r="K27" s="169">
        <v>0</v>
      </c>
      <c r="L27" s="169">
        <v>0</v>
      </c>
      <c r="M27" s="273" t="s">
        <v>316</v>
      </c>
    </row>
    <row r="28" spans="2:21" ht="15.95" customHeight="1" thickBot="1" x14ac:dyDescent="0.25">
      <c r="B28" s="255"/>
      <c r="C28" s="252"/>
      <c r="D28" s="316"/>
      <c r="E28" s="256"/>
      <c r="F28" s="272"/>
      <c r="G28" s="253"/>
      <c r="H28" s="250"/>
      <c r="I28" s="250"/>
      <c r="J28" s="250"/>
      <c r="K28" s="250"/>
      <c r="L28" s="250"/>
      <c r="M28" s="276"/>
    </row>
    <row r="29" spans="2:21" ht="15.95" customHeight="1" thickTop="1" x14ac:dyDescent="0.2">
      <c r="B29" s="318"/>
      <c r="C29" s="319"/>
      <c r="D29" s="481"/>
      <c r="E29" s="321"/>
      <c r="F29" s="555" t="s">
        <v>33</v>
      </c>
      <c r="G29" s="323">
        <f>SUBTOTAL(9,G24:G28)</f>
        <v>2612.5079484178082</v>
      </c>
      <c r="H29" s="324">
        <f>IF($G29=0,0,SUMPRODUCT($G24:$G28,H24:H28)/$G29)</f>
        <v>16.305</v>
      </c>
      <c r="I29" s="324">
        <f>IF($G29=0,0,SUMPRODUCT($G24:$G28,I24:I28)/$G29)</f>
        <v>21.200499999999998</v>
      </c>
      <c r="J29" s="324">
        <f>IF($G29=0,0,SUMPRODUCT($G24:$G28,J24:J28)/$G29)</f>
        <v>3.3</v>
      </c>
      <c r="K29" s="324">
        <f>SUBTOTAL(9,K24:K28)</f>
        <v>0</v>
      </c>
      <c r="L29" s="324">
        <f>SUBTOTAL(9,L24:L28)</f>
        <v>0</v>
      </c>
      <c r="M29" s="444"/>
      <c r="N29" s="454"/>
      <c r="O29" s="445" t="s">
        <v>532</v>
      </c>
      <c r="P29" s="446">
        <f t="shared" ref="P29:U29" si="3">G29</f>
        <v>2612.5079484178082</v>
      </c>
      <c r="Q29" s="446">
        <f t="shared" si="3"/>
        <v>16.305</v>
      </c>
      <c r="R29" s="446">
        <f t="shared" si="3"/>
        <v>21.200499999999998</v>
      </c>
      <c r="S29" s="446">
        <f t="shared" si="3"/>
        <v>3.3</v>
      </c>
      <c r="T29" s="446">
        <f t="shared" si="3"/>
        <v>0</v>
      </c>
      <c r="U29" s="447">
        <f t="shared" si="3"/>
        <v>0</v>
      </c>
    </row>
    <row r="30" spans="2:21" ht="15.95" customHeight="1" x14ac:dyDescent="0.2">
      <c r="B30" s="456"/>
      <c r="C30" s="448"/>
      <c r="D30" s="480"/>
      <c r="E30" s="449"/>
      <c r="F30" s="556"/>
      <c r="G30" s="473"/>
      <c r="H30" s="474"/>
      <c r="I30" s="474"/>
      <c r="J30" s="474"/>
      <c r="K30" s="474"/>
      <c r="L30" s="474"/>
      <c r="M30" s="460"/>
    </row>
    <row r="31" spans="2:21" ht="15.95" customHeight="1" x14ac:dyDescent="0.2">
      <c r="B31" s="463"/>
      <c r="C31" s="470" t="s">
        <v>545</v>
      </c>
      <c r="D31" s="478"/>
      <c r="E31" s="465"/>
      <c r="F31" s="552"/>
      <c r="G31" s="467"/>
      <c r="H31" s="468"/>
      <c r="I31" s="468"/>
      <c r="J31" s="468"/>
      <c r="K31" s="468"/>
      <c r="L31" s="468"/>
      <c r="M31" s="469"/>
    </row>
    <row r="32" spans="2:21" ht="15.95" customHeight="1" x14ac:dyDescent="0.2">
      <c r="B32" s="59" t="s">
        <v>108</v>
      </c>
      <c r="C32" s="29" t="s">
        <v>479</v>
      </c>
      <c r="D32" s="317">
        <v>1</v>
      </c>
      <c r="E32" s="218">
        <v>1.0249999999999999</v>
      </c>
      <c r="F32" s="271">
        <f>7.2*(0.5*PI()*3.3^2+(12-3.3)*6.6)*$Q$3</f>
        <v>509.75764847176754</v>
      </c>
      <c r="G32" s="24">
        <f>E32*F32*D32</f>
        <v>522.50158968356163</v>
      </c>
      <c r="H32" s="16">
        <v>29.32</v>
      </c>
      <c r="I32" s="16">
        <v>15.9</v>
      </c>
      <c r="J32" s="16">
        <v>3.3</v>
      </c>
      <c r="K32" s="169">
        <v>0</v>
      </c>
      <c r="L32" s="169">
        <v>0</v>
      </c>
      <c r="M32" s="273"/>
    </row>
    <row r="33" spans="2:21" ht="15.95" customHeight="1" x14ac:dyDescent="0.2">
      <c r="B33" s="59" t="s">
        <v>473</v>
      </c>
      <c r="C33" s="29" t="s">
        <v>291</v>
      </c>
      <c r="D33" s="317">
        <v>1</v>
      </c>
      <c r="E33" s="218">
        <v>1.0249999999999999</v>
      </c>
      <c r="F33" s="271">
        <f>9*(0.5*PI()*3.3^2+(12-3.3)*6.6)*$Q$3</f>
        <v>637.19706058970939</v>
      </c>
      <c r="G33" s="24">
        <f>E33*F33*D33</f>
        <v>653.12698710445204</v>
      </c>
      <c r="H33" s="16">
        <v>-2.94</v>
      </c>
      <c r="I33" s="16">
        <v>-29.71</v>
      </c>
      <c r="J33" s="16">
        <v>3.3</v>
      </c>
      <c r="K33" s="169">
        <v>0</v>
      </c>
      <c r="L33" s="169">
        <v>0</v>
      </c>
      <c r="M33" s="273"/>
    </row>
    <row r="34" spans="2:21" ht="15.95" customHeight="1" x14ac:dyDescent="0.2">
      <c r="B34" s="58" t="s">
        <v>120</v>
      </c>
      <c r="C34" s="56" t="s">
        <v>290</v>
      </c>
      <c r="D34" s="317">
        <v>1</v>
      </c>
      <c r="E34" s="218">
        <v>1.0249999999999999</v>
      </c>
      <c r="F34" s="271">
        <f>9*(0.5*PI()*3.3^2+(12-3.3)*6.6)*$Q$3</f>
        <v>637.19706058970939</v>
      </c>
      <c r="G34" s="24">
        <f>E34*F34*D34</f>
        <v>653.12698710445204</v>
      </c>
      <c r="H34" s="16">
        <v>5.3</v>
      </c>
      <c r="I34" s="16">
        <v>-26.17</v>
      </c>
      <c r="J34" s="16">
        <v>3.3</v>
      </c>
      <c r="K34" s="169">
        <v>0</v>
      </c>
      <c r="L34" s="169">
        <v>0</v>
      </c>
      <c r="M34" s="273"/>
    </row>
    <row r="35" spans="2:21" ht="15.95" customHeight="1" x14ac:dyDescent="0.2">
      <c r="B35" s="59" t="s">
        <v>112</v>
      </c>
      <c r="C35" s="29" t="s">
        <v>289</v>
      </c>
      <c r="D35" s="317">
        <v>1</v>
      </c>
      <c r="E35" s="218">
        <v>1.0249999999999999</v>
      </c>
      <c r="F35" s="271">
        <f>10.8*(0.5*PI()*3.3^2+(12-3.3)*6.6)*$Q$3</f>
        <v>764.63647270765125</v>
      </c>
      <c r="G35" s="24">
        <f>E35*F35*D35</f>
        <v>783.75238452534245</v>
      </c>
      <c r="H35" s="16">
        <v>21.05</v>
      </c>
      <c r="I35" s="16">
        <v>-19.434999999999999</v>
      </c>
      <c r="J35" s="16">
        <v>3.3</v>
      </c>
      <c r="K35" s="169">
        <v>0</v>
      </c>
      <c r="L35" s="169">
        <v>0</v>
      </c>
      <c r="M35" s="273"/>
    </row>
    <row r="36" spans="2:21" ht="15.95" customHeight="1" x14ac:dyDescent="0.2">
      <c r="B36" s="58" t="s">
        <v>293</v>
      </c>
      <c r="C36" s="56" t="s">
        <v>478</v>
      </c>
      <c r="D36" s="317">
        <v>1</v>
      </c>
      <c r="E36" s="218">
        <v>1.0249999999999999</v>
      </c>
      <c r="F36" s="271">
        <f>((47+33.1)*6.6*0.5+8.1*16.2*2.1)*$Q$3</f>
        <v>512.89740000000006</v>
      </c>
      <c r="G36" s="24">
        <f>E36*F36*D36</f>
        <v>525.71983499999999</v>
      </c>
      <c r="H36" s="16">
        <v>47</v>
      </c>
      <c r="I36" s="16">
        <v>-7</v>
      </c>
      <c r="J36" s="16">
        <v>3.3</v>
      </c>
      <c r="K36" s="169">
        <v>0</v>
      </c>
      <c r="L36" s="169">
        <v>0</v>
      </c>
      <c r="M36" s="273" t="s">
        <v>509</v>
      </c>
    </row>
    <row r="37" spans="2:21" ht="15.95" customHeight="1" thickBot="1" x14ac:dyDescent="0.25">
      <c r="B37" s="255"/>
      <c r="C37" s="252"/>
      <c r="D37" s="316"/>
      <c r="E37" s="256"/>
      <c r="F37" s="272"/>
      <c r="G37" s="253"/>
      <c r="H37" s="250"/>
      <c r="I37" s="250"/>
      <c r="J37" s="250"/>
      <c r="K37" s="250"/>
      <c r="L37" s="250"/>
      <c r="M37" s="276"/>
    </row>
    <row r="38" spans="2:21" ht="15.95" customHeight="1" thickTop="1" x14ac:dyDescent="0.2">
      <c r="B38" s="318"/>
      <c r="C38" s="319"/>
      <c r="D38" s="481"/>
      <c r="E38" s="321"/>
      <c r="F38" s="555" t="s">
        <v>33</v>
      </c>
      <c r="G38" s="323">
        <f>SUBTOTAL(9,G32:G37)</f>
        <v>3138.2277834178076</v>
      </c>
      <c r="H38" s="324">
        <f>IF($G38=0,0,SUMPRODUCT($G32:$G37,H32:H37)/$G38)</f>
        <v>18.503419842617628</v>
      </c>
      <c r="I38" s="324">
        <f>IF($G38=0,0,SUMPRODUCT($G32:$G37,I32:I37)/$G38)</f>
        <v>-15.008861832961273</v>
      </c>
      <c r="J38" s="324">
        <f>IF($G38=0,0,SUMPRODUCT($G32:$G37,J32:J37)/$G38)</f>
        <v>3.3000000000000003</v>
      </c>
      <c r="K38" s="324">
        <f>SUBTOTAL(9,K32:K37)</f>
        <v>0</v>
      </c>
      <c r="L38" s="324">
        <f>SUBTOTAL(9,L32:L37)</f>
        <v>0</v>
      </c>
      <c r="M38" s="444"/>
      <c r="N38" s="454"/>
      <c r="O38" s="445" t="s">
        <v>559</v>
      </c>
      <c r="P38" s="446">
        <f t="shared" ref="P38:U38" si="4">G38</f>
        <v>3138.2277834178076</v>
      </c>
      <c r="Q38" s="446">
        <f t="shared" si="4"/>
        <v>18.503419842617628</v>
      </c>
      <c r="R38" s="446">
        <f t="shared" si="4"/>
        <v>-15.008861832961273</v>
      </c>
      <c r="S38" s="446">
        <f t="shared" si="4"/>
        <v>3.3000000000000003</v>
      </c>
      <c r="T38" s="446">
        <f t="shared" si="4"/>
        <v>0</v>
      </c>
      <c r="U38" s="447">
        <f t="shared" si="4"/>
        <v>0</v>
      </c>
    </row>
    <row r="39" spans="2:21" ht="15.95" customHeight="1" x14ac:dyDescent="0.2">
      <c r="B39" s="243"/>
      <c r="C39" s="244"/>
      <c r="D39" s="482"/>
      <c r="E39" s="246"/>
      <c r="F39" s="557"/>
      <c r="G39" s="247"/>
      <c r="H39" s="248"/>
      <c r="I39" s="248"/>
      <c r="J39" s="248"/>
      <c r="K39" s="248"/>
      <c r="L39" s="248"/>
      <c r="M39" s="282"/>
    </row>
    <row r="40" spans="2:21" ht="15.95" customHeight="1" x14ac:dyDescent="0.2">
      <c r="B40" s="463"/>
      <c r="C40" s="470" t="s">
        <v>548</v>
      </c>
      <c r="D40" s="478"/>
      <c r="E40" s="465"/>
      <c r="F40" s="552"/>
      <c r="G40" s="467"/>
      <c r="H40" s="468"/>
      <c r="I40" s="468"/>
      <c r="J40" s="468"/>
      <c r="K40" s="468"/>
      <c r="L40" s="468"/>
      <c r="M40" s="469"/>
    </row>
    <row r="41" spans="2:21" ht="15.95" customHeight="1" x14ac:dyDescent="0.2">
      <c r="B41" s="58" t="s">
        <v>302</v>
      </c>
      <c r="C41" s="56" t="s">
        <v>451</v>
      </c>
      <c r="D41" s="316">
        <v>0.35</v>
      </c>
      <c r="E41" s="218">
        <v>1.0249999999999999</v>
      </c>
      <c r="F41" s="271">
        <f>(18*(1.8+1.8)+(1.8+1.8)*(15-(3.6+1.8)))*(15-6.6)*$Q$3</f>
        <v>792.89279999999997</v>
      </c>
      <c r="G41" s="24">
        <f>E41*F41*D41</f>
        <v>284.45029199999993</v>
      </c>
      <c r="H41" s="16">
        <v>-15.1</v>
      </c>
      <c r="I41" s="16">
        <v>25.64</v>
      </c>
      <c r="J41" s="16">
        <v>10.8</v>
      </c>
      <c r="K41" s="16">
        <v>4</v>
      </c>
      <c r="L41" s="16">
        <v>5</v>
      </c>
      <c r="M41" s="312"/>
    </row>
    <row r="42" spans="2:21" ht="15.95" customHeight="1" x14ac:dyDescent="0.2">
      <c r="B42" s="59" t="s">
        <v>304</v>
      </c>
      <c r="C42" s="30" t="s">
        <v>452</v>
      </c>
      <c r="D42" s="316">
        <v>0</v>
      </c>
      <c r="E42" s="218">
        <v>1.0249999999999999</v>
      </c>
      <c r="F42" s="271">
        <f>2*2*16.2*8*0.95</f>
        <v>492.47999999999996</v>
      </c>
      <c r="G42" s="24">
        <f t="shared" ref="G42:G43" si="5">E42*F42*D42</f>
        <v>0</v>
      </c>
      <c r="H42" s="16">
        <v>-34</v>
      </c>
      <c r="I42" s="16">
        <v>41.4</v>
      </c>
      <c r="J42" s="16">
        <v>19</v>
      </c>
      <c r="K42" s="9">
        <v>4</v>
      </c>
      <c r="L42" s="9">
        <v>5</v>
      </c>
      <c r="M42" s="313"/>
    </row>
    <row r="43" spans="2:21" ht="15.95" customHeight="1" x14ac:dyDescent="0.2">
      <c r="B43" s="559" t="s">
        <v>576</v>
      </c>
      <c r="C43" s="56" t="s">
        <v>451</v>
      </c>
      <c r="D43" s="316">
        <v>0.3</v>
      </c>
      <c r="E43" s="218">
        <v>1.0249999999999999</v>
      </c>
      <c r="F43" s="271">
        <f>(18*(1.8+1.8)+(1.8+1.8)*(15-(3.6+1.8)))*(23-15)*$Q$3</f>
        <v>755.13599999999997</v>
      </c>
      <c r="G43" s="24">
        <f t="shared" si="5"/>
        <v>232.20431999999997</v>
      </c>
      <c r="H43" s="16">
        <v>-15.1</v>
      </c>
      <c r="I43" s="16">
        <v>25.64</v>
      </c>
      <c r="J43" s="16">
        <v>19</v>
      </c>
      <c r="K43" s="16">
        <v>4</v>
      </c>
      <c r="L43" s="16">
        <v>5</v>
      </c>
      <c r="M43" s="560"/>
    </row>
    <row r="44" spans="2:21" ht="15.95" customHeight="1" thickBot="1" x14ac:dyDescent="0.25">
      <c r="B44" s="255"/>
      <c r="C44" s="252"/>
      <c r="D44" s="316"/>
      <c r="E44" s="256"/>
      <c r="F44" s="272"/>
      <c r="G44" s="253"/>
      <c r="H44" s="250"/>
      <c r="I44" s="250"/>
      <c r="J44" s="250"/>
      <c r="K44" s="250"/>
      <c r="L44" s="250"/>
      <c r="M44" s="276"/>
    </row>
    <row r="45" spans="2:21" ht="15.95" customHeight="1" thickTop="1" x14ac:dyDescent="0.2">
      <c r="B45" s="318"/>
      <c r="C45" s="319"/>
      <c r="D45" s="481"/>
      <c r="E45" s="321"/>
      <c r="F45" s="555" t="s">
        <v>33</v>
      </c>
      <c r="G45" s="323">
        <f>SUBTOTAL(9,G41:G44)</f>
        <v>516.65461199999993</v>
      </c>
      <c r="H45" s="324">
        <f>IF($G45=0,0,SUMPRODUCT($G41:$G44,H41:H44)/$G45)</f>
        <v>-15.099999999999998</v>
      </c>
      <c r="I45" s="324">
        <f>IF($G45=0,0,SUMPRODUCT($G41:$G44,I41:I44)/$G45)</f>
        <v>25.639999999999997</v>
      </c>
      <c r="J45" s="324">
        <f>IF($G45=0,0,SUMPRODUCT($G41:$G44,J41:J44)/$G45)</f>
        <v>14.485393258426967</v>
      </c>
      <c r="K45" s="324">
        <f>SUBTOTAL(9,K41:K44)</f>
        <v>12</v>
      </c>
      <c r="L45" s="324">
        <f>SUBTOTAL(9,L41:L44)</f>
        <v>15</v>
      </c>
      <c r="M45" s="444"/>
      <c r="N45" s="454"/>
      <c r="O45" s="445" t="s">
        <v>560</v>
      </c>
      <c r="P45" s="446">
        <f t="shared" ref="P45:U45" si="6">G45</f>
        <v>516.65461199999993</v>
      </c>
      <c r="Q45" s="446">
        <f t="shared" si="6"/>
        <v>-15.099999999999998</v>
      </c>
      <c r="R45" s="446">
        <f t="shared" si="6"/>
        <v>25.639999999999997</v>
      </c>
      <c r="S45" s="446">
        <f t="shared" si="6"/>
        <v>14.485393258426967</v>
      </c>
      <c r="T45" s="446">
        <f t="shared" si="6"/>
        <v>12</v>
      </c>
      <c r="U45" s="447">
        <f t="shared" si="6"/>
        <v>15</v>
      </c>
    </row>
    <row r="46" spans="2:21" ht="15.95" customHeight="1" x14ac:dyDescent="0.2">
      <c r="B46" s="456"/>
      <c r="C46" s="448"/>
      <c r="D46" s="480"/>
      <c r="E46" s="449"/>
      <c r="F46" s="556"/>
      <c r="G46" s="473"/>
      <c r="H46" s="474"/>
      <c r="I46" s="474"/>
      <c r="J46" s="474"/>
      <c r="K46" s="474"/>
      <c r="L46" s="474"/>
      <c r="M46" s="460"/>
    </row>
    <row r="47" spans="2:21" ht="15.95" customHeight="1" x14ac:dyDescent="0.2">
      <c r="B47" s="463"/>
      <c r="C47" s="470" t="s">
        <v>549</v>
      </c>
      <c r="D47" s="478"/>
      <c r="E47" s="465"/>
      <c r="F47" s="552"/>
      <c r="G47" s="467"/>
      <c r="H47" s="468"/>
      <c r="I47" s="468"/>
      <c r="J47" s="468"/>
      <c r="K47" s="468"/>
      <c r="L47" s="468"/>
      <c r="M47" s="469"/>
    </row>
    <row r="48" spans="2:21" ht="15.95" customHeight="1" x14ac:dyDescent="0.2">
      <c r="B48" s="59" t="s">
        <v>303</v>
      </c>
      <c r="C48" s="29" t="s">
        <v>453</v>
      </c>
      <c r="D48" s="316">
        <v>0.35</v>
      </c>
      <c r="E48" s="218">
        <v>1.0249999999999999</v>
      </c>
      <c r="F48" s="271">
        <f>(18*(1.8+1.8)+(1.8+1.8)*(15-(3.6+1.8)))*(15-6.6)*$Q$3</f>
        <v>792.89279999999997</v>
      </c>
      <c r="G48" s="24">
        <f>E48*F48*D48</f>
        <v>284.45029199999993</v>
      </c>
      <c r="H48" s="16">
        <v>-15.1</v>
      </c>
      <c r="I48" s="16">
        <v>-25.64</v>
      </c>
      <c r="J48" s="16">
        <v>10.8</v>
      </c>
      <c r="K48" s="16">
        <v>4</v>
      </c>
      <c r="L48" s="16">
        <v>5</v>
      </c>
      <c r="M48" s="273"/>
    </row>
    <row r="49" spans="2:21" ht="15.95" customHeight="1" x14ac:dyDescent="0.2">
      <c r="B49" s="59" t="s">
        <v>305</v>
      </c>
      <c r="C49" s="30" t="s">
        <v>454</v>
      </c>
      <c r="D49" s="316">
        <v>0</v>
      </c>
      <c r="E49" s="218">
        <v>1.0249999999999999</v>
      </c>
      <c r="F49" s="271">
        <f>2*2*16.2*8*0.95</f>
        <v>492.47999999999996</v>
      </c>
      <c r="G49" s="24">
        <f>E49*F49*D49</f>
        <v>0</v>
      </c>
      <c r="H49" s="16">
        <v>-34</v>
      </c>
      <c r="I49" s="16">
        <v>-41.4</v>
      </c>
      <c r="J49" s="16">
        <v>19</v>
      </c>
      <c r="K49" s="9">
        <v>4</v>
      </c>
      <c r="L49" s="9">
        <v>5</v>
      </c>
      <c r="M49" s="273"/>
    </row>
    <row r="50" spans="2:21" ht="15.95" customHeight="1" x14ac:dyDescent="0.2">
      <c r="B50" s="559" t="s">
        <v>577</v>
      </c>
      <c r="C50" s="56" t="s">
        <v>451</v>
      </c>
      <c r="D50" s="316">
        <v>0.3</v>
      </c>
      <c r="E50" s="218">
        <v>1.0249999999999999</v>
      </c>
      <c r="F50" s="271">
        <f>(18*(1.8+1.8)+(1.8+1.8)*(15-(3.6+1.8)))*(23-15)*$Q$3</f>
        <v>755.13599999999997</v>
      </c>
      <c r="G50" s="24">
        <f t="shared" ref="G50" si="7">E50*F50*D50</f>
        <v>232.20431999999997</v>
      </c>
      <c r="H50" s="16">
        <v>-15.1</v>
      </c>
      <c r="I50" s="16">
        <v>-25.64</v>
      </c>
      <c r="J50" s="16">
        <v>19</v>
      </c>
      <c r="K50" s="16">
        <v>4</v>
      </c>
      <c r="L50" s="16">
        <v>5</v>
      </c>
      <c r="M50" s="560"/>
    </row>
    <row r="51" spans="2:21" ht="15.95" customHeight="1" thickBot="1" x14ac:dyDescent="0.25">
      <c r="B51" s="255"/>
      <c r="C51" s="252"/>
      <c r="D51" s="316"/>
      <c r="E51" s="256"/>
      <c r="F51" s="272"/>
      <c r="G51" s="253"/>
      <c r="H51" s="250"/>
      <c r="I51" s="250"/>
      <c r="J51" s="250"/>
      <c r="K51" s="250"/>
      <c r="L51" s="250"/>
      <c r="M51" s="276"/>
    </row>
    <row r="52" spans="2:21" ht="15.95" customHeight="1" thickTop="1" x14ac:dyDescent="0.2">
      <c r="B52" s="318"/>
      <c r="C52" s="319"/>
      <c r="D52" s="481"/>
      <c r="E52" s="321"/>
      <c r="F52" s="555" t="s">
        <v>33</v>
      </c>
      <c r="G52" s="323">
        <f>SUBTOTAL(9,G48:G51)</f>
        <v>516.65461199999993</v>
      </c>
      <c r="H52" s="324">
        <f>IF($G52=0,0,SUMPRODUCT($G48:$G51,H48:H51)/$G52)</f>
        <v>-15.099999999999998</v>
      </c>
      <c r="I52" s="324">
        <f>IF($G52=0,0,SUMPRODUCT($G48:$G51,I48:I51)/$G52)</f>
        <v>-25.639999999999997</v>
      </c>
      <c r="J52" s="324">
        <f>IF($G52=0,0,SUMPRODUCT($G48:$G51,J48:J51)/$G52)</f>
        <v>14.485393258426967</v>
      </c>
      <c r="K52" s="324">
        <f>SUBTOTAL(9,K48:K51)</f>
        <v>12</v>
      </c>
      <c r="L52" s="324">
        <f>SUBTOTAL(9,L48:L51)</f>
        <v>15</v>
      </c>
      <c r="M52" s="444"/>
      <c r="N52" s="454"/>
      <c r="O52" s="445" t="s">
        <v>561</v>
      </c>
      <c r="P52" s="446">
        <f t="shared" ref="P52:U52" si="8">G52</f>
        <v>516.65461199999993</v>
      </c>
      <c r="Q52" s="446">
        <f t="shared" si="8"/>
        <v>-15.099999999999998</v>
      </c>
      <c r="R52" s="446">
        <f t="shared" si="8"/>
        <v>-25.639999999999997</v>
      </c>
      <c r="S52" s="446">
        <f t="shared" si="8"/>
        <v>14.485393258426967</v>
      </c>
      <c r="T52" s="446">
        <f t="shared" si="8"/>
        <v>12</v>
      </c>
      <c r="U52" s="447">
        <f t="shared" si="8"/>
        <v>15</v>
      </c>
    </row>
    <row r="53" spans="2:21" ht="15.95" customHeight="1" x14ac:dyDescent="0.2">
      <c r="B53" s="456"/>
      <c r="C53" s="448"/>
      <c r="D53" s="480"/>
      <c r="E53" s="449"/>
      <c r="F53" s="556"/>
      <c r="G53" s="473"/>
      <c r="H53" s="474"/>
      <c r="I53" s="474"/>
      <c r="J53" s="474"/>
      <c r="K53" s="474"/>
      <c r="L53" s="474"/>
      <c r="M53" s="460"/>
    </row>
    <row r="54" spans="2:21" ht="15.95" customHeight="1" x14ac:dyDescent="0.2">
      <c r="B54" s="463"/>
      <c r="C54" s="470" t="s">
        <v>550</v>
      </c>
      <c r="D54" s="478"/>
      <c r="E54" s="465"/>
      <c r="F54" s="552"/>
      <c r="G54" s="467"/>
      <c r="H54" s="468"/>
      <c r="I54" s="468"/>
      <c r="J54" s="468"/>
      <c r="K54" s="468"/>
      <c r="L54" s="468"/>
      <c r="M54" s="469"/>
    </row>
    <row r="55" spans="2:21" ht="15.95" customHeight="1" x14ac:dyDescent="0.2">
      <c r="B55" s="59" t="s">
        <v>301</v>
      </c>
      <c r="C55" s="29" t="s">
        <v>450</v>
      </c>
      <c r="D55" s="317">
        <v>0.3</v>
      </c>
      <c r="E55" s="218">
        <v>1.0249999999999999</v>
      </c>
      <c r="F55" s="271">
        <f>(15*(2.7*2)+1.8*(18-(2.7*2)))*(15-6.6)*$Q$3</f>
        <v>827.36640000000011</v>
      </c>
      <c r="G55" s="24">
        <f>E55*F55*D55</f>
        <v>254.41516799999999</v>
      </c>
      <c r="H55" s="16">
        <v>40.9</v>
      </c>
      <c r="I55" s="16">
        <v>0</v>
      </c>
      <c r="J55" s="16">
        <v>10.8</v>
      </c>
      <c r="K55" s="16">
        <v>4</v>
      </c>
      <c r="L55" s="16">
        <v>5</v>
      </c>
      <c r="M55" s="275"/>
    </row>
    <row r="56" spans="2:21" ht="15.95" customHeight="1" x14ac:dyDescent="0.2">
      <c r="B56" s="559" t="s">
        <v>578</v>
      </c>
      <c r="C56" s="56" t="s">
        <v>575</v>
      </c>
      <c r="D56" s="316">
        <v>0.3</v>
      </c>
      <c r="E56" s="218">
        <v>1.0249999999999999</v>
      </c>
      <c r="F56" s="271">
        <f>(15*(2.7*2)+1.8*(18-(2.7*2)))*(23-15)*$Q$3</f>
        <v>787.96799999999996</v>
      </c>
      <c r="G56" s="24">
        <f t="shared" ref="G56" si="9">E56*F56*D56</f>
        <v>242.30015999999995</v>
      </c>
      <c r="H56" s="16">
        <v>40.9</v>
      </c>
      <c r="I56" s="16">
        <v>0</v>
      </c>
      <c r="J56" s="16">
        <f>15+4</f>
        <v>19</v>
      </c>
      <c r="K56" s="16">
        <v>4</v>
      </c>
      <c r="L56" s="16">
        <v>5</v>
      </c>
      <c r="M56" s="276"/>
    </row>
    <row r="57" spans="2:21" ht="15.95" customHeight="1" thickBot="1" x14ac:dyDescent="0.25">
      <c r="B57" s="255"/>
      <c r="C57" s="252"/>
      <c r="D57" s="316"/>
      <c r="E57" s="256"/>
      <c r="F57" s="272"/>
      <c r="G57" s="253"/>
      <c r="H57" s="250"/>
      <c r="I57" s="250"/>
      <c r="J57" s="250"/>
      <c r="K57" s="250"/>
      <c r="L57" s="250"/>
      <c r="M57" s="276"/>
    </row>
    <row r="58" spans="2:21" ht="15.95" customHeight="1" thickTop="1" x14ac:dyDescent="0.2">
      <c r="B58" s="318"/>
      <c r="C58" s="319"/>
      <c r="D58" s="481"/>
      <c r="E58" s="321"/>
      <c r="F58" s="555" t="s">
        <v>33</v>
      </c>
      <c r="G58" s="323">
        <f>SUBTOTAL(9,G55:G57)</f>
        <v>496.71532799999994</v>
      </c>
      <c r="H58" s="324">
        <f>IF($G58=0,0,SUMPRODUCT($G55:$G57,H55:H57)/$G58)</f>
        <v>40.9</v>
      </c>
      <c r="I58" s="324">
        <f>IF($G58=0,0,SUMPRODUCT($G55:$G57,I55:I57)/$G58)</f>
        <v>0</v>
      </c>
      <c r="J58" s="324">
        <v>3.5</v>
      </c>
      <c r="K58" s="324">
        <f>SUBTOTAL(9,K55:K57)</f>
        <v>8</v>
      </c>
      <c r="L58" s="324">
        <f>SUBTOTAL(9,L55:L57)</f>
        <v>10</v>
      </c>
      <c r="M58" s="444"/>
      <c r="N58" s="454"/>
      <c r="O58" s="445" t="s">
        <v>562</v>
      </c>
      <c r="P58" s="446">
        <f t="shared" ref="P58:U58" si="10">G58</f>
        <v>496.71532799999994</v>
      </c>
      <c r="Q58" s="446">
        <f t="shared" si="10"/>
        <v>40.9</v>
      </c>
      <c r="R58" s="446">
        <f t="shared" si="10"/>
        <v>0</v>
      </c>
      <c r="S58" s="446">
        <f t="shared" si="10"/>
        <v>3.5</v>
      </c>
      <c r="T58" s="446">
        <f t="shared" si="10"/>
        <v>8</v>
      </c>
      <c r="U58" s="447">
        <f t="shared" si="10"/>
        <v>10</v>
      </c>
    </row>
    <row r="59" spans="2:21" ht="15.95" customHeight="1" x14ac:dyDescent="0.2">
      <c r="E59" s="452"/>
      <c r="G59" s="451"/>
      <c r="M59" s="453"/>
    </row>
    <row r="60" spans="2:21" ht="15.95" customHeight="1" x14ac:dyDescent="0.2">
      <c r="E60" s="452"/>
      <c r="G60" s="451"/>
      <c r="M60" s="453"/>
    </row>
    <row r="61" spans="2:21" ht="15.95" customHeight="1" x14ac:dyDescent="0.2">
      <c r="E61" s="452"/>
      <c r="G61" s="451"/>
      <c r="M61" s="453"/>
    </row>
    <row r="62" spans="2:21" ht="15.95" customHeight="1" x14ac:dyDescent="0.2">
      <c r="E62" s="452"/>
      <c r="G62" s="451"/>
      <c r="M62" s="453"/>
    </row>
    <row r="63" spans="2:21" ht="15.95" customHeight="1" x14ac:dyDescent="0.2">
      <c r="E63" s="452"/>
      <c r="G63" s="451"/>
      <c r="M63" s="453"/>
    </row>
    <row r="64" spans="2:21" ht="15.95" customHeight="1" x14ac:dyDescent="0.2">
      <c r="E64" s="452"/>
      <c r="G64" s="451"/>
      <c r="M64" s="453"/>
    </row>
    <row r="65" spans="5:13" ht="15.95" customHeight="1" x14ac:dyDescent="0.2">
      <c r="E65" s="452"/>
      <c r="G65" s="451"/>
      <c r="M65" s="453"/>
    </row>
    <row r="66" spans="5:13" ht="15.95" customHeight="1" x14ac:dyDescent="0.2">
      <c r="E66" s="452"/>
      <c r="G66" s="451"/>
      <c r="M66" s="453"/>
    </row>
    <row r="67" spans="5:13" ht="15.95" customHeight="1" x14ac:dyDescent="0.2">
      <c r="E67" s="452"/>
      <c r="G67" s="451"/>
      <c r="M67" s="453"/>
    </row>
    <row r="68" spans="5:13" ht="15.95" customHeight="1" x14ac:dyDescent="0.2">
      <c r="E68" s="452"/>
      <c r="G68" s="451"/>
      <c r="M68" s="453"/>
    </row>
    <row r="69" spans="5:13" ht="15.95" customHeight="1" x14ac:dyDescent="0.2">
      <c r="E69" s="452"/>
      <c r="G69" s="451"/>
      <c r="M69" s="453"/>
    </row>
    <row r="70" spans="5:13" ht="15.95" customHeight="1" x14ac:dyDescent="0.2">
      <c r="E70" s="452"/>
      <c r="G70" s="451"/>
      <c r="M70" s="453"/>
    </row>
    <row r="71" spans="5:13" ht="15.95" customHeight="1" x14ac:dyDescent="0.2">
      <c r="E71" s="452"/>
      <c r="G71" s="451"/>
      <c r="M71" s="453"/>
    </row>
    <row r="72" spans="5:13" ht="15.95" customHeight="1" x14ac:dyDescent="0.2">
      <c r="E72" s="452"/>
      <c r="G72" s="451"/>
      <c r="M72" s="453"/>
    </row>
    <row r="73" spans="5:13" ht="15.95" customHeight="1" x14ac:dyDescent="0.2">
      <c r="E73" s="452"/>
      <c r="G73" s="451"/>
      <c r="M73" s="453"/>
    </row>
    <row r="74" spans="5:13" ht="15.95" customHeight="1" x14ac:dyDescent="0.2">
      <c r="E74" s="452"/>
      <c r="G74" s="451"/>
      <c r="M74" s="453"/>
    </row>
    <row r="75" spans="5:13" ht="15.95" customHeight="1" x14ac:dyDescent="0.2">
      <c r="E75" s="452"/>
      <c r="G75" s="451"/>
      <c r="M75" s="453"/>
    </row>
    <row r="76" spans="5:13" ht="15.95" customHeight="1" x14ac:dyDescent="0.2">
      <c r="E76" s="452"/>
      <c r="G76" s="451"/>
      <c r="M76" s="453"/>
    </row>
    <row r="77" spans="5:13" ht="15.95" customHeight="1" x14ac:dyDescent="0.2">
      <c r="E77" s="452"/>
      <c r="G77" s="451"/>
      <c r="M77" s="453"/>
    </row>
    <row r="78" spans="5:13" ht="15.95" customHeight="1" x14ac:dyDescent="0.2">
      <c r="E78" s="452"/>
      <c r="G78" s="451"/>
      <c r="M78" s="453"/>
    </row>
    <row r="79" spans="5:13" ht="15.95" customHeight="1" x14ac:dyDescent="0.2">
      <c r="E79" s="452"/>
      <c r="G79" s="451"/>
      <c r="M79" s="453"/>
    </row>
    <row r="80" spans="5:13" ht="15.95" customHeight="1" x14ac:dyDescent="0.2">
      <c r="E80" s="452"/>
      <c r="G80" s="451"/>
      <c r="M80" s="453"/>
    </row>
    <row r="81" spans="5:13" ht="15.95" customHeight="1" x14ac:dyDescent="0.2">
      <c r="E81" s="452"/>
      <c r="G81" s="451"/>
      <c r="M81" s="453"/>
    </row>
    <row r="82" spans="5:13" ht="15.95" customHeight="1" x14ac:dyDescent="0.2">
      <c r="E82" s="452"/>
      <c r="G82" s="451"/>
      <c r="M82" s="453"/>
    </row>
    <row r="83" spans="5:13" ht="15.95" customHeight="1" x14ac:dyDescent="0.2">
      <c r="E83" s="452"/>
      <c r="G83" s="451"/>
      <c r="M83" s="453"/>
    </row>
    <row r="84" spans="5:13" ht="15.95" customHeight="1" x14ac:dyDescent="0.2">
      <c r="E84" s="452"/>
      <c r="G84" s="451"/>
      <c r="M84" s="453"/>
    </row>
    <row r="85" spans="5:13" ht="15.95" customHeight="1" x14ac:dyDescent="0.2">
      <c r="E85" s="452"/>
      <c r="G85" s="451"/>
      <c r="M85" s="453"/>
    </row>
    <row r="86" spans="5:13" ht="15.95" customHeight="1" x14ac:dyDescent="0.2">
      <c r="E86" s="452"/>
      <c r="G86" s="451"/>
      <c r="M86" s="453"/>
    </row>
    <row r="87" spans="5:13" ht="15.95" customHeight="1" x14ac:dyDescent="0.2">
      <c r="E87" s="452"/>
      <c r="G87" s="451"/>
      <c r="M87" s="453"/>
    </row>
    <row r="88" spans="5:13" ht="15.95" customHeight="1" x14ac:dyDescent="0.2">
      <c r="E88" s="452"/>
      <c r="G88" s="451"/>
      <c r="M88" s="453"/>
    </row>
    <row r="89" spans="5:13" ht="15.95" customHeight="1" x14ac:dyDescent="0.2">
      <c r="E89" s="452"/>
      <c r="G89" s="451"/>
      <c r="M89" s="453"/>
    </row>
    <row r="90" spans="5:13" ht="15.95" customHeight="1" x14ac:dyDescent="0.2">
      <c r="E90" s="452"/>
      <c r="G90" s="451"/>
      <c r="M90" s="453"/>
    </row>
    <row r="91" spans="5:13" ht="15.95" customHeight="1" x14ac:dyDescent="0.2">
      <c r="E91" s="452"/>
      <c r="G91" s="451"/>
      <c r="M91" s="453"/>
    </row>
    <row r="92" spans="5:13" ht="15.95" customHeight="1" x14ac:dyDescent="0.2">
      <c r="E92" s="452"/>
      <c r="G92" s="451"/>
      <c r="M92" s="453"/>
    </row>
    <row r="93" spans="5:13" ht="15.95" customHeight="1" x14ac:dyDescent="0.2">
      <c r="E93" s="452"/>
      <c r="G93" s="451"/>
      <c r="M93" s="453"/>
    </row>
    <row r="94" spans="5:13" ht="15.95" customHeight="1" x14ac:dyDescent="0.2">
      <c r="E94" s="452"/>
      <c r="G94" s="451"/>
      <c r="M94" s="453"/>
    </row>
    <row r="95" spans="5:13" ht="15.95" customHeight="1" x14ac:dyDescent="0.2">
      <c r="E95" s="452"/>
      <c r="G95" s="451"/>
      <c r="M95" s="453"/>
    </row>
    <row r="96" spans="5:13" ht="15.95" customHeight="1" x14ac:dyDescent="0.2">
      <c r="E96" s="452"/>
      <c r="G96" s="451"/>
      <c r="M96" s="453"/>
    </row>
    <row r="97" spans="5:13" ht="15.95" customHeight="1" x14ac:dyDescent="0.2">
      <c r="E97" s="452"/>
      <c r="G97" s="451"/>
      <c r="M97" s="453"/>
    </row>
    <row r="98" spans="5:13" ht="15.95" customHeight="1" x14ac:dyDescent="0.2">
      <c r="E98" s="452"/>
      <c r="G98" s="451"/>
      <c r="M98" s="453"/>
    </row>
    <row r="99" spans="5:13" ht="15.95" customHeight="1" x14ac:dyDescent="0.2">
      <c r="E99" s="452"/>
      <c r="G99" s="451"/>
      <c r="M99" s="453"/>
    </row>
    <row r="100" spans="5:13" ht="15.95" customHeight="1" x14ac:dyDescent="0.2">
      <c r="E100" s="452"/>
      <c r="G100" s="451"/>
      <c r="M100" s="453"/>
    </row>
    <row r="101" spans="5:13" ht="15.95" customHeight="1" x14ac:dyDescent="0.2">
      <c r="E101" s="452"/>
      <c r="G101" s="451"/>
      <c r="M101" s="453"/>
    </row>
    <row r="102" spans="5:13" ht="15.95" customHeight="1" x14ac:dyDescent="0.2">
      <c r="E102" s="452"/>
      <c r="G102" s="451"/>
      <c r="M102" s="453"/>
    </row>
    <row r="103" spans="5:13" ht="15.95" customHeight="1" x14ac:dyDescent="0.2">
      <c r="E103" s="452"/>
      <c r="G103" s="451"/>
      <c r="M103" s="453"/>
    </row>
    <row r="104" spans="5:13" ht="15.95" customHeight="1" x14ac:dyDescent="0.2">
      <c r="E104" s="452"/>
      <c r="G104" s="451"/>
      <c r="M104" s="453"/>
    </row>
    <row r="105" spans="5:13" ht="15.95" customHeight="1" x14ac:dyDescent="0.2">
      <c r="E105" s="452"/>
      <c r="G105" s="451"/>
      <c r="M105" s="453"/>
    </row>
    <row r="106" spans="5:13" ht="15.95" customHeight="1" x14ac:dyDescent="0.2">
      <c r="E106" s="452"/>
      <c r="G106" s="451"/>
      <c r="M106" s="453"/>
    </row>
    <row r="107" spans="5:13" ht="15.95" customHeight="1" x14ac:dyDescent="0.2">
      <c r="E107" s="452"/>
      <c r="G107" s="451"/>
      <c r="M107" s="453"/>
    </row>
    <row r="108" spans="5:13" ht="15.95" customHeight="1" x14ac:dyDescent="0.2">
      <c r="E108" s="452"/>
      <c r="G108" s="451"/>
      <c r="M108" s="453"/>
    </row>
    <row r="109" spans="5:13" ht="15.95" customHeight="1" x14ac:dyDescent="0.2">
      <c r="E109" s="452"/>
      <c r="G109" s="451"/>
      <c r="M109" s="453"/>
    </row>
    <row r="110" spans="5:13" ht="15.95" customHeight="1" x14ac:dyDescent="0.2">
      <c r="E110" s="452"/>
      <c r="G110" s="451"/>
      <c r="M110" s="453"/>
    </row>
    <row r="111" spans="5:13" ht="15.95" customHeight="1" x14ac:dyDescent="0.2">
      <c r="E111" s="452"/>
      <c r="G111" s="451"/>
      <c r="M111" s="453"/>
    </row>
    <row r="112" spans="5:13" ht="15.95" customHeight="1" x14ac:dyDescent="0.2">
      <c r="E112" s="452"/>
      <c r="G112" s="451"/>
      <c r="M112" s="453"/>
    </row>
    <row r="113" spans="5:13" ht="15.95" customHeight="1" x14ac:dyDescent="0.2">
      <c r="E113" s="452"/>
      <c r="G113" s="451"/>
      <c r="M113" s="453"/>
    </row>
    <row r="114" spans="5:13" ht="15.95" customHeight="1" x14ac:dyDescent="0.2"/>
    <row r="115" spans="5:13" ht="15.95" customHeight="1" x14ac:dyDescent="0.2"/>
    <row r="116" spans="5:13" ht="15.95" customHeight="1" x14ac:dyDescent="0.2"/>
    <row r="117" spans="5:13" ht="15.95" customHeight="1" x14ac:dyDescent="0.2"/>
    <row r="118" spans="5:13" ht="15.95" customHeight="1" x14ac:dyDescent="0.2"/>
    <row r="119" spans="5:13" ht="15.95" customHeight="1" x14ac:dyDescent="0.2"/>
    <row r="120" spans="5:13" ht="15.95" customHeight="1" x14ac:dyDescent="0.2"/>
    <row r="121" spans="5:13" ht="15.95" customHeight="1" x14ac:dyDescent="0.2"/>
    <row r="122" spans="5:13" ht="15.95" customHeight="1" x14ac:dyDescent="0.2"/>
    <row r="123" spans="5:13" ht="15.95" customHeight="1" x14ac:dyDescent="0.2"/>
    <row r="124" spans="5:13" ht="15.95" customHeight="1" x14ac:dyDescent="0.2"/>
    <row r="125" spans="5:13" ht="15.95" customHeight="1" x14ac:dyDescent="0.2"/>
    <row r="126" spans="5:13" ht="15.95" customHeight="1" x14ac:dyDescent="0.2"/>
    <row r="127" spans="5:13" ht="15.95" customHeight="1" x14ac:dyDescent="0.2"/>
    <row r="128" spans="5:13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</sheetData>
  <dataConsolidate/>
  <mergeCells count="15">
    <mergeCell ref="J7:J8"/>
    <mergeCell ref="K7:K8"/>
    <mergeCell ref="L7:L8"/>
    <mergeCell ref="M7:M9"/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I7:I8"/>
  </mergeCells>
  <conditionalFormatting sqref="E58 E52 E45 E38:E39 E29 E24:F28 E32:F37 E51:F51 E55:F55 E57:F57 E48:F49 E41:F44">
    <cfRule type="expression" dxfId="20" priority="5" stopIfTrue="1">
      <formula>#REF!="B"</formula>
    </cfRule>
  </conditionalFormatting>
  <conditionalFormatting sqref="E53:E54 E46:E47 E40 E30:E31 E21:E23 E11 E12:F20">
    <cfRule type="expression" dxfId="19" priority="6" stopIfTrue="1">
      <formula>#REF!="B"</formula>
    </cfRule>
  </conditionalFormatting>
  <conditionalFormatting sqref="E50">
    <cfRule type="expression" dxfId="18" priority="4" stopIfTrue="1">
      <formula>#REF!="B"</formula>
    </cfRule>
  </conditionalFormatting>
  <conditionalFormatting sqref="E56">
    <cfRule type="expression" dxfId="17" priority="3" stopIfTrue="1">
      <formula>#REF!="B"</formula>
    </cfRule>
  </conditionalFormatting>
  <conditionalFormatting sqref="F50">
    <cfRule type="expression" dxfId="16" priority="2" stopIfTrue="1">
      <formula>#REF!="B"</formula>
    </cfRule>
  </conditionalFormatting>
  <conditionalFormatting sqref="F56">
    <cfRule type="expression" dxfId="15" priority="1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B1:U700"/>
  <sheetViews>
    <sheetView topLeftCell="B1" zoomScale="85" zoomScaleNormal="85" zoomScaleSheetLayoutView="85" workbookViewId="0">
      <pane ySplit="10" topLeftCell="A20" activePane="bottomLeft" state="frozen"/>
      <selection activeCell="F41" sqref="F41:F43"/>
      <selection pane="bottomLeft" activeCell="F41" sqref="F41:F43"/>
    </sheetView>
  </sheetViews>
  <sheetFormatPr defaultRowHeight="12.75" x14ac:dyDescent="0.2"/>
  <cols>
    <col min="1" max="1" width="3.7109375" style="381" customWidth="1"/>
    <col min="2" max="2" width="12.7109375" style="451" customWidth="1"/>
    <col min="3" max="3" width="35.7109375" style="451" customWidth="1"/>
    <col min="4" max="4" width="12.7109375" style="451" customWidth="1"/>
    <col min="5" max="5" width="12.7109375" style="383" customWidth="1"/>
    <col min="6" max="6" width="12.7109375" style="451" customWidth="1"/>
    <col min="7" max="7" width="12.7109375" style="381" customWidth="1"/>
    <col min="8" max="12" width="12.7109375" style="451" customWidth="1"/>
    <col min="13" max="13" width="35.7109375" style="455" customWidth="1"/>
    <col min="14" max="14" width="9.140625" style="381"/>
    <col min="15" max="15" width="9.140625" style="382"/>
    <col min="16" max="20" width="9.140625" style="383"/>
    <col min="21" max="21" width="9.140625" style="384"/>
    <col min="22" max="16384" width="9.140625" style="381"/>
  </cols>
  <sheetData>
    <row r="1" spans="2:21" ht="18" customHeight="1" thickBot="1" x14ac:dyDescent="0.25">
      <c r="B1" s="379"/>
      <c r="C1" s="379"/>
      <c r="D1" s="379"/>
      <c r="E1" s="380"/>
      <c r="F1" s="379"/>
      <c r="G1" s="380"/>
      <c r="H1" s="379"/>
      <c r="I1" s="379"/>
      <c r="J1" s="379"/>
      <c r="K1" s="379"/>
      <c r="L1" s="379"/>
      <c r="M1" s="380"/>
    </row>
    <row r="2" spans="2:21" ht="18" customHeight="1" x14ac:dyDescent="0.2">
      <c r="B2" s="385"/>
      <c r="C2" s="386"/>
      <c r="D2" s="620" t="s">
        <v>24</v>
      </c>
      <c r="E2" s="621"/>
      <c r="F2" s="621"/>
      <c r="G2" s="621"/>
      <c r="H2" s="621"/>
      <c r="I2" s="622"/>
      <c r="J2" s="387"/>
      <c r="K2" s="388" t="s">
        <v>13</v>
      </c>
      <c r="L2" s="389" t="str">
        <f>Summary!Q2</f>
        <v>11-014</v>
      </c>
      <c r="M2" s="390"/>
      <c r="O2" s="283" t="s">
        <v>404</v>
      </c>
      <c r="P2" s="226"/>
      <c r="Q2" s="226">
        <v>0.97</v>
      </c>
    </row>
    <row r="3" spans="2:21" ht="18" customHeight="1" x14ac:dyDescent="0.2">
      <c r="B3" s="391"/>
      <c r="C3" s="392"/>
      <c r="D3" s="623"/>
      <c r="E3" s="624"/>
      <c r="F3" s="624"/>
      <c r="G3" s="624"/>
      <c r="H3" s="624"/>
      <c r="I3" s="625"/>
      <c r="J3" s="393"/>
      <c r="K3" s="394" t="s">
        <v>14</v>
      </c>
      <c r="L3" s="395">
        <f>Summary!Q3</f>
        <v>40697</v>
      </c>
      <c r="M3" s="396"/>
      <c r="O3" s="283" t="s">
        <v>405</v>
      </c>
      <c r="P3" s="226"/>
      <c r="Q3" s="226">
        <v>0.95</v>
      </c>
    </row>
    <row r="4" spans="2:21" ht="18" customHeight="1" x14ac:dyDescent="0.2">
      <c r="B4" s="391"/>
      <c r="C4" s="392"/>
      <c r="D4" s="626" t="s">
        <v>527</v>
      </c>
      <c r="E4" s="627"/>
      <c r="F4" s="627"/>
      <c r="G4" s="627"/>
      <c r="H4" s="627"/>
      <c r="I4" s="628"/>
      <c r="J4" s="397"/>
      <c r="K4" s="398" t="s">
        <v>23</v>
      </c>
      <c r="L4" s="399" t="str">
        <f>Summary!Q4</f>
        <v>JL / JP</v>
      </c>
      <c r="M4" s="396"/>
      <c r="O4" s="283" t="s">
        <v>406</v>
      </c>
      <c r="P4" s="226"/>
      <c r="Q4" s="226">
        <v>6.6</v>
      </c>
    </row>
    <row r="5" spans="2:21" ht="18" customHeight="1" thickBot="1" x14ac:dyDescent="0.25">
      <c r="B5" s="400"/>
      <c r="C5" s="401"/>
      <c r="D5" s="629"/>
      <c r="E5" s="630"/>
      <c r="F5" s="630"/>
      <c r="G5" s="630"/>
      <c r="H5" s="630"/>
      <c r="I5" s="631"/>
      <c r="J5" s="402"/>
      <c r="K5" s="403" t="s">
        <v>15</v>
      </c>
      <c r="L5" s="404" t="str">
        <f>Summary!Q5</f>
        <v>A</v>
      </c>
      <c r="M5" s="405"/>
      <c r="O5" s="283" t="s">
        <v>412</v>
      </c>
      <c r="P5" s="226"/>
      <c r="Q5" s="226">
        <v>6.2889999999999997</v>
      </c>
    </row>
    <row r="6" spans="2:21" ht="15.95" customHeight="1" thickBot="1" x14ac:dyDescent="0.25">
      <c r="B6" s="406"/>
      <c r="C6" s="407"/>
      <c r="D6" s="406"/>
      <c r="E6" s="408"/>
      <c r="F6" s="409"/>
      <c r="G6" s="410"/>
      <c r="H6" s="406"/>
      <c r="I6" s="406"/>
      <c r="J6" s="406"/>
      <c r="K6" s="406"/>
      <c r="L6" s="406"/>
      <c r="M6" s="411"/>
    </row>
    <row r="7" spans="2:21" ht="15.95" customHeight="1" x14ac:dyDescent="0.2">
      <c r="B7" s="632" t="s">
        <v>25</v>
      </c>
      <c r="C7" s="635" t="s">
        <v>12</v>
      </c>
      <c r="D7" s="610" t="s">
        <v>36</v>
      </c>
      <c r="E7" s="610" t="s">
        <v>30</v>
      </c>
      <c r="F7" s="610" t="s">
        <v>29</v>
      </c>
      <c r="G7" s="610" t="s">
        <v>11</v>
      </c>
      <c r="H7" s="610" t="s">
        <v>2</v>
      </c>
      <c r="I7" s="610" t="s">
        <v>3</v>
      </c>
      <c r="J7" s="610" t="s">
        <v>4</v>
      </c>
      <c r="K7" s="610" t="s">
        <v>34</v>
      </c>
      <c r="L7" s="610" t="s">
        <v>35</v>
      </c>
      <c r="M7" s="617" t="s">
        <v>10</v>
      </c>
      <c r="O7" s="612" t="s">
        <v>413</v>
      </c>
      <c r="P7" s="613"/>
      <c r="Q7" s="613"/>
      <c r="R7" s="613"/>
      <c r="S7" s="613"/>
      <c r="T7" s="613"/>
      <c r="U7" s="614"/>
    </row>
    <row r="8" spans="2:21" ht="15.95" customHeight="1" x14ac:dyDescent="0.2">
      <c r="B8" s="633"/>
      <c r="C8" s="636"/>
      <c r="D8" s="611"/>
      <c r="E8" s="611"/>
      <c r="F8" s="611"/>
      <c r="G8" s="611"/>
      <c r="H8" s="611"/>
      <c r="I8" s="611"/>
      <c r="J8" s="611"/>
      <c r="K8" s="611"/>
      <c r="L8" s="611"/>
      <c r="M8" s="618"/>
      <c r="O8" s="412" t="s">
        <v>414</v>
      </c>
      <c r="P8" s="413" t="s">
        <v>18</v>
      </c>
      <c r="Q8" s="414" t="s">
        <v>415</v>
      </c>
      <c r="R8" s="414" t="s">
        <v>416</v>
      </c>
      <c r="S8" s="414" t="s">
        <v>417</v>
      </c>
      <c r="T8" s="413" t="s">
        <v>418</v>
      </c>
      <c r="U8" s="415" t="s">
        <v>419</v>
      </c>
    </row>
    <row r="9" spans="2:21" ht="15.95" customHeight="1" thickBot="1" x14ac:dyDescent="0.25">
      <c r="B9" s="634"/>
      <c r="C9" s="637"/>
      <c r="D9" s="416" t="s">
        <v>423</v>
      </c>
      <c r="E9" s="416" t="s">
        <v>31</v>
      </c>
      <c r="F9" s="416" t="s">
        <v>32</v>
      </c>
      <c r="G9" s="416" t="s">
        <v>19</v>
      </c>
      <c r="H9" s="416" t="s">
        <v>6</v>
      </c>
      <c r="I9" s="416" t="s">
        <v>6</v>
      </c>
      <c r="J9" s="416" t="s">
        <v>6</v>
      </c>
      <c r="K9" s="416" t="s">
        <v>28</v>
      </c>
      <c r="L9" s="416" t="s">
        <v>28</v>
      </c>
      <c r="M9" s="619"/>
      <c r="O9" s="417"/>
    </row>
    <row r="10" spans="2:21" ht="15.95" customHeight="1" thickTop="1" x14ac:dyDescent="0.2">
      <c r="B10" s="418"/>
      <c r="C10" s="419"/>
      <c r="D10" s="477"/>
      <c r="E10" s="419"/>
      <c r="F10" s="419"/>
      <c r="G10" s="419"/>
      <c r="H10" s="419"/>
      <c r="I10" s="419"/>
      <c r="J10" s="419"/>
      <c r="K10" s="419"/>
      <c r="L10" s="419"/>
      <c r="M10" s="420"/>
    </row>
    <row r="11" spans="2:21" s="429" customFormat="1" ht="15.95" customHeight="1" x14ac:dyDescent="0.2">
      <c r="B11" s="463"/>
      <c r="C11" s="470" t="s">
        <v>528</v>
      </c>
      <c r="D11" s="478"/>
      <c r="E11" s="465"/>
      <c r="F11" s="466"/>
      <c r="G11" s="467"/>
      <c r="H11" s="468"/>
      <c r="I11" s="468"/>
      <c r="J11" s="468"/>
      <c r="K11" s="468"/>
      <c r="L11" s="468"/>
      <c r="M11" s="469"/>
      <c r="N11" s="381"/>
      <c r="O11" s="445"/>
      <c r="P11" s="446"/>
      <c r="Q11" s="446"/>
      <c r="R11" s="446"/>
      <c r="S11" s="446"/>
      <c r="T11" s="446"/>
      <c r="U11" s="447"/>
    </row>
    <row r="12" spans="2:21" s="429" customFormat="1" ht="15.95" customHeight="1" x14ac:dyDescent="0.2">
      <c r="B12" s="456"/>
      <c r="C12" s="448"/>
      <c r="D12" s="480"/>
      <c r="E12" s="449"/>
      <c r="F12" s="457"/>
      <c r="G12" s="458"/>
      <c r="H12" s="459"/>
      <c r="I12" s="459"/>
      <c r="J12" s="459"/>
      <c r="K12" s="459"/>
      <c r="L12" s="459"/>
      <c r="M12" s="460"/>
      <c r="N12" s="381"/>
      <c r="O12" s="445"/>
      <c r="P12" s="446"/>
      <c r="Q12" s="446"/>
      <c r="R12" s="446"/>
      <c r="S12" s="446"/>
      <c r="T12" s="446"/>
      <c r="U12" s="447"/>
    </row>
    <row r="13" spans="2:21" s="429" customFormat="1" ht="15.95" customHeight="1" x14ac:dyDescent="0.2">
      <c r="B13" s="421"/>
      <c r="C13" s="422" t="s">
        <v>459</v>
      </c>
      <c r="D13" s="483"/>
      <c r="E13" s="424"/>
      <c r="F13" s="422"/>
      <c r="G13" s="423"/>
      <c r="H13" s="423"/>
      <c r="I13" s="423"/>
      <c r="J13" s="423"/>
      <c r="K13" s="423"/>
      <c r="L13" s="423"/>
      <c r="M13" s="425"/>
      <c r="N13" s="381"/>
      <c r="O13" s="426"/>
      <c r="P13" s="427"/>
      <c r="Q13" s="427"/>
      <c r="R13" s="427"/>
      <c r="S13" s="427"/>
      <c r="T13" s="427"/>
      <c r="U13" s="428"/>
    </row>
    <row r="14" spans="2:21" s="429" customFormat="1" ht="15.95" customHeight="1" x14ac:dyDescent="0.2">
      <c r="B14" s="58" t="s">
        <v>308</v>
      </c>
      <c r="C14" s="56" t="s">
        <v>400</v>
      </c>
      <c r="D14" s="316">
        <v>0.5</v>
      </c>
      <c r="E14" s="218">
        <v>0.83</v>
      </c>
      <c r="F14" s="271">
        <f>(0.5*PI()*3.3^2*9+(9-1.8+1.5-3.3)*9*6.6)*$Q$3</f>
        <v>450.97806058970929</v>
      </c>
      <c r="G14" s="24">
        <f>E14*F14*D14</f>
        <v>187.15589514472936</v>
      </c>
      <c r="H14" s="16">
        <v>-16.8</v>
      </c>
      <c r="I14" s="16">
        <v>4.5</v>
      </c>
      <c r="J14" s="16">
        <v>3.3</v>
      </c>
      <c r="K14" s="169">
        <v>1000</v>
      </c>
      <c r="L14" s="169">
        <v>1000</v>
      </c>
      <c r="M14" s="430"/>
      <c r="N14" s="381"/>
      <c r="O14" s="426"/>
      <c r="P14" s="427"/>
      <c r="Q14" s="427"/>
      <c r="R14" s="427"/>
      <c r="S14" s="427"/>
      <c r="T14" s="427"/>
      <c r="U14" s="428"/>
    </row>
    <row r="15" spans="2:21" s="429" customFormat="1" ht="15.95" customHeight="1" x14ac:dyDescent="0.2">
      <c r="B15" s="59" t="s">
        <v>309</v>
      </c>
      <c r="C15" s="29" t="s">
        <v>400</v>
      </c>
      <c r="D15" s="316">
        <v>0.5</v>
      </c>
      <c r="E15" s="218">
        <v>0.83</v>
      </c>
      <c r="F15" s="271">
        <f>(0.5*PI()*3.3^2*9+5.4*9*6.6)*$Q$3</f>
        <v>450.97806058970934</v>
      </c>
      <c r="G15" s="24">
        <f>E15*F15*D15</f>
        <v>187.15589514472936</v>
      </c>
      <c r="H15" s="16">
        <v>-16.8</v>
      </c>
      <c r="I15" s="16">
        <v>13.5</v>
      </c>
      <c r="J15" s="16">
        <v>3.3</v>
      </c>
      <c r="K15" s="169">
        <v>1000</v>
      </c>
      <c r="L15" s="169">
        <v>1000</v>
      </c>
      <c r="M15" s="430"/>
      <c r="N15" s="381"/>
      <c r="O15" s="426"/>
      <c r="P15" s="427"/>
      <c r="Q15" s="427"/>
      <c r="R15" s="427"/>
      <c r="S15" s="427"/>
      <c r="T15" s="427"/>
      <c r="U15" s="428"/>
    </row>
    <row r="16" spans="2:21" s="429" customFormat="1" ht="15.95" customHeight="1" x14ac:dyDescent="0.2">
      <c r="B16" s="58" t="s">
        <v>310</v>
      </c>
      <c r="C16" s="56" t="s">
        <v>401</v>
      </c>
      <c r="D16" s="316">
        <v>0.5</v>
      </c>
      <c r="E16" s="218">
        <v>0.83</v>
      </c>
      <c r="F16" s="271">
        <f>(0.5*PI()*3.3^2*9+5.4*9*6.6)*$Q$3</f>
        <v>450.97806058970934</v>
      </c>
      <c r="G16" s="24">
        <f>E16*F16*D16</f>
        <v>187.15589514472936</v>
      </c>
      <c r="H16" s="16">
        <v>-16.8</v>
      </c>
      <c r="I16" s="16">
        <v>-4.5</v>
      </c>
      <c r="J16" s="16">
        <v>3.3</v>
      </c>
      <c r="K16" s="169">
        <v>1000</v>
      </c>
      <c r="L16" s="169">
        <v>1000</v>
      </c>
      <c r="M16" s="430"/>
      <c r="N16" s="381"/>
      <c r="O16" s="426"/>
      <c r="P16" s="427"/>
      <c r="Q16" s="427"/>
      <c r="R16" s="427"/>
      <c r="S16" s="427"/>
      <c r="T16" s="427"/>
      <c r="U16" s="428"/>
    </row>
    <row r="17" spans="2:21" s="429" customFormat="1" ht="15.95" customHeight="1" x14ac:dyDescent="0.2">
      <c r="B17" s="59" t="s">
        <v>311</v>
      </c>
      <c r="C17" s="29" t="s">
        <v>401</v>
      </c>
      <c r="D17" s="316">
        <v>0.5</v>
      </c>
      <c r="E17" s="218">
        <v>0.83</v>
      </c>
      <c r="F17" s="271">
        <f>(0.5*PI()*3.3^2*9+5.4*9*6.6)*$Q$3</f>
        <v>450.97806058970934</v>
      </c>
      <c r="G17" s="24">
        <f>E17*F17*D17</f>
        <v>187.15589514472936</v>
      </c>
      <c r="H17" s="16">
        <v>-16.8</v>
      </c>
      <c r="I17" s="16">
        <v>-13.5</v>
      </c>
      <c r="J17" s="16">
        <v>3.3</v>
      </c>
      <c r="K17" s="169">
        <v>1000</v>
      </c>
      <c r="L17" s="169">
        <v>1000</v>
      </c>
      <c r="M17" s="430"/>
      <c r="N17" s="381"/>
      <c r="O17" s="426"/>
      <c r="P17" s="427"/>
      <c r="Q17" s="427"/>
      <c r="R17" s="427"/>
      <c r="S17" s="427"/>
      <c r="T17" s="427"/>
      <c r="U17" s="428"/>
    </row>
    <row r="18" spans="2:21" s="429" customFormat="1" ht="15.95" customHeight="1" thickBot="1" x14ac:dyDescent="0.25">
      <c r="B18" s="431"/>
      <c r="C18" s="432"/>
      <c r="D18" s="316"/>
      <c r="E18" s="433"/>
      <c r="F18" s="434"/>
      <c r="G18" s="435"/>
      <c r="H18" s="436"/>
      <c r="I18" s="436"/>
      <c r="J18" s="436"/>
      <c r="K18" s="436"/>
      <c r="L18" s="436"/>
      <c r="M18" s="437"/>
      <c r="N18" s="381"/>
      <c r="O18" s="426"/>
      <c r="P18" s="427"/>
      <c r="Q18" s="427"/>
      <c r="R18" s="427"/>
      <c r="S18" s="427"/>
      <c r="T18" s="427"/>
      <c r="U18" s="428"/>
    </row>
    <row r="19" spans="2:21" s="429" customFormat="1" ht="15.95" customHeight="1" thickTop="1" x14ac:dyDescent="0.2">
      <c r="B19" s="438"/>
      <c r="C19" s="439"/>
      <c r="D19" s="479"/>
      <c r="E19" s="440"/>
      <c r="F19" s="441" t="s">
        <v>33</v>
      </c>
      <c r="G19" s="442">
        <f>SUBTOTAL(9,G14:G18)</f>
        <v>748.62358057891743</v>
      </c>
      <c r="H19" s="443">
        <f>IF($G19=0,0,SUMPRODUCT($G14:$G18,H14:H18)/$G19)</f>
        <v>-16.8</v>
      </c>
      <c r="I19" s="443">
        <f>IF($G19=0,0,SUMPRODUCT($G14:$G18,I14:I18)/$G19)</f>
        <v>0</v>
      </c>
      <c r="J19" s="443">
        <f>IF($G19=0,0,SUMPRODUCT($G14:$G18,J14:J18)/$G19)</f>
        <v>3.3000000000000003</v>
      </c>
      <c r="K19" s="450">
        <f>SUBTOTAL(9,K14:K18)</f>
        <v>4000</v>
      </c>
      <c r="L19" s="450">
        <f>SUBTOTAL(9,L14:L18)</f>
        <v>4000</v>
      </c>
      <c r="M19" s="444"/>
      <c r="N19" s="381"/>
      <c r="O19" s="445" t="s">
        <v>546</v>
      </c>
      <c r="P19" s="446">
        <f t="shared" ref="P19:U19" si="0">G19</f>
        <v>748.62358057891743</v>
      </c>
      <c r="Q19" s="446">
        <f t="shared" si="0"/>
        <v>-16.8</v>
      </c>
      <c r="R19" s="446">
        <f t="shared" si="0"/>
        <v>0</v>
      </c>
      <c r="S19" s="446">
        <f t="shared" si="0"/>
        <v>3.3000000000000003</v>
      </c>
      <c r="T19" s="446">
        <f t="shared" si="0"/>
        <v>4000</v>
      </c>
      <c r="U19" s="447">
        <f t="shared" si="0"/>
        <v>4000</v>
      </c>
    </row>
    <row r="20" spans="2:21" s="429" customFormat="1" ht="15.95" customHeight="1" x14ac:dyDescent="0.2">
      <c r="B20" s="475"/>
      <c r="C20" s="419"/>
      <c r="D20" s="477"/>
      <c r="E20" s="419"/>
      <c r="F20" s="419"/>
      <c r="G20" s="419"/>
      <c r="H20" s="419"/>
      <c r="I20" s="419"/>
      <c r="J20" s="419"/>
      <c r="K20" s="419"/>
      <c r="L20" s="419"/>
      <c r="M20" s="476"/>
      <c r="N20" s="381"/>
      <c r="O20" s="426"/>
      <c r="P20" s="427"/>
      <c r="Q20" s="427"/>
      <c r="R20" s="427"/>
      <c r="S20" s="427"/>
      <c r="T20" s="427"/>
      <c r="U20" s="428"/>
    </row>
    <row r="21" spans="2:21" s="429" customFormat="1" ht="15.95" customHeight="1" x14ac:dyDescent="0.2">
      <c r="B21" s="463"/>
      <c r="C21" s="470" t="s">
        <v>544</v>
      </c>
      <c r="D21" s="478"/>
      <c r="E21" s="465"/>
      <c r="F21" s="466"/>
      <c r="G21" s="467"/>
      <c r="H21" s="468"/>
      <c r="I21" s="468"/>
      <c r="J21" s="468"/>
      <c r="K21" s="468"/>
      <c r="L21" s="468"/>
      <c r="M21" s="469"/>
      <c r="N21" s="454"/>
      <c r="O21" s="426"/>
      <c r="P21" s="427"/>
      <c r="Q21" s="427"/>
      <c r="R21" s="427"/>
      <c r="S21" s="427"/>
      <c r="T21" s="427"/>
      <c r="U21" s="428"/>
    </row>
    <row r="22" spans="2:21" s="429" customFormat="1" ht="15.95" customHeight="1" x14ac:dyDescent="0.2">
      <c r="B22" s="456"/>
      <c r="C22" s="448"/>
      <c r="D22" s="480"/>
      <c r="E22" s="449"/>
      <c r="F22" s="457"/>
      <c r="G22" s="458"/>
      <c r="H22" s="459"/>
      <c r="I22" s="459"/>
      <c r="J22" s="459"/>
      <c r="K22" s="459"/>
      <c r="L22" s="459"/>
      <c r="M22" s="460"/>
      <c r="N22" s="454"/>
      <c r="O22" s="426"/>
      <c r="P22" s="427"/>
      <c r="Q22" s="427"/>
      <c r="R22" s="427"/>
      <c r="S22" s="427"/>
      <c r="T22" s="427"/>
      <c r="U22" s="428"/>
    </row>
    <row r="23" spans="2:21" s="429" customFormat="1" ht="15.95" customHeight="1" x14ac:dyDescent="0.2">
      <c r="B23" s="82"/>
      <c r="C23" s="242" t="s">
        <v>458</v>
      </c>
      <c r="D23" s="484"/>
      <c r="E23" s="228"/>
      <c r="F23" s="242"/>
      <c r="G23" s="227"/>
      <c r="H23" s="227"/>
      <c r="I23" s="227"/>
      <c r="J23" s="227"/>
      <c r="K23" s="227"/>
      <c r="L23" s="227"/>
      <c r="M23" s="274"/>
      <c r="N23" s="454"/>
      <c r="O23" s="426"/>
      <c r="P23" s="427"/>
      <c r="Q23" s="427"/>
      <c r="R23" s="427"/>
      <c r="S23" s="427"/>
      <c r="T23" s="427"/>
      <c r="U23" s="428"/>
    </row>
    <row r="24" spans="2:21" s="429" customFormat="1" ht="15.95" customHeight="1" x14ac:dyDescent="0.2">
      <c r="B24" s="58" t="s">
        <v>306</v>
      </c>
      <c r="C24" s="56" t="s">
        <v>403</v>
      </c>
      <c r="D24" s="316">
        <v>0.5</v>
      </c>
      <c r="E24" s="218">
        <v>1</v>
      </c>
      <c r="F24" s="271">
        <f>7.2*(0.5*PI()*3.3^2+(12-3.3)*6.6)*$Q$3</f>
        <v>509.75764847176754</v>
      </c>
      <c r="G24" s="24">
        <f>E24*F24*D24</f>
        <v>254.87882423588377</v>
      </c>
      <c r="H24" s="16">
        <v>12.78</v>
      </c>
      <c r="I24" s="16">
        <v>23</v>
      </c>
      <c r="J24" s="16">
        <v>3.3</v>
      </c>
      <c r="K24" s="169">
        <v>1000</v>
      </c>
      <c r="L24" s="169">
        <v>1000</v>
      </c>
      <c r="M24" s="273" t="s">
        <v>407</v>
      </c>
      <c r="N24" s="454"/>
      <c r="O24" s="426"/>
      <c r="P24" s="427"/>
      <c r="Q24" s="427"/>
      <c r="R24" s="427"/>
      <c r="S24" s="427"/>
      <c r="T24" s="427"/>
      <c r="U24" s="428"/>
    </row>
    <row r="25" spans="2:21" s="429" customFormat="1" ht="15.95" customHeight="1" x14ac:dyDescent="0.2">
      <c r="B25" s="59"/>
      <c r="C25" s="56" t="s">
        <v>457</v>
      </c>
      <c r="D25" s="317"/>
      <c r="E25" s="310"/>
      <c r="F25" s="311"/>
      <c r="G25" s="24">
        <f>E25*F25*D25</f>
        <v>0</v>
      </c>
      <c r="H25" s="9"/>
      <c r="I25" s="9"/>
      <c r="J25" s="9"/>
      <c r="K25" s="311"/>
      <c r="L25" s="311"/>
      <c r="M25" s="276"/>
      <c r="N25" s="454"/>
      <c r="O25" s="426"/>
      <c r="P25" s="427"/>
      <c r="Q25" s="427"/>
      <c r="R25" s="427"/>
      <c r="S25" s="427"/>
      <c r="T25" s="427"/>
      <c r="U25" s="428"/>
    </row>
    <row r="26" spans="2:21" s="429" customFormat="1" ht="15.95" customHeight="1" thickBot="1" x14ac:dyDescent="0.25">
      <c r="B26" s="255"/>
      <c r="C26" s="252"/>
      <c r="D26" s="316"/>
      <c r="E26" s="256"/>
      <c r="F26" s="272"/>
      <c r="G26" s="253"/>
      <c r="H26" s="250"/>
      <c r="I26" s="250"/>
      <c r="J26" s="250"/>
      <c r="K26" s="250"/>
      <c r="L26" s="250"/>
      <c r="M26" s="276"/>
      <c r="N26" s="454"/>
      <c r="O26" s="426"/>
      <c r="P26" s="427"/>
      <c r="Q26" s="427"/>
      <c r="R26" s="427"/>
      <c r="S26" s="427"/>
      <c r="T26" s="427"/>
      <c r="U26" s="428"/>
    </row>
    <row r="27" spans="2:21" s="429" customFormat="1" ht="15.95" customHeight="1" thickTop="1" x14ac:dyDescent="0.2">
      <c r="B27" s="318"/>
      <c r="C27" s="319"/>
      <c r="D27" s="481"/>
      <c r="E27" s="321"/>
      <c r="F27" s="322" t="s">
        <v>33</v>
      </c>
      <c r="G27" s="323">
        <f>SUBTOTAL(9,G24:G26)</f>
        <v>254.87882423588377</v>
      </c>
      <c r="H27" s="324">
        <f>IF($G27=0,0,SUMPRODUCT($G24:$G26,H24:H26)/$G27)</f>
        <v>12.78</v>
      </c>
      <c r="I27" s="324">
        <f>IF($G27=0,0,SUMPRODUCT($G24:$G26,I24:I26)/$G27)</f>
        <v>23</v>
      </c>
      <c r="J27" s="324">
        <f>IF($G27=0,0,SUMPRODUCT($G24:$G26,J24:J26)/$G27)</f>
        <v>3.3</v>
      </c>
      <c r="K27" s="324">
        <f>SUBTOTAL(9,K24:K26)</f>
        <v>1000</v>
      </c>
      <c r="L27" s="324">
        <f>SUBTOTAL(9,L24:L26)</f>
        <v>1000</v>
      </c>
      <c r="M27" s="444"/>
      <c r="N27" s="381"/>
      <c r="O27" s="445" t="s">
        <v>533</v>
      </c>
      <c r="P27" s="446">
        <f t="shared" ref="P27:U27" si="1">G27</f>
        <v>254.87882423588377</v>
      </c>
      <c r="Q27" s="446">
        <f t="shared" si="1"/>
        <v>12.78</v>
      </c>
      <c r="R27" s="446">
        <f t="shared" si="1"/>
        <v>23</v>
      </c>
      <c r="S27" s="446">
        <f t="shared" si="1"/>
        <v>3.3</v>
      </c>
      <c r="T27" s="446">
        <f t="shared" si="1"/>
        <v>1000</v>
      </c>
      <c r="U27" s="447">
        <f t="shared" si="1"/>
        <v>1000</v>
      </c>
    </row>
    <row r="28" spans="2:21" ht="15.95" customHeight="1" x14ac:dyDescent="0.2">
      <c r="B28" s="243"/>
      <c r="C28" s="244"/>
      <c r="D28" s="482"/>
      <c r="E28" s="246"/>
      <c r="F28" s="279"/>
      <c r="G28" s="280"/>
      <c r="H28" s="281"/>
      <c r="I28" s="281"/>
      <c r="J28" s="281"/>
      <c r="K28" s="281"/>
      <c r="L28" s="281"/>
      <c r="M28" s="282"/>
    </row>
    <row r="29" spans="2:21" ht="15.95" customHeight="1" x14ac:dyDescent="0.2">
      <c r="B29" s="82"/>
      <c r="C29" s="242" t="s">
        <v>83</v>
      </c>
      <c r="D29" s="484"/>
      <c r="E29" s="228"/>
      <c r="F29" s="242"/>
      <c r="G29" s="227"/>
      <c r="H29" s="227"/>
      <c r="I29" s="227"/>
      <c r="J29" s="227"/>
      <c r="K29" s="227"/>
      <c r="L29" s="227"/>
      <c r="M29" s="274"/>
    </row>
    <row r="30" spans="2:21" ht="15.95" customHeight="1" x14ac:dyDescent="0.2">
      <c r="B30" s="58" t="s">
        <v>84</v>
      </c>
      <c r="C30" s="56" t="s">
        <v>466</v>
      </c>
      <c r="D30" s="316">
        <v>0.5</v>
      </c>
      <c r="E30" s="218">
        <v>0.8</v>
      </c>
      <c r="F30" s="271">
        <f>7.2*(0.5*PI()*3.3^2+(12-3.3)*6.6)*$Q$3</f>
        <v>509.75764847176754</v>
      </c>
      <c r="G30" s="24">
        <f>E30*F30*D30</f>
        <v>203.90305938870702</v>
      </c>
      <c r="H30" s="16">
        <v>29.32</v>
      </c>
      <c r="I30" s="16">
        <v>15.9</v>
      </c>
      <c r="J30" s="16">
        <v>3.3</v>
      </c>
      <c r="K30" s="169">
        <v>1000</v>
      </c>
      <c r="L30" s="169">
        <v>1000</v>
      </c>
      <c r="M30" s="273" t="s">
        <v>501</v>
      </c>
    </row>
    <row r="31" spans="2:21" ht="15.95" customHeight="1" x14ac:dyDescent="0.2">
      <c r="B31" s="59"/>
      <c r="C31" s="56" t="s">
        <v>457</v>
      </c>
      <c r="D31" s="317"/>
      <c r="E31" s="218"/>
      <c r="F31" s="271"/>
      <c r="G31" s="24">
        <f>E31*F31*D31</f>
        <v>0</v>
      </c>
      <c r="H31" s="16"/>
      <c r="I31" s="16"/>
      <c r="J31" s="16"/>
      <c r="K31" s="169"/>
      <c r="L31" s="169"/>
      <c r="M31" s="273"/>
    </row>
    <row r="32" spans="2:21" ht="15.95" customHeight="1" thickBot="1" x14ac:dyDescent="0.25">
      <c r="B32" s="255"/>
      <c r="C32" s="252"/>
      <c r="D32" s="316"/>
      <c r="E32" s="256"/>
      <c r="F32" s="272"/>
      <c r="G32" s="253"/>
      <c r="H32" s="250"/>
      <c r="I32" s="250"/>
      <c r="J32" s="250"/>
      <c r="K32" s="250"/>
      <c r="L32" s="272"/>
      <c r="M32" s="276"/>
    </row>
    <row r="33" spans="2:21" ht="15.95" customHeight="1" thickTop="1" x14ac:dyDescent="0.2">
      <c r="B33" s="318"/>
      <c r="C33" s="319"/>
      <c r="D33" s="481"/>
      <c r="E33" s="321"/>
      <c r="F33" s="322" t="s">
        <v>33</v>
      </c>
      <c r="G33" s="323">
        <f>SUBTOTAL(9,G30:G32)</f>
        <v>203.90305938870702</v>
      </c>
      <c r="H33" s="324">
        <f>IF($G33=0,0,SUMPRODUCT($G30:$G32,H30:H32)/$G33)</f>
        <v>29.32</v>
      </c>
      <c r="I33" s="324">
        <f>IF($G33=0,0,SUMPRODUCT($G30:$G32,I30:I32)/$G33)</f>
        <v>15.899999999999999</v>
      </c>
      <c r="J33" s="324">
        <f>IF($G33=0,0,SUMPRODUCT($G30:$G32,J30:J32)/$G33)</f>
        <v>3.3</v>
      </c>
      <c r="K33" s="324">
        <f>SUBTOTAL(9,K30:K32)</f>
        <v>1000</v>
      </c>
      <c r="L33" s="324">
        <f>SUBTOTAL(9,L30:L32)</f>
        <v>1000</v>
      </c>
      <c r="M33" s="444"/>
      <c r="O33" s="445" t="s">
        <v>543</v>
      </c>
      <c r="P33" s="446">
        <f t="shared" ref="P33:U33" si="2">G33</f>
        <v>203.90305938870702</v>
      </c>
      <c r="Q33" s="446">
        <f t="shared" si="2"/>
        <v>29.32</v>
      </c>
      <c r="R33" s="446">
        <f t="shared" si="2"/>
        <v>15.899999999999999</v>
      </c>
      <c r="S33" s="446">
        <f t="shared" si="2"/>
        <v>3.3</v>
      </c>
      <c r="T33" s="446">
        <f t="shared" si="2"/>
        <v>1000</v>
      </c>
      <c r="U33" s="447">
        <f t="shared" si="2"/>
        <v>1000</v>
      </c>
    </row>
    <row r="34" spans="2:21" ht="15.95" customHeight="1" x14ac:dyDescent="0.2">
      <c r="B34" s="475"/>
      <c r="C34" s="419"/>
      <c r="D34" s="477"/>
      <c r="E34" s="419"/>
      <c r="F34" s="419"/>
      <c r="G34" s="419"/>
      <c r="H34" s="419"/>
      <c r="I34" s="419"/>
      <c r="J34" s="419"/>
      <c r="K34" s="419"/>
      <c r="L34" s="419"/>
      <c r="M34" s="476"/>
    </row>
    <row r="35" spans="2:21" ht="15.95" customHeight="1" x14ac:dyDescent="0.2">
      <c r="B35" s="463"/>
      <c r="C35" s="470" t="s">
        <v>545</v>
      </c>
      <c r="D35" s="478"/>
      <c r="E35" s="465"/>
      <c r="F35" s="466"/>
      <c r="G35" s="467"/>
      <c r="H35" s="468"/>
      <c r="I35" s="468"/>
      <c r="J35" s="468"/>
      <c r="K35" s="468"/>
      <c r="L35" s="468"/>
      <c r="M35" s="469"/>
    </row>
    <row r="36" spans="2:21" ht="15.95" customHeight="1" x14ac:dyDescent="0.2">
      <c r="B36" s="456"/>
      <c r="C36" s="448"/>
      <c r="D36" s="480"/>
      <c r="E36" s="449"/>
      <c r="F36" s="457"/>
      <c r="G36" s="458"/>
      <c r="H36" s="459"/>
      <c r="I36" s="459"/>
      <c r="J36" s="459"/>
      <c r="K36" s="459"/>
      <c r="L36" s="459"/>
      <c r="M36" s="460"/>
    </row>
    <row r="37" spans="2:21" ht="15.95" customHeight="1" x14ac:dyDescent="0.2">
      <c r="B37" s="82"/>
      <c r="C37" s="242" t="s">
        <v>458</v>
      </c>
      <c r="D37" s="484"/>
      <c r="E37" s="228"/>
      <c r="F37" s="242"/>
      <c r="G37" s="227"/>
      <c r="H37" s="227"/>
      <c r="I37" s="227"/>
      <c r="J37" s="227"/>
      <c r="K37" s="227"/>
      <c r="L37" s="227"/>
      <c r="M37" s="274"/>
    </row>
    <row r="38" spans="2:21" ht="15.95" customHeight="1" x14ac:dyDescent="0.2">
      <c r="B38" s="59" t="s">
        <v>307</v>
      </c>
      <c r="C38" s="29" t="s">
        <v>402</v>
      </c>
      <c r="D38" s="317">
        <v>0.5</v>
      </c>
      <c r="E38" s="218">
        <v>1</v>
      </c>
      <c r="F38" s="271">
        <f>7.2*(0.5*PI()*3.3^2+(12-3.3)*6.6)*$Q$3</f>
        <v>509.75764847176754</v>
      </c>
      <c r="G38" s="24">
        <f>E38*F38*D38</f>
        <v>254.87882423588377</v>
      </c>
      <c r="H38" s="16">
        <v>12.78</v>
      </c>
      <c r="I38" s="16">
        <v>-23</v>
      </c>
      <c r="J38" s="16">
        <v>3.3</v>
      </c>
      <c r="K38" s="169">
        <v>1000</v>
      </c>
      <c r="L38" s="169">
        <v>1000</v>
      </c>
      <c r="M38" s="273" t="s">
        <v>407</v>
      </c>
    </row>
    <row r="39" spans="2:21" ht="15.95" customHeight="1" x14ac:dyDescent="0.2">
      <c r="B39" s="59"/>
      <c r="C39" s="56" t="s">
        <v>457</v>
      </c>
      <c r="D39" s="317"/>
      <c r="E39" s="310"/>
      <c r="F39" s="311"/>
      <c r="G39" s="24">
        <f>E39*F39*D39</f>
        <v>0</v>
      </c>
      <c r="H39" s="9"/>
      <c r="I39" s="9"/>
      <c r="J39" s="9"/>
      <c r="K39" s="311"/>
      <c r="L39" s="311"/>
      <c r="M39" s="276"/>
    </row>
    <row r="40" spans="2:21" ht="15.95" customHeight="1" thickBot="1" x14ac:dyDescent="0.25">
      <c r="B40" s="255"/>
      <c r="C40" s="252"/>
      <c r="D40" s="316"/>
      <c r="E40" s="256"/>
      <c r="F40" s="272"/>
      <c r="G40" s="253"/>
      <c r="H40" s="250"/>
      <c r="I40" s="250"/>
      <c r="J40" s="250"/>
      <c r="K40" s="250"/>
      <c r="L40" s="250"/>
      <c r="M40" s="276"/>
    </row>
    <row r="41" spans="2:21" ht="15.95" customHeight="1" thickTop="1" x14ac:dyDescent="0.2">
      <c r="B41" s="318"/>
      <c r="C41" s="319"/>
      <c r="D41" s="481"/>
      <c r="E41" s="321"/>
      <c r="F41" s="322" t="s">
        <v>33</v>
      </c>
      <c r="G41" s="323">
        <f>SUBTOTAL(9,G38:G40)</f>
        <v>254.87882423588377</v>
      </c>
      <c r="H41" s="324">
        <f>IF($G41=0,0,SUMPRODUCT($G38:$G40,H38:H40)/$G41)</f>
        <v>12.78</v>
      </c>
      <c r="I41" s="324">
        <f>IF($G41=0,0,SUMPRODUCT($G38:$G40,I38:I40)/$G41)</f>
        <v>-23</v>
      </c>
      <c r="J41" s="324">
        <f>IF($G41=0,0,SUMPRODUCT($G38:$G40,J38:J40)/$G41)</f>
        <v>3.3</v>
      </c>
      <c r="K41" s="324">
        <f>SUBTOTAL(9,K38:K40)</f>
        <v>1000</v>
      </c>
      <c r="L41" s="324">
        <f>SUBTOTAL(9,L38:L40)</f>
        <v>1000</v>
      </c>
      <c r="M41" s="444"/>
      <c r="O41" s="445" t="s">
        <v>547</v>
      </c>
      <c r="P41" s="446">
        <f t="shared" ref="P41:U41" si="3">G41</f>
        <v>254.87882423588377</v>
      </c>
      <c r="Q41" s="446">
        <f t="shared" si="3"/>
        <v>12.78</v>
      </c>
      <c r="R41" s="446">
        <f t="shared" si="3"/>
        <v>-23</v>
      </c>
      <c r="S41" s="446">
        <f t="shared" si="3"/>
        <v>3.3</v>
      </c>
      <c r="T41" s="446">
        <f t="shared" si="3"/>
        <v>1000</v>
      </c>
      <c r="U41" s="447">
        <f t="shared" si="3"/>
        <v>1000</v>
      </c>
    </row>
    <row r="42" spans="2:21" ht="15.95" customHeight="1" x14ac:dyDescent="0.2">
      <c r="E42" s="452"/>
      <c r="G42" s="451"/>
      <c r="M42" s="453"/>
    </row>
    <row r="43" spans="2:21" ht="15.95" customHeight="1" x14ac:dyDescent="0.2">
      <c r="E43" s="452"/>
      <c r="G43" s="451"/>
      <c r="M43" s="453"/>
    </row>
    <row r="44" spans="2:21" ht="15.95" customHeight="1" x14ac:dyDescent="0.2">
      <c r="E44" s="452"/>
      <c r="G44" s="451"/>
      <c r="M44" s="453"/>
    </row>
    <row r="45" spans="2:21" ht="15.95" customHeight="1" x14ac:dyDescent="0.2">
      <c r="E45" s="452"/>
      <c r="G45" s="451"/>
      <c r="M45" s="453"/>
    </row>
    <row r="46" spans="2:21" ht="15.95" customHeight="1" x14ac:dyDescent="0.2">
      <c r="E46" s="452"/>
      <c r="G46" s="451"/>
      <c r="M46" s="453"/>
    </row>
    <row r="47" spans="2:21" ht="15.95" customHeight="1" x14ac:dyDescent="0.2">
      <c r="E47" s="452"/>
      <c r="G47" s="451"/>
      <c r="M47" s="453"/>
    </row>
    <row r="48" spans="2:21" ht="15.95" customHeight="1" x14ac:dyDescent="0.2">
      <c r="E48" s="452"/>
      <c r="G48" s="451"/>
      <c r="M48" s="453"/>
    </row>
    <row r="49" spans="5:13" ht="15.95" customHeight="1" x14ac:dyDescent="0.2">
      <c r="E49" s="452"/>
      <c r="G49" s="451"/>
      <c r="M49" s="453"/>
    </row>
    <row r="50" spans="5:13" ht="15.95" customHeight="1" x14ac:dyDescent="0.2">
      <c r="E50" s="452"/>
      <c r="G50" s="451"/>
      <c r="M50" s="453"/>
    </row>
    <row r="51" spans="5:13" ht="15.95" customHeight="1" x14ac:dyDescent="0.2">
      <c r="E51" s="452"/>
      <c r="G51" s="451"/>
      <c r="M51" s="453"/>
    </row>
    <row r="52" spans="5:13" ht="15.95" customHeight="1" x14ac:dyDescent="0.2">
      <c r="E52" s="452"/>
      <c r="G52" s="451"/>
      <c r="M52" s="453"/>
    </row>
    <row r="53" spans="5:13" ht="15.95" customHeight="1" x14ac:dyDescent="0.2">
      <c r="E53" s="452"/>
      <c r="G53" s="451"/>
      <c r="M53" s="453"/>
    </row>
    <row r="54" spans="5:13" ht="15.95" customHeight="1" x14ac:dyDescent="0.2">
      <c r="E54" s="452"/>
      <c r="G54" s="451"/>
      <c r="M54" s="453"/>
    </row>
    <row r="55" spans="5:13" ht="15.95" customHeight="1" x14ac:dyDescent="0.2">
      <c r="E55" s="452"/>
      <c r="G55" s="451"/>
      <c r="M55" s="453"/>
    </row>
    <row r="56" spans="5:13" ht="15.95" customHeight="1" x14ac:dyDescent="0.2">
      <c r="E56" s="452"/>
      <c r="G56" s="451"/>
      <c r="M56" s="453"/>
    </row>
    <row r="57" spans="5:13" ht="15.95" customHeight="1" x14ac:dyDescent="0.2">
      <c r="E57" s="452"/>
      <c r="G57" s="451"/>
      <c r="M57" s="453"/>
    </row>
    <row r="58" spans="5:13" ht="15.95" customHeight="1" x14ac:dyDescent="0.2">
      <c r="E58" s="452"/>
      <c r="G58" s="451"/>
      <c r="M58" s="453"/>
    </row>
    <row r="59" spans="5:13" ht="15.95" customHeight="1" x14ac:dyDescent="0.2">
      <c r="E59" s="452"/>
      <c r="G59" s="451"/>
      <c r="M59" s="453"/>
    </row>
    <row r="60" spans="5:13" ht="15.95" customHeight="1" x14ac:dyDescent="0.2">
      <c r="E60" s="452"/>
      <c r="G60" s="451"/>
      <c r="M60" s="453"/>
    </row>
    <row r="61" spans="5:13" ht="15.95" customHeight="1" x14ac:dyDescent="0.2">
      <c r="E61" s="452"/>
      <c r="G61" s="451"/>
      <c r="M61" s="453"/>
    </row>
    <row r="62" spans="5:13" ht="15.95" customHeight="1" x14ac:dyDescent="0.2">
      <c r="E62" s="452"/>
      <c r="G62" s="451"/>
      <c r="M62" s="453"/>
    </row>
    <row r="63" spans="5:13" ht="15.95" customHeight="1" x14ac:dyDescent="0.2">
      <c r="E63" s="452"/>
      <c r="G63" s="451"/>
      <c r="M63" s="453"/>
    </row>
    <row r="64" spans="5:13" ht="15.95" customHeight="1" x14ac:dyDescent="0.2">
      <c r="E64" s="452"/>
      <c r="G64" s="451"/>
      <c r="M64" s="453"/>
    </row>
    <row r="65" spans="5:13" ht="15.95" customHeight="1" x14ac:dyDescent="0.2">
      <c r="E65" s="452"/>
      <c r="G65" s="451"/>
      <c r="M65" s="453"/>
    </row>
    <row r="66" spans="5:13" ht="15.95" customHeight="1" x14ac:dyDescent="0.2">
      <c r="E66" s="452"/>
      <c r="G66" s="451"/>
      <c r="M66" s="453"/>
    </row>
    <row r="67" spans="5:13" ht="15.95" customHeight="1" x14ac:dyDescent="0.2">
      <c r="E67" s="452"/>
      <c r="G67" s="451"/>
      <c r="M67" s="453"/>
    </row>
    <row r="68" spans="5:13" ht="15.95" customHeight="1" x14ac:dyDescent="0.2">
      <c r="E68" s="452"/>
      <c r="G68" s="451"/>
      <c r="M68" s="453"/>
    </row>
    <row r="69" spans="5:13" ht="15.95" customHeight="1" x14ac:dyDescent="0.2">
      <c r="E69" s="452"/>
      <c r="G69" s="451"/>
      <c r="M69" s="453"/>
    </row>
    <row r="70" spans="5:13" ht="15.95" customHeight="1" x14ac:dyDescent="0.2">
      <c r="E70" s="452"/>
      <c r="G70" s="451"/>
      <c r="M70" s="453"/>
    </row>
    <row r="71" spans="5:13" ht="15.95" customHeight="1" x14ac:dyDescent="0.2">
      <c r="E71" s="452"/>
      <c r="G71" s="451"/>
      <c r="M71" s="453"/>
    </row>
    <row r="72" spans="5:13" ht="15.95" customHeight="1" x14ac:dyDescent="0.2">
      <c r="E72" s="452"/>
      <c r="G72" s="451"/>
      <c r="M72" s="453"/>
    </row>
    <row r="73" spans="5:13" ht="15.95" customHeight="1" x14ac:dyDescent="0.2">
      <c r="E73" s="452"/>
      <c r="G73" s="451"/>
      <c r="M73" s="453"/>
    </row>
    <row r="74" spans="5:13" ht="15.95" customHeight="1" x14ac:dyDescent="0.2">
      <c r="E74" s="452"/>
      <c r="G74" s="451"/>
      <c r="M74" s="453"/>
    </row>
    <row r="75" spans="5:13" ht="15.95" customHeight="1" x14ac:dyDescent="0.2">
      <c r="E75" s="452"/>
      <c r="G75" s="451"/>
      <c r="M75" s="453"/>
    </row>
    <row r="76" spans="5:13" ht="15.95" customHeight="1" x14ac:dyDescent="0.2">
      <c r="E76" s="452"/>
      <c r="G76" s="451"/>
      <c r="M76" s="453"/>
    </row>
    <row r="77" spans="5:13" ht="15.95" customHeight="1" x14ac:dyDescent="0.2">
      <c r="E77" s="452"/>
      <c r="G77" s="451"/>
      <c r="M77" s="453"/>
    </row>
    <row r="78" spans="5:13" ht="15.95" customHeight="1" x14ac:dyDescent="0.2">
      <c r="E78" s="452"/>
      <c r="G78" s="451"/>
      <c r="M78" s="453"/>
    </row>
    <row r="79" spans="5:13" ht="15.95" customHeight="1" x14ac:dyDescent="0.2">
      <c r="E79" s="452"/>
      <c r="G79" s="451"/>
      <c r="M79" s="453"/>
    </row>
    <row r="80" spans="5:13" ht="15.95" customHeight="1" x14ac:dyDescent="0.2">
      <c r="E80" s="452"/>
      <c r="G80" s="451"/>
      <c r="M80" s="453"/>
    </row>
    <row r="81" spans="5:13" ht="15.95" customHeight="1" x14ac:dyDescent="0.2">
      <c r="E81" s="452"/>
      <c r="G81" s="451"/>
      <c r="M81" s="453"/>
    </row>
    <row r="82" spans="5:13" ht="15.95" customHeight="1" x14ac:dyDescent="0.2">
      <c r="E82" s="452"/>
      <c r="G82" s="451"/>
      <c r="M82" s="453"/>
    </row>
    <row r="83" spans="5:13" ht="15.95" customHeight="1" x14ac:dyDescent="0.2">
      <c r="E83" s="452"/>
      <c r="G83" s="451"/>
      <c r="M83" s="453"/>
    </row>
    <row r="84" spans="5:13" ht="15.95" customHeight="1" x14ac:dyDescent="0.2">
      <c r="E84" s="452"/>
      <c r="G84" s="451"/>
      <c r="M84" s="453"/>
    </row>
    <row r="85" spans="5:13" ht="15.95" customHeight="1" x14ac:dyDescent="0.2">
      <c r="E85" s="452"/>
      <c r="G85" s="451"/>
      <c r="M85" s="453"/>
    </row>
    <row r="86" spans="5:13" ht="15.95" customHeight="1" x14ac:dyDescent="0.2">
      <c r="E86" s="452"/>
      <c r="G86" s="451"/>
      <c r="M86" s="453"/>
    </row>
    <row r="87" spans="5:13" ht="15.95" customHeight="1" x14ac:dyDescent="0.2">
      <c r="E87" s="452"/>
      <c r="G87" s="451"/>
      <c r="M87" s="453"/>
    </row>
    <row r="88" spans="5:13" ht="15.95" customHeight="1" x14ac:dyDescent="0.2">
      <c r="E88" s="452"/>
      <c r="G88" s="451"/>
      <c r="M88" s="453"/>
    </row>
    <row r="89" spans="5:13" ht="15.95" customHeight="1" x14ac:dyDescent="0.2">
      <c r="E89" s="452"/>
      <c r="G89" s="451"/>
      <c r="M89" s="453"/>
    </row>
    <row r="90" spans="5:13" ht="15.95" customHeight="1" x14ac:dyDescent="0.2">
      <c r="E90" s="452"/>
      <c r="G90" s="451"/>
      <c r="M90" s="453"/>
    </row>
    <row r="91" spans="5:13" ht="15.95" customHeight="1" x14ac:dyDescent="0.2">
      <c r="E91" s="452"/>
      <c r="G91" s="451"/>
      <c r="M91" s="453"/>
    </row>
    <row r="92" spans="5:13" ht="15.95" customHeight="1" x14ac:dyDescent="0.2">
      <c r="E92" s="452"/>
      <c r="G92" s="451"/>
      <c r="M92" s="453"/>
    </row>
    <row r="93" spans="5:13" ht="15.95" customHeight="1" x14ac:dyDescent="0.2">
      <c r="E93" s="452"/>
      <c r="G93" s="451"/>
      <c r="M93" s="453"/>
    </row>
    <row r="94" spans="5:13" ht="15.95" customHeight="1" x14ac:dyDescent="0.2">
      <c r="E94" s="452"/>
      <c r="G94" s="451"/>
      <c r="M94" s="453"/>
    </row>
    <row r="95" spans="5:13" ht="15.95" customHeight="1" x14ac:dyDescent="0.2">
      <c r="E95" s="452"/>
      <c r="G95" s="451"/>
      <c r="M95" s="453"/>
    </row>
    <row r="96" spans="5:13" ht="15.95" customHeight="1" x14ac:dyDescent="0.2">
      <c r="E96" s="452"/>
      <c r="G96" s="451"/>
      <c r="M96" s="453"/>
    </row>
    <row r="97" spans="5:13" ht="15.95" customHeight="1" x14ac:dyDescent="0.2">
      <c r="E97" s="452"/>
      <c r="G97" s="451"/>
      <c r="M97" s="453"/>
    </row>
    <row r="98" spans="5:13" ht="15.95" customHeight="1" x14ac:dyDescent="0.2">
      <c r="E98" s="452"/>
      <c r="G98" s="451"/>
      <c r="M98" s="453"/>
    </row>
    <row r="99" spans="5:13" ht="15.95" customHeight="1" x14ac:dyDescent="0.2">
      <c r="E99" s="452"/>
      <c r="G99" s="451"/>
      <c r="M99" s="453"/>
    </row>
    <row r="100" spans="5:13" ht="15.95" customHeight="1" x14ac:dyDescent="0.2">
      <c r="E100" s="452"/>
      <c r="G100" s="451"/>
      <c r="M100" s="453"/>
    </row>
    <row r="101" spans="5:13" ht="15.95" customHeight="1" x14ac:dyDescent="0.2">
      <c r="E101" s="452"/>
      <c r="G101" s="451"/>
      <c r="M101" s="453"/>
    </row>
    <row r="102" spans="5:13" ht="15.95" customHeight="1" x14ac:dyDescent="0.2">
      <c r="E102" s="452"/>
      <c r="G102" s="451"/>
      <c r="M102" s="453"/>
    </row>
    <row r="103" spans="5:13" ht="15.95" customHeight="1" x14ac:dyDescent="0.2">
      <c r="E103" s="452"/>
      <c r="G103" s="451"/>
      <c r="M103" s="453"/>
    </row>
    <row r="104" spans="5:13" ht="15.95" customHeight="1" x14ac:dyDescent="0.2">
      <c r="E104" s="452"/>
      <c r="G104" s="451"/>
      <c r="M104" s="453"/>
    </row>
    <row r="105" spans="5:13" ht="15.95" customHeight="1" x14ac:dyDescent="0.2">
      <c r="E105" s="452"/>
      <c r="G105" s="451"/>
      <c r="M105" s="453"/>
    </row>
    <row r="106" spans="5:13" ht="15.95" customHeight="1" x14ac:dyDescent="0.2">
      <c r="E106" s="452"/>
      <c r="G106" s="451"/>
      <c r="M106" s="453"/>
    </row>
    <row r="107" spans="5:13" ht="15.95" customHeight="1" x14ac:dyDescent="0.2">
      <c r="E107" s="452"/>
      <c r="G107" s="451"/>
      <c r="M107" s="453"/>
    </row>
    <row r="108" spans="5:13" ht="15.95" customHeight="1" x14ac:dyDescent="0.2">
      <c r="E108" s="452"/>
      <c r="G108" s="451"/>
      <c r="M108" s="453"/>
    </row>
    <row r="109" spans="5:13" ht="15.95" customHeight="1" x14ac:dyDescent="0.2">
      <c r="E109" s="452"/>
      <c r="G109" s="451"/>
      <c r="M109" s="453"/>
    </row>
    <row r="110" spans="5:13" ht="15.95" customHeight="1" x14ac:dyDescent="0.2">
      <c r="E110" s="452"/>
      <c r="G110" s="451"/>
      <c r="M110" s="453"/>
    </row>
    <row r="111" spans="5:13" ht="15.95" customHeight="1" x14ac:dyDescent="0.2">
      <c r="E111" s="452"/>
      <c r="G111" s="451"/>
      <c r="M111" s="453"/>
    </row>
    <row r="112" spans="5:13" ht="15.95" customHeight="1" x14ac:dyDescent="0.2"/>
    <row r="113" ht="15.95" customHeight="1" x14ac:dyDescent="0.2"/>
    <row r="114" ht="15.95" customHeight="1" x14ac:dyDescent="0.2"/>
    <row r="115" ht="15.95" customHeight="1" x14ac:dyDescent="0.2"/>
    <row r="116" ht="15.95" customHeight="1" x14ac:dyDescent="0.2"/>
    <row r="117" ht="15.95" customHeight="1" x14ac:dyDescent="0.2"/>
    <row r="118" ht="15.95" customHeight="1" x14ac:dyDescent="0.2"/>
    <row r="119" ht="15.95" customHeight="1" x14ac:dyDescent="0.2"/>
    <row r="120" ht="15.95" customHeight="1" x14ac:dyDescent="0.2"/>
    <row r="121" ht="15.95" customHeight="1" x14ac:dyDescent="0.2"/>
    <row r="122" ht="15.95" customHeight="1" x14ac:dyDescent="0.2"/>
    <row r="123" ht="15.95" customHeight="1" x14ac:dyDescent="0.2"/>
    <row r="124" ht="15.95" customHeight="1" x14ac:dyDescent="0.2"/>
    <row r="125" ht="15.95" customHeight="1" x14ac:dyDescent="0.2"/>
    <row r="126" ht="15.95" customHeight="1" x14ac:dyDescent="0.2"/>
    <row r="127" ht="15.95" customHeight="1" x14ac:dyDescent="0.2"/>
    <row r="128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  <row r="145" ht="15.95" customHeight="1" x14ac:dyDescent="0.2"/>
    <row r="146" ht="15.95" customHeight="1" x14ac:dyDescent="0.2"/>
    <row r="147" ht="15.95" customHeight="1" x14ac:dyDescent="0.2"/>
    <row r="148" ht="15.95" customHeight="1" x14ac:dyDescent="0.2"/>
    <row r="149" ht="15.95" customHeight="1" x14ac:dyDescent="0.2"/>
    <row r="150" ht="15.95" customHeight="1" x14ac:dyDescent="0.2"/>
    <row r="151" ht="15.95" customHeight="1" x14ac:dyDescent="0.2"/>
    <row r="152" ht="15.95" customHeight="1" x14ac:dyDescent="0.2"/>
    <row r="153" ht="15.95" customHeight="1" x14ac:dyDescent="0.2"/>
    <row r="154" ht="15.95" customHeight="1" x14ac:dyDescent="0.2"/>
    <row r="155" ht="15.95" customHeight="1" x14ac:dyDescent="0.2"/>
    <row r="156" ht="15.95" customHeight="1" x14ac:dyDescent="0.2"/>
    <row r="157" ht="15.95" customHeight="1" x14ac:dyDescent="0.2"/>
    <row r="158" ht="15.95" customHeight="1" x14ac:dyDescent="0.2"/>
    <row r="159" ht="15.95" customHeight="1" x14ac:dyDescent="0.2"/>
    <row r="160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  <row r="693" ht="15.95" customHeight="1" x14ac:dyDescent="0.2"/>
    <row r="694" ht="15.95" customHeight="1" x14ac:dyDescent="0.2"/>
    <row r="695" ht="15.95" customHeight="1" x14ac:dyDescent="0.2"/>
    <row r="696" ht="15.95" customHeight="1" x14ac:dyDescent="0.2"/>
    <row r="697" ht="15.95" customHeight="1" x14ac:dyDescent="0.2"/>
    <row r="698" ht="15.95" customHeight="1" x14ac:dyDescent="0.2"/>
    <row r="699" ht="15.95" customHeight="1" x14ac:dyDescent="0.2"/>
    <row r="700" ht="15.95" customHeight="1" x14ac:dyDescent="0.2"/>
  </sheetData>
  <dataConsolidate/>
  <mergeCells count="15">
    <mergeCell ref="J7:J8"/>
    <mergeCell ref="K7:K8"/>
    <mergeCell ref="L7:L8"/>
    <mergeCell ref="M7:M9"/>
    <mergeCell ref="O7:U7"/>
    <mergeCell ref="D2:I3"/>
    <mergeCell ref="D4:I5"/>
    <mergeCell ref="B7:B9"/>
    <mergeCell ref="C7:C9"/>
    <mergeCell ref="D7:D8"/>
    <mergeCell ref="E7:E8"/>
    <mergeCell ref="F7:F8"/>
    <mergeCell ref="G7:G8"/>
    <mergeCell ref="H7:H8"/>
    <mergeCell ref="I7:I8"/>
  </mergeCells>
  <conditionalFormatting sqref="E41 E33 E27:E28 E24:F26 E30:F32 E38:F40">
    <cfRule type="expression" dxfId="8" priority="1" stopIfTrue="1">
      <formula>#REF!="B"</formula>
    </cfRule>
  </conditionalFormatting>
  <conditionalFormatting sqref="E35:E36 E19 E21:E22 E11:E12 E14:F18">
    <cfRule type="expression" dxfId="7" priority="2" stopIfTrue="1">
      <formula>#REF!="B"</formula>
    </cfRule>
  </conditionalFormatting>
  <printOptions horizontalCentered="1"/>
  <pageMargins left="0.5" right="0.5" top="0.5" bottom="0.5" header="0.2" footer="0.3"/>
  <pageSetup scale="49" fitToHeight="2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32</vt:i4>
      </vt:variant>
    </vt:vector>
  </HeadingPairs>
  <TitlesOfParts>
    <vt:vector size="57" baseType="lpstr">
      <vt:lpstr>Summary</vt:lpstr>
      <vt:lpstr>BLST1</vt:lpstr>
      <vt:lpstr>CONS1</vt:lpstr>
      <vt:lpstr>VDL</vt:lpstr>
      <vt:lpstr>BLST2</vt:lpstr>
      <vt:lpstr>CONS2</vt:lpstr>
      <vt:lpstr>VDL2</vt:lpstr>
      <vt:lpstr>BLST3</vt:lpstr>
      <vt:lpstr>CONS3</vt:lpstr>
      <vt:lpstr>VDL3</vt:lpstr>
      <vt:lpstr>BLST4</vt:lpstr>
      <vt:lpstr>CONS4</vt:lpstr>
      <vt:lpstr>VDL4</vt:lpstr>
      <vt:lpstr>BLST5</vt:lpstr>
      <vt:lpstr>CONS5</vt:lpstr>
      <vt:lpstr>VDL5</vt:lpstr>
      <vt:lpstr>Hydrostatic</vt:lpstr>
      <vt:lpstr>downflood</vt:lpstr>
      <vt:lpstr>tank</vt:lpstr>
      <vt:lpstr>AKG</vt:lpstr>
      <vt:lpstr>Current-y</vt:lpstr>
      <vt:lpstr>Wind-y</vt:lpstr>
      <vt:lpstr>Current-x</vt:lpstr>
      <vt:lpstr>Wind-x</vt:lpstr>
      <vt:lpstr>Wind-60</vt:lpstr>
      <vt:lpstr>BLST1!Print_Area</vt:lpstr>
      <vt:lpstr>BLST2!Print_Area</vt:lpstr>
      <vt:lpstr>BLST3!Print_Area</vt:lpstr>
      <vt:lpstr>BLST4!Print_Area</vt:lpstr>
      <vt:lpstr>BLST5!Print_Area</vt:lpstr>
      <vt:lpstr>CONS1!Print_Area</vt:lpstr>
      <vt:lpstr>CONS2!Print_Area</vt:lpstr>
      <vt:lpstr>CONS3!Print_Area</vt:lpstr>
      <vt:lpstr>CONS4!Print_Area</vt:lpstr>
      <vt:lpstr>CONS5!Print_Area</vt:lpstr>
      <vt:lpstr>Summary!Print_Area</vt:lpstr>
      <vt:lpstr>tank!Print_Area</vt:lpstr>
      <vt:lpstr>VDL!Print_Area</vt:lpstr>
      <vt:lpstr>'VDL2'!Print_Area</vt:lpstr>
      <vt:lpstr>'VDL3'!Print_Area</vt:lpstr>
      <vt:lpstr>'VDL4'!Print_Area</vt:lpstr>
      <vt:lpstr>'VDL5'!Print_Area</vt:lpstr>
      <vt:lpstr>BLST1!Print_Titles</vt:lpstr>
      <vt:lpstr>BLST2!Print_Titles</vt:lpstr>
      <vt:lpstr>BLST3!Print_Titles</vt:lpstr>
      <vt:lpstr>BLST4!Print_Titles</vt:lpstr>
      <vt:lpstr>BLST5!Print_Titles</vt:lpstr>
      <vt:lpstr>CONS1!Print_Titles</vt:lpstr>
      <vt:lpstr>CONS2!Print_Titles</vt:lpstr>
      <vt:lpstr>CONS3!Print_Titles</vt:lpstr>
      <vt:lpstr>CONS4!Print_Titles</vt:lpstr>
      <vt:lpstr>CONS5!Print_Titles</vt:lpstr>
      <vt:lpstr>VDL!Print_Titles</vt:lpstr>
      <vt:lpstr>'VDL2'!Print_Titles</vt:lpstr>
      <vt:lpstr>'VDL3'!Print_Titles</vt:lpstr>
      <vt:lpstr>'VDL4'!Print_Titles</vt:lpstr>
      <vt:lpstr>'VDL5'!Print_Titles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buidao</dc:creator>
  <cp:lastModifiedBy>Owner</cp:lastModifiedBy>
  <cp:lastPrinted>2011-06-02T18:52:04Z</cp:lastPrinted>
  <dcterms:created xsi:type="dcterms:W3CDTF">1996-10-14T23:33:28Z</dcterms:created>
  <dcterms:modified xsi:type="dcterms:W3CDTF">2011-06-06T20:42:39Z</dcterms:modified>
</cp:coreProperties>
</file>