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4505" yWindow="1155" windowWidth="8160" windowHeight="11520" tabRatio="862" activeTab="6"/>
  </bookViews>
  <sheets>
    <sheet name="IPB1-30b" sheetId="26" r:id="rId1"/>
    <sheet name="IPB1-29b" sheetId="10" r:id="rId2"/>
    <sheet name="IPB2-28b" sheetId="15" r:id="rId3"/>
    <sheet name="SRI-IPB2-27b" sheetId="17" r:id="rId4"/>
    <sheet name="IPB2-27b" sheetId="19" r:id="rId5"/>
    <sheet name="IPB1-26b" sheetId="20" r:id="rId6"/>
    <sheet name="AllDC" sheetId="25" r:id="rId7"/>
    <sheet name="DC-he-ipb1-30b" sheetId="27" r:id="rId8"/>
    <sheet name="DC-he-ipb1-29b-10032016" sheetId="24" r:id="rId9"/>
    <sheet name="DC-he-ipb1-29b-10122016" sheetId="11" r:id="rId10"/>
    <sheet name="DC-h2-ipb1-29b" sheetId="23" r:id="rId11"/>
    <sheet name="DC-h2-ipb2-28b" sheetId="14" r:id="rId12"/>
    <sheet name="DC-h2-sri-ipb2-27b" sheetId="22" r:id="rId13"/>
    <sheet name="ipb3-12092016" sheetId="28" r:id="rId14"/>
  </sheets>
  <definedNames>
    <definedName name="X_1">'DC-h2-ipb2-28b'!$A$7:$A$17</definedName>
    <definedName name="Y_1">'DC-h2-ipb2-28b'!$B$7:$B$17</definedName>
  </definedNames>
  <calcPr calcId="145621"/>
</workbook>
</file>

<file path=xl/calcChain.xml><?xml version="1.0" encoding="utf-8"?>
<calcChain xmlns="http://schemas.openxmlformats.org/spreadsheetml/2006/main">
  <c r="E5" i="27" l="1"/>
  <c r="K11" i="27"/>
  <c r="J11" i="27"/>
  <c r="I11" i="27"/>
  <c r="K10" i="27"/>
  <c r="J10" i="27"/>
  <c r="I10" i="27"/>
  <c r="O13" i="27"/>
  <c r="O14" i="27"/>
  <c r="D40" i="27"/>
  <c r="F40" i="27" s="1"/>
  <c r="D41" i="27"/>
  <c r="D39" i="27"/>
  <c r="D35" i="27"/>
  <c r="D36" i="27"/>
  <c r="D34" i="27"/>
  <c r="F35" i="27"/>
  <c r="E35" i="27"/>
  <c r="E40" i="27" l="1"/>
  <c r="O13" i="28"/>
  <c r="O14" i="28"/>
  <c r="O15" i="28"/>
  <c r="O16" i="28"/>
  <c r="O12" i="28"/>
  <c r="N8" i="28"/>
  <c r="O8" i="28"/>
  <c r="F6" i="25"/>
  <c r="F7" i="25"/>
  <c r="F8" i="25"/>
  <c r="F9" i="25"/>
  <c r="F5" i="25"/>
  <c r="O6" i="28"/>
  <c r="N7" i="28"/>
  <c r="N6" i="28"/>
  <c r="I10" i="28"/>
  <c r="O9" i="28" s="1"/>
  <c r="N5" i="28"/>
  <c r="O5" i="28" s="1"/>
  <c r="P16" i="28"/>
  <c r="N16" i="28"/>
  <c r="P15" i="28"/>
  <c r="N15" i="28"/>
  <c r="P14" i="28"/>
  <c r="N14" i="28"/>
  <c r="P13" i="28"/>
  <c r="N13" i="28"/>
  <c r="P12" i="28"/>
  <c r="P11" i="28"/>
  <c r="N11" i="28"/>
  <c r="P10" i="28"/>
  <c r="N10" i="28"/>
  <c r="P9" i="28"/>
  <c r="N9" i="28"/>
  <c r="P8" i="28"/>
  <c r="P7" i="28"/>
  <c r="P6" i="28"/>
  <c r="P5" i="28"/>
  <c r="P4" i="28"/>
  <c r="N4" i="28"/>
  <c r="I7" i="28"/>
  <c r="I6" i="28"/>
  <c r="I5" i="28"/>
  <c r="I4" i="28"/>
  <c r="O7" i="28" l="1"/>
  <c r="O10" i="28"/>
  <c r="O4" i="28"/>
  <c r="O11" i="28"/>
  <c r="D21" i="28"/>
  <c r="G21" i="28" s="1"/>
  <c r="D22" i="28"/>
  <c r="G22" i="28" s="1"/>
  <c r="D20" i="28"/>
  <c r="F20" i="28" s="1"/>
  <c r="K7" i="28" s="1"/>
  <c r="E20" i="28"/>
  <c r="G20" i="28"/>
  <c r="J7" i="28" l="1"/>
  <c r="D15" i="28"/>
  <c r="F15" i="28" s="1"/>
  <c r="K6" i="28" s="1"/>
  <c r="D12" i="28"/>
  <c r="D11" i="28"/>
  <c r="D10" i="28"/>
  <c r="F10" i="28" s="1"/>
  <c r="K5" i="28" s="1"/>
  <c r="E5" i="28"/>
  <c r="D7" i="28"/>
  <c r="G7" i="28" s="1"/>
  <c r="D6" i="28"/>
  <c r="D5" i="28"/>
  <c r="G5" i="28" s="1"/>
  <c r="D17" i="28"/>
  <c r="G17" i="28" s="1"/>
  <c r="D16" i="28"/>
  <c r="G16" i="28" s="1"/>
  <c r="G12" i="28"/>
  <c r="G11" i="28"/>
  <c r="G6" i="28"/>
  <c r="J4" i="28" l="1"/>
  <c r="E10" i="28"/>
  <c r="E15" i="28"/>
  <c r="F5" i="28"/>
  <c r="K4" i="28" s="1"/>
  <c r="G10" i="28"/>
  <c r="G15" i="28"/>
  <c r="K60" i="10"/>
  <c r="K14" i="10"/>
  <c r="J6" i="28" l="1"/>
  <c r="J5" i="28"/>
  <c r="J10" i="28"/>
  <c r="K10" i="28"/>
  <c r="D32" i="10"/>
  <c r="D33" i="10"/>
  <c r="D34" i="10"/>
  <c r="D35" i="10"/>
  <c r="D36" i="10"/>
  <c r="D31" i="10"/>
  <c r="I34" i="10"/>
  <c r="F49" i="10"/>
  <c r="P19" i="19"/>
  <c r="L19" i="19"/>
  <c r="P24" i="19"/>
  <c r="O24" i="19"/>
  <c r="N24" i="19"/>
  <c r="M24" i="19"/>
  <c r="P23" i="19"/>
  <c r="O23" i="19"/>
  <c r="N23" i="19"/>
  <c r="M23" i="19"/>
  <c r="P22" i="19"/>
  <c r="O22" i="19"/>
  <c r="N22" i="19"/>
  <c r="M22" i="19"/>
  <c r="P21" i="19"/>
  <c r="O21" i="19"/>
  <c r="N21" i="19"/>
  <c r="M21" i="19"/>
  <c r="P20" i="19"/>
  <c r="O20" i="19"/>
  <c r="N20" i="19"/>
  <c r="M20" i="19"/>
  <c r="O19" i="19"/>
  <c r="N19" i="19"/>
  <c r="M19" i="19"/>
  <c r="L20" i="19"/>
  <c r="L21" i="19"/>
  <c r="L22" i="19"/>
  <c r="L23" i="19"/>
  <c r="L24" i="19"/>
  <c r="M62" i="10"/>
  <c r="N62" i="10"/>
  <c r="O62" i="10"/>
  <c r="M63" i="10"/>
  <c r="N63" i="10"/>
  <c r="O63" i="10"/>
  <c r="M64" i="10"/>
  <c r="N64" i="10"/>
  <c r="O64" i="10"/>
  <c r="M65" i="10"/>
  <c r="N65" i="10"/>
  <c r="O65" i="10"/>
  <c r="M66" i="10"/>
  <c r="N66" i="10"/>
  <c r="P36" i="10"/>
  <c r="O36" i="10"/>
  <c r="N36" i="10"/>
  <c r="M36" i="10"/>
  <c r="L36" i="10"/>
  <c r="P35" i="10"/>
  <c r="O35" i="10"/>
  <c r="N35" i="10"/>
  <c r="M35" i="10"/>
  <c r="L35" i="10"/>
  <c r="P34" i="10"/>
  <c r="O34" i="10"/>
  <c r="N34" i="10"/>
  <c r="M34" i="10"/>
  <c r="L34" i="10"/>
  <c r="P33" i="10"/>
  <c r="O33" i="10"/>
  <c r="N33" i="10"/>
  <c r="M33" i="10"/>
  <c r="L33" i="10"/>
  <c r="P32" i="10"/>
  <c r="O32" i="10"/>
  <c r="N32" i="10"/>
  <c r="M32" i="10"/>
  <c r="L32" i="10"/>
  <c r="P31" i="10"/>
  <c r="O31" i="10"/>
  <c r="N31" i="10"/>
  <c r="M31" i="10"/>
  <c r="L31" i="10"/>
  <c r="C15" i="26"/>
  <c r="A15" i="26"/>
  <c r="C14" i="26"/>
  <c r="A14" i="26"/>
  <c r="C13" i="26"/>
  <c r="B13" i="26"/>
  <c r="A13" i="26"/>
  <c r="C12" i="26"/>
  <c r="B12" i="26"/>
  <c r="A12" i="26"/>
  <c r="C11" i="26"/>
  <c r="B11" i="26"/>
  <c r="A11" i="26"/>
  <c r="C10" i="26"/>
  <c r="A10" i="26"/>
  <c r="C9" i="26"/>
  <c r="B9" i="26"/>
  <c r="A9" i="26"/>
  <c r="C8" i="26"/>
  <c r="A8" i="26"/>
  <c r="C7" i="26"/>
  <c r="B7" i="26"/>
  <c r="A7" i="26"/>
  <c r="C6" i="26"/>
  <c r="A6" i="26"/>
  <c r="C5" i="26"/>
  <c r="H36" i="26" s="1"/>
  <c r="B5" i="26"/>
  <c r="A5" i="26"/>
  <c r="C4" i="26"/>
  <c r="B4" i="26"/>
  <c r="A4" i="26"/>
  <c r="C3" i="26"/>
  <c r="A3" i="26"/>
  <c r="O36" i="26"/>
  <c r="N36" i="26"/>
  <c r="M36" i="26"/>
  <c r="F36" i="26" s="1"/>
  <c r="O35" i="26"/>
  <c r="H35" i="26" s="1"/>
  <c r="N35" i="26"/>
  <c r="G35" i="26" s="1"/>
  <c r="M35" i="26"/>
  <c r="F35" i="26" s="1"/>
  <c r="O34" i="26"/>
  <c r="H34" i="26" s="1"/>
  <c r="N34" i="26"/>
  <c r="G34" i="26" s="1"/>
  <c r="M34" i="26"/>
  <c r="O33" i="26"/>
  <c r="N33" i="26"/>
  <c r="G33" i="26" s="1"/>
  <c r="M33" i="26"/>
  <c r="F33" i="26" s="1"/>
  <c r="O32" i="26"/>
  <c r="N32" i="26"/>
  <c r="M32" i="26"/>
  <c r="F32" i="26" s="1"/>
  <c r="O31" i="26"/>
  <c r="H31" i="26" s="1"/>
  <c r="N31" i="26"/>
  <c r="G31" i="26" s="1"/>
  <c r="M31" i="26"/>
  <c r="F34" i="26" l="1"/>
  <c r="H33" i="26"/>
  <c r="F31" i="26"/>
  <c r="G32" i="26"/>
  <c r="G36" i="26"/>
  <c r="H32" i="26"/>
  <c r="I17" i="25"/>
  <c r="I16" i="25"/>
  <c r="I15" i="25"/>
  <c r="I14" i="25"/>
  <c r="I13" i="25"/>
  <c r="I12" i="25"/>
  <c r="I11" i="25"/>
  <c r="I10" i="25"/>
  <c r="I9" i="25"/>
  <c r="I8" i="25"/>
  <c r="I7" i="25"/>
  <c r="I6" i="25"/>
  <c r="I5" i="25"/>
  <c r="E15" i="27"/>
  <c r="D16" i="27"/>
  <c r="D14" i="27"/>
  <c r="F10" i="27"/>
  <c r="E10" i="27"/>
  <c r="D11" i="27"/>
  <c r="D10" i="27"/>
  <c r="D9" i="27"/>
  <c r="E13" i="25"/>
  <c r="E11" i="25"/>
  <c r="E9" i="25"/>
  <c r="F30" i="27"/>
  <c r="E30" i="27"/>
  <c r="D30" i="27"/>
  <c r="D31" i="27"/>
  <c r="D29" i="27"/>
  <c r="F25" i="27"/>
  <c r="K8" i="27" s="1"/>
  <c r="P12" i="27" s="1"/>
  <c r="E25" i="27"/>
  <c r="D25" i="27"/>
  <c r="D26" i="27"/>
  <c r="D24" i="27"/>
  <c r="E20" i="27"/>
  <c r="F20" i="27"/>
  <c r="D20" i="27"/>
  <c r="D21" i="27"/>
  <c r="D19" i="27"/>
  <c r="F15" i="27"/>
  <c r="D15" i="27"/>
  <c r="D5" i="27"/>
  <c r="D6" i="27"/>
  <c r="D4" i="27"/>
  <c r="K9" i="27"/>
  <c r="R16" i="27"/>
  <c r="P16" i="27"/>
  <c r="R15" i="27"/>
  <c r="P15" i="27"/>
  <c r="R14" i="27"/>
  <c r="P14" i="27"/>
  <c r="R13" i="27"/>
  <c r="P13" i="27"/>
  <c r="R12" i="27"/>
  <c r="P11" i="27"/>
  <c r="R10" i="27"/>
  <c r="P10" i="27"/>
  <c r="I9" i="27"/>
  <c r="R8" i="27"/>
  <c r="I8" i="27"/>
  <c r="I7" i="27"/>
  <c r="R6" i="27"/>
  <c r="I6" i="27"/>
  <c r="R5" i="27"/>
  <c r="I5" i="27"/>
  <c r="R4" i="27"/>
  <c r="I4" i="27"/>
  <c r="A1" i="27"/>
  <c r="A1" i="26" s="1"/>
  <c r="K7" i="27" l="1"/>
  <c r="P8" i="27" s="1"/>
  <c r="P9" i="27" s="1"/>
  <c r="J4" i="27"/>
  <c r="F5" i="27"/>
  <c r="K4" i="27" s="1"/>
  <c r="P4" i="27" s="1"/>
  <c r="K5" i="27"/>
  <c r="P5" i="27" s="1"/>
  <c r="J5" i="27"/>
  <c r="N5" i="27" s="1"/>
  <c r="O5" i="27" s="1"/>
  <c r="E6" i="25" s="1"/>
  <c r="J6" i="27"/>
  <c r="N6" i="27" s="1"/>
  <c r="O6" i="27" s="1"/>
  <c r="E7" i="25" s="1"/>
  <c r="K6" i="27"/>
  <c r="P6" i="27" s="1"/>
  <c r="P7" i="27" s="1"/>
  <c r="N13" i="27"/>
  <c r="N14" i="27"/>
  <c r="J7" i="27"/>
  <c r="N8" i="27" s="1"/>
  <c r="O8" i="27" s="1"/>
  <c r="L15" i="27" l="1"/>
  <c r="K15" i="27"/>
  <c r="J15" i="27"/>
  <c r="I15" i="27"/>
  <c r="N4" i="27"/>
  <c r="O4" i="27" s="1"/>
  <c r="N12" i="27"/>
  <c r="O12" i="27" s="1"/>
  <c r="J9" i="27"/>
  <c r="N10" i="27"/>
  <c r="O10" i="27" s="1"/>
  <c r="J8" i="27"/>
  <c r="E5" i="25" l="1"/>
  <c r="B3" i="26"/>
  <c r="O16" i="27"/>
  <c r="O15" i="27"/>
  <c r="O7" i="27"/>
  <c r="E15" i="25"/>
  <c r="E14" i="25"/>
  <c r="E8" i="25" l="1"/>
  <c r="B6" i="26"/>
  <c r="AM36" i="26"/>
  <c r="AL36" i="26"/>
  <c r="AM35" i="26"/>
  <c r="AL35" i="26"/>
  <c r="AM34" i="26"/>
  <c r="AL34" i="26"/>
  <c r="AM33" i="26"/>
  <c r="AL33" i="26"/>
  <c r="AM32" i="26"/>
  <c r="AL32" i="26"/>
  <c r="AM31" i="26"/>
  <c r="AL31" i="26"/>
  <c r="AK32" i="26"/>
  <c r="AK33" i="26"/>
  <c r="AK34" i="26"/>
  <c r="AK35" i="26"/>
  <c r="AK36" i="26"/>
  <c r="AK31" i="26"/>
  <c r="AG36" i="26"/>
  <c r="AF36" i="26"/>
  <c r="AG35" i="26"/>
  <c r="AF35" i="26"/>
  <c r="AG34" i="26"/>
  <c r="AF34" i="26"/>
  <c r="AG33" i="26"/>
  <c r="AF33" i="26"/>
  <c r="AG32" i="26"/>
  <c r="AF32" i="26"/>
  <c r="AG31" i="26"/>
  <c r="AF31" i="26"/>
  <c r="AE32" i="26"/>
  <c r="AE33" i="26"/>
  <c r="AE34" i="26"/>
  <c r="AE35" i="26"/>
  <c r="AE36" i="26"/>
  <c r="AE31" i="26"/>
  <c r="U36" i="26"/>
  <c r="T36" i="26"/>
  <c r="U35" i="26"/>
  <c r="T35" i="26"/>
  <c r="U34" i="26"/>
  <c r="T34" i="26"/>
  <c r="U33" i="26"/>
  <c r="T33" i="26"/>
  <c r="U32" i="26"/>
  <c r="T32" i="26"/>
  <c r="U31" i="26"/>
  <c r="T31" i="26"/>
  <c r="S32" i="26"/>
  <c r="S33" i="26"/>
  <c r="S34" i="26"/>
  <c r="S35" i="26"/>
  <c r="S36" i="26"/>
  <c r="S31" i="26"/>
  <c r="M19" i="26"/>
  <c r="N19" i="26"/>
  <c r="O19" i="26"/>
  <c r="M18" i="26"/>
  <c r="N18" i="26"/>
  <c r="O18" i="26"/>
  <c r="AP27" i="26"/>
  <c r="AQ27" i="26"/>
  <c r="AR27" i="26"/>
  <c r="AP28" i="26"/>
  <c r="AQ28" i="26"/>
  <c r="AR28" i="26"/>
  <c r="AP23" i="26"/>
  <c r="S18" i="26" l="1"/>
  <c r="F18" i="26"/>
  <c r="U19" i="26"/>
  <c r="H19" i="26"/>
  <c r="T19" i="26"/>
  <c r="G19" i="26"/>
  <c r="T18" i="26"/>
  <c r="G18" i="26"/>
  <c r="S19" i="26"/>
  <c r="F19" i="26"/>
  <c r="U18" i="26"/>
  <c r="H18" i="26"/>
  <c r="BC48" i="17"/>
  <c r="BC49" i="17"/>
  <c r="BC50" i="17"/>
  <c r="BC51" i="17"/>
  <c r="BC47" i="17"/>
  <c r="BA48" i="17"/>
  <c r="BA49" i="17"/>
  <c r="BA50" i="17"/>
  <c r="BA51" i="17"/>
  <c r="BA47" i="17"/>
  <c r="BB51" i="17"/>
  <c r="BB50" i="17"/>
  <c r="BB49" i="17"/>
  <c r="BB48" i="17"/>
  <c r="BB47" i="17"/>
  <c r="AZ48" i="17"/>
  <c r="AZ49" i="17"/>
  <c r="AZ50" i="17"/>
  <c r="AZ51" i="17"/>
  <c r="AZ47" i="17"/>
  <c r="P48" i="17"/>
  <c r="P47" i="17"/>
  <c r="R47" i="17"/>
  <c r="C38" i="26" l="1"/>
  <c r="B38" i="26"/>
  <c r="A38" i="26"/>
  <c r="C37" i="26"/>
  <c r="B37" i="26"/>
  <c r="A37" i="26"/>
  <c r="C36" i="26"/>
  <c r="B36" i="26"/>
  <c r="A36" i="26"/>
  <c r="C35" i="26"/>
  <c r="B35" i="26"/>
  <c r="A35" i="26"/>
  <c r="C34" i="26"/>
  <c r="B34" i="26"/>
  <c r="A34" i="26"/>
  <c r="C33" i="26"/>
  <c r="B33" i="26"/>
  <c r="A33" i="26"/>
  <c r="C32" i="26"/>
  <c r="B32" i="26"/>
  <c r="A32" i="26"/>
  <c r="C31" i="26"/>
  <c r="B31" i="26"/>
  <c r="A31" i="26"/>
  <c r="C30" i="26"/>
  <c r="B30" i="26"/>
  <c r="A30" i="26"/>
  <c r="C29" i="26"/>
  <c r="B29" i="26"/>
  <c r="A29" i="26"/>
  <c r="C28" i="26"/>
  <c r="B28" i="26"/>
  <c r="A28" i="26"/>
  <c r="C27" i="26"/>
  <c r="B27" i="26"/>
  <c r="A27" i="26"/>
  <c r="AR26" i="26"/>
  <c r="AQ26" i="26"/>
  <c r="J26" i="26"/>
  <c r="C26" i="26"/>
  <c r="B26" i="26"/>
  <c r="A26" i="26"/>
  <c r="AR25" i="26"/>
  <c r="AQ25" i="26"/>
  <c r="AP25" i="26"/>
  <c r="AP26" i="26" s="1"/>
  <c r="J25" i="26"/>
  <c r="AR24" i="26"/>
  <c r="AQ24" i="26"/>
  <c r="AP24" i="26"/>
  <c r="J24" i="26"/>
  <c r="AR23" i="26"/>
  <c r="AQ23" i="26"/>
  <c r="J23" i="26"/>
  <c r="AA17" i="26"/>
  <c r="Z17" i="26"/>
  <c r="Y17" i="26"/>
  <c r="O17" i="26"/>
  <c r="N17" i="26"/>
  <c r="M17" i="26"/>
  <c r="AA16" i="26"/>
  <c r="Z16" i="26"/>
  <c r="Y16" i="26"/>
  <c r="O16" i="26"/>
  <c r="N16" i="26"/>
  <c r="M16" i="26"/>
  <c r="AA15" i="26"/>
  <c r="Z15" i="26"/>
  <c r="Y15" i="26"/>
  <c r="O15" i="26"/>
  <c r="N15" i="26"/>
  <c r="M15" i="26"/>
  <c r="AA14" i="26"/>
  <c r="Z14" i="26"/>
  <c r="Y14" i="26"/>
  <c r="O14" i="26"/>
  <c r="N14" i="26"/>
  <c r="M14" i="26"/>
  <c r="AR9" i="26"/>
  <c r="AQ9" i="26"/>
  <c r="AP9" i="26"/>
  <c r="AR8" i="26"/>
  <c r="AQ8" i="26"/>
  <c r="AP8" i="26"/>
  <c r="AR7" i="26"/>
  <c r="AQ7" i="26"/>
  <c r="AP7" i="26"/>
  <c r="AR6" i="26"/>
  <c r="AQ6" i="26"/>
  <c r="AP6" i="26"/>
  <c r="AH2" i="26"/>
  <c r="AN2" i="26" s="1"/>
  <c r="AG2" i="26"/>
  <c r="AM2" i="26" s="1"/>
  <c r="AF2" i="26"/>
  <c r="AL2" i="26" s="1"/>
  <c r="AE2" i="26"/>
  <c r="AK2" i="26" s="1"/>
  <c r="AD2" i="26"/>
  <c r="AJ2" i="26" s="1"/>
  <c r="S15" i="26" l="1"/>
  <c r="F15" i="26"/>
  <c r="U16" i="26"/>
  <c r="H16" i="26"/>
  <c r="T15" i="26"/>
  <c r="G15" i="26"/>
  <c r="S14" i="26"/>
  <c r="F14" i="26"/>
  <c r="U15" i="26"/>
  <c r="H15" i="26"/>
  <c r="T14" i="26"/>
  <c r="G14" i="26"/>
  <c r="U14" i="26"/>
  <c r="H14" i="26"/>
  <c r="S17" i="26"/>
  <c r="F17" i="26"/>
  <c r="T17" i="26"/>
  <c r="G17" i="26"/>
  <c r="S16" i="26"/>
  <c r="F16" i="26"/>
  <c r="U17" i="26"/>
  <c r="H17" i="26"/>
  <c r="T16" i="26"/>
  <c r="G16" i="26"/>
  <c r="Y2" i="26"/>
  <c r="S2" i="26" s="1"/>
  <c r="AP2" i="26"/>
  <c r="F8" i="26"/>
  <c r="H8" i="26"/>
  <c r="G8" i="26"/>
  <c r="H10" i="26"/>
  <c r="G10" i="26"/>
  <c r="F10" i="26"/>
  <c r="H11" i="26"/>
  <c r="G11" i="26"/>
  <c r="F11" i="26"/>
  <c r="H6" i="26"/>
  <c r="G6" i="26"/>
  <c r="F6" i="26"/>
  <c r="F23" i="26"/>
  <c r="H26" i="26"/>
  <c r="H9" i="26"/>
  <c r="G9" i="26"/>
  <c r="F9" i="26"/>
  <c r="H24" i="26"/>
  <c r="H7" i="26"/>
  <c r="G7" i="26"/>
  <c r="F7" i="26"/>
  <c r="AA2" i="26"/>
  <c r="U2" i="26" s="1"/>
  <c r="AR2" i="26"/>
  <c r="AB2" i="26"/>
  <c r="V2" i="26" s="1"/>
  <c r="AS2" i="26"/>
  <c r="X2" i="26"/>
  <c r="R2" i="26" s="1"/>
  <c r="AO2" i="26"/>
  <c r="Z2" i="26"/>
  <c r="T2" i="26" s="1"/>
  <c r="AQ2" i="26"/>
  <c r="F25" i="26"/>
  <c r="G25" i="26"/>
  <c r="G23" i="26"/>
  <c r="H25" i="26"/>
  <c r="F27" i="26"/>
  <c r="F28" i="26"/>
  <c r="H23" i="26"/>
  <c r="G27" i="26"/>
  <c r="G28" i="26"/>
  <c r="H27" i="26"/>
  <c r="H28" i="26"/>
  <c r="F24" i="26"/>
  <c r="G26" i="26"/>
  <c r="G24" i="26"/>
  <c r="C38" i="10" l="1"/>
  <c r="C37" i="10"/>
  <c r="C36" i="10"/>
  <c r="C35" i="10"/>
  <c r="C34" i="10"/>
  <c r="C33" i="10"/>
  <c r="C32" i="10"/>
  <c r="C31" i="10"/>
  <c r="C30" i="10"/>
  <c r="C29" i="10"/>
  <c r="C28" i="10"/>
  <c r="C27" i="10"/>
  <c r="C26" i="10"/>
  <c r="B27" i="10"/>
  <c r="F54" i="10" s="1"/>
  <c r="B28" i="10"/>
  <c r="F55" i="10" s="1"/>
  <c r="B29" i="10"/>
  <c r="B30" i="10"/>
  <c r="G56" i="10" s="1"/>
  <c r="B31" i="10"/>
  <c r="B32" i="10"/>
  <c r="F57" i="10" s="1"/>
  <c r="B33" i="10"/>
  <c r="B34" i="10"/>
  <c r="G58" i="10" s="1"/>
  <c r="B35" i="10"/>
  <c r="B36" i="10"/>
  <c r="B37" i="10"/>
  <c r="B38" i="10"/>
  <c r="B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26" i="10"/>
  <c r="M47" i="10"/>
  <c r="M48" i="10"/>
  <c r="O49" i="10"/>
  <c r="N49" i="10"/>
  <c r="M49" i="10"/>
  <c r="N47" i="10"/>
  <c r="O47" i="10"/>
  <c r="N48" i="10"/>
  <c r="O48" i="10"/>
  <c r="O46" i="10"/>
  <c r="N46" i="10"/>
  <c r="M46" i="10"/>
  <c r="H56" i="10" l="1"/>
  <c r="G46" i="10"/>
  <c r="H54" i="10"/>
  <c r="F48" i="10"/>
  <c r="G53" i="10"/>
  <c r="H53" i="10"/>
  <c r="G54" i="10"/>
  <c r="H65" i="10"/>
  <c r="F65" i="10"/>
  <c r="G65" i="10"/>
  <c r="H64" i="10"/>
  <c r="G64" i="10"/>
  <c r="F64" i="10"/>
  <c r="G57" i="10"/>
  <c r="H57" i="10"/>
  <c r="H63" i="10"/>
  <c r="G63" i="10"/>
  <c r="F63" i="10"/>
  <c r="G55" i="10"/>
  <c r="F58" i="10"/>
  <c r="H62" i="10"/>
  <c r="G62" i="10"/>
  <c r="F62" i="10"/>
  <c r="H55" i="10"/>
  <c r="G66" i="10"/>
  <c r="F66" i="10"/>
  <c r="F53" i="10"/>
  <c r="F56" i="10"/>
  <c r="U43" i="10"/>
  <c r="U49" i="10" s="1"/>
  <c r="T43" i="10"/>
  <c r="T49" i="10" s="1"/>
  <c r="U42" i="10"/>
  <c r="H42" i="10" s="1"/>
  <c r="T42" i="10"/>
  <c r="G42" i="10" s="1"/>
  <c r="U41" i="10"/>
  <c r="U47" i="10" s="1"/>
  <c r="T41" i="10"/>
  <c r="T47" i="10" s="1"/>
  <c r="U40" i="10"/>
  <c r="H40" i="10" s="1"/>
  <c r="T40" i="10"/>
  <c r="T46" i="10" s="1"/>
  <c r="S41" i="10"/>
  <c r="S47" i="10" s="1"/>
  <c r="S42" i="10"/>
  <c r="S48" i="10" s="1"/>
  <c r="S43" i="10"/>
  <c r="S49" i="10" s="1"/>
  <c r="S40" i="10"/>
  <c r="S46" i="10" s="1"/>
  <c r="G10" i="23"/>
  <c r="E10" i="23"/>
  <c r="M61" i="10"/>
  <c r="F61" i="10" s="1"/>
  <c r="H47" i="10" l="1"/>
  <c r="T48" i="10"/>
  <c r="F46" i="10"/>
  <c r="F41" i="10"/>
  <c r="G48" i="10"/>
  <c r="F47" i="10"/>
  <c r="F40" i="10"/>
  <c r="G40" i="10"/>
  <c r="H41" i="10"/>
  <c r="H49" i="10"/>
  <c r="F42" i="10"/>
  <c r="H46" i="10"/>
  <c r="G47" i="10"/>
  <c r="U46" i="10"/>
  <c r="G41" i="10"/>
  <c r="F43" i="10"/>
  <c r="G43" i="10"/>
  <c r="U48" i="10"/>
  <c r="H48" i="10"/>
  <c r="H43" i="10"/>
  <c r="G49" i="10"/>
  <c r="T66" i="10"/>
  <c r="U65" i="10"/>
  <c r="T65" i="10"/>
  <c r="U64" i="10"/>
  <c r="T64" i="10"/>
  <c r="U63" i="10"/>
  <c r="T63" i="10"/>
  <c r="U62" i="10"/>
  <c r="T62" i="10"/>
  <c r="S62" i="10"/>
  <c r="S63" i="10"/>
  <c r="S64" i="10"/>
  <c r="S65" i="10"/>
  <c r="S66" i="10"/>
  <c r="S61" i="10"/>
  <c r="O61" i="10"/>
  <c r="H61" i="10" s="1"/>
  <c r="N61" i="10"/>
  <c r="G61" i="10" s="1"/>
  <c r="L14" i="10"/>
  <c r="T61" i="10" l="1"/>
  <c r="U61" i="10"/>
  <c r="B21" i="10"/>
  <c r="B18" i="10"/>
  <c r="G42" i="22"/>
  <c r="G41" i="22"/>
  <c r="G40" i="22"/>
  <c r="G37" i="22"/>
  <c r="G36" i="22"/>
  <c r="G35" i="22"/>
  <c r="G32" i="22"/>
  <c r="G31" i="22"/>
  <c r="G30" i="22"/>
  <c r="G27" i="22"/>
  <c r="G26" i="22"/>
  <c r="G25" i="22"/>
  <c r="G22" i="22"/>
  <c r="G21" i="22"/>
  <c r="G20" i="22"/>
  <c r="G17" i="22"/>
  <c r="G16" i="22"/>
  <c r="G15" i="22"/>
  <c r="G12" i="22"/>
  <c r="G11" i="22"/>
  <c r="G10" i="22"/>
  <c r="G6" i="22"/>
  <c r="G7" i="22"/>
  <c r="G5" i="22"/>
  <c r="G22" i="14"/>
  <c r="G21" i="14"/>
  <c r="G20" i="14"/>
  <c r="G17" i="14"/>
  <c r="G16" i="14"/>
  <c r="G15" i="14"/>
  <c r="G12" i="14"/>
  <c r="G11" i="14"/>
  <c r="G10" i="14"/>
  <c r="G6" i="14"/>
  <c r="G7" i="14"/>
  <c r="G5" i="14"/>
  <c r="G42" i="23"/>
  <c r="G41" i="23"/>
  <c r="G40" i="23"/>
  <c r="G37" i="23"/>
  <c r="G36" i="23"/>
  <c r="G35" i="23"/>
  <c r="G32" i="23"/>
  <c r="G31" i="23"/>
  <c r="G30" i="23"/>
  <c r="G27" i="23"/>
  <c r="G26" i="23"/>
  <c r="G25" i="23"/>
  <c r="G22" i="23"/>
  <c r="G21" i="23"/>
  <c r="G20" i="23"/>
  <c r="G17" i="23"/>
  <c r="G16" i="23"/>
  <c r="G15" i="23"/>
  <c r="G12" i="23"/>
  <c r="G11" i="23"/>
  <c r="G6" i="23"/>
  <c r="G5" i="23"/>
  <c r="G42" i="11"/>
  <c r="G41" i="11"/>
  <c r="G40" i="11"/>
  <c r="G37" i="11"/>
  <c r="G36" i="11"/>
  <c r="G35" i="11"/>
  <c r="G32" i="11"/>
  <c r="G31" i="11"/>
  <c r="G30" i="11"/>
  <c r="G27" i="11"/>
  <c r="G26" i="11"/>
  <c r="G25" i="11"/>
  <c r="G22" i="11"/>
  <c r="G21" i="11"/>
  <c r="G20" i="11"/>
  <c r="G17" i="11"/>
  <c r="G16" i="11"/>
  <c r="G15" i="11"/>
  <c r="G12" i="11"/>
  <c r="G11" i="11"/>
  <c r="G10" i="11"/>
  <c r="G6" i="11"/>
  <c r="G7" i="11"/>
  <c r="G5" i="11"/>
  <c r="G27" i="24"/>
  <c r="G26" i="24"/>
  <c r="G25" i="24"/>
  <c r="G22" i="24"/>
  <c r="G21" i="24"/>
  <c r="G20" i="24"/>
  <c r="G17" i="24"/>
  <c r="G16" i="24"/>
  <c r="G15" i="24"/>
  <c r="G12" i="24"/>
  <c r="G11" i="24"/>
  <c r="G10" i="24"/>
  <c r="G6" i="24"/>
  <c r="G7" i="24"/>
  <c r="G5" i="24"/>
  <c r="L29" i="15" l="1"/>
  <c r="Q29" i="15" s="1"/>
  <c r="X34" i="20" l="1"/>
  <c r="X35" i="20"/>
  <c r="X36" i="20"/>
  <c r="X33" i="20"/>
  <c r="X29" i="20"/>
  <c r="X28" i="20"/>
  <c r="X27" i="20"/>
  <c r="X26" i="20"/>
  <c r="X25" i="20"/>
  <c r="X24" i="20"/>
  <c r="X20" i="20"/>
  <c r="X19" i="20"/>
  <c r="X18" i="20"/>
  <c r="X17" i="20"/>
  <c r="X16" i="20"/>
  <c r="X15" i="20"/>
  <c r="X7" i="20"/>
  <c r="X8" i="20"/>
  <c r="X9" i="20"/>
  <c r="X10" i="20"/>
  <c r="X11" i="20"/>
  <c r="X6" i="20"/>
  <c r="H6" i="25" l="1"/>
  <c r="H7" i="25"/>
  <c r="H8" i="25"/>
  <c r="H9" i="25"/>
  <c r="H10" i="25"/>
  <c r="H11" i="25"/>
  <c r="H12" i="25"/>
  <c r="H13" i="25"/>
  <c r="H14" i="25"/>
  <c r="H15" i="25"/>
  <c r="H16" i="25"/>
  <c r="H17" i="25"/>
  <c r="H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5" i="25"/>
  <c r="D17" i="25"/>
  <c r="G17" i="25"/>
  <c r="D16" i="25"/>
  <c r="G16" i="25"/>
  <c r="D15" i="25"/>
  <c r="G15" i="25"/>
  <c r="D14" i="25"/>
  <c r="G14" i="25"/>
  <c r="D13" i="25"/>
  <c r="G13" i="25"/>
  <c r="D12" i="25"/>
  <c r="G12" i="25"/>
  <c r="D11" i="25"/>
  <c r="G11" i="25"/>
  <c r="D10" i="25"/>
  <c r="G10" i="25"/>
  <c r="D9" i="25"/>
  <c r="G9" i="25"/>
  <c r="D8" i="25"/>
  <c r="G8" i="25"/>
  <c r="D7" i="25"/>
  <c r="G7" i="25"/>
  <c r="D6" i="25"/>
  <c r="G6" i="25"/>
  <c r="D5" i="25"/>
  <c r="G5" i="25"/>
  <c r="A1" i="25"/>
  <c r="E5" i="22" l="1"/>
  <c r="R5" i="11"/>
  <c r="R6" i="11"/>
  <c r="R7" i="11"/>
  <c r="R8" i="11"/>
  <c r="R9" i="11"/>
  <c r="R10" i="11"/>
  <c r="R11" i="11"/>
  <c r="R12" i="11"/>
  <c r="R13" i="11"/>
  <c r="R14" i="11"/>
  <c r="R15" i="11"/>
  <c r="R16" i="11"/>
  <c r="R4" i="11"/>
  <c r="O14" i="24"/>
  <c r="O13" i="24"/>
  <c r="O10" i="24"/>
  <c r="O7" i="24"/>
  <c r="N12" i="24"/>
  <c r="K15" i="24"/>
  <c r="J15" i="24"/>
  <c r="I15" i="24"/>
  <c r="D25" i="24"/>
  <c r="E25" i="24"/>
  <c r="I4" i="24"/>
  <c r="J4" i="24"/>
  <c r="N4" i="24" s="1"/>
  <c r="O4" i="24" s="1"/>
  <c r="K4" i="24"/>
  <c r="P4" i="24"/>
  <c r="Q4" i="24"/>
  <c r="J12" i="24"/>
  <c r="J11" i="24"/>
  <c r="J9" i="24"/>
  <c r="D27" i="24"/>
  <c r="D26" i="24"/>
  <c r="D22" i="24"/>
  <c r="D21" i="24"/>
  <c r="D20" i="24"/>
  <c r="D17" i="24"/>
  <c r="P16" i="24"/>
  <c r="D16" i="24"/>
  <c r="P15" i="24"/>
  <c r="D15" i="24"/>
  <c r="P14" i="24"/>
  <c r="P13" i="24"/>
  <c r="I12" i="24"/>
  <c r="D12" i="24"/>
  <c r="P11" i="24"/>
  <c r="I11" i="24"/>
  <c r="D11" i="24"/>
  <c r="P10" i="24"/>
  <c r="I10" i="24"/>
  <c r="D10" i="24"/>
  <c r="I9" i="24"/>
  <c r="Q8" i="24"/>
  <c r="I8" i="24"/>
  <c r="I7" i="24"/>
  <c r="D7" i="24"/>
  <c r="Q6" i="24"/>
  <c r="I6" i="24"/>
  <c r="D6" i="24"/>
  <c r="I5" i="24"/>
  <c r="D5" i="24"/>
  <c r="A1" i="24"/>
  <c r="E30" i="23"/>
  <c r="D31" i="23"/>
  <c r="N14" i="23"/>
  <c r="O14" i="23"/>
  <c r="K11" i="23"/>
  <c r="J11" i="23"/>
  <c r="E35" i="23"/>
  <c r="I11" i="23"/>
  <c r="I10" i="23"/>
  <c r="E10" i="24" l="1"/>
  <c r="J5" i="24" s="1"/>
  <c r="N5" i="24" s="1"/>
  <c r="O5" i="24" s="1"/>
  <c r="F15" i="24"/>
  <c r="K6" i="24" s="1"/>
  <c r="P6" i="24" s="1"/>
  <c r="P7" i="24" s="1"/>
  <c r="E5" i="24"/>
  <c r="E15" i="24"/>
  <c r="J6" i="24" s="1"/>
  <c r="N6" i="24" s="1"/>
  <c r="O6" i="24" s="1"/>
  <c r="J10" i="24"/>
  <c r="E20" i="24"/>
  <c r="J7" i="24" s="1"/>
  <c r="N8" i="24" s="1"/>
  <c r="O8" i="24" s="1"/>
  <c r="F25" i="24"/>
  <c r="K8" i="24" s="1"/>
  <c r="P12" i="24" s="1"/>
  <c r="K9" i="24"/>
  <c r="K12" i="24"/>
  <c r="F20" i="24"/>
  <c r="K7" i="24" s="1"/>
  <c r="P8" i="24" s="1"/>
  <c r="P9" i="24" s="1"/>
  <c r="F5" i="24"/>
  <c r="F10" i="24"/>
  <c r="K5" i="24" s="1"/>
  <c r="P5" i="24" s="1"/>
  <c r="O12" i="24"/>
  <c r="T6" i="22"/>
  <c r="T8" i="22"/>
  <c r="T10" i="22"/>
  <c r="T4" i="22"/>
  <c r="R5" i="23"/>
  <c r="R6" i="23"/>
  <c r="R8" i="23"/>
  <c r="R10" i="23"/>
  <c r="R12" i="23"/>
  <c r="R13" i="23"/>
  <c r="R14" i="23"/>
  <c r="R15" i="23"/>
  <c r="R16" i="23"/>
  <c r="R4" i="23"/>
  <c r="F30" i="23"/>
  <c r="D30" i="23"/>
  <c r="D15" i="23"/>
  <c r="F15" i="23" s="1"/>
  <c r="D16" i="23"/>
  <c r="D17" i="23"/>
  <c r="D20" i="23"/>
  <c r="D21" i="23"/>
  <c r="D22" i="23"/>
  <c r="D26" i="23"/>
  <c r="E25" i="23" s="1"/>
  <c r="D27" i="23"/>
  <c r="D32" i="23"/>
  <c r="J8" i="24" l="1"/>
  <c r="K10" i="24"/>
  <c r="K11" i="24"/>
  <c r="F25" i="23"/>
  <c r="E20" i="23"/>
  <c r="E15" i="23"/>
  <c r="F20" i="23"/>
  <c r="Q8" i="11"/>
  <c r="Q6" i="11"/>
  <c r="Q4" i="11"/>
  <c r="F5" i="23"/>
  <c r="E5" i="23"/>
  <c r="D10" i="23"/>
  <c r="D5" i="23"/>
  <c r="D42" i="23"/>
  <c r="D41" i="23"/>
  <c r="D40" i="23"/>
  <c r="D37" i="23"/>
  <c r="D36" i="23"/>
  <c r="D35" i="23"/>
  <c r="K9" i="23"/>
  <c r="N12" i="23"/>
  <c r="O12" i="23" s="1"/>
  <c r="T12" i="22" s="1"/>
  <c r="K8" i="23"/>
  <c r="P12" i="23" s="1"/>
  <c r="J8" i="23"/>
  <c r="P16" i="23"/>
  <c r="P15" i="23"/>
  <c r="P14" i="23"/>
  <c r="P13" i="23"/>
  <c r="D12" i="23"/>
  <c r="P11" i="23"/>
  <c r="D11" i="23"/>
  <c r="P10" i="23"/>
  <c r="F10" i="23"/>
  <c r="K5" i="23" s="1"/>
  <c r="P5" i="23" s="1"/>
  <c r="J5" i="23"/>
  <c r="N5" i="23" s="1"/>
  <c r="O5" i="23" s="1"/>
  <c r="I9" i="23"/>
  <c r="I8" i="23"/>
  <c r="I7" i="23"/>
  <c r="I6" i="23"/>
  <c r="D6" i="23"/>
  <c r="I5" i="23"/>
  <c r="I4" i="23"/>
  <c r="A1" i="23"/>
  <c r="A24" i="10" l="1"/>
  <c r="A24" i="26"/>
  <c r="Q5" i="24"/>
  <c r="T5" i="22"/>
  <c r="Q5" i="11"/>
  <c r="O15" i="24"/>
  <c r="F35" i="23"/>
  <c r="E40" i="23"/>
  <c r="T14" i="22" s="1"/>
  <c r="F40" i="23"/>
  <c r="J4" i="23"/>
  <c r="K4" i="23"/>
  <c r="P4" i="23" s="1"/>
  <c r="J9" i="23"/>
  <c r="J10" i="23"/>
  <c r="N13" i="23" s="1"/>
  <c r="O13" i="23" s="1"/>
  <c r="T13" i="22" s="1"/>
  <c r="N10" i="23"/>
  <c r="O10" i="23" s="1"/>
  <c r="J6" i="23"/>
  <c r="N6" i="23" s="1"/>
  <c r="O6" i="23" s="1"/>
  <c r="J7" i="23"/>
  <c r="N8" i="23" s="1"/>
  <c r="O8" i="23" s="1"/>
  <c r="K7" i="23"/>
  <c r="P8" i="23" s="1"/>
  <c r="P9" i="23" s="1"/>
  <c r="K6" i="23"/>
  <c r="P6" i="23" s="1"/>
  <c r="P7" i="23" s="1"/>
  <c r="L13" i="15"/>
  <c r="Q13" i="15" s="1"/>
  <c r="AJ41" i="19"/>
  <c r="AI41" i="19"/>
  <c r="AH41" i="19"/>
  <c r="AG41" i="19"/>
  <c r="AJ40" i="19"/>
  <c r="AI40" i="19"/>
  <c r="AH40" i="19"/>
  <c r="AG40" i="19"/>
  <c r="AJ39" i="19"/>
  <c r="AI39" i="19"/>
  <c r="AH39" i="19"/>
  <c r="AG39" i="19"/>
  <c r="AJ38" i="19"/>
  <c r="AI38" i="19"/>
  <c r="AH38" i="19"/>
  <c r="AG38" i="19"/>
  <c r="AJ37" i="19"/>
  <c r="AI37" i="19"/>
  <c r="AH37" i="19"/>
  <c r="AG37" i="19"/>
  <c r="AJ36" i="19"/>
  <c r="AI36" i="19"/>
  <c r="AH36" i="19"/>
  <c r="AG36" i="19"/>
  <c r="AF37" i="19"/>
  <c r="AF38" i="19"/>
  <c r="AF39" i="19"/>
  <c r="AF40" i="19"/>
  <c r="AF41" i="19"/>
  <c r="AF36" i="19"/>
  <c r="O40" i="19"/>
  <c r="N40" i="19"/>
  <c r="O39" i="19"/>
  <c r="N39" i="19"/>
  <c r="O38" i="19"/>
  <c r="N38" i="19"/>
  <c r="O37" i="19"/>
  <c r="N37" i="19"/>
  <c r="O36" i="19"/>
  <c r="N36" i="19"/>
  <c r="M37" i="19"/>
  <c r="M38" i="19"/>
  <c r="M39" i="19"/>
  <c r="M40" i="19"/>
  <c r="M36" i="19"/>
  <c r="O9" i="24" l="1"/>
  <c r="O11" i="24"/>
  <c r="O16" i="24"/>
  <c r="I15" i="23"/>
  <c r="L15" i="23"/>
  <c r="K15" i="23"/>
  <c r="J15" i="23"/>
  <c r="K10" i="23"/>
  <c r="N4" i="23"/>
  <c r="O4" i="23" s="1"/>
  <c r="O16" i="23" l="1"/>
  <c r="O15" i="23"/>
  <c r="O11" i="23"/>
  <c r="O9" i="23"/>
  <c r="O7" i="23"/>
  <c r="Q7" i="24" l="1"/>
  <c r="V36" i="10"/>
  <c r="U36" i="10"/>
  <c r="T36" i="10"/>
  <c r="S36" i="10"/>
  <c r="R36" i="10"/>
  <c r="V35" i="10"/>
  <c r="U35" i="10"/>
  <c r="T35" i="10"/>
  <c r="S35" i="10"/>
  <c r="R35" i="10"/>
  <c r="V34" i="10"/>
  <c r="U34" i="10"/>
  <c r="T34" i="10"/>
  <c r="V33" i="10"/>
  <c r="U33" i="10"/>
  <c r="T33" i="10"/>
  <c r="S33" i="10"/>
  <c r="R33" i="10"/>
  <c r="V32" i="10"/>
  <c r="U32" i="10"/>
  <c r="T32" i="10"/>
  <c r="S32" i="10"/>
  <c r="R32" i="10"/>
  <c r="V31" i="10"/>
  <c r="U31" i="10"/>
  <c r="T31" i="10"/>
  <c r="S31" i="10"/>
  <c r="R31" i="10"/>
  <c r="AJ35" i="10"/>
  <c r="AK35" i="10"/>
  <c r="AL35" i="10"/>
  <c r="AM35" i="10"/>
  <c r="AN35" i="10"/>
  <c r="AJ36" i="10"/>
  <c r="AK36" i="10"/>
  <c r="AL36" i="10"/>
  <c r="AM36" i="10"/>
  <c r="AN36" i="10"/>
  <c r="AD35" i="10"/>
  <c r="AE35" i="10"/>
  <c r="AF35" i="10"/>
  <c r="AG35" i="10"/>
  <c r="AH35" i="10"/>
  <c r="AD36" i="10"/>
  <c r="AE36" i="10"/>
  <c r="AF36" i="10"/>
  <c r="AG36" i="10"/>
  <c r="AH36" i="10"/>
  <c r="AN34" i="10" l="1"/>
  <c r="AM34" i="10"/>
  <c r="AL34" i="10"/>
  <c r="AK34" i="10"/>
  <c r="AN33" i="10"/>
  <c r="AM33" i="10"/>
  <c r="AL33" i="10"/>
  <c r="AK33" i="10"/>
  <c r="AN32" i="10"/>
  <c r="AM32" i="10"/>
  <c r="AL32" i="10"/>
  <c r="AK32" i="10"/>
  <c r="AN31" i="10"/>
  <c r="AM31" i="10"/>
  <c r="AL31" i="10"/>
  <c r="AK31" i="10"/>
  <c r="AJ32" i="10"/>
  <c r="AJ33" i="10"/>
  <c r="AJ34" i="10"/>
  <c r="AJ31" i="10"/>
  <c r="AH34" i="10"/>
  <c r="AG34" i="10"/>
  <c r="AF34" i="10"/>
  <c r="AE34" i="10"/>
  <c r="AH33" i="10"/>
  <c r="AG33" i="10"/>
  <c r="AF33" i="10"/>
  <c r="AE33" i="10"/>
  <c r="AH32" i="10"/>
  <c r="AG32" i="10"/>
  <c r="AF32" i="10"/>
  <c r="AE32" i="10"/>
  <c r="AH31" i="10"/>
  <c r="AG31" i="10"/>
  <c r="AF31" i="10"/>
  <c r="AE31" i="10"/>
  <c r="AD32" i="10"/>
  <c r="AD33" i="10"/>
  <c r="AD34" i="10"/>
  <c r="AD31" i="10"/>
  <c r="J24" i="10"/>
  <c r="J41" i="10" s="1"/>
  <c r="J25" i="10"/>
  <c r="J42" i="10" s="1"/>
  <c r="J26" i="10"/>
  <c r="J43" i="10" s="1"/>
  <c r="J23" i="10"/>
  <c r="J40" i="10" s="1"/>
  <c r="AS26" i="10"/>
  <c r="AR26" i="10"/>
  <c r="AQ26" i="10"/>
  <c r="AS25" i="10"/>
  <c r="AR25" i="10"/>
  <c r="AQ25" i="10"/>
  <c r="AP25" i="10"/>
  <c r="AP26" i="10" s="1"/>
  <c r="AO25" i="10"/>
  <c r="AO26" i="10" s="1"/>
  <c r="AS24" i="10"/>
  <c r="AR24" i="10"/>
  <c r="AQ24" i="10"/>
  <c r="AP24" i="10"/>
  <c r="AO24" i="10"/>
  <c r="AS23" i="10"/>
  <c r="AR23" i="10"/>
  <c r="AQ23" i="10"/>
  <c r="AP23" i="10"/>
  <c r="AO23" i="10"/>
  <c r="O62" i="15"/>
  <c r="T62" i="15" s="1"/>
  <c r="N62" i="15"/>
  <c r="S62" i="15" s="1"/>
  <c r="O61" i="15"/>
  <c r="T61" i="15" s="1"/>
  <c r="N61" i="15"/>
  <c r="S61" i="15" s="1"/>
  <c r="O60" i="15"/>
  <c r="T60" i="15" s="1"/>
  <c r="N60" i="15"/>
  <c r="S60" i="15" s="1"/>
  <c r="O59" i="15"/>
  <c r="T59" i="15" s="1"/>
  <c r="N59" i="15"/>
  <c r="S59" i="15" s="1"/>
  <c r="M60" i="15"/>
  <c r="R60" i="15" s="1"/>
  <c r="M61" i="15"/>
  <c r="R61" i="15" s="1"/>
  <c r="M62" i="15"/>
  <c r="R62" i="15" s="1"/>
  <c r="M59" i="15"/>
  <c r="R59" i="15" s="1"/>
  <c r="P50" i="15"/>
  <c r="U50" i="15" s="1"/>
  <c r="O50" i="15"/>
  <c r="T50" i="15" s="1"/>
  <c r="N50" i="15"/>
  <c r="S50" i="15" s="1"/>
  <c r="M50" i="15"/>
  <c r="R50" i="15" s="1"/>
  <c r="L50" i="15"/>
  <c r="Q50" i="15" s="1"/>
  <c r="P49" i="15"/>
  <c r="U49" i="15" s="1"/>
  <c r="O49" i="15"/>
  <c r="T49" i="15" s="1"/>
  <c r="N49" i="15"/>
  <c r="S49" i="15" s="1"/>
  <c r="M49" i="15"/>
  <c r="R49" i="15" s="1"/>
  <c r="L49" i="15"/>
  <c r="Q49" i="15" s="1"/>
  <c r="P48" i="15"/>
  <c r="U48" i="15" s="1"/>
  <c r="O48" i="15"/>
  <c r="T48" i="15" s="1"/>
  <c r="N48" i="15"/>
  <c r="S48" i="15" s="1"/>
  <c r="M48" i="15"/>
  <c r="R48" i="15" s="1"/>
  <c r="L48" i="15"/>
  <c r="Q48" i="15" s="1"/>
  <c r="P47" i="15"/>
  <c r="U47" i="15" s="1"/>
  <c r="O47" i="15"/>
  <c r="T47" i="15" s="1"/>
  <c r="N47" i="15"/>
  <c r="S47" i="15" s="1"/>
  <c r="M47" i="15"/>
  <c r="R47" i="15" s="1"/>
  <c r="L47" i="15"/>
  <c r="Q47" i="15" s="1"/>
  <c r="P46" i="15"/>
  <c r="U46" i="15" s="1"/>
  <c r="O46" i="15"/>
  <c r="T46" i="15" s="1"/>
  <c r="N46" i="15"/>
  <c r="S46" i="15" s="1"/>
  <c r="M46" i="15"/>
  <c r="R46" i="15" s="1"/>
  <c r="L46" i="15"/>
  <c r="Q46" i="15" s="1"/>
  <c r="P45" i="15"/>
  <c r="U45" i="15" s="1"/>
  <c r="O45" i="15"/>
  <c r="T45" i="15" s="1"/>
  <c r="N45" i="15"/>
  <c r="S45" i="15" s="1"/>
  <c r="M45" i="15"/>
  <c r="R45" i="15" s="1"/>
  <c r="L45" i="15"/>
  <c r="Q45" i="15" s="1"/>
  <c r="P34" i="15"/>
  <c r="U34" i="15" s="1"/>
  <c r="O34" i="15"/>
  <c r="T34" i="15" s="1"/>
  <c r="N34" i="15"/>
  <c r="S34" i="15" s="1"/>
  <c r="M34" i="15"/>
  <c r="R34" i="15" s="1"/>
  <c r="L34" i="15"/>
  <c r="Q34" i="15" s="1"/>
  <c r="P33" i="15"/>
  <c r="U33" i="15" s="1"/>
  <c r="O33" i="15"/>
  <c r="T33" i="15" s="1"/>
  <c r="N33" i="15"/>
  <c r="S33" i="15" s="1"/>
  <c r="M33" i="15"/>
  <c r="R33" i="15" s="1"/>
  <c r="L33" i="15"/>
  <c r="Q33" i="15" s="1"/>
  <c r="P32" i="15"/>
  <c r="U32" i="15" s="1"/>
  <c r="O32" i="15"/>
  <c r="T32" i="15" s="1"/>
  <c r="N32" i="15"/>
  <c r="S32" i="15" s="1"/>
  <c r="M32" i="15"/>
  <c r="R32" i="15" s="1"/>
  <c r="L32" i="15"/>
  <c r="Q32" i="15" s="1"/>
  <c r="P31" i="15"/>
  <c r="U31" i="15" s="1"/>
  <c r="O31" i="15"/>
  <c r="T31" i="15" s="1"/>
  <c r="N31" i="15"/>
  <c r="S31" i="15" s="1"/>
  <c r="M31" i="15"/>
  <c r="R31" i="15" s="1"/>
  <c r="L31" i="15"/>
  <c r="Q31" i="15" s="1"/>
  <c r="P30" i="15"/>
  <c r="U30" i="15" s="1"/>
  <c r="O30" i="15"/>
  <c r="T30" i="15" s="1"/>
  <c r="N30" i="15"/>
  <c r="S30" i="15" s="1"/>
  <c r="M30" i="15"/>
  <c r="R30" i="15" s="1"/>
  <c r="L30" i="15"/>
  <c r="Q30" i="15" s="1"/>
  <c r="P29" i="15"/>
  <c r="U29" i="15" s="1"/>
  <c r="O29" i="15"/>
  <c r="T29" i="15" s="1"/>
  <c r="N29" i="15"/>
  <c r="S29" i="15" s="1"/>
  <c r="M29" i="15"/>
  <c r="R29" i="15" s="1"/>
  <c r="Z24" i="17"/>
  <c r="Y24" i="17"/>
  <c r="Z23" i="17"/>
  <c r="Y23" i="17"/>
  <c r="Z22" i="17"/>
  <c r="Y22" i="17"/>
  <c r="Z21" i="17"/>
  <c r="Y21" i="17"/>
  <c r="Z20" i="17"/>
  <c r="Y20" i="17"/>
  <c r="X21" i="17"/>
  <c r="X22" i="17"/>
  <c r="X23" i="17"/>
  <c r="X24" i="17"/>
  <c r="X20" i="17"/>
  <c r="P18" i="15"/>
  <c r="U18" i="15" s="1"/>
  <c r="O18" i="15"/>
  <c r="T18" i="15" s="1"/>
  <c r="N18" i="15"/>
  <c r="S18" i="15" s="1"/>
  <c r="M18" i="15"/>
  <c r="R18" i="15" s="1"/>
  <c r="P17" i="15"/>
  <c r="U17" i="15" s="1"/>
  <c r="O17" i="15"/>
  <c r="T17" i="15" s="1"/>
  <c r="N17" i="15"/>
  <c r="S17" i="15" s="1"/>
  <c r="M17" i="15"/>
  <c r="R17" i="15" s="1"/>
  <c r="P16" i="15"/>
  <c r="U16" i="15" s="1"/>
  <c r="O16" i="15"/>
  <c r="T16" i="15" s="1"/>
  <c r="N16" i="15"/>
  <c r="S16" i="15" s="1"/>
  <c r="M16" i="15"/>
  <c r="R16" i="15" s="1"/>
  <c r="P15" i="15"/>
  <c r="U15" i="15" s="1"/>
  <c r="O15" i="15"/>
  <c r="T15" i="15" s="1"/>
  <c r="N15" i="15"/>
  <c r="S15" i="15" s="1"/>
  <c r="M15" i="15"/>
  <c r="R15" i="15" s="1"/>
  <c r="P14" i="15"/>
  <c r="U14" i="15" s="1"/>
  <c r="O14" i="15"/>
  <c r="T14" i="15" s="1"/>
  <c r="N14" i="15"/>
  <c r="S14" i="15" s="1"/>
  <c r="M14" i="15"/>
  <c r="R14" i="15" s="1"/>
  <c r="P13" i="15"/>
  <c r="U13" i="15" s="1"/>
  <c r="O13" i="15"/>
  <c r="T13" i="15" s="1"/>
  <c r="N13" i="15"/>
  <c r="S13" i="15" s="1"/>
  <c r="M13" i="15"/>
  <c r="R13" i="15" s="1"/>
  <c r="L14" i="15"/>
  <c r="Q14" i="15" s="1"/>
  <c r="L15" i="15"/>
  <c r="Q15" i="15" s="1"/>
  <c r="L16" i="15"/>
  <c r="Q16" i="15" s="1"/>
  <c r="L17" i="15"/>
  <c r="Q17" i="15" s="1"/>
  <c r="L18" i="15"/>
  <c r="Q18" i="15" s="1"/>
  <c r="M71" i="15"/>
  <c r="R71" i="15" s="1"/>
  <c r="N71" i="15"/>
  <c r="S71" i="15" s="1"/>
  <c r="O71" i="15"/>
  <c r="T71" i="15" s="1"/>
  <c r="M72" i="15"/>
  <c r="R72" i="15" s="1"/>
  <c r="N72" i="15"/>
  <c r="S72" i="15" s="1"/>
  <c r="O72" i="15"/>
  <c r="T72" i="15" s="1"/>
  <c r="O70" i="15"/>
  <c r="T70" i="15" s="1"/>
  <c r="N70" i="15"/>
  <c r="S70" i="15" s="1"/>
  <c r="M70" i="15"/>
  <c r="R70" i="15" s="1"/>
  <c r="L15" i="10"/>
  <c r="M15" i="10"/>
  <c r="N15" i="10"/>
  <c r="O15" i="10"/>
  <c r="P15" i="10"/>
  <c r="L16" i="10"/>
  <c r="M16" i="10"/>
  <c r="N16" i="10"/>
  <c r="O16" i="10"/>
  <c r="P16" i="10"/>
  <c r="L17" i="10"/>
  <c r="M17" i="10"/>
  <c r="N17" i="10"/>
  <c r="O17" i="10"/>
  <c r="P17" i="10"/>
  <c r="L18" i="10"/>
  <c r="M18" i="10"/>
  <c r="N18" i="10"/>
  <c r="O18" i="10"/>
  <c r="P18" i="10"/>
  <c r="L19" i="10"/>
  <c r="M19" i="10"/>
  <c r="N19" i="10"/>
  <c r="O19" i="10"/>
  <c r="P19" i="10"/>
  <c r="P14" i="10"/>
  <c r="O14" i="10"/>
  <c r="N14" i="10"/>
  <c r="M14" i="10"/>
  <c r="AE24" i="17"/>
  <c r="AD24" i="17"/>
  <c r="AE23" i="17"/>
  <c r="AD23" i="17"/>
  <c r="AE22" i="17"/>
  <c r="AD22" i="17"/>
  <c r="AE21" i="17"/>
  <c r="AD21" i="17"/>
  <c r="AE20" i="17"/>
  <c r="AD20" i="17"/>
  <c r="AC21" i="17"/>
  <c r="AC22" i="17"/>
  <c r="AC23" i="17"/>
  <c r="AC24" i="17"/>
  <c r="AC20" i="17"/>
  <c r="E5" i="11"/>
  <c r="AO28" i="10" l="1"/>
  <c r="Q5" i="22"/>
  <c r="Q8" i="22"/>
  <c r="Q12" i="22"/>
  <c r="Q16" i="22"/>
  <c r="A13" i="17" l="1"/>
  <c r="A12" i="17"/>
  <c r="I11" i="22"/>
  <c r="I10" i="22"/>
  <c r="B13" i="17"/>
  <c r="F35" i="22"/>
  <c r="K10" i="22" s="1"/>
  <c r="E35" i="22"/>
  <c r="J10" i="22" s="1"/>
  <c r="D41" i="22"/>
  <c r="F40" i="22" s="1"/>
  <c r="K11" i="22" s="1"/>
  <c r="D42" i="22"/>
  <c r="D13" i="17" s="1"/>
  <c r="D40" i="22"/>
  <c r="E40" i="22" s="1"/>
  <c r="J11" i="22" s="1"/>
  <c r="N14" i="22" s="1"/>
  <c r="D37" i="22"/>
  <c r="D12" i="17" s="1"/>
  <c r="D36" i="22"/>
  <c r="C12" i="17" s="1"/>
  <c r="D35" i="22"/>
  <c r="B12" i="17" s="1"/>
  <c r="C13" i="17" l="1"/>
  <c r="E25" i="11"/>
  <c r="N10" i="11" s="1"/>
  <c r="O10" i="11" s="1"/>
  <c r="S10" i="22" s="1"/>
  <c r="D26" i="11"/>
  <c r="I4" i="11"/>
  <c r="D5" i="11"/>
  <c r="I5" i="11"/>
  <c r="D6" i="11"/>
  <c r="J4" i="11" s="1"/>
  <c r="I6" i="11"/>
  <c r="D7" i="11"/>
  <c r="I7" i="11"/>
  <c r="I8" i="11"/>
  <c r="I9" i="11"/>
  <c r="D10" i="11"/>
  <c r="F10" i="11"/>
  <c r="K5" i="11" s="1"/>
  <c r="P5" i="11" s="1"/>
  <c r="I10" i="11"/>
  <c r="P10" i="11"/>
  <c r="D11" i="11"/>
  <c r="E10" i="11" s="1"/>
  <c r="J5" i="11" s="1"/>
  <c r="N5" i="11" s="1"/>
  <c r="O5" i="11" s="1"/>
  <c r="S5" i="22" s="1"/>
  <c r="I11" i="11"/>
  <c r="P11" i="11"/>
  <c r="D12" i="11"/>
  <c r="I12" i="11"/>
  <c r="P13" i="11"/>
  <c r="P14" i="11"/>
  <c r="D15" i="11"/>
  <c r="E15" i="11" s="1"/>
  <c r="J6" i="11" s="1"/>
  <c r="N6" i="11" s="1"/>
  <c r="O6" i="11" s="1"/>
  <c r="S6" i="22" s="1"/>
  <c r="P15" i="11"/>
  <c r="D16" i="11"/>
  <c r="P16" i="11"/>
  <c r="D17" i="11"/>
  <c r="D20" i="11"/>
  <c r="F20" i="11" s="1"/>
  <c r="K7" i="11" s="1"/>
  <c r="P8" i="11" s="1"/>
  <c r="P9" i="11" s="1"/>
  <c r="E20" i="11"/>
  <c r="J7" i="11" s="1"/>
  <c r="N8" i="11" s="1"/>
  <c r="O8" i="11" s="1"/>
  <c r="S8" i="22" s="1"/>
  <c r="D21" i="11"/>
  <c r="D22" i="11"/>
  <c r="F25" i="11"/>
  <c r="K8" i="11" s="1"/>
  <c r="P12" i="11" s="1"/>
  <c r="D27" i="11"/>
  <c r="D30" i="11"/>
  <c r="F30" i="11" s="1"/>
  <c r="K9" i="11" s="1"/>
  <c r="D31" i="11"/>
  <c r="D32" i="11"/>
  <c r="D35" i="11"/>
  <c r="F35" i="11" s="1"/>
  <c r="D36" i="11"/>
  <c r="D37" i="11"/>
  <c r="D40" i="11"/>
  <c r="F40" i="11" s="1"/>
  <c r="K12" i="11" s="1"/>
  <c r="D41" i="11"/>
  <c r="D42" i="11"/>
  <c r="AZ6" i="17"/>
  <c r="BF14" i="17"/>
  <c r="K10" i="14"/>
  <c r="J10" i="14"/>
  <c r="I10" i="14"/>
  <c r="K11" i="11" l="1"/>
  <c r="K10" i="11"/>
  <c r="N4" i="11"/>
  <c r="O4" i="11" s="1"/>
  <c r="S4" i="22" s="1"/>
  <c r="J8" i="11"/>
  <c r="F5" i="11"/>
  <c r="K4" i="11" s="1"/>
  <c r="P4" i="11" s="1"/>
  <c r="E40" i="11"/>
  <c r="J12" i="11" s="1"/>
  <c r="N14" i="11" s="1"/>
  <c r="O14" i="11" s="1"/>
  <c r="S14" i="22" s="1"/>
  <c r="E35" i="11"/>
  <c r="E30" i="11"/>
  <c r="F15" i="11"/>
  <c r="K6" i="11" s="1"/>
  <c r="P6" i="11" s="1"/>
  <c r="P7" i="11" s="1"/>
  <c r="A15" i="19"/>
  <c r="A14" i="19"/>
  <c r="A13" i="19"/>
  <c r="C12" i="19"/>
  <c r="A12" i="19"/>
  <c r="A11" i="19"/>
  <c r="A10" i="19"/>
  <c r="A9" i="19"/>
  <c r="A8" i="19"/>
  <c r="A7" i="19"/>
  <c r="A6" i="19"/>
  <c r="A5" i="19"/>
  <c r="A4" i="19"/>
  <c r="A3" i="19"/>
  <c r="A11" i="17"/>
  <c r="D9" i="17"/>
  <c r="D25" i="22"/>
  <c r="B9" i="17" s="1"/>
  <c r="A9" i="17"/>
  <c r="D7" i="17"/>
  <c r="A7" i="17"/>
  <c r="A5" i="17"/>
  <c r="D4" i="17"/>
  <c r="A4" i="17"/>
  <c r="A3" i="17"/>
  <c r="G12" i="17"/>
  <c r="G15" i="17"/>
  <c r="E4" i="17"/>
  <c r="E5" i="17"/>
  <c r="E6" i="17"/>
  <c r="E7" i="17"/>
  <c r="E8" i="17"/>
  <c r="E9" i="17"/>
  <c r="E10" i="17"/>
  <c r="E11" i="17"/>
  <c r="E12" i="17"/>
  <c r="E13" i="17"/>
  <c r="E14" i="17"/>
  <c r="E15" i="17"/>
  <c r="E3" i="17"/>
  <c r="I5" i="22"/>
  <c r="I4" i="22"/>
  <c r="B4" i="22"/>
  <c r="D10" i="22"/>
  <c r="D32" i="22"/>
  <c r="D11" i="17" s="1"/>
  <c r="D31" i="22"/>
  <c r="C11" i="17" s="1"/>
  <c r="D30" i="22"/>
  <c r="D27" i="22"/>
  <c r="D26" i="22"/>
  <c r="E25" i="22"/>
  <c r="N10" i="22" s="1"/>
  <c r="O10" i="22" s="1"/>
  <c r="D22" i="22"/>
  <c r="D21" i="22"/>
  <c r="C7" i="17" s="1"/>
  <c r="D20" i="22"/>
  <c r="B7" i="17" s="1"/>
  <c r="D17" i="22"/>
  <c r="D5" i="17" s="1"/>
  <c r="P16" i="22"/>
  <c r="C15" i="19" s="1"/>
  <c r="D16" i="22"/>
  <c r="C5" i="17" s="1"/>
  <c r="P15" i="22"/>
  <c r="G14" i="17" s="1"/>
  <c r="D15" i="22"/>
  <c r="F15" i="22" s="1"/>
  <c r="K6" i="22" s="1"/>
  <c r="P6" i="22" s="1"/>
  <c r="P7" i="22" s="1"/>
  <c r="C6" i="19" s="1"/>
  <c r="P14" i="22"/>
  <c r="G13" i="17" s="1"/>
  <c r="P13" i="22"/>
  <c r="D12" i="22"/>
  <c r="P11" i="22"/>
  <c r="C10" i="19" s="1"/>
  <c r="D11" i="22"/>
  <c r="P10" i="22"/>
  <c r="C9" i="19" s="1"/>
  <c r="B4" i="17"/>
  <c r="I9" i="22"/>
  <c r="I8" i="22"/>
  <c r="I7" i="22"/>
  <c r="D7" i="22"/>
  <c r="D3" i="17" s="1"/>
  <c r="I6" i="22"/>
  <c r="D6" i="22"/>
  <c r="D5" i="22"/>
  <c r="A1" i="22"/>
  <c r="E1" i="17" s="1"/>
  <c r="G10" i="17" l="1"/>
  <c r="B3" i="17"/>
  <c r="G9" i="17"/>
  <c r="C3" i="17"/>
  <c r="C9" i="17"/>
  <c r="C13" i="19"/>
  <c r="C5" i="19"/>
  <c r="C14" i="19"/>
  <c r="G6" i="17"/>
  <c r="B9" i="19"/>
  <c r="G5" i="17"/>
  <c r="F9" i="17"/>
  <c r="J10" i="11"/>
  <c r="N13" i="11" s="1"/>
  <c r="O13" i="11" s="1"/>
  <c r="S13" i="22" s="1"/>
  <c r="J11" i="11"/>
  <c r="J9" i="11"/>
  <c r="N12" i="11"/>
  <c r="O12" i="11" s="1"/>
  <c r="S12" i="22" s="1"/>
  <c r="A1" i="19"/>
  <c r="J8" i="22"/>
  <c r="E30" i="22"/>
  <c r="J9" i="22" s="1"/>
  <c r="F10" i="22"/>
  <c r="K5" i="22" s="1"/>
  <c r="P5" i="22" s="1"/>
  <c r="F25" i="22"/>
  <c r="K8" i="22" s="1"/>
  <c r="P12" i="22" s="1"/>
  <c r="N13" i="22"/>
  <c r="O13" i="22" s="1"/>
  <c r="O14" i="22"/>
  <c r="F30" i="22"/>
  <c r="K9" i="22" s="1"/>
  <c r="E20" i="22"/>
  <c r="J7" i="22" s="1"/>
  <c r="N8" i="22" s="1"/>
  <c r="O8" i="22" s="1"/>
  <c r="F20" i="22"/>
  <c r="K7" i="22" s="1"/>
  <c r="P8" i="22" s="1"/>
  <c r="J4" i="22"/>
  <c r="F5" i="22"/>
  <c r="K4" i="22" s="1"/>
  <c r="P4" i="22" s="1"/>
  <c r="E10" i="22"/>
  <c r="J5" i="22" s="1"/>
  <c r="N5" i="22" s="1"/>
  <c r="O5" i="22" s="1"/>
  <c r="E15" i="22"/>
  <c r="J6" i="22" s="1"/>
  <c r="N6" i="22" s="1"/>
  <c r="O6" i="22" s="1"/>
  <c r="I23" i="19" l="1"/>
  <c r="H23" i="19"/>
  <c r="F23" i="19"/>
  <c r="E23" i="19"/>
  <c r="G23" i="19"/>
  <c r="R51" i="17"/>
  <c r="T42" i="17"/>
  <c r="R42" i="17"/>
  <c r="P42" i="17"/>
  <c r="R32" i="17"/>
  <c r="Q32" i="17"/>
  <c r="S32" i="17"/>
  <c r="I15" i="11"/>
  <c r="N4" i="22"/>
  <c r="O4" i="22" s="1"/>
  <c r="J15" i="22"/>
  <c r="I15" i="22"/>
  <c r="K15" i="22"/>
  <c r="R5" i="22"/>
  <c r="B4" i="19"/>
  <c r="F4" i="17"/>
  <c r="Q29" i="17" s="1"/>
  <c r="C3" i="19"/>
  <c r="G3" i="17"/>
  <c r="F3" i="17"/>
  <c r="B3" i="19"/>
  <c r="C11" i="19"/>
  <c r="G11" i="17"/>
  <c r="C4" i="17"/>
  <c r="P9" i="22"/>
  <c r="C7" i="19"/>
  <c r="G7" i="17"/>
  <c r="G4" i="17"/>
  <c r="C4" i="19"/>
  <c r="B5" i="17"/>
  <c r="R8" i="22"/>
  <c r="B7" i="19"/>
  <c r="F7" i="17"/>
  <c r="B5" i="19"/>
  <c r="F5" i="17"/>
  <c r="B11" i="17"/>
  <c r="B13" i="19"/>
  <c r="F13" i="17"/>
  <c r="B12" i="19"/>
  <c r="F12" i="17"/>
  <c r="N12" i="22"/>
  <c r="AP6" i="10"/>
  <c r="AS11" i="10"/>
  <c r="AR11" i="10"/>
  <c r="AQ11" i="10"/>
  <c r="AP11" i="10"/>
  <c r="AS10" i="10"/>
  <c r="AR10" i="10"/>
  <c r="AQ10" i="10"/>
  <c r="AP10" i="10"/>
  <c r="AS9" i="10"/>
  <c r="AR9" i="10"/>
  <c r="AQ9" i="10"/>
  <c r="AP9" i="10"/>
  <c r="AS8" i="10"/>
  <c r="AR8" i="10"/>
  <c r="AQ8" i="10"/>
  <c r="AP8" i="10"/>
  <c r="AS7" i="10"/>
  <c r="AR7" i="10"/>
  <c r="AQ7" i="10"/>
  <c r="AP7" i="10"/>
  <c r="AS6" i="10"/>
  <c r="AR6" i="10"/>
  <c r="AQ6" i="10"/>
  <c r="AO7" i="10"/>
  <c r="AO8" i="10"/>
  <c r="AO9" i="10"/>
  <c r="AO10" i="10"/>
  <c r="AO11" i="10"/>
  <c r="AO6" i="10"/>
  <c r="E19" i="19" l="1"/>
  <c r="H19" i="19"/>
  <c r="F19" i="19"/>
  <c r="G19" i="19"/>
  <c r="I19" i="19"/>
  <c r="E20" i="19"/>
  <c r="H20" i="19"/>
  <c r="I20" i="19"/>
  <c r="F20" i="19"/>
  <c r="G20" i="19"/>
  <c r="F21" i="19"/>
  <c r="G21" i="19"/>
  <c r="E21" i="19"/>
  <c r="H21" i="19"/>
  <c r="I21" i="19"/>
  <c r="F22" i="19"/>
  <c r="E22" i="19"/>
  <c r="I22" i="19"/>
  <c r="H22" i="19"/>
  <c r="G22" i="19"/>
  <c r="P51" i="17"/>
  <c r="P49" i="17"/>
  <c r="P50" i="17"/>
  <c r="R49" i="17"/>
  <c r="P38" i="17"/>
  <c r="Q6" i="17"/>
  <c r="Q28" i="17"/>
  <c r="T38" i="17"/>
  <c r="R30" i="17"/>
  <c r="R38" i="17"/>
  <c r="S30" i="17"/>
  <c r="Q30" i="17"/>
  <c r="R40" i="17"/>
  <c r="P40" i="17"/>
  <c r="S31" i="17"/>
  <c r="R31" i="17"/>
  <c r="Q31" i="17"/>
  <c r="T40" i="17"/>
  <c r="S29" i="17"/>
  <c r="R29" i="17"/>
  <c r="Q14" i="17"/>
  <c r="S28" i="17"/>
  <c r="R28" i="17"/>
  <c r="M17" i="17"/>
  <c r="K15" i="17"/>
  <c r="L17" i="17"/>
  <c r="M14" i="17"/>
  <c r="K17" i="17"/>
  <c r="L14" i="17"/>
  <c r="K14" i="17"/>
  <c r="L16" i="17"/>
  <c r="M18" i="17"/>
  <c r="K16" i="17"/>
  <c r="L18" i="17"/>
  <c r="M15" i="17"/>
  <c r="K18" i="17"/>
  <c r="L15" i="17"/>
  <c r="M16" i="17"/>
  <c r="O16" i="22"/>
  <c r="O15" i="22"/>
  <c r="AO13" i="10"/>
  <c r="Q8" i="17"/>
  <c r="C8" i="19"/>
  <c r="G8" i="17"/>
  <c r="O12" i="22"/>
  <c r="B11" i="19" l="1"/>
  <c r="F11" i="17"/>
  <c r="Q10" i="17" s="1"/>
  <c r="R12" i="22"/>
  <c r="K6" i="17"/>
  <c r="E24" i="19" l="1"/>
  <c r="F24" i="19"/>
  <c r="G24" i="19"/>
  <c r="I24" i="19"/>
  <c r="H24" i="19"/>
  <c r="R33" i="17"/>
  <c r="S33" i="17"/>
  <c r="Q33" i="17"/>
  <c r="BF6" i="17"/>
  <c r="BH18" i="17" l="1"/>
  <c r="BG18" i="17"/>
  <c r="BF18" i="17"/>
  <c r="BB18" i="17"/>
  <c r="BE18" i="17" s="1"/>
  <c r="BA18" i="17"/>
  <c r="BD18" i="17" s="1"/>
  <c r="AZ18" i="17"/>
  <c r="BC18" i="17" s="1"/>
  <c r="BH17" i="17"/>
  <c r="BG17" i="17"/>
  <c r="BF17" i="17"/>
  <c r="BB17" i="17"/>
  <c r="BE17" i="17" s="1"/>
  <c r="BA17" i="17"/>
  <c r="BD17" i="17" s="1"/>
  <c r="AZ17" i="17"/>
  <c r="BC17" i="17" s="1"/>
  <c r="BH16" i="17"/>
  <c r="BG16" i="17"/>
  <c r="BF16" i="17"/>
  <c r="BB16" i="17"/>
  <c r="BE16" i="17" s="1"/>
  <c r="BA16" i="17"/>
  <c r="BD16" i="17" s="1"/>
  <c r="AZ16" i="17"/>
  <c r="BC16" i="17" s="1"/>
  <c r="BH15" i="17"/>
  <c r="BG15" i="17"/>
  <c r="BF15" i="17"/>
  <c r="BB15" i="17"/>
  <c r="BE15" i="17" s="1"/>
  <c r="BA15" i="17"/>
  <c r="BD15" i="17" s="1"/>
  <c r="AZ15" i="17"/>
  <c r="BC15" i="17" s="1"/>
  <c r="BH14" i="17"/>
  <c r="BG14" i="17"/>
  <c r="BB14" i="17"/>
  <c r="BE14" i="17" s="1"/>
  <c r="BA14" i="17"/>
  <c r="BD14" i="17" s="1"/>
  <c r="AZ14" i="17"/>
  <c r="BC14" i="17" s="1"/>
  <c r="BH10" i="17"/>
  <c r="BG10" i="17"/>
  <c r="BH9" i="17"/>
  <c r="BG9" i="17"/>
  <c r="BH8" i="17"/>
  <c r="BG8" i="17"/>
  <c r="BH7" i="17"/>
  <c r="BG7" i="17"/>
  <c r="BH6" i="17"/>
  <c r="BG6" i="17"/>
  <c r="BF7" i="17"/>
  <c r="BF8" i="17"/>
  <c r="BF9" i="17"/>
  <c r="BF10" i="17"/>
  <c r="BB10" i="17"/>
  <c r="BE10" i="17" s="1"/>
  <c r="BA10" i="17"/>
  <c r="BD10" i="17" s="1"/>
  <c r="BB9" i="17"/>
  <c r="BE9" i="17" s="1"/>
  <c r="BA9" i="17"/>
  <c r="BD9" i="17" s="1"/>
  <c r="BB8" i="17"/>
  <c r="BE8" i="17" s="1"/>
  <c r="BA8" i="17"/>
  <c r="BD8" i="17" s="1"/>
  <c r="BB7" i="17"/>
  <c r="BE7" i="17" s="1"/>
  <c r="BA7" i="17"/>
  <c r="BD7" i="17" s="1"/>
  <c r="BB6" i="17"/>
  <c r="BE6" i="17" s="1"/>
  <c r="BA6" i="17"/>
  <c r="BD6" i="17" s="1"/>
  <c r="BC6" i="17"/>
  <c r="AZ7" i="17"/>
  <c r="BC7" i="17" s="1"/>
  <c r="AZ8" i="17"/>
  <c r="BC8" i="17" s="1"/>
  <c r="AZ9" i="17"/>
  <c r="BC9" i="17" s="1"/>
  <c r="AZ10" i="17"/>
  <c r="BC10" i="17" s="1"/>
  <c r="S18" i="17" l="1"/>
  <c r="R18" i="17"/>
  <c r="Q18" i="17"/>
  <c r="S16" i="17"/>
  <c r="R16" i="17"/>
  <c r="Q16" i="17"/>
  <c r="S14" i="17"/>
  <c r="R14" i="17"/>
  <c r="D22" i="14" l="1"/>
  <c r="D21" i="14"/>
  <c r="D20" i="14"/>
  <c r="D15" i="14"/>
  <c r="D10" i="14"/>
  <c r="D7" i="14"/>
  <c r="D6" i="14"/>
  <c r="D5" i="14"/>
  <c r="D36" i="20" l="1"/>
  <c r="D35" i="20"/>
  <c r="D34" i="20"/>
  <c r="D33" i="20"/>
  <c r="C15" i="20"/>
  <c r="A15" i="20"/>
  <c r="C14" i="20"/>
  <c r="A14" i="20"/>
  <c r="C13" i="20"/>
  <c r="A13" i="20"/>
  <c r="C12" i="20"/>
  <c r="A12" i="20"/>
  <c r="A11" i="20"/>
  <c r="C10" i="20"/>
  <c r="A10" i="20"/>
  <c r="C9" i="20"/>
  <c r="A9" i="20"/>
  <c r="A8" i="20"/>
  <c r="A7" i="20"/>
  <c r="A6" i="20"/>
  <c r="A5" i="20"/>
  <c r="A4" i="20"/>
  <c r="A3" i="20"/>
  <c r="AP2" i="20"/>
  <c r="AF2" i="20" s="1"/>
  <c r="AA2" i="20" s="1"/>
  <c r="AL2" i="20"/>
  <c r="AQ2" i="20" s="1"/>
  <c r="AG2" i="20" s="1"/>
  <c r="AK2" i="20"/>
  <c r="AJ2" i="20"/>
  <c r="AO2" i="20" s="1"/>
  <c r="AE2" i="20" s="1"/>
  <c r="AI2" i="20"/>
  <c r="AN2" i="20" s="1"/>
  <c r="AD2" i="20" s="1"/>
  <c r="AH2" i="20"/>
  <c r="AM2" i="20" s="1"/>
  <c r="AC2" i="20" s="1"/>
  <c r="AE2" i="19"/>
  <c r="AJ2" i="19" s="1"/>
  <c r="Z2" i="19" s="1"/>
  <c r="AD2" i="19"/>
  <c r="AI2" i="19" s="1"/>
  <c r="Y2" i="19" s="1"/>
  <c r="AC2" i="19"/>
  <c r="AH2" i="19" s="1"/>
  <c r="X2" i="19" s="1"/>
  <c r="AB2" i="19"/>
  <c r="AG2" i="19" s="1"/>
  <c r="W2" i="19" s="1"/>
  <c r="AA2" i="19"/>
  <c r="AF2" i="19" s="1"/>
  <c r="V2" i="19" s="1"/>
  <c r="X2" i="20" l="1"/>
  <c r="Z2" i="20"/>
  <c r="AB2" i="20"/>
  <c r="Y2" i="20"/>
  <c r="R2" i="19"/>
  <c r="T2" i="19"/>
  <c r="Q2" i="19"/>
  <c r="S2" i="19"/>
  <c r="U2" i="19"/>
  <c r="AR2" i="17" l="1"/>
  <c r="AX2" i="17" s="1"/>
  <c r="AL2" i="17" s="1"/>
  <c r="AQ2" i="17"/>
  <c r="AW2" i="17" s="1"/>
  <c r="AK2" i="17" s="1"/>
  <c r="AP2" i="17"/>
  <c r="AV2" i="17" s="1"/>
  <c r="AJ2" i="17" s="1"/>
  <c r="AO2" i="17"/>
  <c r="AU2" i="17" s="1"/>
  <c r="AI2" i="17" s="1"/>
  <c r="AN2" i="17"/>
  <c r="AT2" i="17" s="1"/>
  <c r="AH2" i="17" s="1"/>
  <c r="AF2" i="17" l="1"/>
  <c r="AB2" i="17"/>
  <c r="AC2" i="17"/>
  <c r="AD2" i="17"/>
  <c r="AE2" i="17"/>
  <c r="D16" i="14"/>
  <c r="D17" i="14"/>
  <c r="D11" i="14"/>
  <c r="D12" i="14"/>
  <c r="C4" i="20" l="1"/>
  <c r="C11" i="20"/>
  <c r="B5" i="20" l="1"/>
  <c r="B7" i="20"/>
  <c r="C8" i="20"/>
  <c r="C7" i="20"/>
  <c r="C3" i="20"/>
  <c r="I35" i="20" l="1"/>
  <c r="M35" i="20"/>
  <c r="G35" i="20"/>
  <c r="B4" i="20"/>
  <c r="N35" i="20"/>
  <c r="B11" i="20"/>
  <c r="H35" i="20"/>
  <c r="O35" i="20"/>
  <c r="C6" i="20"/>
  <c r="C5" i="20"/>
  <c r="B3" i="20"/>
  <c r="A4" i="15"/>
  <c r="A5" i="15"/>
  <c r="A6" i="15"/>
  <c r="A7" i="15"/>
  <c r="A8" i="15"/>
  <c r="A9" i="15"/>
  <c r="A10" i="15"/>
  <c r="A11" i="15"/>
  <c r="A12" i="15"/>
  <c r="A13" i="15"/>
  <c r="A14" i="15"/>
  <c r="A15" i="15"/>
  <c r="A3" i="15"/>
  <c r="A1" i="14"/>
  <c r="J18" i="15"/>
  <c r="J17" i="15"/>
  <c r="J16" i="15"/>
  <c r="J15" i="15"/>
  <c r="J14" i="15"/>
  <c r="J13" i="15"/>
  <c r="AE2" i="15"/>
  <c r="AJ2" i="15" s="1"/>
  <c r="Z2" i="15" s="1"/>
  <c r="AD2" i="15"/>
  <c r="AI2" i="15" s="1"/>
  <c r="Y2" i="15" s="1"/>
  <c r="AC2" i="15"/>
  <c r="AH2" i="15" s="1"/>
  <c r="X2" i="15" s="1"/>
  <c r="AB2" i="15"/>
  <c r="AG2" i="15" s="1"/>
  <c r="W2" i="15" s="1"/>
  <c r="AA2" i="15"/>
  <c r="AF2" i="15" s="1"/>
  <c r="V2" i="15" s="1"/>
  <c r="A1" i="11"/>
  <c r="A1" i="20" l="1"/>
  <c r="H33" i="20"/>
  <c r="I33" i="20"/>
  <c r="G33" i="20"/>
  <c r="M33" i="20"/>
  <c r="A1" i="10"/>
  <c r="A1" i="15"/>
  <c r="S2" i="15"/>
  <c r="T2" i="15"/>
  <c r="R2" i="15"/>
  <c r="U2" i="15"/>
  <c r="Q2" i="15"/>
  <c r="E10" i="14" a="1"/>
  <c r="F10" i="14" s="1"/>
  <c r="K5" i="14" s="1"/>
  <c r="I7" i="14"/>
  <c r="I6" i="14"/>
  <c r="I5" i="14"/>
  <c r="I4" i="14"/>
  <c r="C13" i="10"/>
  <c r="A14" i="10"/>
  <c r="A15" i="10"/>
  <c r="A11" i="10"/>
  <c r="A12" i="10"/>
  <c r="A13" i="10"/>
  <c r="A4" i="10"/>
  <c r="A5" i="10"/>
  <c r="A6" i="10"/>
  <c r="A7" i="10"/>
  <c r="A8" i="10"/>
  <c r="A9" i="10"/>
  <c r="A10" i="10"/>
  <c r="A3" i="10"/>
  <c r="C15" i="10"/>
  <c r="C14" i="10"/>
  <c r="C12" i="10"/>
  <c r="C10" i="10"/>
  <c r="C9" i="10"/>
  <c r="AH2" i="10"/>
  <c r="AN2" i="10" s="1"/>
  <c r="AG2" i="10"/>
  <c r="AM2" i="10" s="1"/>
  <c r="AF2" i="10"/>
  <c r="AL2" i="10" s="1"/>
  <c r="AE2" i="10"/>
  <c r="AK2" i="10" s="1"/>
  <c r="AD2" i="10"/>
  <c r="AJ2" i="10" s="1"/>
  <c r="AB2" i="10" l="1"/>
  <c r="V2" i="10" s="1"/>
  <c r="AS2" i="10"/>
  <c r="Y2" i="10"/>
  <c r="S2" i="10" s="1"/>
  <c r="AP2" i="10"/>
  <c r="Z2" i="10"/>
  <c r="T2" i="10" s="1"/>
  <c r="AQ2" i="10"/>
  <c r="X2" i="10"/>
  <c r="R2" i="10" s="1"/>
  <c r="AO2" i="10"/>
  <c r="AA2" i="10"/>
  <c r="U2" i="10" s="1"/>
  <c r="AR2" i="10"/>
  <c r="P8" i="14"/>
  <c r="C7" i="15"/>
  <c r="E15" i="14" a="1"/>
  <c r="E15" i="14" s="1"/>
  <c r="J6" i="14" s="1"/>
  <c r="E5" i="14" a="1"/>
  <c r="E5" i="14" s="1"/>
  <c r="J4" i="14" s="1"/>
  <c r="E20" i="14" a="1"/>
  <c r="F20" i="14" s="1"/>
  <c r="K7" i="14" s="1"/>
  <c r="P16" i="14" s="1"/>
  <c r="E10" i="14"/>
  <c r="J5" i="14" s="1"/>
  <c r="C8" i="10"/>
  <c r="C3" i="10"/>
  <c r="C7" i="10"/>
  <c r="C4" i="10"/>
  <c r="C11" i="10"/>
  <c r="C15" i="15" l="1"/>
  <c r="N4" i="14"/>
  <c r="C5" i="10"/>
  <c r="F15" i="14"/>
  <c r="K6" i="14" s="1"/>
  <c r="F5" i="14"/>
  <c r="K4" i="14" s="1"/>
  <c r="P5" i="14" s="1"/>
  <c r="E20" i="14"/>
  <c r="J7" i="14" s="1"/>
  <c r="N16" i="14" s="1"/>
  <c r="O16" i="14" s="1"/>
  <c r="N12" i="14"/>
  <c r="O12" i="14" s="1"/>
  <c r="N8" i="14"/>
  <c r="O8" i="14" s="1"/>
  <c r="N11" i="14"/>
  <c r="N9" i="14"/>
  <c r="N10" i="14"/>
  <c r="N5" i="14"/>
  <c r="O5" i="14" s="1"/>
  <c r="B7" i="10"/>
  <c r="C6" i="10"/>
  <c r="B4" i="10"/>
  <c r="F15" i="10" l="1"/>
  <c r="H32" i="10"/>
  <c r="F32" i="10"/>
  <c r="E32" i="10"/>
  <c r="I15" i="10"/>
  <c r="G32" i="10"/>
  <c r="H15" i="10"/>
  <c r="G15" i="10"/>
  <c r="I32" i="10"/>
  <c r="E15" i="10"/>
  <c r="F17" i="10"/>
  <c r="H34" i="10"/>
  <c r="H17" i="10"/>
  <c r="G34" i="10"/>
  <c r="I17" i="10"/>
  <c r="G17" i="10"/>
  <c r="E24" i="10"/>
  <c r="F24" i="10"/>
  <c r="G24" i="10"/>
  <c r="H24" i="10"/>
  <c r="I24" i="10"/>
  <c r="G26" i="10"/>
  <c r="I26" i="10"/>
  <c r="H26" i="10"/>
  <c r="E9" i="10"/>
  <c r="P12" i="14"/>
  <c r="O4" i="14"/>
  <c r="Q4" i="22" s="1"/>
  <c r="R4" i="22" s="1"/>
  <c r="O13" i="14"/>
  <c r="Q13" i="22" s="1"/>
  <c r="R13" i="22" s="1"/>
  <c r="O15" i="14"/>
  <c r="Q15" i="22" s="1"/>
  <c r="O11" i="14"/>
  <c r="Q11" i="22" s="1"/>
  <c r="O14" i="14"/>
  <c r="Q14" i="22" s="1"/>
  <c r="R14" i="22" s="1"/>
  <c r="O9" i="14"/>
  <c r="Q9" i="22" s="1"/>
  <c r="O6" i="14"/>
  <c r="Q6" i="22" s="1"/>
  <c r="R6" i="22" s="1"/>
  <c r="O7" i="14"/>
  <c r="Q7" i="22" s="1"/>
  <c r="F6" i="19"/>
  <c r="E6" i="19"/>
  <c r="G6" i="19"/>
  <c r="H6" i="19"/>
  <c r="F32" i="19"/>
  <c r="H32" i="19"/>
  <c r="G32" i="19"/>
  <c r="I6" i="19"/>
  <c r="N14" i="14"/>
  <c r="B7" i="15"/>
  <c r="B11" i="15"/>
  <c r="B15" i="15"/>
  <c r="B4" i="15"/>
  <c r="C4" i="15"/>
  <c r="C11" i="15"/>
  <c r="I7" i="10"/>
  <c r="E7" i="10"/>
  <c r="N13" i="14"/>
  <c r="N7" i="14"/>
  <c r="N15" i="14"/>
  <c r="N6" i="14"/>
  <c r="I9" i="10"/>
  <c r="H9" i="10"/>
  <c r="F7" i="10"/>
  <c r="G7" i="10"/>
  <c r="H7" i="10"/>
  <c r="B5" i="10"/>
  <c r="F9" i="10"/>
  <c r="G9" i="10"/>
  <c r="B11" i="10"/>
  <c r="G9" i="15" l="1"/>
  <c r="H9" i="15"/>
  <c r="I9" i="15"/>
  <c r="E9" i="15"/>
  <c r="F9" i="15"/>
  <c r="I7" i="15"/>
  <c r="E7" i="15"/>
  <c r="F7" i="15"/>
  <c r="G7" i="15"/>
  <c r="H7" i="15"/>
  <c r="E11" i="15"/>
  <c r="F11" i="15"/>
  <c r="G11" i="15"/>
  <c r="H11" i="15"/>
  <c r="I11" i="15"/>
  <c r="E33" i="10"/>
  <c r="I16" i="10"/>
  <c r="H16" i="10"/>
  <c r="G33" i="10"/>
  <c r="G16" i="10"/>
  <c r="F16" i="10"/>
  <c r="I33" i="10"/>
  <c r="E16" i="10"/>
  <c r="F33" i="10"/>
  <c r="H33" i="10"/>
  <c r="H36" i="10"/>
  <c r="I19" i="10"/>
  <c r="F36" i="10"/>
  <c r="H19" i="10"/>
  <c r="E36" i="10"/>
  <c r="G19" i="10"/>
  <c r="F19" i="10"/>
  <c r="I36" i="10"/>
  <c r="G36" i="10"/>
  <c r="E19" i="10"/>
  <c r="I28" i="10"/>
  <c r="H28" i="10"/>
  <c r="G28" i="10"/>
  <c r="F28" i="10"/>
  <c r="E28" i="10"/>
  <c r="E25" i="10"/>
  <c r="G25" i="10"/>
  <c r="H25" i="10"/>
  <c r="I25" i="10"/>
  <c r="F25" i="10"/>
  <c r="I8" i="10"/>
  <c r="O10" i="14"/>
  <c r="B8" i="15"/>
  <c r="B13" i="15"/>
  <c r="B3" i="15"/>
  <c r="B10" i="15"/>
  <c r="B14" i="15"/>
  <c r="B6" i="15"/>
  <c r="B12" i="15"/>
  <c r="B5" i="15"/>
  <c r="H43" i="15"/>
  <c r="E27" i="15"/>
  <c r="G43" i="15"/>
  <c r="F43" i="15"/>
  <c r="E43" i="15"/>
  <c r="I27" i="15"/>
  <c r="H27" i="15"/>
  <c r="G27" i="15"/>
  <c r="I43" i="15"/>
  <c r="F27" i="15"/>
  <c r="H25" i="15"/>
  <c r="I41" i="15"/>
  <c r="G25" i="15"/>
  <c r="H57" i="15"/>
  <c r="H41" i="15"/>
  <c r="F25" i="15"/>
  <c r="G57" i="15"/>
  <c r="G41" i="15"/>
  <c r="E25" i="15"/>
  <c r="F57" i="15"/>
  <c r="F41" i="15"/>
  <c r="E41" i="15"/>
  <c r="I25" i="15"/>
  <c r="H55" i="15"/>
  <c r="I23" i="15"/>
  <c r="G55" i="15"/>
  <c r="H23" i="15"/>
  <c r="F55" i="15"/>
  <c r="G23" i="15"/>
  <c r="I39" i="15"/>
  <c r="F23" i="15"/>
  <c r="H67" i="15"/>
  <c r="H39" i="15"/>
  <c r="E23" i="15"/>
  <c r="G67" i="15"/>
  <c r="G39" i="15"/>
  <c r="F67" i="15"/>
  <c r="F39" i="15"/>
  <c r="E39" i="15"/>
  <c r="S10" i="17"/>
  <c r="R10" i="17"/>
  <c r="S8" i="17"/>
  <c r="R8" i="17"/>
  <c r="E8" i="10"/>
  <c r="H8" i="10"/>
  <c r="F8" i="10"/>
  <c r="G8" i="10"/>
  <c r="B3" i="10"/>
  <c r="G11" i="10"/>
  <c r="I11" i="10"/>
  <c r="E11" i="10"/>
  <c r="F11" i="10"/>
  <c r="H11" i="10"/>
  <c r="G31" i="10" l="1"/>
  <c r="F31" i="10"/>
  <c r="F14" i="10"/>
  <c r="E31" i="10"/>
  <c r="I14" i="10"/>
  <c r="G14" i="10"/>
  <c r="I31" i="10"/>
  <c r="E14" i="10"/>
  <c r="H14" i="10"/>
  <c r="H31" i="10"/>
  <c r="E6" i="10"/>
  <c r="E23" i="10"/>
  <c r="H23" i="10"/>
  <c r="I23" i="10"/>
  <c r="F23" i="10"/>
  <c r="G23" i="10"/>
  <c r="B9" i="15"/>
  <c r="Q10" i="22"/>
  <c r="R10" i="22" s="1"/>
  <c r="I13" i="19"/>
  <c r="G11" i="19"/>
  <c r="H11" i="19"/>
  <c r="H34" i="19"/>
  <c r="F12" i="19"/>
  <c r="F11" i="19"/>
  <c r="I11" i="19"/>
  <c r="H13" i="19"/>
  <c r="E15" i="19"/>
  <c r="E12" i="19"/>
  <c r="G34" i="19"/>
  <c r="I16" i="19"/>
  <c r="I14" i="19"/>
  <c r="G13" i="19"/>
  <c r="H15" i="19"/>
  <c r="E13" i="19"/>
  <c r="E16" i="19"/>
  <c r="F16" i="19"/>
  <c r="F13" i="19"/>
  <c r="I12" i="19"/>
  <c r="E14" i="19"/>
  <c r="F14" i="19"/>
  <c r="I15" i="19"/>
  <c r="H16" i="19"/>
  <c r="G12" i="19"/>
  <c r="G15" i="19"/>
  <c r="H14" i="19"/>
  <c r="F15" i="19"/>
  <c r="F34" i="19"/>
  <c r="H12" i="19"/>
  <c r="G14" i="19"/>
  <c r="G16" i="19"/>
  <c r="E11" i="19"/>
  <c r="P10" i="14"/>
  <c r="P7" i="14"/>
  <c r="P6" i="14"/>
  <c r="P9" i="14"/>
  <c r="P15" i="14"/>
  <c r="P14" i="14"/>
  <c r="P4" i="14"/>
  <c r="P13" i="14"/>
  <c r="P11" i="14"/>
  <c r="G6" i="10"/>
  <c r="I6" i="10"/>
  <c r="F6" i="10"/>
  <c r="H6" i="10"/>
  <c r="C3" i="15" l="1"/>
  <c r="C13" i="15"/>
  <c r="C14" i="15"/>
  <c r="C8" i="15"/>
  <c r="C5" i="15"/>
  <c r="C6" i="15"/>
  <c r="C10" i="15"/>
  <c r="C9" i="15"/>
  <c r="E10" i="15" s="1"/>
  <c r="C12" i="15"/>
  <c r="N33" i="20"/>
  <c r="O33" i="20"/>
  <c r="I10" i="15" l="1"/>
  <c r="H10" i="15"/>
  <c r="G10" i="15"/>
  <c r="E8" i="15"/>
  <c r="F8" i="15"/>
  <c r="G8" i="15"/>
  <c r="H8" i="15"/>
  <c r="I8" i="15"/>
  <c r="F10" i="15"/>
  <c r="I6" i="15"/>
  <c r="I38" i="15"/>
  <c r="E6" i="15"/>
  <c r="F6" i="15"/>
  <c r="G6" i="15"/>
  <c r="H6" i="15"/>
  <c r="F42" i="15"/>
  <c r="G26" i="15"/>
  <c r="H26" i="15"/>
  <c r="F26" i="15"/>
  <c r="E26" i="15"/>
  <c r="E42" i="15"/>
  <c r="I42" i="15"/>
  <c r="H42" i="15"/>
  <c r="G42" i="15"/>
  <c r="I26" i="15"/>
  <c r="L10" i="17"/>
  <c r="L6" i="17"/>
  <c r="K8" i="17"/>
  <c r="K7" i="17"/>
  <c r="L8" i="17"/>
  <c r="M9" i="17"/>
  <c r="M10" i="17"/>
  <c r="L9" i="17"/>
  <c r="S6" i="17"/>
  <c r="L7" i="17"/>
  <c r="M8" i="17"/>
  <c r="K10" i="17"/>
  <c r="M6" i="17"/>
  <c r="R6" i="17"/>
  <c r="M7" i="17"/>
  <c r="K9" i="17"/>
  <c r="H30" i="19"/>
  <c r="G30" i="19"/>
  <c r="F30" i="19"/>
  <c r="H24" i="15"/>
  <c r="H40" i="15"/>
  <c r="F40" i="15"/>
  <c r="E24" i="15"/>
  <c r="E40" i="15"/>
  <c r="I24" i="15"/>
  <c r="G56" i="15"/>
  <c r="F24" i="15"/>
  <c r="G24" i="15"/>
  <c r="G68" i="15"/>
  <c r="H68" i="15"/>
  <c r="F68" i="15"/>
  <c r="F56" i="15"/>
  <c r="H56" i="15"/>
  <c r="G40" i="15"/>
  <c r="I40" i="15"/>
  <c r="F22" i="15"/>
  <c r="H22" i="15"/>
  <c r="I22" i="15"/>
  <c r="E38" i="15"/>
  <c r="G54" i="15"/>
  <c r="G22" i="15"/>
  <c r="F38" i="15"/>
  <c r="F54" i="15"/>
  <c r="H66" i="15"/>
  <c r="F66" i="15"/>
  <c r="G66" i="15"/>
  <c r="E22" i="15"/>
  <c r="H38" i="15"/>
  <c r="G38" i="15"/>
  <c r="H54" i="15"/>
  <c r="B12" i="20" l="1"/>
  <c r="B12" i="10"/>
  <c r="B9" i="20" l="1"/>
  <c r="B9" i="10"/>
  <c r="B13" i="20"/>
  <c r="B13" i="10"/>
  <c r="E35" i="10" l="1"/>
  <c r="H18" i="10"/>
  <c r="H35" i="10"/>
  <c r="F18" i="10"/>
  <c r="I35" i="10"/>
  <c r="F35" i="10"/>
  <c r="I18" i="10"/>
  <c r="G18" i="10"/>
  <c r="G35" i="10"/>
  <c r="H27" i="10"/>
  <c r="G27" i="10"/>
  <c r="F27" i="10"/>
  <c r="E27" i="10"/>
  <c r="I27" i="10"/>
  <c r="G10" i="10"/>
  <c r="H10" i="10"/>
  <c r="E10" i="10"/>
  <c r="I10" i="10"/>
  <c r="F10" i="10"/>
  <c r="K15" i="11" l="1"/>
  <c r="J15" i="11"/>
  <c r="O15" i="11" l="1"/>
  <c r="S15" i="22" s="1"/>
  <c r="O7" i="11"/>
  <c r="B6" i="20" s="1"/>
  <c r="S7" i="22"/>
  <c r="B6" i="10"/>
  <c r="O9" i="11"/>
  <c r="S9" i="22" s="1"/>
  <c r="O16" i="11"/>
  <c r="S16" i="22" s="1"/>
  <c r="O11" i="11"/>
  <c r="S11" i="22" s="1"/>
  <c r="B14" i="10" l="1"/>
  <c r="B14" i="20"/>
  <c r="B15" i="10"/>
  <c r="B15" i="20"/>
  <c r="B10" i="20"/>
  <c r="B10" i="10"/>
  <c r="B8" i="10"/>
  <c r="B8" i="20"/>
  <c r="G34" i="20"/>
  <c r="M34" i="20"/>
  <c r="I34" i="20"/>
  <c r="H34" i="20"/>
  <c r="N34" i="20"/>
  <c r="O34" i="20"/>
  <c r="H36" i="20" l="1"/>
  <c r="I36" i="20"/>
  <c r="O36" i="20"/>
  <c r="N36" i="20"/>
  <c r="M36" i="20"/>
  <c r="G36" i="20"/>
  <c r="O9" i="22" l="1"/>
  <c r="R9" i="22" s="1"/>
  <c r="O11" i="22"/>
  <c r="B10" i="19" s="1"/>
  <c r="O7" i="22"/>
  <c r="F6" i="17" s="1"/>
  <c r="R48" i="17" s="1"/>
  <c r="F15" i="17"/>
  <c r="R15" i="22"/>
  <c r="F14" i="17"/>
  <c r="B14" i="19"/>
  <c r="B15" i="19"/>
  <c r="G7" i="19" s="1"/>
  <c r="R16" i="22"/>
  <c r="T39" i="17" l="1"/>
  <c r="R39" i="17"/>
  <c r="P39" i="17"/>
  <c r="R15" i="17"/>
  <c r="B6" i="19"/>
  <c r="G31" i="19" s="1"/>
  <c r="R7" i="22"/>
  <c r="F31" i="19"/>
  <c r="E7" i="19"/>
  <c r="R11" i="22"/>
  <c r="Q7" i="17"/>
  <c r="S7" i="17"/>
  <c r="S15" i="17"/>
  <c r="R7" i="17"/>
  <c r="F10" i="17"/>
  <c r="I7" i="19"/>
  <c r="F8" i="17"/>
  <c r="R50" i="17" s="1"/>
  <c r="F7" i="19"/>
  <c r="H7" i="19"/>
  <c r="B8" i="19"/>
  <c r="Q15" i="17"/>
  <c r="H31" i="19" l="1"/>
  <c r="R41" i="17"/>
  <c r="Q9" i="17"/>
  <c r="P41" i="17"/>
  <c r="T41" i="17"/>
  <c r="R9" i="17"/>
  <c r="S9" i="17"/>
  <c r="Q17" i="17"/>
  <c r="S17" i="17"/>
  <c r="R17" i="17"/>
  <c r="F33" i="19"/>
  <c r="G33" i="19"/>
  <c r="H33" i="19"/>
  <c r="T15" i="22" l="1"/>
  <c r="T11" i="22"/>
  <c r="T9" i="22"/>
  <c r="T16" i="22"/>
  <c r="Q7" i="11" l="1"/>
  <c r="T7" i="22"/>
  <c r="O9" i="27" l="1"/>
  <c r="O11" i="27"/>
  <c r="E12" i="25" l="1"/>
  <c r="B10" i="26"/>
  <c r="E17" i="25"/>
  <c r="B15" i="26"/>
  <c r="E10" i="25"/>
  <c r="B8" i="26"/>
  <c r="E16" i="25"/>
  <c r="B14" i="26"/>
</calcChain>
</file>

<file path=xl/sharedStrings.xml><?xml version="1.0" encoding="utf-8"?>
<sst xmlns="http://schemas.openxmlformats.org/spreadsheetml/2006/main" count="404" uniqueCount="152">
  <si>
    <t>NQ</t>
  </si>
  <si>
    <t>Temp</t>
  </si>
  <si>
    <t>PCB</t>
  </si>
  <si>
    <t>Term</t>
  </si>
  <si>
    <t>Heat Power</t>
  </si>
  <si>
    <t>Pulse power correction factor</t>
  </si>
  <si>
    <t>b</t>
  </si>
  <si>
    <t>P-Pi</t>
  </si>
  <si>
    <t>He 8/20/2016 : 8/22/2016)</t>
  </si>
  <si>
    <t>\ISOPERIBOLIC2_DATA\2016-08-20-CORE_28_DC_Heater\ISOIPB2_Core_28b-New-core_He_150C-400C_day-01.csv : 03.csv</t>
  </si>
  <si>
    <t>CoreQPow</t>
  </si>
  <si>
    <t>Data</t>
  </si>
  <si>
    <t>HP</t>
  </si>
  <si>
    <t>qSupplyW</t>
  </si>
  <si>
    <t>deltaQ</t>
  </si>
  <si>
    <t>M</t>
  </si>
  <si>
    <t>Temp/100</t>
  </si>
  <si>
    <t>B</t>
  </si>
  <si>
    <t>temp/100</t>
  </si>
  <si>
    <t>M(polynomial)</t>
  </si>
  <si>
    <t>x2</t>
  </si>
  <si>
    <t>x</t>
  </si>
  <si>
    <t>He (10/04/2016)</t>
  </si>
  <si>
    <t>M(Forecast)</t>
  </si>
  <si>
    <t>B(polynomial)</t>
  </si>
  <si>
    <t>coreQPow/deltaHP</t>
  </si>
  <si>
    <t>DCCorePower</t>
  </si>
  <si>
    <t>deltaHP</t>
  </si>
  <si>
    <t>DCCorePower/deltaHP</t>
  </si>
  <si>
    <t>\SRI-IPB2\2016-09-30_SRI_v171-core27b\SRI-IPB2_H2-250-400C_10-05-16_day-01.csv:02.csv</t>
  </si>
  <si>
    <t>\ISOPERIBOLIC_DATA\2016-09-30-CRIO-v171_CORE_29b\IPB1_Core_29b-Helium-150C-400C_10-04-16_day-01.csv : 02.csv</t>
  </si>
  <si>
    <t>\ISOPERIBOLIC2_DATA\2016-08-20-CORE_28_DC_Heater\ISOIPB2_Core_28b-New-core_H2_150C-400C_day-01.csv : 03.csv</t>
  </si>
  <si>
    <t>H2 (9/02/2016-9/05/2016)</t>
  </si>
  <si>
    <t>\ISOPERIBOLIC2_DATA\2016-08-20-CORE_28_DC_Heater\IPB2_Core_28b-_H2_150C-400C_DEBUG_NEW_SW_day-01.csv : 04.csv</t>
  </si>
  <si>
    <t>H2 (9/5/2016-9/6/2016)</t>
  </si>
  <si>
    <t>\ISOPERIBOLIC2_DATA\2016-09-05_Crio_V164_core28b\IPB2_Core_28b-_H2_150C-400C_CRIO_V164_Run2_day-01.csv : 02.csv</t>
  </si>
  <si>
    <t>H2 (9/7/2016-9/8/2016)</t>
  </si>
  <si>
    <t>\ISOPERIBOLIC2_DATA\2016-09-07_Crio_V165_core28b\IPB2_Core_28b-_H2_150C-400C__Run1_day-01.csv : 02.csv</t>
  </si>
  <si>
    <t>H2 (8/22/2016-8/24/2016)</t>
  </si>
  <si>
    <t>H2 (9/9/2016 crio-v166-core 27b)</t>
  </si>
  <si>
    <t>\ISOPERIBOLIC2_DATA\2016-09-09_CRIO_v166-core27b\IPB2_Core_27b-_H2_600c-300C_2probetest1_EDITED.csv</t>
  </si>
  <si>
    <t>H2 (9/16/2016-9/18/2016)</t>
  </si>
  <si>
    <t>\ISOPERIBOLIC2_DATA\2016-09-09_CRIO_v167-core27b\IPB2_Core_27b-_H2-D2_150C-400C_RUN1_9-16-16_day-01.csv  : 03.csv</t>
  </si>
  <si>
    <t>H2 (9/24/2016-9/25/2016)</t>
  </si>
  <si>
    <t>\ISOPERIBOLIC2_DATA\2016-09-24_CRIO_v169-core27b\IPB2_Core_27b-_H2-250-400C__9-24-16_day-01.csv : 02.csv</t>
  </si>
  <si>
    <t>He (8/20/2016)</t>
  </si>
  <si>
    <t>\ISOPERIBOLIC_DATA\2016-08-20-CORE_26b\IPB1_Core_26b-New-core_He_150C-400C_day-01.csv : 03.csv</t>
  </si>
  <si>
    <t>\ISOPERIBOLIC_DATA\2016-08-20-CORE_26b\IPB1_Core_26b-New-core_H2_150C-400C_day-01.csv : 03.csv</t>
  </si>
  <si>
    <t>H2D2 (8/30/2016-8/31/2016)</t>
  </si>
  <si>
    <t>\ISOPERIBOLIC_DATA\2016-08-20-CORE_26b\IPB1_Core_26b-H2-D2_150C-400C_day-01.csv : 03.csv</t>
  </si>
  <si>
    <t>H2 (9/25/2016-9/26/2016)</t>
  </si>
  <si>
    <t>\ISOPERIBOLIC_DATA\2016-09-24-CRIO-v169_CORE_26b\IPB1_Core_26b-_H2-250-400C__9-24-16_day-01.csv : 02.csv</t>
  </si>
  <si>
    <t>HP(NQ)</t>
  </si>
  <si>
    <t>LENR=deltaHP-coreQPulse+deltaQ</t>
  </si>
  <si>
    <t>COP=(deltaHP+deltaQ)/coreQPulse</t>
  </si>
  <si>
    <t>\SRI-IPB2\2016-09-30_SRI_v171-core27b\SRI-IPB2_H2-250-400C_10-05-16_day-07.csv:08.csv</t>
  </si>
  <si>
    <t>QPow-coreQPow-PCB-Term</t>
  </si>
  <si>
    <t>coreQPow+Term+PCB</t>
  </si>
  <si>
    <t>QPow-coreQPow-PCB-Term/(PCB+Term)</t>
  </si>
  <si>
    <t>CoreQPow+PCB+Term</t>
  </si>
  <si>
    <t>IPB1_Temp_sequence_100-150ns_50W_250C-400C_H2</t>
  </si>
  <si>
    <t>H2 10/11/2016 : 10/12/2016</t>
  </si>
  <si>
    <t>Seq</t>
  </si>
  <si>
    <t>\ISOPERIBOLIC_DATA\2016-09-30-CRIO-v171_CORE_29b\IPB1_CoreQ_DC_cal_10-12-16day-01.csv:03.csv</t>
  </si>
  <si>
    <t>seq</t>
  </si>
  <si>
    <t>\IPB CAL SEQ\IPB1_Temp_sequence_300-100-300ns_50W_150C-400C_Helium.csv</t>
  </si>
  <si>
    <t>\ISOPERIBOLIC_DATA\2016-08-20-CORE_26b</t>
  </si>
  <si>
    <t>log</t>
  </si>
  <si>
    <t>\SRI-IPB2\2016-09-30_SRI_v171-core27b\SRI-IPB2_H2-250-400C_10-05-16_day-11.csv:13.csv</t>
  </si>
  <si>
    <t>data</t>
  </si>
  <si>
    <t>\IPB CAL SEQ\IPBx_Temp_sequence_DC_Qkcal_for_New_Core_150C-400C_He_revC.csv</t>
  </si>
  <si>
    <t>\ISOPERIBOLIC2_DATA/2016-08-20-CORE_28_DC_Heater\IPB2_Core_28b-DC_Qk_CAL_H2_200C-600C_day-01.csv : 02.csv</t>
  </si>
  <si>
    <t>\IPB CAL SEQ\IPB2_Temp_sequence_DC_Qkcal_for_New_Core_200C-600C_H2.csv</t>
  </si>
  <si>
    <t>\IPB CAL SEQ\IPBx_Temp_sequence_DC_Qkcal_for_New_Core_150C-400C_H2_revA.csv</t>
  </si>
  <si>
    <t>He (10/19/2016)</t>
  </si>
  <si>
    <t>\ISOPERIBOLIC_DATA\2016-09-30-CRIO-v171_CORE_29b\PB1_Core_29b-Helium-150C-400C_10-18-16_Run2_day-01.csv: 02.csv</t>
  </si>
  <si>
    <t>PCB1-PCB2</t>
  </si>
  <si>
    <t>Term1-Term2</t>
  </si>
  <si>
    <t>HP1-HP2</t>
  </si>
  <si>
    <t>CoreQPow1-CoreQPow2</t>
  </si>
  <si>
    <t>\IPB CAL SEQ\IPBx_Temp_sequence_DC_Qkcal_for_New_Core_150C-500C_H2_revA.csv</t>
  </si>
  <si>
    <t>28b-h2</t>
  </si>
  <si>
    <t>29b-he</t>
  </si>
  <si>
    <t>29b-h2</t>
  </si>
  <si>
    <t>\ISOPERIBOLIC_DATA\2016-10-24-CRIO-v173_CORE_29b_H2\PB1_Core_29b_DC_Qkcal_150C-500C_H2_day-01.csv:03.csv</t>
  </si>
  <si>
    <t>IPB2-28b</t>
  </si>
  <si>
    <t>H2</t>
  </si>
  <si>
    <t>He</t>
  </si>
  <si>
    <t>Date</t>
  </si>
  <si>
    <t>Core</t>
  </si>
  <si>
    <t>H2/He</t>
  </si>
  <si>
    <t>deltaHP/coreQPow</t>
  </si>
  <si>
    <t>LENR=deltaHP-coreQpow+deltaQ</t>
  </si>
  <si>
    <t>Hpdrop/DCPow</t>
  </si>
  <si>
    <t>deltaHP/DC</t>
  </si>
  <si>
    <t>H2(10/29/2016-10/31/2016)</t>
  </si>
  <si>
    <t>\ISOPERIBOLIC_DATA\2016-10-27-CRIO-v174_CORE_29b_H2\PB1_Core_29b_H2_150C-400C_QP50W_300VDC-Run2_10-28-16_day-01.csv</t>
  </si>
  <si>
    <t>\IPB CAL SEQ\IPB1_Temp_sequence_150-100-150ns_30W_250V_150C-400C_H2.csv</t>
  </si>
  <si>
    <t>H2(10/27/2016-10/28/2016)</t>
  </si>
  <si>
    <t>\ISOPERIBOLIC_DATA\2016-10-27-CRIO-v174_CORE_29b_H2\PB1_Core_29b_H2_150C-400C_QP50W_300VDC-day-01.csv</t>
  </si>
  <si>
    <t>HP drop/coreQPow</t>
  </si>
  <si>
    <t>HP drop</t>
  </si>
  <si>
    <t>\SRI-IPB2\2016-09-30_SRI_v171-core27b\SRI-IPB2_H2-250-400C_10-05-16_day-23.csv:24.csv</t>
  </si>
  <si>
    <t>H2 10/27/2016 : 10/28/2016</t>
  </si>
  <si>
    <t>H2 10/28/2016 : 11/2/2016</t>
  </si>
  <si>
    <t>\IPB CAL SEQ\IPB2_Temp_sequence83-300-83ns_30W_250V_250C-350C_H2.csv</t>
  </si>
  <si>
    <t>H2 10/04/2016 : 10/05/2016</t>
  </si>
  <si>
    <t>He-300</t>
  </si>
  <si>
    <t>He-150</t>
  </si>
  <si>
    <t>He-100</t>
  </si>
  <si>
    <t>H2-150</t>
  </si>
  <si>
    <t>H2-100</t>
  </si>
  <si>
    <t>H2 11/07/2016 : 11/08/2016</t>
  </si>
  <si>
    <t>\IPB CAL SEQ\IPBx_Constant_CoreQPow_test_300-100ns_3_8W_250-350C_H2.csv</t>
  </si>
  <si>
    <t>\SRI-IPB2\2016-09-30_SRI_v171-core27b\SRI-IPB2_H2-250-400C_10-05-16_day-34.csv</t>
  </si>
  <si>
    <t>NoQ</t>
  </si>
  <si>
    <t>He (11/07/2016-11/08/2016)</t>
  </si>
  <si>
    <t>\IPB CAL SEQ\IPBx_Temp_sequence_150-100-150ns_50W_300C-400C_Helium.csv</t>
  </si>
  <si>
    <t>\ISOPERIBOLIC_DATA\2016-11-01-CRIO-v174_CORE_30b_He\IPB1_Temp_sequence_150-100-150ns_50W_150C-400C_Helium_Run3_10-07-16_day-01.csv:-02.csv</t>
  </si>
  <si>
    <t>He (11/01/2016-11/02/2016)</t>
  </si>
  <si>
    <t>\ISOPERIBOLIC_DATA\2016-11-01-CRIO-v174_CORE_30b_He\IPB1_Temp_sequence_150-100-150ns_50W_150C-400C_Helium_day-01.csv:-2.csv</t>
  </si>
  <si>
    <t>R</t>
  </si>
  <si>
    <t>IPB1-29b</t>
  </si>
  <si>
    <t>IPB1-30b</t>
  </si>
  <si>
    <t>SRI-IPB2-27b</t>
  </si>
  <si>
    <t>HPdrop/DCpower</t>
  </si>
  <si>
    <t>Hpdrop(Q)-Hpdrop(DC)/coreQPow</t>
  </si>
  <si>
    <t>CoreQPower</t>
  </si>
  <si>
    <t>qPow</t>
  </si>
  <si>
    <t>qPCB</t>
  </si>
  <si>
    <t>qTerm</t>
  </si>
  <si>
    <t>CJP</t>
  </si>
  <si>
    <t>roomT</t>
  </si>
  <si>
    <t>jLPM</t>
  </si>
  <si>
    <t>jInT</t>
  </si>
  <si>
    <t>jOutT</t>
  </si>
  <si>
    <t>PCBLPM</t>
  </si>
  <si>
    <t>PCBInT</t>
  </si>
  <si>
    <t>PCBOutT</t>
  </si>
  <si>
    <t>termLPM</t>
  </si>
  <si>
    <t>termInT</t>
  </si>
  <si>
    <t>termOutT</t>
  </si>
  <si>
    <t>coreQPowCV</t>
  </si>
  <si>
    <t>qPowCV</t>
  </si>
  <si>
    <t>qPCBCV</t>
  </si>
  <si>
    <t>qTermCV</t>
  </si>
  <si>
    <t>cjpCV</t>
  </si>
  <si>
    <t>qSupply</t>
  </si>
  <si>
    <t>date</t>
  </si>
  <si>
    <t>8.20148972096469e-322</t>
  </si>
  <si>
    <t>\ISOPERIBOLIC_DATA\2016-11-01-CRIO-v174_CORE_30b_He\IPB1_Core_30b-DC_Qkcal_He-150C-500C_11-08-16_day-01.csv:03.csv</t>
  </si>
  <si>
    <t>IPB3-32b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</si>
</sst>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0"/>
    <numFmt numFmtId="166" formatCode="0.000"/>
  </numFmts>
  <fonts count="21" x14ac:knownFonts="1">
    <font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Garamond"/>
      <family val="1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B0F0"/>
      <name val="Calibri"/>
      <family val="2"/>
    </font>
    <font>
      <sz val="11"/>
      <color rgb="FFC00000"/>
      <name val="Calibri"/>
      <family val="2"/>
    </font>
    <font>
      <b/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name val="Calibri"/>
      <family val="2"/>
    </font>
    <font>
      <sz val="11"/>
      <color rgb="FFFF0000"/>
      <name val="Calibri"/>
      <family val="2"/>
    </font>
    <font>
      <b/>
      <sz val="11"/>
      <color rgb="FF00B0F0"/>
      <name val="Calibri"/>
      <family val="2"/>
      <scheme val="minor"/>
    </font>
    <font>
      <b/>
      <sz val="11"/>
      <color rgb="FF00B0F0"/>
      <name val="Calibri"/>
      <family val="2"/>
    </font>
    <font>
      <b/>
      <i/>
      <sz val="11"/>
      <name val="Calibri"/>
      <family val="2"/>
    </font>
    <font>
      <b/>
      <i/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</fills>
  <borders count="16">
    <border>
      <left/>
      <right/>
      <top/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0" fontId="11" fillId="0" borderId="0"/>
  </cellStyleXfs>
  <cellXfs count="205">
    <xf numFmtId="0" fontId="0" fillId="0" borderId="0" xfId="0"/>
    <xf numFmtId="0" fontId="0" fillId="0" borderId="0" xfId="0" applyFont="1" applyFill="1"/>
    <xf numFmtId="0" fontId="1" fillId="0" borderId="0" xfId="0" applyFont="1" applyFill="1"/>
    <xf numFmtId="2" fontId="0" fillId="0" borderId="0" xfId="0" applyNumberFormat="1" applyFont="1" applyFill="1"/>
    <xf numFmtId="2" fontId="0" fillId="0" borderId="0" xfId="0" applyNumberFormat="1"/>
    <xf numFmtId="0" fontId="0" fillId="0" borderId="0" xfId="0" applyFont="1" applyFill="1" applyAlignment="1"/>
    <xf numFmtId="0" fontId="4" fillId="0" borderId="0" xfId="0" applyFont="1"/>
    <xf numFmtId="2" fontId="0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0" fontId="5" fillId="0" borderId="0" xfId="0" applyFont="1" applyFill="1" applyAlignment="1">
      <alignment wrapText="1"/>
    </xf>
    <xf numFmtId="2" fontId="0" fillId="0" borderId="0" xfId="0" applyNumberFormat="1" applyFill="1" applyAlignment="1">
      <alignment horizontal="center"/>
    </xf>
    <xf numFmtId="0" fontId="2" fillId="0" borderId="1" xfId="0" applyFont="1" applyFill="1" applyBorder="1" applyAlignment="1">
      <alignment wrapText="1"/>
    </xf>
    <xf numFmtId="2" fontId="0" fillId="0" borderId="1" xfId="0" applyNumberFormat="1" applyFont="1" applyFill="1" applyBorder="1" applyAlignment="1"/>
    <xf numFmtId="0" fontId="0" fillId="0" borderId="1" xfId="0" applyFont="1" applyFill="1" applyBorder="1" applyAlignment="1"/>
    <xf numFmtId="164" fontId="0" fillId="0" borderId="1" xfId="0" applyNumberFormat="1" applyFont="1" applyFill="1" applyBorder="1" applyAlignment="1"/>
    <xf numFmtId="0" fontId="0" fillId="0" borderId="1" xfId="0" applyFont="1" applyFill="1" applyBorder="1"/>
    <xf numFmtId="0" fontId="1" fillId="0" borderId="1" xfId="0" applyFont="1" applyFill="1" applyBorder="1"/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2" fontId="2" fillId="0" borderId="0" xfId="0" applyNumberFormat="1" applyFont="1" applyFill="1"/>
    <xf numFmtId="2" fontId="0" fillId="0" borderId="0" xfId="0" applyNumberFormat="1" applyFill="1"/>
    <xf numFmtId="0" fontId="0" fillId="0" borderId="0" xfId="0" applyFont="1" applyFill="1" applyAlignment="1">
      <alignment horizontal="center"/>
    </xf>
    <xf numFmtId="1" fontId="7" fillId="0" borderId="0" xfId="1" applyNumberFormat="1" applyFont="1" applyFill="1"/>
    <xf numFmtId="2" fontId="6" fillId="0" borderId="0" xfId="1" applyNumberFormat="1"/>
    <xf numFmtId="0" fontId="6" fillId="0" borderId="0" xfId="1"/>
    <xf numFmtId="1" fontId="6" fillId="0" borderId="0" xfId="1" applyNumberFormat="1"/>
    <xf numFmtId="0" fontId="6" fillId="0" borderId="0" xfId="1" applyFont="1"/>
    <xf numFmtId="2" fontId="6" fillId="0" borderId="0" xfId="1" applyNumberFormat="1" applyFill="1"/>
    <xf numFmtId="2" fontId="6" fillId="0" borderId="0" xfId="1" applyNumberFormat="1" applyAlignment="1">
      <alignment horizontal="center"/>
    </xf>
    <xf numFmtId="0" fontId="0" fillId="0" borderId="0" xfId="0" applyFill="1" applyBorder="1"/>
    <xf numFmtId="0" fontId="0" fillId="0" borderId="2" xfId="0" applyFont="1" applyFill="1" applyBorder="1"/>
    <xf numFmtId="2" fontId="0" fillId="0" borderId="0" xfId="0" applyNumberFormat="1" applyFont="1" applyFill="1" applyBorder="1"/>
    <xf numFmtId="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2" fontId="0" fillId="0" borderId="2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wrapText="1"/>
    </xf>
    <xf numFmtId="0" fontId="3" fillId="0" borderId="0" xfId="0" applyFont="1" applyFill="1" applyAlignment="1"/>
    <xf numFmtId="0" fontId="3" fillId="0" borderId="2" xfId="0" applyFont="1" applyFill="1" applyBorder="1" applyAlignment="1"/>
    <xf numFmtId="0" fontId="0" fillId="0" borderId="0" xfId="0" applyFill="1"/>
    <xf numFmtId="0" fontId="0" fillId="0" borderId="1" xfId="0" applyFill="1" applyBorder="1"/>
    <xf numFmtId="1" fontId="0" fillId="0" borderId="0" xfId="0" applyNumberFormat="1"/>
    <xf numFmtId="0" fontId="6" fillId="0" borderId="0" xfId="1" applyFont="1" applyFill="1"/>
    <xf numFmtId="165" fontId="8" fillId="0" borderId="0" xfId="1" applyNumberFormat="1" applyFont="1" applyFill="1"/>
    <xf numFmtId="0" fontId="0" fillId="0" borderId="0" xfId="0" applyAlignment="1">
      <alignment horizontal="right"/>
    </xf>
    <xf numFmtId="0" fontId="0" fillId="0" borderId="0" xfId="0" applyFont="1" applyFill="1" applyAlignment="1">
      <alignment horizontal="left"/>
    </xf>
    <xf numFmtId="1" fontId="0" fillId="0" borderId="0" xfId="0" applyNumberFormat="1" applyFont="1" applyFill="1"/>
    <xf numFmtId="1" fontId="10" fillId="0" borderId="0" xfId="0" applyNumberFormat="1" applyFont="1" applyFill="1"/>
    <xf numFmtId="2" fontId="10" fillId="0" borderId="0" xfId="0" applyNumberFormat="1" applyFont="1" applyFill="1"/>
    <xf numFmtId="1" fontId="0" fillId="0" borderId="1" xfId="0" applyNumberFormat="1" applyFont="1" applyFill="1" applyBorder="1"/>
    <xf numFmtId="2" fontId="0" fillId="2" borderId="1" xfId="0" applyNumberFormat="1" applyFont="1" applyFill="1" applyBorder="1" applyAlignment="1"/>
    <xf numFmtId="2" fontId="6" fillId="4" borderId="0" xfId="1" applyNumberFormat="1" applyFont="1" applyFill="1"/>
    <xf numFmtId="2" fontId="6" fillId="5" borderId="0" xfId="1" applyNumberFormat="1" applyFont="1" applyFill="1"/>
    <xf numFmtId="2" fontId="5" fillId="4" borderId="0" xfId="0" applyNumberFormat="1" applyFont="1" applyFill="1" applyBorder="1" applyAlignment="1"/>
    <xf numFmtId="0" fontId="5" fillId="4" borderId="0" xfId="0" applyFont="1" applyFill="1" applyBorder="1" applyAlignment="1">
      <alignment wrapText="1"/>
    </xf>
    <xf numFmtId="0" fontId="5" fillId="4" borderId="2" xfId="0" applyFont="1" applyFill="1" applyBorder="1" applyAlignment="1">
      <alignment wrapText="1"/>
    </xf>
    <xf numFmtId="0" fontId="0" fillId="4" borderId="0" xfId="0" applyFont="1" applyFill="1" applyBorder="1"/>
    <xf numFmtId="2" fontId="0" fillId="4" borderId="0" xfId="0" applyNumberFormat="1" applyFont="1" applyFill="1" applyBorder="1"/>
    <xf numFmtId="2" fontId="0" fillId="4" borderId="2" xfId="0" applyNumberFormat="1" applyFont="1" applyFill="1" applyBorder="1"/>
    <xf numFmtId="0" fontId="0" fillId="4" borderId="2" xfId="0" applyFont="1" applyFill="1" applyBorder="1"/>
    <xf numFmtId="2" fontId="5" fillId="6" borderId="0" xfId="0" applyNumberFormat="1" applyFont="1" applyFill="1" applyBorder="1" applyAlignment="1"/>
    <xf numFmtId="0" fontId="5" fillId="6" borderId="0" xfId="0" applyFont="1" applyFill="1" applyBorder="1" applyAlignment="1">
      <alignment wrapText="1"/>
    </xf>
    <xf numFmtId="0" fontId="5" fillId="6" borderId="2" xfId="0" applyFont="1" applyFill="1" applyBorder="1" applyAlignment="1">
      <alignment wrapText="1"/>
    </xf>
    <xf numFmtId="0" fontId="0" fillId="6" borderId="0" xfId="0" applyFont="1" applyFill="1" applyBorder="1"/>
    <xf numFmtId="0" fontId="0" fillId="6" borderId="2" xfId="0" applyFont="1" applyFill="1" applyBorder="1"/>
    <xf numFmtId="2" fontId="0" fillId="6" borderId="0" xfId="0" applyNumberFormat="1" applyFont="1" applyFill="1" applyBorder="1"/>
    <xf numFmtId="2" fontId="0" fillId="6" borderId="2" xfId="0" applyNumberFormat="1" applyFont="1" applyFill="1" applyBorder="1"/>
    <xf numFmtId="0" fontId="0" fillId="0" borderId="0" xfId="0" applyFont="1" applyFill="1" applyAlignment="1">
      <alignment horizontal="center"/>
    </xf>
    <xf numFmtId="0" fontId="3" fillId="0" borderId="0" xfId="0" applyFont="1"/>
    <xf numFmtId="2" fontId="0" fillId="2" borderId="0" xfId="0" applyNumberFormat="1" applyFill="1"/>
    <xf numFmtId="0" fontId="0" fillId="2" borderId="0" xfId="0" applyFill="1"/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2" fontId="0" fillId="7" borderId="0" xfId="0" applyNumberFormat="1" applyFill="1"/>
    <xf numFmtId="2" fontId="0" fillId="8" borderId="0" xfId="0" applyNumberFormat="1" applyFill="1"/>
    <xf numFmtId="2" fontId="0" fillId="8" borderId="0" xfId="0" applyNumberFormat="1" applyFont="1" applyFill="1"/>
    <xf numFmtId="0" fontId="0" fillId="0" borderId="1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1" xfId="0" applyBorder="1" applyAlignment="1">
      <alignment horizontal="center"/>
    </xf>
    <xf numFmtId="2" fontId="1" fillId="0" borderId="0" xfId="0" applyNumberFormat="1" applyFont="1"/>
    <xf numFmtId="2" fontId="0" fillId="0" borderId="0" xfId="0" applyNumberFormat="1" applyFont="1"/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8" borderId="0" xfId="0" applyNumberFormat="1" applyFill="1" applyAlignment="1">
      <alignment horizontal="center"/>
    </xf>
    <xf numFmtId="0" fontId="0" fillId="0" borderId="1" xfId="0" applyBorder="1"/>
    <xf numFmtId="2" fontId="0" fillId="7" borderId="0" xfId="0" applyNumberFormat="1" applyFont="1" applyFill="1" applyBorder="1" applyAlignment="1">
      <alignment horizontal="center"/>
    </xf>
    <xf numFmtId="2" fontId="0" fillId="2" borderId="0" xfId="0" applyNumberFormat="1" applyFont="1" applyFill="1"/>
    <xf numFmtId="0" fontId="1" fillId="0" borderId="1" xfId="0" applyFont="1" applyFill="1" applyBorder="1" applyAlignment="1">
      <alignment horizontal="center"/>
    </xf>
    <xf numFmtId="1" fontId="6" fillId="0" borderId="0" xfId="1" applyNumberFormat="1" applyAlignment="1">
      <alignment wrapText="1"/>
    </xf>
    <xf numFmtId="2" fontId="6" fillId="0" borderId="0" xfId="1" applyNumberFormat="1" applyAlignment="1">
      <alignment wrapText="1"/>
    </xf>
    <xf numFmtId="2" fontId="6" fillId="0" borderId="0" xfId="1" applyNumberFormat="1" applyFont="1" applyAlignment="1">
      <alignment wrapText="1"/>
    </xf>
    <xf numFmtId="0" fontId="6" fillId="0" borderId="0" xfId="1" applyFont="1" applyAlignment="1">
      <alignment wrapText="1"/>
    </xf>
    <xf numFmtId="2" fontId="6" fillId="3" borderId="0" xfId="1" applyNumberFormat="1" applyFill="1"/>
    <xf numFmtId="2" fontId="8" fillId="0" borderId="0" xfId="1" applyNumberFormat="1" applyFont="1" applyFill="1"/>
    <xf numFmtId="2" fontId="8" fillId="3" borderId="0" xfId="1" applyNumberFormat="1" applyFont="1" applyFill="1"/>
    <xf numFmtId="1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0" fontId="0" fillId="0" borderId="0" xfId="0" applyAlignment="1">
      <alignment wrapText="1"/>
    </xf>
    <xf numFmtId="2" fontId="6" fillId="0" borderId="0" xfId="1" applyNumberFormat="1" applyFont="1" applyFill="1" applyAlignment="1">
      <alignment wrapText="1"/>
    </xf>
    <xf numFmtId="2" fontId="0" fillId="7" borderId="0" xfId="0" applyNumberFormat="1" applyFont="1" applyFill="1"/>
    <xf numFmtId="2" fontId="2" fillId="8" borderId="0" xfId="0" applyNumberFormat="1" applyFont="1" applyFill="1"/>
    <xf numFmtId="0" fontId="0" fillId="0" borderId="0" xfId="0" applyFont="1" applyFill="1" applyAlignment="1">
      <alignment horizontal="center"/>
    </xf>
    <xf numFmtId="2" fontId="2" fillId="7" borderId="0" xfId="0" applyNumberFormat="1" applyFont="1" applyFill="1"/>
    <xf numFmtId="0" fontId="0" fillId="9" borderId="0" xfId="0" applyFont="1" applyFill="1"/>
    <xf numFmtId="2" fontId="0" fillId="9" borderId="0" xfId="0" applyNumberFormat="1" applyFont="1" applyFill="1"/>
    <xf numFmtId="165" fontId="6" fillId="0" borderId="0" xfId="1" applyNumberFormat="1"/>
    <xf numFmtId="2" fontId="12" fillId="0" borderId="0" xfId="1" applyNumberFormat="1" applyFont="1" applyFill="1"/>
    <xf numFmtId="2" fontId="12" fillId="3" borderId="0" xfId="1" applyNumberFormat="1" applyFont="1" applyFill="1"/>
    <xf numFmtId="0" fontId="0" fillId="0" borderId="0" xfId="0" applyFont="1" applyFill="1" applyAlignment="1">
      <alignment horizontal="center"/>
    </xf>
    <xf numFmtId="2" fontId="5" fillId="10" borderId="0" xfId="0" applyNumberFormat="1" applyFont="1" applyFill="1" applyBorder="1" applyAlignment="1"/>
    <xf numFmtId="0" fontId="5" fillId="10" borderId="0" xfId="0" applyFont="1" applyFill="1" applyBorder="1" applyAlignment="1">
      <alignment wrapText="1"/>
    </xf>
    <xf numFmtId="0" fontId="5" fillId="10" borderId="2" xfId="0" applyFont="1" applyFill="1" applyBorder="1" applyAlignment="1">
      <alignment wrapText="1"/>
    </xf>
    <xf numFmtId="0" fontId="0" fillId="10" borderId="0" xfId="0" applyFont="1" applyFill="1" applyBorder="1"/>
    <xf numFmtId="0" fontId="0" fillId="10" borderId="2" xfId="0" applyFont="1" applyFill="1" applyBorder="1"/>
    <xf numFmtId="2" fontId="0" fillId="10" borderId="0" xfId="0" applyNumberFormat="1" applyFont="1" applyFill="1" applyBorder="1"/>
    <xf numFmtId="2" fontId="0" fillId="10" borderId="2" xfId="0" applyNumberFormat="1" applyFont="1" applyFill="1" applyBorder="1"/>
    <xf numFmtId="2" fontId="6" fillId="10" borderId="0" xfId="1" applyNumberFormat="1" applyFont="1" applyFill="1"/>
    <xf numFmtId="0" fontId="0" fillId="0" borderId="0" xfId="0" applyFill="1" applyAlignment="1">
      <alignment horizontal="right"/>
    </xf>
    <xf numFmtId="165" fontId="0" fillId="0" borderId="0" xfId="0" applyNumberFormat="1" applyFill="1"/>
    <xf numFmtId="2" fontId="2" fillId="0" borderId="0" xfId="0" applyNumberFormat="1" applyFont="1"/>
    <xf numFmtId="2" fontId="13" fillId="0" borderId="0" xfId="1" applyNumberFormat="1" applyFont="1"/>
    <xf numFmtId="0" fontId="14" fillId="0" borderId="1" xfId="0" applyFont="1" applyFill="1" applyBorder="1"/>
    <xf numFmtId="0" fontId="14" fillId="0" borderId="0" xfId="0" applyFont="1" applyFill="1"/>
    <xf numFmtId="1" fontId="15" fillId="0" borderId="0" xfId="1" applyNumberFormat="1" applyFont="1" applyFill="1"/>
    <xf numFmtId="2" fontId="13" fillId="4" borderId="0" xfId="1" applyNumberFormat="1" applyFont="1" applyFill="1"/>
    <xf numFmtId="0" fontId="0" fillId="0" borderId="0" xfId="0" applyFont="1" applyFill="1" applyAlignment="1">
      <alignment horizontal="center"/>
    </xf>
    <xf numFmtId="2" fontId="12" fillId="4" borderId="0" xfId="1" applyNumberFormat="1" applyFont="1" applyFill="1"/>
    <xf numFmtId="0" fontId="5" fillId="0" borderId="0" xfId="0" applyFont="1" applyFill="1" applyBorder="1" applyAlignment="1">
      <alignment wrapText="1"/>
    </xf>
    <xf numFmtId="0" fontId="5" fillId="0" borderId="2" xfId="0" applyFont="1" applyFill="1" applyBorder="1" applyAlignment="1">
      <alignment wrapText="1"/>
    </xf>
    <xf numFmtId="0" fontId="5" fillId="0" borderId="1" xfId="0" applyFont="1" applyFill="1" applyBorder="1" applyAlignment="1">
      <alignment horizontal="center"/>
    </xf>
    <xf numFmtId="2" fontId="6" fillId="11" borderId="0" xfId="1" applyNumberFormat="1" applyFont="1" applyFill="1"/>
    <xf numFmtId="2" fontId="6" fillId="0" borderId="0" xfId="1" applyNumberFormat="1" applyFont="1" applyFill="1"/>
    <xf numFmtId="2" fontId="13" fillId="7" borderId="0" xfId="1" applyNumberFormat="1" applyFont="1" applyFill="1"/>
    <xf numFmtId="2" fontId="6" fillId="7" borderId="0" xfId="1" applyNumberFormat="1" applyFill="1"/>
    <xf numFmtId="0" fontId="6" fillId="0" borderId="3" xfId="1" applyBorder="1" applyAlignment="1">
      <alignment horizontal="center"/>
    </xf>
    <xf numFmtId="0" fontId="6" fillId="0" borderId="3" xfId="1" applyFill="1" applyBorder="1" applyAlignment="1">
      <alignment horizontal="center"/>
    </xf>
    <xf numFmtId="2" fontId="13" fillId="0" borderId="3" xfId="1" applyNumberFormat="1" applyFont="1" applyFill="1" applyBorder="1" applyAlignment="1">
      <alignment horizontal="center"/>
    </xf>
    <xf numFmtId="2" fontId="17" fillId="0" borderId="3" xfId="1" applyNumberFormat="1" applyFont="1" applyFill="1" applyBorder="1" applyAlignment="1">
      <alignment horizontal="center"/>
    </xf>
    <xf numFmtId="2" fontId="16" fillId="0" borderId="3" xfId="1" applyNumberFormat="1" applyFont="1" applyFill="1" applyBorder="1" applyAlignment="1">
      <alignment horizontal="center"/>
    </xf>
    <xf numFmtId="0" fontId="6" fillId="0" borderId="4" xfId="1" applyBorder="1" applyAlignment="1">
      <alignment horizontal="center"/>
    </xf>
    <xf numFmtId="14" fontId="6" fillId="0" borderId="5" xfId="1" applyNumberFormat="1" applyBorder="1" applyAlignment="1">
      <alignment horizontal="center"/>
    </xf>
    <xf numFmtId="14" fontId="6" fillId="0" borderId="6" xfId="1" applyNumberFormat="1" applyBorder="1" applyAlignment="1">
      <alignment horizontal="center"/>
    </xf>
    <xf numFmtId="0" fontId="6" fillId="0" borderId="7" xfId="1" applyBorder="1" applyAlignment="1">
      <alignment horizontal="center"/>
    </xf>
    <xf numFmtId="0" fontId="6" fillId="0" borderId="8" xfId="1" applyBorder="1" applyAlignment="1">
      <alignment horizontal="center"/>
    </xf>
    <xf numFmtId="0" fontId="6" fillId="0" borderId="7" xfId="1" applyFont="1" applyBorder="1" applyAlignment="1">
      <alignment horizontal="center"/>
    </xf>
    <xf numFmtId="0" fontId="6" fillId="0" borderId="8" xfId="1" applyFill="1" applyBorder="1" applyAlignment="1">
      <alignment horizontal="center"/>
    </xf>
    <xf numFmtId="1" fontId="6" fillId="0" borderId="7" xfId="1" applyNumberFormat="1" applyFill="1" applyBorder="1" applyAlignment="1">
      <alignment horizontal="center"/>
    </xf>
    <xf numFmtId="2" fontId="17" fillId="0" borderId="8" xfId="1" applyNumberFormat="1" applyFont="1" applyFill="1" applyBorder="1" applyAlignment="1">
      <alignment horizontal="center"/>
    </xf>
    <xf numFmtId="2" fontId="13" fillId="0" borderId="8" xfId="1" applyNumberFormat="1" applyFont="1" applyFill="1" applyBorder="1" applyAlignment="1">
      <alignment horizontal="center"/>
    </xf>
    <xf numFmtId="1" fontId="6" fillId="0" borderId="9" xfId="1" applyNumberFormat="1" applyFill="1" applyBorder="1" applyAlignment="1">
      <alignment horizontal="center"/>
    </xf>
    <xf numFmtId="2" fontId="16" fillId="0" borderId="10" xfId="1" applyNumberFormat="1" applyFont="1" applyFill="1" applyBorder="1" applyAlignment="1">
      <alignment horizontal="center"/>
    </xf>
    <xf numFmtId="2" fontId="13" fillId="0" borderId="10" xfId="1" applyNumberFormat="1" applyFont="1" applyFill="1" applyBorder="1" applyAlignment="1">
      <alignment horizontal="center"/>
    </xf>
    <xf numFmtId="2" fontId="13" fillId="0" borderId="11" xfId="1" applyNumberFormat="1" applyFont="1" applyFill="1" applyBorder="1" applyAlignment="1">
      <alignment horizontal="center"/>
    </xf>
    <xf numFmtId="0" fontId="2" fillId="7" borderId="0" xfId="0" applyFont="1" applyFill="1"/>
    <xf numFmtId="0" fontId="0" fillId="0" borderId="0" xfId="0" applyFont="1" applyFill="1" applyAlignment="1">
      <alignment horizontal="center"/>
    </xf>
    <xf numFmtId="0" fontId="5" fillId="0" borderId="0" xfId="0" applyFont="1" applyFill="1" applyBorder="1" applyAlignment="1">
      <alignment horizontal="center" wrapText="1"/>
    </xf>
    <xf numFmtId="2" fontId="2" fillId="0" borderId="0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2" fontId="5" fillId="11" borderId="0" xfId="0" applyNumberFormat="1" applyFont="1" applyFill="1" applyBorder="1" applyAlignment="1"/>
    <xf numFmtId="0" fontId="5" fillId="11" borderId="0" xfId="0" applyFont="1" applyFill="1" applyBorder="1" applyAlignment="1">
      <alignment wrapText="1"/>
    </xf>
    <xf numFmtId="0" fontId="5" fillId="11" borderId="2" xfId="0" applyFont="1" applyFill="1" applyBorder="1" applyAlignment="1">
      <alignment wrapText="1"/>
    </xf>
    <xf numFmtId="0" fontId="0" fillId="11" borderId="0" xfId="0" applyFont="1" applyFill="1" applyBorder="1"/>
    <xf numFmtId="0" fontId="0" fillId="11" borderId="2" xfId="0" applyFont="1" applyFill="1" applyBorder="1"/>
    <xf numFmtId="2" fontId="0" fillId="11" borderId="0" xfId="0" applyNumberFormat="1" applyFont="1" applyFill="1" applyBorder="1"/>
    <xf numFmtId="0" fontId="0" fillId="0" borderId="1" xfId="0" applyFill="1" applyBorder="1" applyAlignment="1"/>
    <xf numFmtId="2" fontId="5" fillId="0" borderId="0" xfId="0" applyNumberFormat="1" applyFont="1" applyFill="1"/>
    <xf numFmtId="0" fontId="5" fillId="0" borderId="0" xfId="0" applyFont="1" applyFill="1" applyAlignment="1">
      <alignment horizontal="center"/>
    </xf>
    <xf numFmtId="0" fontId="5" fillId="0" borderId="0" xfId="0" applyFont="1" applyFill="1"/>
    <xf numFmtId="2" fontId="5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horizontal="left"/>
    </xf>
    <xf numFmtId="2" fontId="0" fillId="0" borderId="0" xfId="0" applyNumberForma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19" fillId="0" borderId="0" xfId="0" applyFont="1" applyFill="1"/>
    <xf numFmtId="166" fontId="19" fillId="0" borderId="0" xfId="0" applyNumberFormat="1" applyFont="1" applyFill="1"/>
    <xf numFmtId="2" fontId="0" fillId="12" borderId="0" xfId="0" applyNumberFormat="1" applyFill="1"/>
    <xf numFmtId="0" fontId="0" fillId="0" borderId="0" xfId="0" applyFont="1" applyFill="1" applyAlignment="1">
      <alignment horizontal="center"/>
    </xf>
    <xf numFmtId="2" fontId="5" fillId="13" borderId="0" xfId="0" applyNumberFormat="1" applyFont="1" applyFill="1" applyBorder="1" applyAlignment="1"/>
    <xf numFmtId="0" fontId="5" fillId="13" borderId="0" xfId="0" applyFont="1" applyFill="1" applyBorder="1" applyAlignment="1">
      <alignment wrapText="1"/>
    </xf>
    <xf numFmtId="0" fontId="5" fillId="13" borderId="2" xfId="0" applyFont="1" applyFill="1" applyBorder="1" applyAlignment="1">
      <alignment wrapText="1"/>
    </xf>
    <xf numFmtId="0" fontId="0" fillId="13" borderId="0" xfId="0" applyFont="1" applyFill="1" applyBorder="1"/>
    <xf numFmtId="0" fontId="0" fillId="13" borderId="2" xfId="0" applyFont="1" applyFill="1" applyBorder="1"/>
    <xf numFmtId="2" fontId="0" fillId="13" borderId="0" xfId="0" applyNumberFormat="1" applyFont="1" applyFill="1" applyBorder="1"/>
    <xf numFmtId="2" fontId="0" fillId="13" borderId="2" xfId="0" applyNumberFormat="1" applyFont="1" applyFill="1" applyBorder="1"/>
    <xf numFmtId="0" fontId="0" fillId="0" borderId="0" xfId="0" applyFont="1" applyFill="1" applyBorder="1" applyAlignment="1">
      <alignment horizontal="left"/>
    </xf>
    <xf numFmtId="2" fontId="5" fillId="0" borderId="0" xfId="0" applyNumberFormat="1" applyFont="1" applyFill="1" applyBorder="1" applyAlignment="1"/>
    <xf numFmtId="22" fontId="0" fillId="0" borderId="0" xfId="0" applyNumberFormat="1"/>
    <xf numFmtId="11" fontId="0" fillId="0" borderId="0" xfId="0" applyNumberFormat="1"/>
    <xf numFmtId="0" fontId="18" fillId="0" borderId="12" xfId="1" applyFont="1" applyFill="1" applyBorder="1" applyAlignment="1"/>
    <xf numFmtId="0" fontId="18" fillId="0" borderId="13" xfId="1" applyFont="1" applyFill="1" applyBorder="1" applyAlignment="1"/>
    <xf numFmtId="0" fontId="18" fillId="0" borderId="14" xfId="1" applyFont="1" applyFill="1" applyBorder="1" applyAlignment="1"/>
    <xf numFmtId="14" fontId="6" fillId="0" borderId="15" xfId="1" applyNumberFormat="1" applyBorder="1" applyAlignment="1">
      <alignment horizontal="center"/>
    </xf>
    <xf numFmtId="0" fontId="6" fillId="0" borderId="12" xfId="1" applyBorder="1" applyAlignment="1">
      <alignment horizontal="center"/>
    </xf>
    <xf numFmtId="0" fontId="6" fillId="0" borderId="12" xfId="1" applyFill="1" applyBorder="1" applyAlignment="1">
      <alignment horizontal="center"/>
    </xf>
    <xf numFmtId="2" fontId="17" fillId="0" borderId="12" xfId="1" applyNumberFormat="1" applyFont="1" applyFill="1" applyBorder="1" applyAlignment="1">
      <alignment horizontal="center"/>
    </xf>
    <xf numFmtId="2" fontId="20" fillId="0" borderId="12" xfId="1" applyNumberFormat="1" applyFont="1" applyFill="1" applyBorder="1" applyAlignment="1">
      <alignment horizontal="center"/>
    </xf>
    <xf numFmtId="2" fontId="16" fillId="0" borderId="8" xfId="1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1" xfId="0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0" fontId="9" fillId="0" borderId="2" xfId="0" applyFont="1" applyFill="1" applyBorder="1" applyAlignment="1">
      <alignment horizontal="center" wrapText="1"/>
    </xf>
    <xf numFmtId="0" fontId="3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</cellXfs>
  <cellStyles count="3">
    <cellStyle name="Normal" xfId="0" builtinId="0"/>
    <cellStyle name="Normal 2" xfId="1"/>
    <cellStyle name="Normal 3" xfId="2"/>
  </cellStyles>
  <dxfs count="9"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ill>
        <patternFill>
          <bgColor rgb="FFFFFF00"/>
        </patternFill>
      </fill>
    </dxf>
    <dxf>
      <fill>
        <patternFill>
          <bgColor theme="6" tint="0.5999633777886288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37985964580009"/>
          <c:y val="5.8983588589887795E-2"/>
          <c:w val="0.81731240824685647"/>
          <c:h val="0.86756713103169791"/>
        </c:manualLayout>
      </c:layout>
      <c:scatterChart>
        <c:scatterStyle val="smoothMarker"/>
        <c:varyColors val="0"/>
        <c:ser>
          <c:idx val="2"/>
          <c:order val="0"/>
          <c:tx>
            <c:v>H2-150(ns)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'IPB1-29b'!$G$31:$G$36</c:f>
              <c:numCache>
                <c:formatCode>0.00</c:formatCode>
                <c:ptCount val="6"/>
                <c:pt idx="0">
                  <c:v>0.99952919594396805</c:v>
                </c:pt>
                <c:pt idx="1">
                  <c:v>1.0115247078852023</c:v>
                </c:pt>
                <c:pt idx="2">
                  <c:v>1.0828558434002165</c:v>
                </c:pt>
                <c:pt idx="3">
                  <c:v>1.1240206764164218</c:v>
                </c:pt>
                <c:pt idx="4">
                  <c:v>1.0907098828755897</c:v>
                </c:pt>
                <c:pt idx="5">
                  <c:v>1.0379220782288294</c:v>
                </c:pt>
              </c:numCache>
            </c:numRef>
          </c:yVal>
          <c:smooth val="1"/>
        </c:ser>
        <c:ser>
          <c:idx val="3"/>
          <c:order val="1"/>
          <c:tx>
            <c:v>H2-100(ns)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'IPB1-29b'!$H$31:$H$36</c:f>
              <c:numCache>
                <c:formatCode>0.00</c:formatCode>
                <c:ptCount val="6"/>
                <c:pt idx="0">
                  <c:v>1.0177638279312535</c:v>
                </c:pt>
                <c:pt idx="1">
                  <c:v>1.0288429581738252</c:v>
                </c:pt>
                <c:pt idx="2">
                  <c:v>1.1039103116836073</c:v>
                </c:pt>
                <c:pt idx="3">
                  <c:v>1.1115646144519458</c:v>
                </c:pt>
                <c:pt idx="4">
                  <c:v>1.1124790233479054</c:v>
                </c:pt>
                <c:pt idx="5">
                  <c:v>1.0697133979582463</c:v>
                </c:pt>
              </c:numCache>
            </c:numRef>
          </c:yVal>
          <c:smooth val="1"/>
        </c:ser>
        <c:ser>
          <c:idx val="0"/>
          <c:order val="2"/>
          <c:tx>
            <c:v>He-100(ns)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'IPB1-29b'!$F$61:$F$66</c:f>
              <c:numCache>
                <c:formatCode>0.00</c:formatCode>
                <c:ptCount val="6"/>
                <c:pt idx="0">
                  <c:v>1.2999767081273164</c:v>
                </c:pt>
                <c:pt idx="1">
                  <c:v>1.3642923644954486</c:v>
                </c:pt>
                <c:pt idx="2">
                  <c:v>1.4594492693663985</c:v>
                </c:pt>
                <c:pt idx="3">
                  <c:v>1.555525307298635</c:v>
                </c:pt>
                <c:pt idx="4">
                  <c:v>1.448611516543711</c:v>
                </c:pt>
                <c:pt idx="5">
                  <c:v>1.4398408644108431</c:v>
                </c:pt>
              </c:numCache>
            </c:numRef>
          </c:yVal>
          <c:smooth val="1"/>
        </c:ser>
        <c:ser>
          <c:idx val="1"/>
          <c:order val="3"/>
          <c:tx>
            <c:v>He-150(ns)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'IPB1-29b'!$G$61:$G$66</c:f>
              <c:numCache>
                <c:formatCode>0.00</c:formatCode>
                <c:ptCount val="6"/>
                <c:pt idx="0">
                  <c:v>1.2272368876105537</c:v>
                </c:pt>
                <c:pt idx="1">
                  <c:v>1.2990007563148149</c:v>
                </c:pt>
                <c:pt idx="2">
                  <c:v>1.3152420588176004</c:v>
                </c:pt>
                <c:pt idx="3">
                  <c:v>1.4679407899217081</c:v>
                </c:pt>
                <c:pt idx="4">
                  <c:v>1.3660627163535897</c:v>
                </c:pt>
                <c:pt idx="5">
                  <c:v>1.3092941373370552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540864"/>
        <c:axId val="343541440"/>
      </c:scatterChart>
      <c:valAx>
        <c:axId val="343540864"/>
        <c:scaling>
          <c:orientation val="minMax"/>
          <c:max val="400"/>
          <c:min val="150"/>
        </c:scaling>
        <c:delete val="0"/>
        <c:axPos val="b"/>
        <c:majorGridlines/>
        <c:numFmt formatCode="0" sourceLinked="0"/>
        <c:majorTickMark val="out"/>
        <c:minorTickMark val="none"/>
        <c:tickLblPos val="nextTo"/>
        <c:crossAx val="343541440"/>
        <c:crosses val="autoZero"/>
        <c:crossBetween val="midCat"/>
      </c:valAx>
      <c:valAx>
        <c:axId val="343541440"/>
        <c:scaling>
          <c:orientation val="minMax"/>
          <c:max val="1.7000000000000002"/>
          <c:min val="0.9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3435408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4051295627788929"/>
          <c:y val="7.1737066718852022E-2"/>
          <c:w val="0.19876200562685192"/>
          <c:h val="0.2700839136758875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'IPB1-29b'!$J$23</c:f>
              <c:strCache>
                <c:ptCount val="1"/>
                <c:pt idx="0">
                  <c:v>150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'IPB1-29b'!$L$31:$N$31</c:f>
              <c:numCache>
                <c:formatCode>0.00</c:formatCode>
                <c:ptCount val="3"/>
                <c:pt idx="0">
                  <c:v>2.452941152542369</c:v>
                </c:pt>
                <c:pt idx="1">
                  <c:v>2.6010580847457589</c:v>
                </c:pt>
                <c:pt idx="2">
                  <c:v>2.548473491525419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'IPB1-29b'!$J$24</c:f>
              <c:strCache>
                <c:ptCount val="1"/>
                <c:pt idx="0">
                  <c:v>200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'IPB1-29b'!$L$32:$N$32</c:f>
              <c:numCache>
                <c:formatCode>0.00</c:formatCode>
                <c:ptCount val="3"/>
                <c:pt idx="0">
                  <c:v>2.9156563898305006</c:v>
                </c:pt>
                <c:pt idx="1">
                  <c:v>3.0790164406780001</c:v>
                </c:pt>
                <c:pt idx="2">
                  <c:v>2.9900789830508998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'IPB1-29b'!$J$25</c:f>
              <c:strCache>
                <c:ptCount val="1"/>
                <c:pt idx="0">
                  <c:v>250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'IPB1-29b'!$L$33:$N$33</c:f>
              <c:numCache>
                <c:formatCode>0.00</c:formatCode>
                <c:ptCount val="3"/>
                <c:pt idx="0">
                  <c:v>3.4293049830508</c:v>
                </c:pt>
                <c:pt idx="1">
                  <c:v>3.6997901525422989</c:v>
                </c:pt>
                <c:pt idx="2">
                  <c:v>3.8051238305083999</c:v>
                </c:pt>
              </c:numCache>
            </c:numRef>
          </c:yVal>
          <c:smooth val="1"/>
        </c:ser>
        <c:ser>
          <c:idx val="0"/>
          <c:order val="3"/>
          <c:tx>
            <c:strRef>
              <c:f>'IPB1-29b'!$J$26</c:f>
              <c:strCache>
                <c:ptCount val="1"/>
                <c:pt idx="0">
                  <c:v>300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'IPB1-29b'!$L$34:$N$34</c:f>
              <c:numCache>
                <c:formatCode>0.00</c:formatCode>
                <c:ptCount val="3"/>
                <c:pt idx="0">
                  <c:v>4.1459311016948988</c:v>
                </c:pt>
                <c:pt idx="1">
                  <c:v>4.5750358305084013</c:v>
                </c:pt>
                <c:pt idx="2">
                  <c:v>4.6137804915254002</c:v>
                </c:pt>
              </c:numCache>
            </c:numRef>
          </c:yVal>
          <c:smooth val="1"/>
        </c:ser>
        <c:ser>
          <c:idx val="1"/>
          <c:order val="4"/>
          <c:tx>
            <c:strRef>
              <c:f>'IPB1-29b'!$J$27</c:f>
              <c:strCache>
                <c:ptCount val="1"/>
                <c:pt idx="0">
                  <c:v>350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'IPB1-29b'!$L$35:$N$35</c:f>
              <c:numCache>
                <c:formatCode>0.00</c:formatCode>
                <c:ptCount val="3"/>
                <c:pt idx="0">
                  <c:v>4.5117970508474983</c:v>
                </c:pt>
                <c:pt idx="1">
                  <c:v>3.8998886779660999</c:v>
                </c:pt>
                <c:pt idx="2">
                  <c:v>4.3473324406779987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'IPB1-29b'!$J$28</c:f>
              <c:strCache>
                <c:ptCount val="1"/>
                <c:pt idx="0">
                  <c:v>400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'IPB1-29b'!$L$36:$N$36</c:f>
              <c:numCache>
                <c:formatCode>0.00</c:formatCode>
                <c:ptCount val="3"/>
                <c:pt idx="0">
                  <c:v>4.545547389830503</c:v>
                </c:pt>
                <c:pt idx="1">
                  <c:v>4.4784145084746001</c:v>
                </c:pt>
                <c:pt idx="2">
                  <c:v>4.2700251186440994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543744"/>
        <c:axId val="343544320"/>
      </c:scatterChart>
      <c:valAx>
        <c:axId val="343543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43544320"/>
        <c:crosses val="autoZero"/>
        <c:crossBetween val="midCat"/>
      </c:valAx>
      <c:valAx>
        <c:axId val="34354432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43543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373423747899021"/>
          <c:y val="0.10119378618342563"/>
          <c:w val="0.79404356789786135"/>
          <c:h val="0.79092709105141756"/>
        </c:manualLayout>
      </c:layout>
      <c:scatterChart>
        <c:scatterStyle val="smoothMarker"/>
        <c:varyColors val="0"/>
        <c:ser>
          <c:idx val="2"/>
          <c:order val="0"/>
          <c:tx>
            <c:v>IPB1-29b-he</c:v>
          </c:tx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AllDC!$D$5:$D$17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ser>
          <c:idx val="3"/>
          <c:order val="1"/>
          <c:tx>
            <c:v>IPB1-29b-he</c:v>
          </c:tx>
          <c:marker>
            <c:symbol val="diamond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AllDC!$C$5:$C$17</c:f>
              <c:numCache>
                <c:formatCode>0.00</c:formatCode>
                <c:ptCount val="13"/>
                <c:pt idx="0">
                  <c:v>0.48992593852420191</c:v>
                </c:pt>
                <c:pt idx="1">
                  <c:v>0.52865169696076963</c:v>
                </c:pt>
                <c:pt idx="2">
                  <c:v>0.55191786485706484</c:v>
                </c:pt>
                <c:pt idx="3">
                  <c:v>0.56484073480777552</c:v>
                </c:pt>
                <c:pt idx="4">
                  <c:v>0.57415512558633053</c:v>
                </c:pt>
                <c:pt idx="5">
                  <c:v>0.58187140223237799</c:v>
                </c:pt>
                <c:pt idx="6">
                  <c:v>0.58771038937867526</c:v>
                </c:pt>
                <c:pt idx="7">
                  <c:v>0.59176514548096992</c:v>
                </c:pt>
                <c:pt idx="8">
                  <c:v>0.59423695498947127</c:v>
                </c:pt>
                <c:pt idx="9">
                  <c:v>0.59322402752383829</c:v>
                </c:pt>
                <c:pt idx="10">
                  <c:v>0.58527546033240418</c:v>
                </c:pt>
                <c:pt idx="11">
                  <c:v>0.57018996896495955</c:v>
                </c:pt>
                <c:pt idx="12">
                  <c:v>0.54796755342150438</c:v>
                </c:pt>
              </c:numCache>
            </c:numRef>
          </c:yVal>
          <c:smooth val="1"/>
        </c:ser>
        <c:ser>
          <c:idx val="1"/>
          <c:order val="2"/>
          <c:tx>
            <c:v>IPB1-30b-he</c:v>
          </c:tx>
          <c:marker>
            <c:symbol val="square"/>
            <c:size val="5"/>
          </c:marker>
          <c:dPt>
            <c:idx val="0"/>
            <c:marker>
              <c:spPr>
                <a:solidFill>
                  <a:srgbClr val="C00000"/>
                </a:solidFill>
              </c:spPr>
            </c:marker>
            <c:bubble3D val="0"/>
          </c:dPt>
          <c:dPt>
            <c:idx val="2"/>
            <c:marker>
              <c:spPr>
                <a:solidFill>
                  <a:srgbClr val="C00000"/>
                </a:solidFill>
              </c:spPr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pPr>
                <a:ln>
                  <a:solidFill>
                    <a:srgbClr val="C00000"/>
                  </a:solidFill>
                </a:ln>
              </c:spPr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AllDC!$E$5:$E$17</c:f>
              <c:numCache>
                <c:formatCode>0.00</c:formatCode>
                <c:ptCount val="13"/>
                <c:pt idx="0">
                  <c:v>0.49603321159819147</c:v>
                </c:pt>
                <c:pt idx="1">
                  <c:v>0.52500813892426879</c:v>
                </c:pt>
                <c:pt idx="2">
                  <c:v>0.54521967225945245</c:v>
                </c:pt>
                <c:pt idx="3">
                  <c:v>0.56417706451324845</c:v>
                </c:pt>
                <c:pt idx="4">
                  <c:v>0.57474390866147029</c:v>
                </c:pt>
                <c:pt idx="5">
                  <c:v>0.59253737774070503</c:v>
                </c:pt>
                <c:pt idx="6">
                  <c:v>0.61103188648136431</c:v>
                </c:pt>
                <c:pt idx="7">
                  <c:v>0.6124098568445987</c:v>
                </c:pt>
                <c:pt idx="8">
                  <c:v>0.6136565355469259</c:v>
                </c:pt>
                <c:pt idx="9">
                  <c:v>0.61320536208964327</c:v>
                </c:pt>
                <c:pt idx="10">
                  <c:v>0.5831561999991336</c:v>
                </c:pt>
                <c:pt idx="11">
                  <c:v>0.52345412442339667</c:v>
                </c:pt>
                <c:pt idx="12">
                  <c:v>0.42655902234688048</c:v>
                </c:pt>
              </c:numCache>
            </c:numRef>
          </c:yVal>
          <c:smooth val="1"/>
        </c:ser>
        <c:ser>
          <c:idx val="6"/>
          <c:order val="3"/>
          <c:tx>
            <c:v>IPB3-31b-he</c:v>
          </c:tx>
          <c:marker>
            <c:symbol val="square"/>
            <c:size val="5"/>
          </c:marker>
          <c:xVal>
            <c:numRef>
              <c:f>AllDC!$B$5:$B$9</c:f>
              <c:numCache>
                <c:formatCode>0</c:formatCode>
                <c:ptCount val="5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</c:numCache>
            </c:numRef>
          </c:xVal>
          <c:yVal>
            <c:numRef>
              <c:f>AllDC!$F$5:$F$9</c:f>
              <c:numCache>
                <c:formatCode>0.00</c:formatCode>
                <c:ptCount val="5"/>
                <c:pt idx="0">
                  <c:v>0.54159884375284739</c:v>
                </c:pt>
                <c:pt idx="1">
                  <c:v>0.57843864475324569</c:v>
                </c:pt>
                <c:pt idx="2">
                  <c:v>0.60588725841490987</c:v>
                </c:pt>
                <c:pt idx="3">
                  <c:v>0.62124323164804962</c:v>
                </c:pt>
                <c:pt idx="4">
                  <c:v>0.63184206490466932</c:v>
                </c:pt>
              </c:numCache>
            </c:numRef>
          </c:yVal>
          <c:smooth val="1"/>
        </c:ser>
        <c:ser>
          <c:idx val="4"/>
          <c:order val="4"/>
          <c:tx>
            <c:v>IPB2-28B-h2</c:v>
          </c:tx>
          <c:marker>
            <c:symbol val="square"/>
            <c:size val="5"/>
          </c:marker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AllDC!$G$5:$G$17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0"/>
          <c:order val="5"/>
          <c:tx>
            <c:v>SRI-IPB2-27b-h2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AllDC!$H$5:$H$17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5"/>
          <c:order val="6"/>
          <c:tx>
            <c:v>IPB1-29b-h2</c:v>
          </c:tx>
          <c:marker>
            <c:symbol val="square"/>
            <c:size val="5"/>
            <c:spPr>
              <a:solidFill>
                <a:schemeClr val="accent6">
                  <a:lumMod val="75000"/>
                </a:schemeClr>
              </a:solidFill>
            </c:spPr>
          </c:marker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AllDC!$I$5:$I$17</c:f>
              <c:numCache>
                <c:formatCode>0.00</c:formatCode>
                <c:ptCount val="13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0.51404700802891057</c:v>
                </c:pt>
                <c:pt idx="4">
                  <c:v>0.5284040682623824</c:v>
                </c:pt>
                <c:pt idx="5">
                  <c:v>0.54825198238411754</c:v>
                </c:pt>
                <c:pt idx="6">
                  <c:v>0.57015222925348907</c:v>
                </c:pt>
                <c:pt idx="7">
                  <c:v>0.57627492745650033</c:v>
                </c:pt>
                <c:pt idx="8">
                  <c:v>0.57986436537355046</c:v>
                </c:pt>
                <c:pt idx="9">
                  <c:v>0.59366027001237243</c:v>
                </c:pt>
                <c:pt idx="10">
                  <c:v>0.57211056752480094</c:v>
                </c:pt>
                <c:pt idx="11">
                  <c:v>0.5228455234141075</c:v>
                </c:pt>
                <c:pt idx="12">
                  <c:v>0.43491256711935955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546624"/>
        <c:axId val="343547200"/>
      </c:scatterChart>
      <c:valAx>
        <c:axId val="343546624"/>
        <c:scaling>
          <c:orientation val="minMax"/>
          <c:max val="400"/>
          <c:min val="15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 C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343547200"/>
        <c:crosses val="autoZero"/>
        <c:crossBetween val="midCat"/>
        <c:majorUnit val="50"/>
      </c:valAx>
      <c:valAx>
        <c:axId val="343547200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HP-drop/Q-supply-power</a:t>
                </a:r>
              </a:p>
            </c:rich>
          </c:tx>
          <c:layout>
            <c:manualLayout>
              <c:xMode val="edge"/>
              <c:yMode val="edge"/>
              <c:x val="3.5428931005075465E-2"/>
              <c:y val="5.3147303955426627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43546624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63803224123798408"/>
          <c:y val="0.53440346272505412"/>
          <c:w val="0.27894880647805453"/>
          <c:h val="0.36699711579114813"/>
        </c:manualLayout>
      </c:layout>
      <c:overlay val="0"/>
      <c:spPr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ipb1-30b-he-DC-temp-control.csv</a:t>
            </a:r>
            <a:endParaRPr lang="en-US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3693755873108451"/>
          <c:y val="0.10906225876177243"/>
          <c:w val="0.79836838396537924"/>
          <c:h val="0.68421510730276358"/>
        </c:manualLayout>
      </c:layout>
      <c:scatterChart>
        <c:scatterStyle val="smoothMarker"/>
        <c:varyColors val="0"/>
        <c:ser>
          <c:idx val="0"/>
          <c:order val="0"/>
          <c:marker>
            <c:symbol val="square"/>
            <c:size val="5"/>
            <c:spPr>
              <a:solidFill>
                <a:schemeClr val="accent1"/>
              </a:solidFill>
            </c:spPr>
          </c:marker>
          <c:trendline>
            <c:trendlineType val="poly"/>
            <c:order val="3"/>
            <c:dispRSqr val="0"/>
            <c:dispEq val="0"/>
          </c:trendline>
          <c:trendline>
            <c:trendlineType val="poly"/>
            <c:order val="3"/>
            <c:dispRSqr val="0"/>
            <c:dispEq val="1"/>
            <c:trendlineLbl>
              <c:layout>
                <c:manualLayout>
                  <c:x val="-7.4005378957259976E-2"/>
                  <c:y val="-0.18672358726243557"/>
                </c:manualLayout>
              </c:layout>
              <c:numFmt formatCode="General" sourceLinked="0"/>
            </c:trendlineLbl>
          </c:trendline>
          <c:xVal>
            <c:numRef>
              <c:f>'DC-he-ipb1-30b'!$I$4:$I$11</c:f>
              <c:numCache>
                <c:formatCode>0.00</c:formatCode>
                <c:ptCount val="8"/>
                <c:pt idx="0">
                  <c:v>1.4999967062069002</c:v>
                </c:pt>
                <c:pt idx="1">
                  <c:v>1.9999993103448301</c:v>
                </c:pt>
                <c:pt idx="2">
                  <c:v>2.4999957375862101</c:v>
                </c:pt>
                <c:pt idx="3">
                  <c:v>2.9999927072413799</c:v>
                </c:pt>
                <c:pt idx="4">
                  <c:v>3.5000014103448303</c:v>
                </c:pt>
                <c:pt idx="5">
                  <c:v>4.0000112179310294</c:v>
                </c:pt>
                <c:pt idx="6">
                  <c:v>4.5000033144827594</c:v>
                </c:pt>
                <c:pt idx="7">
                  <c:v>4.9999866244827595</c:v>
                </c:pt>
              </c:numCache>
            </c:numRef>
          </c:xVal>
          <c:yVal>
            <c:numRef>
              <c:f>'DC-he-ipb1-30b'!$J$4:$J$11</c:f>
              <c:numCache>
                <c:formatCode>0.00</c:formatCode>
                <c:ptCount val="8"/>
                <c:pt idx="0">
                  <c:v>0.49603321159819147</c:v>
                </c:pt>
                <c:pt idx="1">
                  <c:v>0.52500813892426879</c:v>
                </c:pt>
                <c:pt idx="2">
                  <c:v>0.54521967225945245</c:v>
                </c:pt>
                <c:pt idx="3">
                  <c:v>0.57474390866147029</c:v>
                </c:pt>
                <c:pt idx="4">
                  <c:v>0.61103188648136431</c:v>
                </c:pt>
                <c:pt idx="5">
                  <c:v>0.6136565355469259</c:v>
                </c:pt>
                <c:pt idx="6">
                  <c:v>0.61320536208964327</c:v>
                </c:pt>
                <c:pt idx="7">
                  <c:v>0.5831561999991336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303296"/>
        <c:axId val="344303872"/>
      </c:scatterChart>
      <c:valAx>
        <c:axId val="344303296"/>
        <c:scaling>
          <c:orientation val="minMax"/>
          <c:max val="5"/>
          <c:min val="1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Temperature/100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344303872"/>
        <c:crosses val="autoZero"/>
        <c:crossBetween val="midCat"/>
      </c:valAx>
      <c:valAx>
        <c:axId val="344303872"/>
        <c:scaling>
          <c:orientation val="minMax"/>
          <c:max val="0.70000000000000007"/>
          <c:min val="0.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heater power drop/Q supply power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443032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'DC-he-ipb1-29b-10032016'!$I$4:$I$8</c:f>
              <c:numCache>
                <c:formatCode>0.00</c:formatCode>
                <c:ptCount val="5"/>
                <c:pt idx="0">
                  <c:v>1.49999526517241</c:v>
                </c:pt>
                <c:pt idx="1">
                  <c:v>2.0000178472413799</c:v>
                </c:pt>
                <c:pt idx="2">
                  <c:v>2.5000045455172399</c:v>
                </c:pt>
                <c:pt idx="3">
                  <c:v>3.0000187313793099</c:v>
                </c:pt>
                <c:pt idx="4">
                  <c:v>4.0000066934482801</c:v>
                </c:pt>
              </c:numCache>
            </c:numRef>
          </c:xVal>
          <c:yVal>
            <c:numRef>
              <c:f>'DC-he-ipb1-29b-10032016'!$J$4:$J$8</c:f>
              <c:numCache>
                <c:formatCode>0.00</c:formatCode>
                <c:ptCount val="5"/>
                <c:pt idx="0">
                  <c:v>0.48992593852420191</c:v>
                </c:pt>
                <c:pt idx="1">
                  <c:v>0.52865169696076963</c:v>
                </c:pt>
                <c:pt idx="2">
                  <c:v>0.55191786485706484</c:v>
                </c:pt>
                <c:pt idx="3">
                  <c:v>0.57415512558633053</c:v>
                </c:pt>
                <c:pt idx="4">
                  <c:v>0.59423695498947127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306176"/>
        <c:axId val="344306752"/>
      </c:scatterChart>
      <c:valAx>
        <c:axId val="344306176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44306752"/>
        <c:crosses val="autoZero"/>
        <c:crossBetween val="midCat"/>
      </c:valAx>
      <c:valAx>
        <c:axId val="344306752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443061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'DC-he-ipb1-29b-10122016'!$I$4:$I$12</c:f>
              <c:numCache>
                <c:formatCode>0.00</c:formatCode>
                <c:ptCount val="9"/>
                <c:pt idx="0">
                  <c:v>1.49999768363636</c:v>
                </c:pt>
                <c:pt idx="1">
                  <c:v>2.0000159254545498</c:v>
                </c:pt>
                <c:pt idx="2">
                  <c:v>2.5000171318181801</c:v>
                </c:pt>
                <c:pt idx="3">
                  <c:v>3.0000117054545501</c:v>
                </c:pt>
                <c:pt idx="4">
                  <c:v>3.4999930645454498</c:v>
                </c:pt>
                <c:pt idx="5">
                  <c:v>4.0000153418181803</c:v>
                </c:pt>
                <c:pt idx="6">
                  <c:v>4.5000108481818195</c:v>
                </c:pt>
                <c:pt idx="7">
                  <c:v>4.5000108481818195</c:v>
                </c:pt>
                <c:pt idx="8">
                  <c:v>4.9999965036363605</c:v>
                </c:pt>
              </c:numCache>
            </c:numRef>
          </c:xVal>
          <c:yVal>
            <c:numRef>
              <c:f>'DC-he-ipb1-29b-10122016'!$J$4:$J$12</c:f>
              <c:numCache>
                <c:formatCode>0.00</c:formatCode>
                <c:ptCount val="9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0.55575524747672289</c:v>
                </c:pt>
                <c:pt idx="4">
                  <c:v>0.57418539473575259</c:v>
                </c:pt>
                <c:pt idx="5">
                  <c:v>0.59043911356022083</c:v>
                </c:pt>
                <c:pt idx="6">
                  <c:v>0.58536410306123443</c:v>
                </c:pt>
                <c:pt idx="7">
                  <c:v>0.58536410306123443</c:v>
                </c:pt>
                <c:pt idx="8">
                  <c:v>0.59434790825157446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308480"/>
        <c:axId val="344309056"/>
      </c:scatterChart>
      <c:valAx>
        <c:axId val="344308480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44309056"/>
        <c:crosses val="autoZero"/>
        <c:crossBetween val="midCat"/>
      </c:valAx>
      <c:valAx>
        <c:axId val="344309056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443084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3"/>
            <c:dispRSqr val="1"/>
            <c:dispEq val="1"/>
            <c:trendlineLbl>
              <c:layout>
                <c:manualLayout>
                  <c:x val="4.9487735194926358E-2"/>
                  <c:y val="0.35386901938462512"/>
                </c:manualLayout>
              </c:layout>
              <c:numFmt formatCode="General" sourceLinked="0"/>
            </c:trendlineLbl>
          </c:trendline>
          <c:xVal>
            <c:numRef>
              <c:f>'DC-h2-ipb1-29b'!$I$4:$I$11</c:f>
              <c:numCache>
                <c:formatCode>0.00</c:formatCode>
                <c:ptCount val="8"/>
                <c:pt idx="0">
                  <c:v>1.5000087655172398</c:v>
                </c:pt>
                <c:pt idx="1">
                  <c:v>1.9999914662069</c:v>
                </c:pt>
                <c:pt idx="2">
                  <c:v>2.5000090820689702</c:v>
                </c:pt>
                <c:pt idx="3">
                  <c:v>3.0000115337930997</c:v>
                </c:pt>
                <c:pt idx="4">
                  <c:v>3.5000115434482804</c:v>
                </c:pt>
                <c:pt idx="5">
                  <c:v>3.9999901710344803</c:v>
                </c:pt>
                <c:pt idx="6">
                  <c:v>4.4999918344827599</c:v>
                </c:pt>
                <c:pt idx="7">
                  <c:v>4.9999990117241397</c:v>
                </c:pt>
              </c:numCache>
            </c:numRef>
          </c:xVal>
          <c:yVal>
            <c:numRef>
              <c:f>'DC-h2-ipb1-29b'!$J$4:$J$11</c:f>
              <c:numCache>
                <c:formatCode>0.00</c:formatCode>
                <c:ptCount val="8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0.5284040682623824</c:v>
                </c:pt>
                <c:pt idx="4">
                  <c:v>0.57015222925348907</c:v>
                </c:pt>
                <c:pt idx="5">
                  <c:v>0.57986436537355046</c:v>
                </c:pt>
                <c:pt idx="6">
                  <c:v>0.59366027001237243</c:v>
                </c:pt>
                <c:pt idx="7">
                  <c:v>0.57211056752480094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016576"/>
        <c:axId val="345017152"/>
      </c:scatterChart>
      <c:valAx>
        <c:axId val="345016576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45017152"/>
        <c:crosses val="autoZero"/>
        <c:crossBetween val="midCat"/>
      </c:valAx>
      <c:valAx>
        <c:axId val="345017152"/>
        <c:scaling>
          <c:orientation val="minMax"/>
          <c:max val="0.60000000000000009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4501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4.5440604646641389E-2"/>
                  <c:y val="0.41756048675733715"/>
                </c:manualLayout>
              </c:layout>
              <c:numFmt formatCode="General" sourceLinked="0"/>
            </c:trendlineLbl>
          </c:trendline>
          <c:trendline>
            <c:trendlineType val="poly"/>
            <c:order val="2"/>
            <c:dispRSqr val="0"/>
            <c:dispEq val="0"/>
          </c:trendline>
          <c:xVal>
            <c:numRef>
              <c:f>'DC-h2-ipb2-28b'!$I$4:$I$7</c:f>
              <c:numCache>
                <c:formatCode>0.00</c:formatCode>
                <c:ptCount val="4"/>
                <c:pt idx="0">
                  <c:v>2.0001387277966098</c:v>
                </c:pt>
                <c:pt idx="1">
                  <c:v>3.0000137072881397</c:v>
                </c:pt>
                <c:pt idx="2">
                  <c:v>3.9999907369491501</c:v>
                </c:pt>
                <c:pt idx="3">
                  <c:v>5.9999637927118599</c:v>
                </c:pt>
              </c:numCache>
            </c:numRef>
          </c:xVal>
          <c:yVal>
            <c:numRef>
              <c:f>'DC-h2-ipb2-28b'!$J$4:$J$7</c:f>
              <c:numCache>
                <c:formatCode>0.00</c:formatCode>
                <c:ptCount val="4"/>
                <c:pt idx="0">
                  <c:v>0.45225118158322425</c:v>
                </c:pt>
                <c:pt idx="1">
                  <c:v>0.50072551601274784</c:v>
                </c:pt>
                <c:pt idx="2">
                  <c:v>0.5497211533591817</c:v>
                </c:pt>
                <c:pt idx="3">
                  <c:v>0.55793113930373617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019456"/>
        <c:axId val="345020032"/>
      </c:scatterChart>
      <c:valAx>
        <c:axId val="345019456"/>
        <c:scaling>
          <c:orientation val="minMax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45020032"/>
        <c:crosses val="autoZero"/>
        <c:crossBetween val="midCat"/>
      </c:valAx>
      <c:valAx>
        <c:axId val="345020032"/>
        <c:scaling>
          <c:orientation val="minMax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4444444444444444E-3"/>
              <c:y val="5.115283666464767E-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45019456"/>
        <c:crosses val="autoZero"/>
        <c:crossBetween val="midCat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467231656936498E-2"/>
          <c:y val="7.5675501130182066E-2"/>
          <c:w val="0.84031068714386736"/>
          <c:h val="0.81644534969406424"/>
        </c:manualLayout>
      </c:layout>
      <c:scatterChart>
        <c:scatterStyle val="smoothMarker"/>
        <c:varyColors val="0"/>
        <c:ser>
          <c:idx val="0"/>
          <c:order val="0"/>
          <c:tx>
            <c:v>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'DC-h2-sri-ipb2-27b'!$O$4:$O$16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1"/>
          <c:order val="1"/>
          <c:tx>
            <c:v>28b-h2</c:v>
          </c:tx>
          <c:marker>
            <c:symbol val="square"/>
            <c:size val="5"/>
          </c:marker>
          <c:dPt>
            <c:idx val="0"/>
            <c:marker>
              <c:symbol val="none"/>
            </c:marker>
            <c:bubble3D val="0"/>
          </c:dPt>
          <c:dPt>
            <c:idx val="2"/>
            <c:marker>
              <c:symbol val="none"/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'DC-h2-sri-ipb2-27b'!$Q$4:$Q$16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2"/>
          <c:order val="2"/>
          <c:tx>
            <c:v>29b-he</c:v>
          </c:tx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'DC-h2-sri-ipb2-27b'!$S$4:$S$16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ser>
          <c:idx val="3"/>
          <c:order val="3"/>
          <c:tx>
            <c:v>29b-h2</c:v>
          </c:tx>
          <c:marker>
            <c:symbol val="diamond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'DC-h2-sri-ipb2-27b'!$T$4:$T$16</c:f>
              <c:numCache>
                <c:formatCode>0.00</c:formatCode>
                <c:ptCount val="13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0.51404700802891057</c:v>
                </c:pt>
                <c:pt idx="4">
                  <c:v>0.5284040682623824</c:v>
                </c:pt>
                <c:pt idx="5">
                  <c:v>0.54825198238411754</c:v>
                </c:pt>
                <c:pt idx="6">
                  <c:v>0.57015222925348907</c:v>
                </c:pt>
                <c:pt idx="7">
                  <c:v>0.57627492745650033</c:v>
                </c:pt>
                <c:pt idx="8">
                  <c:v>0.57986436537355046</c:v>
                </c:pt>
                <c:pt idx="9">
                  <c:v>0.59366027001237243</c:v>
                </c:pt>
                <c:pt idx="10">
                  <c:v>0.57211056752480094</c:v>
                </c:pt>
                <c:pt idx="11">
                  <c:v>0.5228455234141075</c:v>
                </c:pt>
                <c:pt idx="12">
                  <c:v>0.43491256711935955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948160"/>
        <c:axId val="345948736"/>
      </c:scatterChart>
      <c:valAx>
        <c:axId val="345948160"/>
        <c:scaling>
          <c:orientation val="minMax"/>
          <c:max val="5"/>
          <c:min val="1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Temperature/100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345948736"/>
        <c:crosses val="autoZero"/>
        <c:crossBetween val="midCat"/>
        <c:majorUnit val="0.5"/>
      </c:valAx>
      <c:valAx>
        <c:axId val="345948736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 sz="1200"/>
                </a:pPr>
                <a:r>
                  <a:rPr lang="en-US" sz="1200"/>
                  <a:t>M</a:t>
                </a:r>
              </a:p>
            </c:rich>
          </c:tx>
          <c:layout>
            <c:manualLayout>
              <c:xMode val="edge"/>
              <c:yMode val="edge"/>
              <c:x val="1.6501542394848648E-2"/>
              <c:y val="1.91228462372802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45948160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13119741097323506"/>
          <c:y val="0.12611003813202595"/>
          <c:w val="0.1651849801769546"/>
          <c:h val="0.2149493694991595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67235</xdr:colOff>
      <xdr:row>35</xdr:row>
      <xdr:rowOff>73959</xdr:rowOff>
    </xdr:from>
    <xdr:to>
      <xdr:col>46</xdr:col>
      <xdr:colOff>302559</xdr:colOff>
      <xdr:row>57</xdr:row>
      <xdr:rowOff>134471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324971</xdr:colOff>
      <xdr:row>14</xdr:row>
      <xdr:rowOff>29135</xdr:rowOff>
    </xdr:from>
    <xdr:to>
      <xdr:col>49</xdr:col>
      <xdr:colOff>168088</xdr:colOff>
      <xdr:row>32</xdr:row>
      <xdr:rowOff>112059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19</xdr:row>
      <xdr:rowOff>66675</xdr:rowOff>
    </xdr:from>
    <xdr:to>
      <xdr:col>8</xdr:col>
      <xdr:colOff>247649</xdr:colOff>
      <xdr:row>50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21</xdr:row>
      <xdr:rowOff>85725</xdr:rowOff>
    </xdr:from>
    <xdr:to>
      <xdr:col>19</xdr:col>
      <xdr:colOff>600074</xdr:colOff>
      <xdr:row>48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28575</xdr:colOff>
      <xdr:row>0</xdr:row>
      <xdr:rowOff>0</xdr:rowOff>
    </xdr:from>
    <xdr:to>
      <xdr:col>50</xdr:col>
      <xdr:colOff>304800</xdr:colOff>
      <xdr:row>52</xdr:row>
      <xdr:rowOff>28575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4100" y="0"/>
          <a:ext cx="18278475" cy="1030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333375</xdr:colOff>
      <xdr:row>2</xdr:row>
      <xdr:rowOff>38100</xdr:rowOff>
    </xdr:from>
    <xdr:to>
      <xdr:col>44</xdr:col>
      <xdr:colOff>400050</xdr:colOff>
      <xdr:row>51</xdr:row>
      <xdr:rowOff>36675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419100"/>
          <a:ext cx="17211675" cy="970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495300</xdr:colOff>
      <xdr:row>1</xdr:row>
      <xdr:rowOff>76200</xdr:rowOff>
    </xdr:from>
    <xdr:to>
      <xdr:col>45</xdr:col>
      <xdr:colOff>264416</xdr:colOff>
      <xdr:row>53</xdr:row>
      <xdr:rowOff>113011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4625" y="266700"/>
          <a:ext cx="18285716" cy="103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257174</xdr:colOff>
      <xdr:row>32</xdr:row>
      <xdr:rowOff>9525</xdr:rowOff>
    </xdr:from>
    <xdr:to>
      <xdr:col>19</xdr:col>
      <xdr:colOff>628649</xdr:colOff>
      <xdr:row>48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219075</xdr:colOff>
      <xdr:row>1</xdr:row>
      <xdr:rowOff>57150</xdr:rowOff>
    </xdr:from>
    <xdr:to>
      <xdr:col>44</xdr:col>
      <xdr:colOff>666750</xdr:colOff>
      <xdr:row>53</xdr:row>
      <xdr:rowOff>85725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247650"/>
          <a:ext cx="18278475" cy="1030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17</xdr:row>
      <xdr:rowOff>19050</xdr:rowOff>
    </xdr:from>
    <xdr:to>
      <xdr:col>15</xdr:col>
      <xdr:colOff>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365432</xdr:colOff>
      <xdr:row>0</xdr:row>
      <xdr:rowOff>0</xdr:rowOff>
    </xdr:from>
    <xdr:to>
      <xdr:col>37</xdr:col>
      <xdr:colOff>578739</xdr:colOff>
      <xdr:row>40</xdr:row>
      <xdr:rowOff>52333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2607" y="0"/>
          <a:ext cx="14615107" cy="82438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219073</xdr:colOff>
      <xdr:row>11</xdr:row>
      <xdr:rowOff>38100</xdr:rowOff>
    </xdr:from>
    <xdr:to>
      <xdr:col>31</xdr:col>
      <xdr:colOff>142875</xdr:colOff>
      <xdr:row>42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29</xdr:col>
      <xdr:colOff>342900</xdr:colOff>
      <xdr:row>2</xdr:row>
      <xdr:rowOff>266700</xdr:rowOff>
    </xdr:from>
    <xdr:to>
      <xdr:col>56</xdr:col>
      <xdr:colOff>112016</xdr:colOff>
      <xdr:row>55</xdr:row>
      <xdr:rowOff>113011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07125" y="647700"/>
          <a:ext cx="18285716" cy="103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0</xdr:colOff>
      <xdr:row>0</xdr:row>
      <xdr:rowOff>0</xdr:rowOff>
    </xdr:from>
    <xdr:to>
      <xdr:col>56</xdr:col>
      <xdr:colOff>600075</xdr:colOff>
      <xdr:row>46</xdr:row>
      <xdr:rowOff>19050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0"/>
          <a:ext cx="18278475" cy="916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4"/>
  <sheetViews>
    <sheetView zoomScale="85" zoomScaleNormal="85" workbookViewId="0">
      <pane xSplit="3" ySplit="2" topLeftCell="D6" activePane="bottomRight" state="frozen"/>
      <selection activeCell="P1" sqref="P1:T1"/>
      <selection pane="topRight" activeCell="P1" sqref="P1:T1"/>
      <selection pane="bottomLeft" activeCell="P1" sqref="P1:T1"/>
      <selection pane="bottomRight" activeCell="AB58" sqref="AB58"/>
    </sheetView>
  </sheetViews>
  <sheetFormatPr defaultColWidth="9.140625" defaultRowHeight="15" x14ac:dyDescent="0.25"/>
  <cols>
    <col min="1" max="2" width="5.5703125" style="8" customWidth="1"/>
    <col min="3" max="3" width="5.5703125" style="33" customWidth="1"/>
    <col min="4" max="4" width="5.5703125" style="15" customWidth="1"/>
    <col min="5" max="5" width="6.42578125" style="8" bestFit="1" customWidth="1"/>
    <col min="6" max="6" width="5.5703125" style="1" customWidth="1"/>
    <col min="7" max="7" width="6.42578125" style="1" bestFit="1" customWidth="1"/>
    <col min="8" max="8" width="5.5703125" style="1" customWidth="1"/>
    <col min="9" max="9" width="7.42578125" style="8" bestFit="1" customWidth="1"/>
    <col min="10" max="10" width="5.5703125" style="17" customWidth="1"/>
    <col min="11" max="46" width="5.5703125" style="1" customWidth="1"/>
    <col min="47" max="16384" width="9.140625" style="1"/>
  </cols>
  <sheetData>
    <row r="1" spans="1:48" ht="15" customHeight="1" x14ac:dyDescent="0.25">
      <c r="A1" s="179" t="str">
        <f ca="1">'DC-he-ipb1-30b'!A1</f>
        <v>DC-he-ipb1-30b</v>
      </c>
      <c r="B1" s="180"/>
      <c r="C1" s="181"/>
      <c r="D1" s="13"/>
      <c r="E1" s="201" t="s">
        <v>54</v>
      </c>
      <c r="F1" s="201"/>
      <c r="G1" s="201"/>
      <c r="H1" s="201"/>
      <c r="I1" s="202"/>
      <c r="K1" s="199" t="s">
        <v>12</v>
      </c>
      <c r="L1" s="199"/>
      <c r="M1" s="199"/>
      <c r="N1" s="199"/>
      <c r="O1" s="199"/>
      <c r="P1" s="199"/>
      <c r="Q1" s="199" t="s">
        <v>10</v>
      </c>
      <c r="R1" s="199"/>
      <c r="S1" s="199"/>
      <c r="T1" s="199"/>
      <c r="U1" s="199"/>
      <c r="V1" s="5"/>
      <c r="W1" s="199" t="s">
        <v>7</v>
      </c>
      <c r="X1" s="199"/>
      <c r="Y1" s="199"/>
      <c r="Z1" s="199"/>
      <c r="AA1" s="199"/>
      <c r="AB1" s="199"/>
      <c r="AC1" s="199" t="s">
        <v>2</v>
      </c>
      <c r="AD1" s="199"/>
      <c r="AE1" s="199"/>
      <c r="AF1" s="199"/>
      <c r="AG1" s="199"/>
      <c r="AH1" s="199"/>
      <c r="AI1" s="199" t="s">
        <v>3</v>
      </c>
      <c r="AJ1" s="199"/>
      <c r="AK1" s="199"/>
      <c r="AL1" s="199"/>
      <c r="AM1" s="199"/>
      <c r="AN1" s="199"/>
      <c r="AO1" s="105" t="s">
        <v>59</v>
      </c>
      <c r="AP1" s="105"/>
      <c r="AQ1" s="105"/>
      <c r="AR1" s="105"/>
      <c r="AS1" s="105"/>
    </row>
    <row r="2" spans="1:48" ht="15" customHeight="1" x14ac:dyDescent="0.25">
      <c r="A2" s="182" t="s">
        <v>1</v>
      </c>
      <c r="B2" s="182" t="s">
        <v>15</v>
      </c>
      <c r="C2" s="183" t="s">
        <v>17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R2" s="5">
        <f>X2</f>
        <v>300</v>
      </c>
      <c r="S2" s="5">
        <f>Y2</f>
        <v>150</v>
      </c>
      <c r="T2" s="5">
        <f>Z2</f>
        <v>100</v>
      </c>
      <c r="U2" s="5">
        <f>AA2</f>
        <v>150</v>
      </c>
      <c r="V2" s="5">
        <f>AB2</f>
        <v>300</v>
      </c>
      <c r="W2" s="5"/>
      <c r="X2" s="1">
        <f>AJ2</f>
        <v>300</v>
      </c>
      <c r="Y2" s="1">
        <f>AK2</f>
        <v>150</v>
      </c>
      <c r="Z2" s="1">
        <f>AL2</f>
        <v>100</v>
      </c>
      <c r="AA2" s="1">
        <f>AM2</f>
        <v>150</v>
      </c>
      <c r="AB2" s="1">
        <f>AN2</f>
        <v>300</v>
      </c>
      <c r="AD2" s="1">
        <f>L2</f>
        <v>300</v>
      </c>
      <c r="AE2" s="1">
        <f>M2</f>
        <v>150</v>
      </c>
      <c r="AF2" s="1">
        <f>N2</f>
        <v>100</v>
      </c>
      <c r="AG2" s="1">
        <f>O2</f>
        <v>150</v>
      </c>
      <c r="AH2" s="1">
        <f>P2</f>
        <v>300</v>
      </c>
      <c r="AJ2" s="1">
        <f>AD2</f>
        <v>300</v>
      </c>
      <c r="AK2" s="1">
        <f>AE2</f>
        <v>150</v>
      </c>
      <c r="AL2" s="1">
        <f>AF2</f>
        <v>100</v>
      </c>
      <c r="AM2" s="1">
        <f>AG2</f>
        <v>150</v>
      </c>
      <c r="AN2" s="1">
        <f>AH2</f>
        <v>300</v>
      </c>
      <c r="AO2" s="105">
        <f>AJ2</f>
        <v>300</v>
      </c>
      <c r="AP2" s="105">
        <f t="shared" ref="AP2:AS2" si="0">AK2</f>
        <v>150</v>
      </c>
      <c r="AQ2" s="105">
        <f t="shared" si="0"/>
        <v>100</v>
      </c>
      <c r="AR2" s="105">
        <f t="shared" si="0"/>
        <v>150</v>
      </c>
      <c r="AS2" s="105">
        <f t="shared" si="0"/>
        <v>300</v>
      </c>
    </row>
    <row r="3" spans="1:48" ht="15" customHeight="1" x14ac:dyDescent="0.25">
      <c r="A3" s="182">
        <f>'DC-he-ipb1-30b'!M4*100</f>
        <v>150</v>
      </c>
      <c r="B3" s="184">
        <f>'DC-he-ipb1-30b'!O4</f>
        <v>0.49603321159819147</v>
      </c>
      <c r="C3" s="185">
        <f>'DC-he-ipb1-30b'!P4</f>
        <v>-7.0660625411652411E-2</v>
      </c>
      <c r="D3" s="200" t="s">
        <v>5</v>
      </c>
      <c r="E3" s="9"/>
      <c r="F3" s="12"/>
      <c r="G3" s="12"/>
      <c r="H3" s="32"/>
      <c r="I3" s="32"/>
      <c r="J3" s="18" t="s">
        <v>119</v>
      </c>
      <c r="M3" s="124"/>
      <c r="N3" s="2"/>
      <c r="P3" s="1" t="s">
        <v>121</v>
      </c>
      <c r="Q3" s="175">
        <v>0.4</v>
      </c>
      <c r="AO3" s="105"/>
      <c r="AP3" s="105"/>
      <c r="AQ3" s="105"/>
      <c r="AR3" s="105"/>
      <c r="AS3" s="105"/>
    </row>
    <row r="4" spans="1:48" x14ac:dyDescent="0.25">
      <c r="A4" s="182">
        <f>'DC-he-ipb1-30b'!M5*100</f>
        <v>200</v>
      </c>
      <c r="B4" s="184">
        <f>'DC-he-ipb1-30b'!O5</f>
        <v>0.52500813892426879</v>
      </c>
      <c r="C4" s="185">
        <f>'DC-he-ipb1-30b'!P5</f>
        <v>8.3074239797442662E-2</v>
      </c>
      <c r="D4" s="200"/>
      <c r="E4" s="9"/>
      <c r="F4" s="12"/>
      <c r="G4" s="12"/>
      <c r="H4" s="32"/>
      <c r="I4" s="32"/>
      <c r="J4" s="123" t="s">
        <v>64</v>
      </c>
      <c r="K4" s="2" t="s">
        <v>117</v>
      </c>
      <c r="AO4" s="105"/>
      <c r="AP4" s="105"/>
      <c r="AQ4" s="105"/>
      <c r="AR4" s="105"/>
      <c r="AS4" s="105"/>
    </row>
    <row r="5" spans="1:48" x14ac:dyDescent="0.25">
      <c r="A5" s="182">
        <f>'DC-he-ipb1-30b'!M6*100</f>
        <v>250</v>
      </c>
      <c r="B5" s="184">
        <f>'DC-he-ipb1-30b'!O6</f>
        <v>0.54521967225945245</v>
      </c>
      <c r="C5" s="185">
        <f>'DC-he-ipb1-30b'!P6</f>
        <v>7.3128374254238349E-2</v>
      </c>
      <c r="D5" s="200"/>
      <c r="E5" s="9" t="s">
        <v>107</v>
      </c>
      <c r="F5" s="12" t="s">
        <v>108</v>
      </c>
      <c r="G5" s="12" t="s">
        <v>109</v>
      </c>
      <c r="H5" s="172" t="s">
        <v>108</v>
      </c>
      <c r="I5" s="32" t="s">
        <v>107</v>
      </c>
      <c r="J5" s="123" t="s">
        <v>11</v>
      </c>
      <c r="K5" s="2" t="s">
        <v>120</v>
      </c>
      <c r="AO5" s="105"/>
      <c r="AP5" s="105"/>
      <c r="AQ5" s="105"/>
      <c r="AR5" s="105"/>
      <c r="AS5" s="105"/>
    </row>
    <row r="6" spans="1:48" x14ac:dyDescent="0.25">
      <c r="A6" s="182">
        <f>'DC-he-ipb1-30b'!M7*100</f>
        <v>275</v>
      </c>
      <c r="B6" s="184">
        <f>'DC-he-ipb1-30b'!O7</f>
        <v>0.56417706451324845</v>
      </c>
      <c r="C6" s="185">
        <f>'DC-he-ipb1-30b'!P7</f>
        <v>7.3128374254238349E-2</v>
      </c>
      <c r="D6" s="52">
        <v>1</v>
      </c>
      <c r="E6" s="10"/>
      <c r="F6" s="10">
        <f>($B$3*$D6*S6*$Q$20/$Q$3+$C$3+$K6-M6)/(S6*$Q$20/$Q$3*$D6)</f>
        <v>1.0393159737575093</v>
      </c>
      <c r="G6" s="10">
        <f>($B$3*$D6*T6*$Q$20/$Q$3+$C$3+$K6-N6)/(T6*$Q$20/$Q$3*$D6)</f>
        <v>0.98929331586815805</v>
      </c>
      <c r="H6" s="10">
        <f>($B$3*$D6*U6*$Q$20/$Q$3+$C$3+$K6-O6)/(U6*$Q$20/$Q$3*$D6)</f>
        <v>1.0134055866785823</v>
      </c>
      <c r="I6" s="10"/>
      <c r="J6" s="19">
        <v>150</v>
      </c>
      <c r="K6" s="4">
        <v>9.5043393103448306</v>
      </c>
      <c r="L6" s="4"/>
      <c r="M6" s="4">
        <v>7.27928582758621</v>
      </c>
      <c r="N6" s="4">
        <v>7.3035451034482799</v>
      </c>
      <c r="O6" s="4">
        <v>7.3827856551724098</v>
      </c>
      <c r="P6" s="4"/>
      <c r="Q6" s="4"/>
      <c r="R6" s="4"/>
      <c r="S6" s="4">
        <v>2.5379259655172399</v>
      </c>
      <c r="T6" s="4">
        <v>2.7638267931034499</v>
      </c>
      <c r="U6" s="4">
        <v>2.5369957931034501</v>
      </c>
      <c r="V6" s="4"/>
      <c r="W6" s="4">
        <v>0.44647327586206897</v>
      </c>
      <c r="X6" s="4"/>
      <c r="Y6" s="4">
        <v>50.433483448275901</v>
      </c>
      <c r="Z6" s="4">
        <v>49.7402839655172</v>
      </c>
      <c r="AA6" s="4">
        <v>49.453262310344797</v>
      </c>
      <c r="AB6" s="4"/>
      <c r="AC6" s="4">
        <v>-0.43663575862068998</v>
      </c>
      <c r="AD6" s="4"/>
      <c r="AE6" s="4">
        <v>3.1899998965517198</v>
      </c>
      <c r="AF6" s="4">
        <v>3.82326320689655</v>
      </c>
      <c r="AG6" s="4">
        <v>3.0742865862069002</v>
      </c>
      <c r="AH6" s="4"/>
      <c r="AI6" s="4">
        <v>-1.0660230689655199</v>
      </c>
      <c r="AJ6" s="4"/>
      <c r="AK6" s="4">
        <v>31.582760724137898</v>
      </c>
      <c r="AL6" s="4">
        <v>30.358192620689699</v>
      </c>
      <c r="AM6" s="4">
        <v>31.450776655172401</v>
      </c>
      <c r="AN6" s="4"/>
      <c r="AO6" s="106"/>
      <c r="AP6" s="106">
        <f>S6+AE6+AK6</f>
        <v>37.310686586206856</v>
      </c>
      <c r="AQ6" s="106">
        <f>T6+AF6+AL6</f>
        <v>36.945282620689696</v>
      </c>
      <c r="AR6" s="106">
        <f>U6+AG6+AM6</f>
        <v>37.062059034482751</v>
      </c>
      <c r="AS6" s="106"/>
      <c r="AT6" s="3"/>
    </row>
    <row r="7" spans="1:48" x14ac:dyDescent="0.25">
      <c r="A7" s="182">
        <f>'DC-he-ipb1-30b'!M8*100</f>
        <v>300</v>
      </c>
      <c r="B7" s="184">
        <f>'DC-he-ipb1-30b'!O8</f>
        <v>0.57474390866147029</v>
      </c>
      <c r="C7" s="185">
        <f>'DC-he-ipb1-30b'!P8</f>
        <v>1.8901551751913548E-2</v>
      </c>
      <c r="D7" s="52">
        <v>1</v>
      </c>
      <c r="E7" s="10"/>
      <c r="F7" s="10">
        <f>($B$4*$D7*S7*$Q$20/$Q$3+$C$4+$K7-M7)/(S7*$Q$20/$Q$3*$D7)</f>
        <v>1.1294185835531909</v>
      </c>
      <c r="G7" s="10">
        <f>($B$4*$D7*T7*$Q$20/$Q$3+$C$4+$K7-N7)/(T7*$Q$20/$Q$3*$D7)</f>
        <v>1.1136999960005909</v>
      </c>
      <c r="H7" s="10">
        <f>($B$4*$D7*U7*$Q$20/$Q$3+$C$4+$K7-O7)/(U7*$Q$20/$Q$3*$D7)</f>
        <v>1.1561177020651605</v>
      </c>
      <c r="I7" s="10"/>
      <c r="J7" s="19">
        <v>200</v>
      </c>
      <c r="K7" s="4">
        <v>14.3558188275862</v>
      </c>
      <c r="L7" s="4"/>
      <c r="M7" s="4">
        <v>11.7944016551724</v>
      </c>
      <c r="N7" s="4">
        <v>11.661716172413801</v>
      </c>
      <c r="O7" s="4">
        <v>11.6813824827586</v>
      </c>
      <c r="P7" s="4"/>
      <c r="Q7" s="4"/>
      <c r="R7" s="4"/>
      <c r="S7" s="4">
        <v>2.8002072413793102</v>
      </c>
      <c r="T7" s="4">
        <v>3.01922506896552</v>
      </c>
      <c r="U7" s="4">
        <v>2.7963556206896598</v>
      </c>
      <c r="V7" s="4"/>
      <c r="W7" s="4">
        <v>0.42265879310344801</v>
      </c>
      <c r="X7" s="4"/>
      <c r="Y7" s="4">
        <v>50.3065743103448</v>
      </c>
      <c r="Z7" s="4">
        <v>50.343443448275899</v>
      </c>
      <c r="AA7" s="4">
        <v>50.378150482758599</v>
      </c>
      <c r="AB7" s="4"/>
      <c r="AC7" s="4">
        <v>-1.3620008275862101</v>
      </c>
      <c r="AD7" s="4"/>
      <c r="AE7" s="4">
        <v>2.4215042758620702</v>
      </c>
      <c r="AF7" s="4">
        <v>3.2800467586206898</v>
      </c>
      <c r="AG7" s="4">
        <v>2.4515859655172401</v>
      </c>
      <c r="AH7" s="4"/>
      <c r="AI7" s="4">
        <v>-1.5092514482758601</v>
      </c>
      <c r="AJ7" s="4"/>
      <c r="AK7" s="4">
        <v>30.850249620689699</v>
      </c>
      <c r="AL7" s="4">
        <v>30.0620865517241</v>
      </c>
      <c r="AM7" s="4">
        <v>30.909950241379299</v>
      </c>
      <c r="AN7" s="4"/>
      <c r="AO7" s="106"/>
      <c r="AP7" s="106">
        <f t="shared" ref="AP7:AR9" si="1">S7+AE7+AK7</f>
        <v>36.071961137931076</v>
      </c>
      <c r="AQ7" s="106">
        <f t="shared" si="1"/>
        <v>36.36135837931031</v>
      </c>
      <c r="AR7" s="106">
        <f t="shared" si="1"/>
        <v>36.157891827586198</v>
      </c>
      <c r="AS7" s="106"/>
      <c r="AT7" s="3"/>
    </row>
    <row r="8" spans="1:48" x14ac:dyDescent="0.25">
      <c r="A8" s="182">
        <f>'DC-he-ipb1-30b'!M9*100</f>
        <v>325</v>
      </c>
      <c r="B8" s="184">
        <f>'DC-he-ipb1-30b'!O9</f>
        <v>0.59253737774070503</v>
      </c>
      <c r="C8" s="185">
        <f>'DC-he-ipb1-30b'!P9</f>
        <v>1.8901551751913548E-2</v>
      </c>
      <c r="D8" s="52">
        <v>1</v>
      </c>
      <c r="E8" s="10"/>
      <c r="F8" s="10">
        <f>($B$5*$D8*S8*$Q$20/$Q$3+$C$5+$K8-M8)/(S8*$Q$20/$Q$3*$D8)</f>
        <v>1.197245049017458</v>
      </c>
      <c r="G8" s="10">
        <f>($B$5*$D8*T8*$Q$20/$Q$3+$C$5+$K8-N8)/(T8*$Q$20/$Q$3*$D8)</f>
        <v>1.1749568538348842</v>
      </c>
      <c r="H8" s="10">
        <f>($B$5*$D8*U8*$Q$20/$Q$3+$C$5+$K8-O8)/(U8*$Q$20/$Q$3*$D8)</f>
        <v>1.2171729125949546</v>
      </c>
      <c r="I8" s="10"/>
      <c r="J8" s="19">
        <v>250</v>
      </c>
      <c r="K8" s="4">
        <v>19.6332440344828</v>
      </c>
      <c r="L8" s="4"/>
      <c r="M8" s="4">
        <v>16.556874206896602</v>
      </c>
      <c r="N8" s="4">
        <v>16.385861896551699</v>
      </c>
      <c r="O8" s="4">
        <v>16.4456649310345</v>
      </c>
      <c r="P8" s="4"/>
      <c r="Q8" s="4"/>
      <c r="R8" s="4"/>
      <c r="S8" s="4">
        <v>3.09141165517241</v>
      </c>
      <c r="T8" s="4">
        <v>3.3746248275862101</v>
      </c>
      <c r="U8" s="4">
        <v>3.10565179310345</v>
      </c>
      <c r="V8" s="4"/>
      <c r="W8" s="4">
        <v>0.44141748275862103</v>
      </c>
      <c r="X8" s="4"/>
      <c r="Y8" s="4">
        <v>50.1472994137931</v>
      </c>
      <c r="Z8" s="4">
        <v>50.213697344827601</v>
      </c>
      <c r="AA8" s="4">
        <v>50.235959379310401</v>
      </c>
      <c r="AB8" s="4"/>
      <c r="AC8" s="4">
        <v>-1.2949827586206899</v>
      </c>
      <c r="AD8" s="4"/>
      <c r="AE8" s="4">
        <v>2.3678928965517199</v>
      </c>
      <c r="AF8" s="4">
        <v>3.0440327241379301</v>
      </c>
      <c r="AG8" s="4">
        <v>2.2117403103448301</v>
      </c>
      <c r="AH8" s="4"/>
      <c r="AI8" s="4">
        <v>-1.71321868965517</v>
      </c>
      <c r="AJ8" s="4"/>
      <c r="AK8" s="4">
        <v>30.2675873448276</v>
      </c>
      <c r="AL8" s="4">
        <v>29.404821793103501</v>
      </c>
      <c r="AM8" s="4">
        <v>30.610230413793101</v>
      </c>
      <c r="AN8" s="4"/>
      <c r="AO8" s="106"/>
      <c r="AP8" s="106">
        <f t="shared" si="1"/>
        <v>35.726891896551727</v>
      </c>
      <c r="AQ8" s="106">
        <f t="shared" si="1"/>
        <v>35.823479344827639</v>
      </c>
      <c r="AR8" s="106">
        <f t="shared" si="1"/>
        <v>35.927622517241382</v>
      </c>
      <c r="AS8" s="106"/>
      <c r="AT8" s="3"/>
    </row>
    <row r="9" spans="1:48" x14ac:dyDescent="0.25">
      <c r="A9" s="182">
        <f>'DC-he-ipb1-30b'!M10*100</f>
        <v>350</v>
      </c>
      <c r="B9" s="184">
        <f>'DC-he-ipb1-30b'!O10</f>
        <v>0.61103188648136431</v>
      </c>
      <c r="C9" s="185">
        <f>'DC-he-ipb1-30b'!P10</f>
        <v>0</v>
      </c>
      <c r="D9" s="52">
        <v>1</v>
      </c>
      <c r="E9" s="10"/>
      <c r="F9" s="10">
        <f>($B$7*$D9*S9*$Q$20/$Q$3+$C$7+$K9-M9)/(S9*$Q$20/$Q$3*$D9)</f>
        <v>1.2611448831396983</v>
      </c>
      <c r="G9" s="10">
        <f>($B$7*$D9*T9*$Q$20/$Q$3+$C$7+$K9-N9)/(T9*$Q$20/$Q$3*$D9)</f>
        <v>1.2604845980147366</v>
      </c>
      <c r="H9" s="10">
        <f>($B$7*$D9*U9*$Q$20/$Q$3+$C$7+$K9-O9)/(U9*$Q$20/$Q$3*$D9)</f>
        <v>1.2849693650808798</v>
      </c>
      <c r="I9" s="10"/>
      <c r="J9" s="19">
        <v>300</v>
      </c>
      <c r="K9" s="4">
        <v>25.532294965517199</v>
      </c>
      <c r="L9" s="4"/>
      <c r="M9" s="4">
        <v>21.794170724137899</v>
      </c>
      <c r="N9" s="4">
        <v>21.444252965517201</v>
      </c>
      <c r="O9" s="4">
        <v>21.665156068965501</v>
      </c>
      <c r="P9" s="4"/>
      <c r="Q9" s="4"/>
      <c r="R9" s="4"/>
      <c r="S9" s="4">
        <v>3.5030493793103501</v>
      </c>
      <c r="T9" s="4">
        <v>3.8329997241379301</v>
      </c>
      <c r="U9" s="4">
        <v>3.5017977241379299</v>
      </c>
      <c r="V9" s="4"/>
      <c r="W9" s="4">
        <v>0.40655062068965497</v>
      </c>
      <c r="X9" s="4"/>
      <c r="Y9" s="4">
        <v>50.003456586206902</v>
      </c>
      <c r="Z9" s="4">
        <v>50.0591940344828</v>
      </c>
      <c r="AA9" s="4">
        <v>50.075194413793099</v>
      </c>
      <c r="AB9" s="4"/>
      <c r="AC9" s="4">
        <v>-1.51742131034483</v>
      </c>
      <c r="AD9" s="4"/>
      <c r="AE9" s="4">
        <v>2.09394575862069</v>
      </c>
      <c r="AF9" s="4">
        <v>2.7154104482758599</v>
      </c>
      <c r="AG9" s="4">
        <v>2.1569541724137902</v>
      </c>
      <c r="AH9" s="4"/>
      <c r="AI9" s="4">
        <v>-1.61858624137931</v>
      </c>
      <c r="AJ9" s="4"/>
      <c r="AK9" s="4">
        <v>29.7459955517241</v>
      </c>
      <c r="AL9" s="4">
        <v>28.814866137930998</v>
      </c>
      <c r="AM9" s="4">
        <v>29.840605034482799</v>
      </c>
      <c r="AN9" s="4"/>
      <c r="AO9" s="106"/>
      <c r="AP9" s="106">
        <f t="shared" si="1"/>
        <v>35.342990689655139</v>
      </c>
      <c r="AQ9" s="106">
        <f t="shared" si="1"/>
        <v>35.363276310344787</v>
      </c>
      <c r="AR9" s="106">
        <f t="shared" si="1"/>
        <v>35.499356931034519</v>
      </c>
      <c r="AS9" s="106"/>
      <c r="AT9" s="3"/>
    </row>
    <row r="10" spans="1:48" x14ac:dyDescent="0.25">
      <c r="A10" s="182">
        <f>'DC-he-ipb1-30b'!M11*100</f>
        <v>375</v>
      </c>
      <c r="B10" s="184">
        <f>'DC-he-ipb1-30b'!O11</f>
        <v>0.6124098568445987</v>
      </c>
      <c r="C10" s="185">
        <f>'DC-he-ipb1-30b'!P11</f>
        <v>0</v>
      </c>
      <c r="D10" s="52">
        <v>1</v>
      </c>
      <c r="E10" s="10"/>
      <c r="F10" s="10">
        <f>($B$9*$D10*S10*$Q$20/$Q$3+$C$9+$K10-M10)/(S10*$Q$20/$Q$3*$D10)</f>
        <v>1.295805910532237</v>
      </c>
      <c r="G10" s="10">
        <f>($B$9*$D10*T10*$Q$20/$Q$3+$C$9+$K10-N10)/(T10*$Q$20/$Q$3*$D10)</f>
        <v>1.2694296934989995</v>
      </c>
      <c r="H10" s="10">
        <f>($B$9*$D10*U10*$Q$20/$Q$3+$C$9+$K10-O10)/(U10*$Q$20/$Q$3*$D10)</f>
        <v>1.3138865709469545</v>
      </c>
      <c r="I10" s="10"/>
      <c r="J10" s="19">
        <v>350</v>
      </c>
      <c r="K10" s="4">
        <v>32.141546724137903</v>
      </c>
      <c r="L10" s="4"/>
      <c r="M10" s="4">
        <v>28.4772134827586</v>
      </c>
      <c r="N10" s="4">
        <v>28.359238448275899</v>
      </c>
      <c r="O10" s="4">
        <v>28.3675405862069</v>
      </c>
      <c r="P10" s="4"/>
      <c r="Q10" s="4"/>
      <c r="R10" s="4"/>
      <c r="S10" s="4">
        <v>3.4247404137931001</v>
      </c>
      <c r="T10" s="4">
        <v>3.6766181034482801</v>
      </c>
      <c r="U10" s="4">
        <v>3.4365054137931001</v>
      </c>
      <c r="V10" s="4"/>
      <c r="W10" s="4">
        <v>0.36795789655172401</v>
      </c>
      <c r="X10" s="4"/>
      <c r="Y10" s="4">
        <v>49.793969896551701</v>
      </c>
      <c r="Z10" s="4">
        <v>49.864845448275801</v>
      </c>
      <c r="AA10" s="4">
        <v>49.878949689655201</v>
      </c>
      <c r="AB10" s="4"/>
      <c r="AC10" s="4">
        <v>-0.230491896551724</v>
      </c>
      <c r="AD10" s="4"/>
      <c r="AE10" s="4">
        <v>3.7540542758620701</v>
      </c>
      <c r="AF10" s="4">
        <v>4.4596076551724098</v>
      </c>
      <c r="AG10" s="4">
        <v>4.1825340689655199</v>
      </c>
      <c r="AH10" s="4"/>
      <c r="AI10" s="4">
        <v>-0.85120362068965505</v>
      </c>
      <c r="AJ10" s="4"/>
      <c r="AK10" s="4">
        <v>30.375420034482801</v>
      </c>
      <c r="AL10" s="4">
        <v>29.424853275862102</v>
      </c>
      <c r="AM10" s="4">
        <v>30.543001827586199</v>
      </c>
      <c r="AN10" s="4"/>
      <c r="AO10" s="106"/>
      <c r="AP10" s="106"/>
      <c r="AQ10" s="106"/>
      <c r="AR10" s="106"/>
      <c r="AS10" s="106"/>
      <c r="AT10" s="3"/>
    </row>
    <row r="11" spans="1:48" x14ac:dyDescent="0.25">
      <c r="A11" s="182">
        <f>'DC-he-ipb1-30b'!M12*100</f>
        <v>400</v>
      </c>
      <c r="B11" s="184">
        <f>'DC-he-ipb1-30b'!O12</f>
        <v>0.6136565355469259</v>
      </c>
      <c r="C11" s="185">
        <f>'DC-he-ipb1-30b'!P12</f>
        <v>-7.4078962733472586E-3</v>
      </c>
      <c r="D11" s="52">
        <v>1</v>
      </c>
      <c r="E11" s="10"/>
      <c r="F11" s="10">
        <f>($B$11*$D11*S11*$Q$20/$Q$3+$C$11+$K11-M11)/(S11*$Q$20/$Q$3*$D11)</f>
        <v>1.2731589265422454</v>
      </c>
      <c r="G11" s="10">
        <f>($B$11*$D11*T11*$Q$20/$Q$3+$C$11+$K11-N11)/(T11*$Q$20/$Q$3*$D11)</f>
        <v>1.231586704466709</v>
      </c>
      <c r="H11" s="10">
        <f>($B$11*$D11*U11*$Q$20/$Q$3+$C$11+$K11-O11)/(U11*$Q$20/$Q$3*$D11)</f>
        <v>1.3005839089209292</v>
      </c>
      <c r="I11" s="10"/>
      <c r="J11" s="19">
        <v>400</v>
      </c>
      <c r="K11" s="4">
        <v>39.4231034137931</v>
      </c>
      <c r="L11" s="4"/>
      <c r="M11" s="4">
        <v>35.9048734482759</v>
      </c>
      <c r="N11" s="4">
        <v>35.972000517241398</v>
      </c>
      <c r="O11" s="4">
        <v>35.770319103448301</v>
      </c>
      <c r="P11" s="4"/>
      <c r="Q11" s="4"/>
      <c r="R11" s="4"/>
      <c r="S11" s="4">
        <v>3.4070022413793102</v>
      </c>
      <c r="T11" s="4">
        <v>3.5666891034482799</v>
      </c>
      <c r="U11" s="4">
        <v>3.3963428965517202</v>
      </c>
      <c r="V11" s="4"/>
      <c r="W11" s="4">
        <v>0.49205779310344799</v>
      </c>
      <c r="X11" s="4"/>
      <c r="Y11" s="4">
        <v>49.535427793103501</v>
      </c>
      <c r="Z11" s="4">
        <v>49.611407310344802</v>
      </c>
      <c r="AA11" s="4">
        <v>49.6393806206897</v>
      </c>
      <c r="AB11" s="4"/>
      <c r="AC11" s="4">
        <v>0.27681879310344798</v>
      </c>
      <c r="AD11" s="4"/>
      <c r="AE11" s="4">
        <v>3.6687094482758602</v>
      </c>
      <c r="AF11" s="4">
        <v>4.3326590344827602</v>
      </c>
      <c r="AG11" s="4">
        <v>3.5177863448275901</v>
      </c>
      <c r="AH11" s="4"/>
      <c r="AI11" s="4">
        <v>-0.64794762068965495</v>
      </c>
      <c r="AJ11" s="4"/>
      <c r="AK11" s="4">
        <v>30.411454413793098</v>
      </c>
      <c r="AL11" s="4">
        <v>29.603674413793101</v>
      </c>
      <c r="AM11" s="4">
        <v>30.387128172413799</v>
      </c>
      <c r="AN11" s="4"/>
      <c r="AO11" s="106"/>
      <c r="AP11" s="106"/>
      <c r="AQ11" s="106"/>
      <c r="AR11" s="106"/>
      <c r="AS11" s="106"/>
      <c r="AT11" s="3"/>
    </row>
    <row r="12" spans="1:48" x14ac:dyDescent="0.25">
      <c r="A12" s="182">
        <f>'DC-he-ipb1-30b'!M13*100</f>
        <v>450</v>
      </c>
      <c r="B12" s="184">
        <f>'DC-he-ipb1-30b'!O13</f>
        <v>0.61320536208964327</v>
      </c>
      <c r="C12" s="185">
        <f>'DC-he-ipb1-30b'!P13</f>
        <v>0</v>
      </c>
      <c r="D12" s="14"/>
      <c r="E12" s="9"/>
      <c r="F12" s="173"/>
      <c r="G12" s="173"/>
      <c r="H12" s="173"/>
      <c r="I12" s="9"/>
      <c r="J12" s="18"/>
      <c r="L12" s="3"/>
      <c r="M12" s="173"/>
      <c r="N12" s="173"/>
      <c r="O12" s="173"/>
      <c r="P12" s="3"/>
      <c r="Q12" s="3"/>
      <c r="R12" s="173"/>
      <c r="S12" s="173"/>
      <c r="T12" s="173"/>
      <c r="U12" s="173"/>
      <c r="V12" s="173"/>
      <c r="W12" s="17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173"/>
      <c r="AP12" s="173"/>
      <c r="AQ12" s="173"/>
      <c r="AR12" s="173"/>
      <c r="AS12" s="173"/>
      <c r="AT12" s="173"/>
      <c r="AU12" s="173"/>
      <c r="AV12" s="173"/>
    </row>
    <row r="13" spans="1:48" x14ac:dyDescent="0.25">
      <c r="A13" s="182">
        <f>'DC-he-ipb1-30b'!M14*100</f>
        <v>500</v>
      </c>
      <c r="B13" s="184">
        <f>'DC-he-ipb1-30b'!O14</f>
        <v>0.5831561999991336</v>
      </c>
      <c r="C13" s="185">
        <f>'DC-he-ipb1-30b'!P14</f>
        <v>0</v>
      </c>
      <c r="D13" s="14"/>
      <c r="E13" s="186" t="s">
        <v>126</v>
      </c>
      <c r="F13" s="173"/>
      <c r="G13" s="173"/>
      <c r="H13" s="173"/>
      <c r="I13" s="9"/>
      <c r="J13" s="18"/>
      <c r="L13" s="173" t="s">
        <v>101</v>
      </c>
      <c r="M13" s="173"/>
      <c r="N13" s="173"/>
      <c r="O13" s="48"/>
      <c r="P13" s="3"/>
      <c r="Q13" s="3"/>
      <c r="R13" s="1" t="s">
        <v>100</v>
      </c>
      <c r="S13" s="173"/>
      <c r="T13" s="173"/>
      <c r="U13" s="173"/>
      <c r="V13" s="173"/>
      <c r="W13" s="17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7"/>
      <c r="AP13" s="173"/>
      <c r="AQ13" s="173"/>
      <c r="AR13" s="173"/>
      <c r="AS13" s="173"/>
      <c r="AT13" s="173"/>
      <c r="AU13" s="173"/>
      <c r="AV13" s="173"/>
    </row>
    <row r="14" spans="1:48" x14ac:dyDescent="0.25">
      <c r="A14" s="182">
        <f>'DC-he-ipb1-30b'!M15*100</f>
        <v>550</v>
      </c>
      <c r="B14" s="184">
        <f>'DC-he-ipb1-30b'!O15</f>
        <v>0.52345412442339667</v>
      </c>
      <c r="C14" s="185">
        <f>'DC-he-ipb1-30b'!P15</f>
        <v>0</v>
      </c>
      <c r="D14" s="14"/>
      <c r="E14" s="10"/>
      <c r="F14" s="10">
        <f t="shared" ref="F14:H19" si="2">(M14-(S6*$Q$20/$Q$3*$B$5+$C$5))/(S6*$Q$20/$Q$3)+1</f>
        <v>0.99744078677490677</v>
      </c>
      <c r="G14" s="10">
        <f t="shared" si="2"/>
        <v>0.94746899270643192</v>
      </c>
      <c r="H14" s="10">
        <f t="shared" si="2"/>
        <v>0.97153017153273191</v>
      </c>
      <c r="I14" s="10"/>
      <c r="J14" s="18"/>
      <c r="K14" s="2"/>
      <c r="L14" s="3"/>
      <c r="M14" s="3">
        <f t="shared" ref="M14:O14" si="3">$K6-M6</f>
        <v>2.2250534827586206</v>
      </c>
      <c r="N14" s="3">
        <f t="shared" si="3"/>
        <v>2.2007942068965507</v>
      </c>
      <c r="O14" s="3">
        <f t="shared" si="3"/>
        <v>2.1215536551724208</v>
      </c>
      <c r="P14" s="3"/>
      <c r="R14" s="3"/>
      <c r="S14" s="3">
        <f>M14/(S6*$Q$20/$Q$3)</f>
        <v>0.56110156415665702</v>
      </c>
      <c r="T14" s="3">
        <f>N14/(T6*$Q$20/$Q$3)</f>
        <v>0.50962249006646498</v>
      </c>
      <c r="U14" s="3">
        <f>O14/(U6*$Q$20/$Q$3)</f>
        <v>0.53519771022142293</v>
      </c>
      <c r="V14" s="3"/>
      <c r="X14" s="3"/>
      <c r="Y14" s="3">
        <f t="shared" ref="Y14:AA17" si="4">S6/Y6</f>
        <v>5.0322242129479569E-2</v>
      </c>
      <c r="Z14" s="3">
        <f t="shared" si="4"/>
        <v>5.5565159117698083E-2</v>
      </c>
      <c r="AA14" s="3">
        <f t="shared" si="4"/>
        <v>5.1300878336043625E-2</v>
      </c>
      <c r="AB14" s="3"/>
      <c r="AE14" s="23"/>
      <c r="AF14" s="23"/>
      <c r="AG14" s="23"/>
      <c r="AK14" s="23"/>
      <c r="AL14" s="23"/>
      <c r="AM14" s="23"/>
    </row>
    <row r="15" spans="1:48" s="173" customFormat="1" x14ac:dyDescent="0.25">
      <c r="A15" s="182">
        <f>'DC-he-ipb1-30b'!M16*100</f>
        <v>600</v>
      </c>
      <c r="B15" s="184">
        <f>'DC-he-ipb1-30b'!O16</f>
        <v>0.42655902234688048</v>
      </c>
      <c r="C15" s="185">
        <f>'DC-he-ipb1-30b'!P16</f>
        <v>0</v>
      </c>
      <c r="D15" s="14"/>
      <c r="E15" s="10"/>
      <c r="F15" s="10">
        <f t="shared" si="2"/>
        <v>1.0234899601167899</v>
      </c>
      <c r="G15" s="10">
        <f t="shared" si="2"/>
        <v>1.0103611478091754</v>
      </c>
      <c r="H15" s="10">
        <f t="shared" si="2"/>
        <v>1.0501399053454716</v>
      </c>
      <c r="I15" s="10"/>
      <c r="J15" s="17"/>
      <c r="K15" s="1"/>
      <c r="L15" s="3"/>
      <c r="M15" s="3">
        <f t="shared" ref="M15:O19" si="5">$K7-M7</f>
        <v>2.5614171724137993</v>
      </c>
      <c r="N15" s="3">
        <f t="shared" si="5"/>
        <v>2.694102655172399</v>
      </c>
      <c r="O15" s="3">
        <f t="shared" si="5"/>
        <v>2.6744363448275994</v>
      </c>
      <c r="P15" s="3"/>
      <c r="Q15" s="1"/>
      <c r="R15" s="3"/>
      <c r="S15" s="3">
        <f t="shared" ref="S15:U17" si="6">M15/(S7*$Q$20/$Q$3)</f>
        <v>0.58542345227896464</v>
      </c>
      <c r="T15" s="3">
        <f t="shared" si="6"/>
        <v>0.57108220153362355</v>
      </c>
      <c r="U15" s="3">
        <f t="shared" si="6"/>
        <v>0.6120964186477561</v>
      </c>
      <c r="V15" s="3"/>
      <c r="W15" s="1"/>
      <c r="X15" s="3"/>
      <c r="Y15" s="3">
        <f t="shared" si="4"/>
        <v>5.5662848837701305E-2</v>
      </c>
      <c r="Z15" s="3">
        <f t="shared" si="4"/>
        <v>5.997255773867647E-2</v>
      </c>
      <c r="AA15" s="3">
        <f t="shared" si="4"/>
        <v>5.5507310091637514E-2</v>
      </c>
      <c r="AB15" s="3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s="173" customFormat="1" ht="15" customHeight="1" x14ac:dyDescent="0.25">
      <c r="A16" s="8"/>
      <c r="B16" s="34"/>
      <c r="C16" s="35"/>
      <c r="D16" s="14"/>
      <c r="E16" s="10"/>
      <c r="F16" s="10">
        <f t="shared" si="2"/>
        <v>1.0765268773844705</v>
      </c>
      <c r="G16" s="10">
        <f t="shared" si="2"/>
        <v>1.0567798128822166</v>
      </c>
      <c r="H16" s="10">
        <f t="shared" si="2"/>
        <v>1.0965935764474686</v>
      </c>
      <c r="I16" s="10"/>
      <c r="J16" s="51"/>
      <c r="K16" s="1"/>
      <c r="L16" s="3"/>
      <c r="M16" s="3">
        <f t="shared" si="5"/>
        <v>3.0763698275861984</v>
      </c>
      <c r="N16" s="3">
        <f t="shared" si="5"/>
        <v>3.2473821379311012</v>
      </c>
      <c r="O16" s="3">
        <f t="shared" si="5"/>
        <v>3.1875791034483001</v>
      </c>
      <c r="P16" s="3"/>
      <c r="Q16" s="1"/>
      <c r="R16" s="3"/>
      <c r="S16" s="3">
        <f t="shared" si="6"/>
        <v>0.63688596320096413</v>
      </c>
      <c r="T16" s="3">
        <f t="shared" si="6"/>
        <v>0.61586833335855051</v>
      </c>
      <c r="U16" s="3">
        <f t="shared" si="6"/>
        <v>0.6568832445212115</v>
      </c>
      <c r="V16" s="3"/>
      <c r="W16" s="1"/>
      <c r="X16" s="3"/>
      <c r="Y16" s="3">
        <f t="shared" si="4"/>
        <v>6.1646622875211339E-2</v>
      </c>
      <c r="Z16" s="3">
        <f t="shared" si="4"/>
        <v>6.7205264818720273E-2</v>
      </c>
      <c r="AA16" s="3">
        <f t="shared" si="4"/>
        <v>6.1821289599627065E-2</v>
      </c>
      <c r="AB16" s="3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s="173" customFormat="1" x14ac:dyDescent="0.25">
      <c r="A17" s="9"/>
      <c r="B17" s="34"/>
      <c r="C17" s="35"/>
      <c r="D17" s="14"/>
      <c r="E17" s="10"/>
      <c r="F17" s="10">
        <f t="shared" si="2"/>
        <v>1.1243676218316803</v>
      </c>
      <c r="G17" s="10">
        <f t="shared" si="2"/>
        <v>1.1251546834431678</v>
      </c>
      <c r="H17" s="10">
        <f t="shared" si="2"/>
        <v>1.148186094022533</v>
      </c>
      <c r="I17" s="10"/>
      <c r="J17" s="51"/>
      <c r="L17" s="3"/>
      <c r="M17" s="3">
        <f t="shared" si="5"/>
        <v>3.7381242413792997</v>
      </c>
      <c r="N17" s="3">
        <f t="shared" si="5"/>
        <v>4.088041999999998</v>
      </c>
      <c r="O17" s="3">
        <f t="shared" si="5"/>
        <v>3.8671388965516975</v>
      </c>
      <c r="P17" s="3"/>
      <c r="Q17" s="1"/>
      <c r="R17" s="3"/>
      <c r="S17" s="3">
        <f t="shared" si="6"/>
        <v>0.68294769939947197</v>
      </c>
      <c r="T17" s="3">
        <f t="shared" si="6"/>
        <v>0.68258467735434925</v>
      </c>
      <c r="U17" s="3">
        <f t="shared" si="6"/>
        <v>0.70677094702903565</v>
      </c>
      <c r="V17" s="3"/>
      <c r="W17" s="174"/>
      <c r="X17" s="3"/>
      <c r="Y17" s="3">
        <f t="shared" si="4"/>
        <v>7.0056144484152344E-2</v>
      </c>
      <c r="Z17" s="3">
        <f t="shared" si="4"/>
        <v>7.6569345513185949E-2</v>
      </c>
      <c r="AA17" s="3">
        <f t="shared" si="4"/>
        <v>6.9930786392980379E-2</v>
      </c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8" s="173" customFormat="1" ht="15" customHeight="1" x14ac:dyDescent="0.25">
      <c r="A18" s="157"/>
      <c r="B18" s="129"/>
      <c r="C18" s="130"/>
      <c r="D18" s="14"/>
      <c r="E18" s="10"/>
      <c r="F18" s="10">
        <f t="shared" si="2"/>
        <v>1.125888451936875</v>
      </c>
      <c r="G18" s="10">
        <f t="shared" si="2"/>
        <v>1.1004484581353051</v>
      </c>
      <c r="H18" s="10">
        <f t="shared" si="2"/>
        <v>1.144015898051723</v>
      </c>
      <c r="I18" s="10"/>
      <c r="J18" s="17"/>
      <c r="L18" s="3"/>
      <c r="M18" s="3">
        <f t="shared" si="5"/>
        <v>3.6643332413793033</v>
      </c>
      <c r="N18" s="3">
        <f t="shared" si="5"/>
        <v>3.7823082758620039</v>
      </c>
      <c r="O18" s="3">
        <f t="shared" si="5"/>
        <v>3.7740061379310035</v>
      </c>
      <c r="P18" s="3"/>
      <c r="Q18" s="1"/>
      <c r="R18" s="3"/>
      <c r="S18" s="3">
        <f t="shared" ref="S18:S19" si="7">M18/(S10*$Q$20/$Q$3)</f>
        <v>0.68477402405087329</v>
      </c>
      <c r="T18" s="3">
        <f t="shared" ref="T18:T19" si="8">N18/(T10*$Q$20/$Q$3)</f>
        <v>0.65839780701763462</v>
      </c>
      <c r="U18" s="3">
        <f t="shared" ref="U18:U19" si="9">O18/(U10*$Q$20/$Q$3)</f>
        <v>0.7028546844655903</v>
      </c>
      <c r="V18" s="3"/>
      <c r="W18" s="174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8" s="173" customFormat="1" ht="15" customHeight="1" x14ac:dyDescent="0.25">
      <c r="A19" s="157"/>
      <c r="B19" s="129"/>
      <c r="C19" s="130"/>
      <c r="D19" s="14"/>
      <c r="E19" s="10"/>
      <c r="F19" s="10">
        <f t="shared" si="2"/>
        <v>1.1019372305536392</v>
      </c>
      <c r="G19" s="10">
        <f t="shared" si="2"/>
        <v>1.0609177374127967</v>
      </c>
      <c r="H19" s="10">
        <f t="shared" si="2"/>
        <v>1.1293234668988383</v>
      </c>
      <c r="I19" s="10"/>
      <c r="J19" s="19"/>
      <c r="K19" s="3"/>
      <c r="L19" s="3"/>
      <c r="M19" s="3">
        <f>$K11-M11</f>
        <v>3.5182299655172002</v>
      </c>
      <c r="N19" s="3">
        <f t="shared" si="5"/>
        <v>3.4511028965517028</v>
      </c>
      <c r="O19" s="3">
        <f t="shared" si="5"/>
        <v>3.6527843103447992</v>
      </c>
      <c r="P19" s="3"/>
      <c r="Q19" s="1"/>
      <c r="R19" s="3"/>
      <c r="S19" s="3">
        <f t="shared" si="7"/>
        <v>0.66089395263192741</v>
      </c>
      <c r="T19" s="3">
        <f t="shared" si="8"/>
        <v>0.61925942792650746</v>
      </c>
      <c r="U19" s="3">
        <f t="shared" si="9"/>
        <v>0.68832330239511541</v>
      </c>
      <c r="V19" s="3"/>
      <c r="W19" s="174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8" s="173" customFormat="1" ht="15" customHeight="1" x14ac:dyDescent="0.25">
      <c r="A20" s="157"/>
      <c r="B20" s="129"/>
      <c r="C20" s="130"/>
      <c r="D20" s="15"/>
      <c r="E20" s="10"/>
      <c r="F20" s="10"/>
      <c r="G20" s="10"/>
      <c r="H20" s="10"/>
      <c r="I20" s="10"/>
      <c r="J20" s="18" t="s">
        <v>116</v>
      </c>
      <c r="K20" s="1"/>
      <c r="P20" s="173" t="s">
        <v>121</v>
      </c>
      <c r="Q20" s="176">
        <v>0.625</v>
      </c>
      <c r="R20" s="1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8" ht="15" customHeight="1" x14ac:dyDescent="0.25">
      <c r="A21" s="9"/>
      <c r="B21" s="129"/>
      <c r="C21" s="36"/>
      <c r="D21" s="14"/>
      <c r="E21" s="9"/>
      <c r="F21" s="173"/>
      <c r="G21" s="173"/>
      <c r="H21" s="173"/>
      <c r="I21" s="9"/>
      <c r="J21" s="123" t="s">
        <v>64</v>
      </c>
      <c r="K21" s="2" t="s">
        <v>117</v>
      </c>
      <c r="L21" s="3"/>
      <c r="M21" s="3"/>
      <c r="N21" s="3"/>
      <c r="O21" s="3"/>
      <c r="P21" s="3"/>
      <c r="Q21" s="3"/>
      <c r="R21" s="173"/>
      <c r="S21" s="173"/>
      <c r="T21" s="173"/>
      <c r="U21" s="173"/>
      <c r="V21" s="173"/>
      <c r="W21" s="17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173"/>
      <c r="AP21" s="173"/>
      <c r="AQ21" s="173"/>
      <c r="AR21" s="173"/>
      <c r="AS21" s="173"/>
      <c r="AT21" s="173"/>
      <c r="AU21" s="173"/>
      <c r="AV21" s="173"/>
    </row>
    <row r="22" spans="1:48" ht="15" customHeight="1" x14ac:dyDescent="0.25">
      <c r="A22" s="9"/>
      <c r="B22" s="9"/>
      <c r="C22" s="36"/>
      <c r="D22" s="14"/>
      <c r="E22" s="9"/>
      <c r="F22" s="173"/>
      <c r="G22" s="173"/>
      <c r="H22" s="173"/>
      <c r="I22" s="9"/>
      <c r="J22" s="123" t="s">
        <v>11</v>
      </c>
      <c r="K22" s="2" t="s">
        <v>118</v>
      </c>
      <c r="L22" s="3"/>
      <c r="M22" s="3"/>
      <c r="N22" s="3"/>
      <c r="O22" s="3"/>
      <c r="P22" s="3"/>
      <c r="Q22" s="3"/>
      <c r="R22" s="173"/>
      <c r="S22" s="173"/>
      <c r="T22" s="173"/>
      <c r="U22" s="173"/>
      <c r="V22" s="173"/>
      <c r="W22" s="17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173"/>
      <c r="AP22" s="173"/>
      <c r="AQ22" s="173"/>
      <c r="AR22" s="173"/>
      <c r="AS22" s="173"/>
      <c r="AT22" s="173"/>
      <c r="AU22" s="173"/>
      <c r="AV22" s="173"/>
    </row>
    <row r="23" spans="1:48" ht="15" customHeight="1" x14ac:dyDescent="0.25">
      <c r="A23" s="9"/>
      <c r="B23" s="9"/>
      <c r="C23" s="36"/>
      <c r="D23" s="52">
        <v>1</v>
      </c>
      <c r="E23" s="10"/>
      <c r="F23" s="10">
        <f>($B$3*$D23*S23+$C$3+$K23-M23)/(S23*$D23)</f>
        <v>0.99832841373568648</v>
      </c>
      <c r="G23" s="10">
        <f>($B$3*$D23*T23+$C$3+$K23-N23)/(T23*$D23)</f>
        <v>0.8819627776475798</v>
      </c>
      <c r="H23" s="10">
        <f>($B$3*$D23*U23+$C$3+$K23-O23)/(U23*$D23)</f>
        <v>0.99786535851182456</v>
      </c>
      <c r="I23" s="10"/>
      <c r="J23" s="131">
        <f>J6</f>
        <v>150</v>
      </c>
      <c r="K23" s="4">
        <v>9.5329266206896506</v>
      </c>
      <c r="L23" s="4"/>
      <c r="M23" s="4">
        <v>7.5781222068965501</v>
      </c>
      <c r="N23" s="4">
        <v>7.8723864827586203</v>
      </c>
      <c r="O23" s="4">
        <v>7.5728358275862098</v>
      </c>
      <c r="P23" s="4"/>
      <c r="Q23" s="4"/>
      <c r="R23" s="4"/>
      <c r="S23" s="4">
        <v>3.7510686551724102</v>
      </c>
      <c r="T23" s="4">
        <v>4.1196105517241399</v>
      </c>
      <c r="U23" s="4">
        <v>3.7650640344827599</v>
      </c>
      <c r="V23" s="4"/>
      <c r="W23" s="4">
        <v>0.41145199999999998</v>
      </c>
      <c r="X23" s="4"/>
      <c r="Y23" s="4">
        <v>49.696754931034498</v>
      </c>
      <c r="Z23" s="4">
        <v>49.776429137930997</v>
      </c>
      <c r="AA23" s="4">
        <v>49.802331931034502</v>
      </c>
      <c r="AB23" s="4"/>
      <c r="AC23" s="4">
        <v>1.16554481355932</v>
      </c>
      <c r="AD23" s="4"/>
      <c r="AE23" s="4">
        <v>4.3889192413793099</v>
      </c>
      <c r="AF23" s="4">
        <v>4.6921207241379301</v>
      </c>
      <c r="AG23" s="4">
        <v>4.5591579655172403</v>
      </c>
      <c r="AH23" s="4"/>
      <c r="AI23" s="4">
        <v>-0.110144050847458</v>
      </c>
      <c r="AJ23" s="4"/>
      <c r="AK23" s="4">
        <v>31.676284275862098</v>
      </c>
      <c r="AL23" s="4">
        <v>30.7057422758621</v>
      </c>
      <c r="AM23" s="4">
        <v>31.965085034482801</v>
      </c>
      <c r="AN23" s="4"/>
      <c r="AO23" s="106"/>
      <c r="AP23" s="106">
        <f>S23+AE23+AK23</f>
        <v>39.816272172413818</v>
      </c>
      <c r="AQ23" s="106">
        <f>T23+AF23+AL23</f>
        <v>39.517473551724166</v>
      </c>
      <c r="AR23" s="106">
        <f>U23+AG23+AM23</f>
        <v>40.289307034482803</v>
      </c>
      <c r="AS23" s="106"/>
    </row>
    <row r="24" spans="1:48" s="173" customFormat="1" ht="15" customHeight="1" x14ac:dyDescent="0.25">
      <c r="A24" s="160" t="str">
        <f ca="1">'DC-h2-ipb1-29b'!A1</f>
        <v>DC-h2-ipb1-29b</v>
      </c>
      <c r="B24" s="161"/>
      <c r="C24" s="162"/>
      <c r="D24" s="52">
        <v>1</v>
      </c>
      <c r="E24" s="10"/>
      <c r="F24" s="10">
        <f>($B$4*$D24*S24+$C$4+$K24-M24)/(S24*$D24)</f>
        <v>1.104315058420297</v>
      </c>
      <c r="G24" s="10">
        <f>($B$4*$D24*T24+$C$4+$K24-N24)/(T24*$D24)</f>
        <v>1.0269670515661939</v>
      </c>
      <c r="H24" s="10">
        <f>($B$4*$D24*U24+$C$4+$K24-O24)/(U24*$D24)</f>
        <v>1.1392150520882973</v>
      </c>
      <c r="I24" s="10"/>
      <c r="J24" s="131">
        <f t="shared" ref="J24:J26" si="10">J7</f>
        <v>200</v>
      </c>
      <c r="K24" s="4">
        <v>14.3892782068966</v>
      </c>
      <c r="L24" s="4"/>
      <c r="M24" s="4">
        <v>12.0477549655172</v>
      </c>
      <c r="N24" s="4">
        <v>12.163739</v>
      </c>
      <c r="O24" s="4">
        <v>11.8974451034483</v>
      </c>
      <c r="P24" s="4"/>
      <c r="Q24" s="4"/>
      <c r="R24" s="4"/>
      <c r="S24" s="4">
        <v>4.1853418275862104</v>
      </c>
      <c r="T24" s="4">
        <v>4.599208</v>
      </c>
      <c r="U24" s="4">
        <v>4.1922474137931003</v>
      </c>
      <c r="V24" s="4"/>
      <c r="W24" s="4">
        <v>0.46419344827586201</v>
      </c>
      <c r="X24" s="4"/>
      <c r="Y24" s="4">
        <v>49.476176896551699</v>
      </c>
      <c r="Z24" s="4">
        <v>49.521796137930998</v>
      </c>
      <c r="AA24" s="4">
        <v>49.566392896551697</v>
      </c>
      <c r="AB24" s="4"/>
      <c r="AC24" s="4">
        <v>0.33800993103448301</v>
      </c>
      <c r="AD24" s="4"/>
      <c r="AE24" s="4">
        <v>3.7930916551724101</v>
      </c>
      <c r="AF24" s="4">
        <v>4.4018634482758596</v>
      </c>
      <c r="AG24" s="4">
        <v>3.59566317241379</v>
      </c>
      <c r="AH24" s="4"/>
      <c r="AI24" s="4">
        <v>-0.62920372413793102</v>
      </c>
      <c r="AJ24" s="4"/>
      <c r="AK24" s="4">
        <v>31.0176350689655</v>
      </c>
      <c r="AL24" s="4">
        <v>30.123477655172401</v>
      </c>
      <c r="AM24" s="4">
        <v>30.898344379310299</v>
      </c>
      <c r="AN24" s="4"/>
      <c r="AO24" s="106"/>
      <c r="AP24" s="106">
        <f t="shared" ref="AP24:AR26" si="11">S24+AE24+AK24</f>
        <v>38.996068551724122</v>
      </c>
      <c r="AQ24" s="106">
        <f t="shared" si="11"/>
        <v>39.12454910344826</v>
      </c>
      <c r="AR24" s="106">
        <f t="shared" si="11"/>
        <v>38.686254965517186</v>
      </c>
      <c r="AS24" s="106"/>
      <c r="AT24" s="1"/>
      <c r="AU24" s="1"/>
      <c r="AV24" s="1"/>
    </row>
    <row r="25" spans="1:48" s="173" customFormat="1" x14ac:dyDescent="0.25">
      <c r="A25" s="163" t="s">
        <v>1</v>
      </c>
      <c r="B25" s="163" t="s">
        <v>15</v>
      </c>
      <c r="C25" s="164" t="s">
        <v>17</v>
      </c>
      <c r="D25" s="52">
        <v>1</v>
      </c>
      <c r="E25" s="10"/>
      <c r="F25" s="10">
        <f>($B$5*$D25*S25+$C$5+$K25-M25)/(S25*$D25)</f>
        <v>1.2035791856686722</v>
      </c>
      <c r="G25" s="10">
        <f>($B$5*$D25*T25+$C$5+$K25-N25)/(T25*$D25)</f>
        <v>1.126302335056458</v>
      </c>
      <c r="H25" s="10">
        <f>($B$5*$D25*U25+$C$5+$K25-O25)/(U25*$D25)</f>
        <v>1.2256329867491449</v>
      </c>
      <c r="I25" s="10"/>
      <c r="J25" s="131">
        <f t="shared" si="10"/>
        <v>250</v>
      </c>
      <c r="K25" s="4">
        <v>19.631483655172399</v>
      </c>
      <c r="L25" s="4"/>
      <c r="M25" s="4">
        <v>16.550596758620699</v>
      </c>
      <c r="N25" s="4">
        <v>16.6378794482759</v>
      </c>
      <c r="O25" s="4">
        <v>16.432163724137901</v>
      </c>
      <c r="P25" s="4"/>
      <c r="Q25" s="4"/>
      <c r="R25" s="4"/>
      <c r="S25" s="4">
        <v>4.7907187586206899</v>
      </c>
      <c r="T25" s="4">
        <v>5.2776184482758604</v>
      </c>
      <c r="U25" s="4">
        <v>4.8095006896551702</v>
      </c>
      <c r="V25" s="4"/>
      <c r="W25" s="4">
        <v>0.39151834482758602</v>
      </c>
      <c r="X25" s="4"/>
      <c r="Y25" s="4">
        <v>50.360598172413802</v>
      </c>
      <c r="Z25" s="4">
        <v>50.402256000000001</v>
      </c>
      <c r="AA25" s="4">
        <v>50.418815379310303</v>
      </c>
      <c r="AB25" s="4"/>
      <c r="AC25" s="4">
        <v>-0.52939017241379305</v>
      </c>
      <c r="AD25" s="4"/>
      <c r="AE25" s="4">
        <v>3.11110334482759</v>
      </c>
      <c r="AF25" s="4">
        <v>3.7166004137930999</v>
      </c>
      <c r="AG25" s="4">
        <v>2.8795810689655199</v>
      </c>
      <c r="AH25" s="4"/>
      <c r="AI25" s="4">
        <v>-1.0638915862069001</v>
      </c>
      <c r="AJ25" s="4"/>
      <c r="AK25" s="4">
        <v>30.045181275862099</v>
      </c>
      <c r="AL25" s="4">
        <v>29.056305931034501</v>
      </c>
      <c r="AM25" s="4">
        <v>30.038735172413801</v>
      </c>
      <c r="AN25" s="4"/>
      <c r="AO25" s="106"/>
      <c r="AP25" s="106">
        <f t="shared" si="11"/>
        <v>37.947003379310381</v>
      </c>
      <c r="AQ25" s="106">
        <f t="shared" si="11"/>
        <v>38.050524793103463</v>
      </c>
      <c r="AR25" s="106">
        <f t="shared" si="11"/>
        <v>37.727816931034489</v>
      </c>
      <c r="AS25" s="106"/>
      <c r="AT25" s="1"/>
      <c r="AU25" s="1"/>
      <c r="AV25" s="1"/>
    </row>
    <row r="26" spans="1:48" s="173" customFormat="1" x14ac:dyDescent="0.25">
      <c r="A26" s="163">
        <f>'DC-h2-ipb1-29b'!M4*100</f>
        <v>150</v>
      </c>
      <c r="B26" s="165">
        <f>'DC-h2-ipb1-29b'!O4</f>
        <v>0.4478814859572835</v>
      </c>
      <c r="C26" s="165">
        <f>'DC-h2-ipb1-29b'!P4</f>
        <v>4.5507160988492945E-2</v>
      </c>
      <c r="D26" s="52">
        <v>1.3</v>
      </c>
      <c r="E26" s="10"/>
      <c r="F26" s="10">
        <v>1</v>
      </c>
      <c r="G26" s="10">
        <f>($B$7*$D26*T26+$C$7+$K26-N26)/(T26*$D26)</f>
        <v>1.06499553240555</v>
      </c>
      <c r="H26" s="10">
        <f>($B$7*$D26*U26+$C$7+$K26-O26)/(U26*$D26)</f>
        <v>1.1282555713242743</v>
      </c>
      <c r="I26" s="10"/>
      <c r="J26" s="131">
        <f t="shared" si="10"/>
        <v>300</v>
      </c>
      <c r="K26" s="4">
        <v>25.507663758620701</v>
      </c>
      <c r="L26" s="4"/>
      <c r="M26" s="4">
        <v>21.710126827586201</v>
      </c>
      <c r="N26" s="4">
        <v>21.669066206896598</v>
      </c>
      <c r="O26" s="4">
        <v>21.618074862069001</v>
      </c>
      <c r="P26" s="4"/>
      <c r="Q26" s="4"/>
      <c r="R26" s="4"/>
      <c r="S26" s="4">
        <v>5.4193357931034498</v>
      </c>
      <c r="T26" s="4">
        <v>6.0526204482758601</v>
      </c>
      <c r="U26" s="4">
        <v>5.4317394137930997</v>
      </c>
      <c r="V26" s="4"/>
      <c r="W26" s="4">
        <v>0.42245500000000002</v>
      </c>
      <c r="X26" s="4"/>
      <c r="Y26" s="4">
        <v>50.230366068965502</v>
      </c>
      <c r="Z26" s="4">
        <v>50.268249137931001</v>
      </c>
      <c r="AA26" s="4">
        <v>50.291739137931003</v>
      </c>
      <c r="AB26" s="4"/>
      <c r="AC26" s="4">
        <v>-0.891108655172414</v>
      </c>
      <c r="AD26" s="4"/>
      <c r="AE26" s="4">
        <v>2.4943113793103402</v>
      </c>
      <c r="AF26" s="4">
        <v>3.2944347241379299</v>
      </c>
      <c r="AG26" s="4">
        <v>2.50273155172414</v>
      </c>
      <c r="AH26" s="4"/>
      <c r="AI26" s="4">
        <v>-1.2534817241379299</v>
      </c>
      <c r="AJ26" s="4"/>
      <c r="AK26" s="4">
        <v>29.3149907241379</v>
      </c>
      <c r="AL26" s="4">
        <v>28.283333862069</v>
      </c>
      <c r="AM26" s="4">
        <v>29.322591172413802</v>
      </c>
      <c r="AN26" s="4"/>
      <c r="AO26" s="106"/>
      <c r="AP26" s="106">
        <f>AP25</f>
        <v>37.947003379310381</v>
      </c>
      <c r="AQ26" s="106">
        <f t="shared" si="11"/>
        <v>37.630389034482789</v>
      </c>
      <c r="AR26" s="106">
        <f t="shared" si="11"/>
        <v>37.257062137931044</v>
      </c>
      <c r="AS26" s="106"/>
      <c r="AT26" s="1"/>
      <c r="AU26" s="1"/>
      <c r="AV26" s="1"/>
    </row>
    <row r="27" spans="1:48" s="173" customFormat="1" x14ac:dyDescent="0.25">
      <c r="A27" s="163">
        <f>'DC-h2-ipb1-29b'!M5*100</f>
        <v>200</v>
      </c>
      <c r="B27" s="165">
        <f>'DC-h2-ipb1-29b'!O5</f>
        <v>0.46795946724441367</v>
      </c>
      <c r="C27" s="165">
        <f>'DC-h2-ipb1-29b'!P5</f>
        <v>1.5549341072913947E-2</v>
      </c>
      <c r="D27" s="52">
        <v>1</v>
      </c>
      <c r="E27" s="10"/>
      <c r="F27" s="10">
        <f>($B$9*$D27*S27+$C$9+$K27-M27)/(S27*$D27)</f>
        <v>1.2849428633850923</v>
      </c>
      <c r="G27" s="10">
        <f>($B$9*$D27*T27+$C$9+$K27-N27)/(T27*$D27)</f>
        <v>1.2080035201373589</v>
      </c>
      <c r="H27" s="10">
        <f>($B$9*$D27*U27+$C$9+$K27-O27)/(U27*$D27)</f>
        <v>1.2968660328761585</v>
      </c>
      <c r="I27" s="10"/>
      <c r="J27" s="21">
        <v>350</v>
      </c>
      <c r="K27" s="4">
        <v>32.0933829655172</v>
      </c>
      <c r="L27" s="4"/>
      <c r="M27" s="4">
        <v>28.576191103448298</v>
      </c>
      <c r="N27" s="4">
        <v>28.744476241379299</v>
      </c>
      <c r="O27" s="4">
        <v>28.511377310344798</v>
      </c>
      <c r="P27" s="4"/>
      <c r="Q27" s="4"/>
      <c r="R27" s="4"/>
      <c r="S27" s="4">
        <v>5.2190748965517297</v>
      </c>
      <c r="T27" s="4">
        <v>5.60982555172414</v>
      </c>
      <c r="U27" s="4">
        <v>5.2228453103448302</v>
      </c>
      <c r="V27" s="4"/>
      <c r="W27" s="4">
        <v>0.424432172413793</v>
      </c>
      <c r="X27" s="4"/>
      <c r="Y27" s="4">
        <v>50.057641689655199</v>
      </c>
      <c r="Z27" s="4">
        <v>50.117157862069</v>
      </c>
      <c r="AA27" s="4">
        <v>50.140483310344798</v>
      </c>
      <c r="AB27" s="4"/>
      <c r="AC27" s="4">
        <v>-1.1232217586206901</v>
      </c>
      <c r="AD27" s="4"/>
      <c r="AE27" s="4">
        <v>2.4861017586206899</v>
      </c>
      <c r="AF27" s="4">
        <v>3.4823612758620701</v>
      </c>
      <c r="AG27" s="4">
        <v>3.3655335517241398</v>
      </c>
      <c r="AH27" s="4"/>
      <c r="AI27" s="4">
        <v>-1.2620410689655199</v>
      </c>
      <c r="AJ27" s="4"/>
      <c r="AK27" s="4">
        <v>29.260641206896501</v>
      </c>
      <c r="AL27" s="4">
        <v>28.530056172413801</v>
      </c>
      <c r="AM27" s="4">
        <v>29.6127346206897</v>
      </c>
      <c r="AN27"/>
      <c r="AO27" s="1"/>
      <c r="AP27" s="106">
        <f>S27+AE27+AK27</f>
        <v>36.965817862068917</v>
      </c>
      <c r="AQ27" s="106">
        <f>T27+AF27+AL27</f>
        <v>37.622243000000012</v>
      </c>
      <c r="AR27" s="106">
        <f>U27+AG27+AM27</f>
        <v>38.201113482758672</v>
      </c>
      <c r="AS27" s="1"/>
      <c r="AT27" s="1"/>
      <c r="AU27" s="1"/>
      <c r="AV27" s="1"/>
    </row>
    <row r="28" spans="1:48" s="173" customFormat="1" x14ac:dyDescent="0.25">
      <c r="A28" s="163">
        <f>'DC-h2-ipb1-29b'!M6*100</f>
        <v>250</v>
      </c>
      <c r="B28" s="165">
        <f>'DC-h2-ipb1-29b'!O6</f>
        <v>0.49616245375907758</v>
      </c>
      <c r="C28" s="165">
        <f>'DC-h2-ipb1-29b'!P6</f>
        <v>4.7050606023473662E-2</v>
      </c>
      <c r="D28" s="52">
        <v>1</v>
      </c>
      <c r="E28" s="10"/>
      <c r="F28" s="10">
        <f>($B$11*$D28*S28+$C$11+$K28-M28)/(S28*$D28)</f>
        <v>1.2646137413118257</v>
      </c>
      <c r="G28" s="10">
        <f>($B$11*$D28*T28+$C$11+$K28-N28)/(T28*$D28)</f>
        <v>1.1592880151039822</v>
      </c>
      <c r="H28" s="10">
        <f>($B$11*$D28*U28+$C$11+$K28-O28)/(U28*$D28)</f>
        <v>1.2804380032612823</v>
      </c>
      <c r="I28" s="10"/>
      <c r="J28" s="19">
        <v>400</v>
      </c>
      <c r="K28" s="4">
        <v>39.482920724137898</v>
      </c>
      <c r="L28" s="4"/>
      <c r="M28" s="4">
        <v>36.101175275862097</v>
      </c>
      <c r="N28" s="4">
        <v>36.535372896551699</v>
      </c>
      <c r="O28" s="4">
        <v>36.010784068965499</v>
      </c>
      <c r="P28" s="4"/>
      <c r="Q28" s="4"/>
      <c r="R28" s="4"/>
      <c r="S28" s="4">
        <v>5.1836549655172401</v>
      </c>
      <c r="T28" s="4">
        <v>5.3885086206896604</v>
      </c>
      <c r="U28" s="4">
        <v>5.1961983448275904</v>
      </c>
      <c r="V28" s="4"/>
      <c r="W28" s="4">
        <v>0.46812824137930997</v>
      </c>
      <c r="X28" s="4"/>
      <c r="Y28" s="4">
        <v>49.869526310344803</v>
      </c>
      <c r="Z28" s="4">
        <v>49.937207655172401</v>
      </c>
      <c r="AA28" s="4">
        <v>49.972166034482797</v>
      </c>
      <c r="AB28" s="4"/>
      <c r="AC28" s="4">
        <v>0.82049589655172395</v>
      </c>
      <c r="AD28" s="4"/>
      <c r="AE28" s="4">
        <v>4.6064565862068996</v>
      </c>
      <c r="AF28" s="4">
        <v>5.52205234482759</v>
      </c>
      <c r="AG28" s="4">
        <v>5.0831080344827599</v>
      </c>
      <c r="AH28" s="4"/>
      <c r="AI28" s="4">
        <v>-0.21157989655172399</v>
      </c>
      <c r="AJ28" s="4"/>
      <c r="AK28" s="4">
        <v>30.447366689655201</v>
      </c>
      <c r="AL28" s="4">
        <v>29.5290821034483</v>
      </c>
      <c r="AM28" s="4">
        <v>30.630152413793098</v>
      </c>
      <c r="AN28"/>
      <c r="AO28" s="7"/>
      <c r="AP28" s="106">
        <f t="shared" ref="AP28" si="12">S28+AE28+AK28</f>
        <v>40.237478241379343</v>
      </c>
      <c r="AQ28" s="106">
        <f t="shared" ref="AQ28" si="13">T28+AF28+AL28</f>
        <v>40.439643068965552</v>
      </c>
      <c r="AR28" s="106">
        <f t="shared" ref="AR28" si="14">U28+AG28+AM28</f>
        <v>40.909458793103447</v>
      </c>
      <c r="AS28" s="1"/>
      <c r="AT28" s="1"/>
      <c r="AU28" s="1"/>
      <c r="AV28" s="1"/>
    </row>
    <row r="29" spans="1:48" s="173" customFormat="1" x14ac:dyDescent="0.25">
      <c r="A29" s="163">
        <f>'DC-h2-ipb1-29b'!M7*100</f>
        <v>275</v>
      </c>
      <c r="B29" s="165">
        <f>'DC-h2-ipb1-29b'!O7</f>
        <v>0.51404700802891057</v>
      </c>
      <c r="C29" s="165">
        <f>'DC-h2-ipb1-29b'!P7</f>
        <v>4.7050606023473662E-2</v>
      </c>
      <c r="D29" s="14"/>
      <c r="E29" s="8"/>
      <c r="F29" s="10"/>
      <c r="G29" s="10"/>
      <c r="H29" s="10"/>
      <c r="I29" s="8"/>
      <c r="J29" s="17"/>
      <c r="K29" s="178" t="s">
        <v>101</v>
      </c>
      <c r="L29" s="23"/>
      <c r="M29" s="23"/>
      <c r="N29" s="23"/>
      <c r="O29" s="23"/>
      <c r="P29" s="3"/>
      <c r="Q29" s="3"/>
      <c r="R29" s="3" t="s">
        <v>79</v>
      </c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 t="s">
        <v>76</v>
      </c>
      <c r="AE29" s="3"/>
      <c r="AF29" s="3"/>
      <c r="AG29" s="3"/>
      <c r="AH29" s="23"/>
      <c r="AI29" s="23"/>
      <c r="AJ29" s="23" t="s">
        <v>77</v>
      </c>
      <c r="AK29" s="3"/>
      <c r="AL29" s="3"/>
      <c r="AM29" s="3"/>
      <c r="AN29" s="41"/>
      <c r="AO29" s="1"/>
      <c r="AP29" s="1"/>
      <c r="AQ29" s="1"/>
      <c r="AR29" s="1"/>
      <c r="AS29" s="1"/>
      <c r="AT29" s="1"/>
      <c r="AU29" s="1"/>
      <c r="AV29" s="1"/>
    </row>
    <row r="30" spans="1:48" x14ac:dyDescent="0.25">
      <c r="A30" s="163">
        <f>'DC-h2-ipb1-29b'!M8*100</f>
        <v>300</v>
      </c>
      <c r="B30" s="165">
        <f>'DC-h2-ipb1-29b'!O8</f>
        <v>0.5284040682623824</v>
      </c>
      <c r="C30" s="165">
        <f>'DC-h2-ipb1-29b'!P8</f>
        <v>2.8609705166789734E-2</v>
      </c>
      <c r="D30" s="14"/>
      <c r="E30" s="186" t="s">
        <v>126</v>
      </c>
      <c r="F30" s="10"/>
      <c r="G30" s="10"/>
      <c r="H30" s="10"/>
      <c r="J30" s="21"/>
      <c r="K30" s="23"/>
      <c r="L30" s="173"/>
      <c r="M30" s="173"/>
      <c r="N30" s="173"/>
      <c r="O30" s="48"/>
      <c r="P30" s="3"/>
      <c r="Q30" s="3"/>
      <c r="R30" s="47"/>
      <c r="S30" s="173"/>
      <c r="T30" s="173"/>
      <c r="U30" s="173"/>
      <c r="V30" s="173"/>
      <c r="W30" s="3"/>
      <c r="X30" s="3"/>
      <c r="Y30" s="23"/>
      <c r="Z30" s="23"/>
      <c r="AA30" s="23"/>
      <c r="AB30" s="3"/>
      <c r="AC30" s="3"/>
      <c r="AD30" s="3"/>
      <c r="AE30" s="23"/>
      <c r="AF30" s="23"/>
      <c r="AG30" s="23"/>
      <c r="AH30" s="23"/>
      <c r="AI30" s="23"/>
      <c r="AJ30" s="23"/>
      <c r="AK30" s="23"/>
      <c r="AL30" s="23"/>
      <c r="AM30" s="23"/>
      <c r="AN30" s="41"/>
    </row>
    <row r="31" spans="1:48" x14ac:dyDescent="0.25">
      <c r="A31" s="163">
        <f>'DC-h2-ipb1-29b'!M9*100</f>
        <v>325</v>
      </c>
      <c r="B31" s="165">
        <f>'DC-h2-ipb1-29b'!O9</f>
        <v>0.54825198238411754</v>
      </c>
      <c r="C31" s="165">
        <f>'DC-h2-ipb1-29b'!P9</f>
        <v>2.8609705166789734E-2</v>
      </c>
      <c r="D31" s="16"/>
      <c r="F31" s="10">
        <f>(M31-(S23*$B$5+$C$5))/(S23)+1</f>
        <v>0.95641765099886444</v>
      </c>
      <c r="G31" s="10">
        <f t="shared" ref="G31:H36" si="15">(N31-(T23*$B$5+$C$5))/(T23)+1</f>
        <v>0.84011086900067422</v>
      </c>
      <c r="H31" s="10">
        <f t="shared" si="15"/>
        <v>0.95595704122197733</v>
      </c>
      <c r="K31" s="3"/>
      <c r="L31" s="167"/>
      <c r="M31" s="3">
        <f t="shared" ref="M31:O31" si="16">$K23-M23</f>
        <v>1.9548044137931004</v>
      </c>
      <c r="N31" s="3">
        <f t="shared" si="16"/>
        <v>1.6605401379310303</v>
      </c>
      <c r="O31" s="3">
        <f t="shared" si="16"/>
        <v>1.9600907931034408</v>
      </c>
      <c r="P31" s="3"/>
      <c r="R31" s="3"/>
      <c r="S31" s="3">
        <f>S6*$Q$20/$Q$3-S23</f>
        <v>0.21444066594827671</v>
      </c>
      <c r="T31" s="3">
        <f t="shared" ref="T31:U31" si="17">T6*$Q$20/$Q$3-T23</f>
        <v>0.19886881249999977</v>
      </c>
      <c r="U31" s="3">
        <f t="shared" si="17"/>
        <v>0.1989918922413807</v>
      </c>
      <c r="V31" s="3"/>
      <c r="AD31" s="3"/>
      <c r="AE31" s="3">
        <f>AE6-AE23-$AC6+$AC23</f>
        <v>0.40326122735241987</v>
      </c>
      <c r="AF31" s="3">
        <f t="shared" ref="AF31:AG31" si="18">AF6-AF23-$AC6+$AC23</f>
        <v>0.73332305493862981</v>
      </c>
      <c r="AG31" s="3">
        <f t="shared" si="18"/>
        <v>0.1173091928696699</v>
      </c>
      <c r="AH31" s="3"/>
      <c r="AJ31" s="3"/>
      <c r="AK31" s="3">
        <f>AK6-AK23-$AI6+$AI23</f>
        <v>0.86235546639386196</v>
      </c>
      <c r="AL31" s="3">
        <f t="shared" ref="AL31:AM31" si="19">AL6-AL23-$AI6+$AI23</f>
        <v>0.6083293629456612</v>
      </c>
      <c r="AM31" s="3">
        <f t="shared" si="19"/>
        <v>0.44157063880766217</v>
      </c>
      <c r="AN31" s="3"/>
    </row>
    <row r="32" spans="1:48" x14ac:dyDescent="0.25">
      <c r="A32" s="163">
        <f>'DC-h2-ipb1-29b'!M10*100</f>
        <v>350</v>
      </c>
      <c r="B32" s="165">
        <f>'DC-h2-ipb1-29b'!O10</f>
        <v>0.57015222925348907</v>
      </c>
      <c r="C32" s="165">
        <f>'DC-h2-ipb1-29b'!P10</f>
        <v>0</v>
      </c>
      <c r="F32" s="10">
        <f t="shared" ref="F32:F36" si="20">(M32-(S24*$B$5+$C$5))/(S24)+1</f>
        <v>0.99676589560356754</v>
      </c>
      <c r="G32" s="10">
        <f t="shared" si="15"/>
        <v>0.9227763028393825</v>
      </c>
      <c r="H32" s="10">
        <f t="shared" si="15"/>
        <v>1.0317273660370407</v>
      </c>
      <c r="K32" s="3"/>
      <c r="L32" s="167"/>
      <c r="M32" s="3">
        <f t="shared" ref="M32:O32" si="21">$K24-M24</f>
        <v>2.3415232413794005</v>
      </c>
      <c r="N32" s="3">
        <f t="shared" si="21"/>
        <v>2.2255392068966007</v>
      </c>
      <c r="O32" s="3">
        <f t="shared" si="21"/>
        <v>2.4918331034483003</v>
      </c>
      <c r="P32" s="3"/>
      <c r="R32" s="3"/>
      <c r="S32" s="3">
        <f t="shared" ref="S32:U36" si="22">S7*$Q$20/$Q$3-S24</f>
        <v>0.18998198706896119</v>
      </c>
      <c r="T32" s="3">
        <f t="shared" si="22"/>
        <v>0.1183311702586245</v>
      </c>
      <c r="U32" s="3">
        <f t="shared" si="22"/>
        <v>0.17705824353449273</v>
      </c>
      <c r="V32" s="3"/>
      <c r="AD32" s="3"/>
      <c r="AE32" s="3">
        <f t="shared" ref="AE32:AG36" si="23">AE7-AE24-$AC7+$AC24</f>
        <v>0.3284233793103532</v>
      </c>
      <c r="AF32" s="3">
        <f t="shared" si="23"/>
        <v>0.57819406896552339</v>
      </c>
      <c r="AG32" s="3">
        <f t="shared" si="23"/>
        <v>0.55593355172414327</v>
      </c>
      <c r="AH32" s="3"/>
      <c r="AJ32" s="3"/>
      <c r="AK32" s="3">
        <f t="shared" ref="AK32:AM36" si="24">AK7-AK24-$AI7+$AI24</f>
        <v>0.71266227586212738</v>
      </c>
      <c r="AL32" s="3">
        <f t="shared" si="24"/>
        <v>0.81865662068962808</v>
      </c>
      <c r="AM32" s="3">
        <f t="shared" si="24"/>
        <v>0.89165358620692958</v>
      </c>
      <c r="AN32" s="3"/>
    </row>
    <row r="33" spans="1:40" x14ac:dyDescent="0.25">
      <c r="A33" s="163">
        <f>'DC-h2-ipb1-29b'!M11*100</f>
        <v>375</v>
      </c>
      <c r="B33" s="165">
        <f>'DC-h2-ipb1-29b'!O11</f>
        <v>0.57627492745650033</v>
      </c>
      <c r="C33" s="165">
        <f>'DC-h2-ipb1-29b'!P11</f>
        <v>0</v>
      </c>
      <c r="F33" s="10">
        <f t="shared" si="20"/>
        <v>1.0826106542202916</v>
      </c>
      <c r="G33" s="10">
        <f t="shared" si="15"/>
        <v>1.0081503489470538</v>
      </c>
      <c r="H33" s="10">
        <f t="shared" si="15"/>
        <v>1.104783677049642</v>
      </c>
      <c r="K33" s="3"/>
      <c r="L33" s="167"/>
      <c r="M33" s="3">
        <f t="shared" ref="M33:O33" si="25">$K25-M25</f>
        <v>3.0808868965517</v>
      </c>
      <c r="N33" s="3">
        <f t="shared" si="25"/>
        <v>2.9936042068964994</v>
      </c>
      <c r="O33" s="3">
        <f t="shared" si="25"/>
        <v>3.1993199310344984</v>
      </c>
      <c r="P33" s="3"/>
      <c r="R33" s="3"/>
      <c r="S33" s="3">
        <f t="shared" si="22"/>
        <v>3.9611952586199983E-2</v>
      </c>
      <c r="T33" s="3">
        <f t="shared" si="22"/>
        <v>-4.7671551724075556E-3</v>
      </c>
      <c r="U33" s="3">
        <f t="shared" si="22"/>
        <v>4.3080237068969573E-2</v>
      </c>
      <c r="V33" s="3"/>
      <c r="AD33" s="3"/>
      <c r="AE33" s="3">
        <f t="shared" si="23"/>
        <v>2.2382137931026724E-2</v>
      </c>
      <c r="AF33" s="3">
        <f t="shared" si="23"/>
        <v>9.3024896551727076E-2</v>
      </c>
      <c r="AG33" s="3">
        <f t="shared" si="23"/>
        <v>9.7751827586207041E-2</v>
      </c>
      <c r="AH33" s="50"/>
      <c r="AJ33" s="3"/>
      <c r="AK33" s="3">
        <f t="shared" si="24"/>
        <v>0.87173317241377113</v>
      </c>
      <c r="AL33" s="3">
        <f t="shared" si="24"/>
        <v>0.99784296551726981</v>
      </c>
      <c r="AM33" s="3">
        <f t="shared" si="24"/>
        <v>1.220822344827569</v>
      </c>
      <c r="AN33" s="3"/>
    </row>
    <row r="34" spans="1:40" x14ac:dyDescent="0.25">
      <c r="A34" s="163">
        <f>'DC-h2-ipb1-29b'!M12*100</f>
        <v>400</v>
      </c>
      <c r="B34" s="165">
        <f>'DC-h2-ipb1-29b'!O12</f>
        <v>0.57986436537355046</v>
      </c>
      <c r="C34" s="165">
        <f>'DC-h2-ipb1-29b'!P12</f>
        <v>-8.6000454472652699E-2</v>
      </c>
      <c r="F34" s="10">
        <f t="shared" si="20"/>
        <v>1.1420247980905631</v>
      </c>
      <c r="G34" s="10">
        <f t="shared" si="15"/>
        <v>1.0769024663495346</v>
      </c>
      <c r="H34" s="10">
        <f t="shared" si="15"/>
        <v>1.1574024956240296</v>
      </c>
      <c r="K34" s="3"/>
      <c r="L34" s="167"/>
      <c r="M34" s="3">
        <f t="shared" ref="M34:O34" si="26">$K26-M26</f>
        <v>3.7975369310345002</v>
      </c>
      <c r="N34" s="3">
        <f t="shared" si="26"/>
        <v>3.8385975517241029</v>
      </c>
      <c r="O34" s="3">
        <f t="shared" si="26"/>
        <v>3.8895888965517003</v>
      </c>
      <c r="P34" s="3"/>
      <c r="R34" s="3"/>
      <c r="S34" s="3">
        <f t="shared" si="22"/>
        <v>5.4178862068972045E-2</v>
      </c>
      <c r="T34" s="3">
        <f t="shared" si="22"/>
        <v>-6.3558379310344471E-2</v>
      </c>
      <c r="U34" s="3">
        <f t="shared" si="22"/>
        <v>3.9819530172415796E-2</v>
      </c>
      <c r="V34" s="3"/>
      <c r="AD34" s="3"/>
      <c r="AE34" s="3">
        <f t="shared" si="23"/>
        <v>0.22594703448276576</v>
      </c>
      <c r="AF34" s="3">
        <f t="shared" si="23"/>
        <v>4.7288379310345907E-2</v>
      </c>
      <c r="AG34" s="3">
        <f t="shared" si="23"/>
        <v>0.28053527586206617</v>
      </c>
      <c r="AH34" s="3"/>
      <c r="AJ34" s="3"/>
      <c r="AK34" s="3">
        <f t="shared" si="24"/>
        <v>0.79610934482758022</v>
      </c>
      <c r="AL34" s="3">
        <f t="shared" si="24"/>
        <v>0.89663679310337852</v>
      </c>
      <c r="AM34" s="3">
        <f t="shared" si="24"/>
        <v>0.8831183793103774</v>
      </c>
      <c r="AN34" s="3"/>
    </row>
    <row r="35" spans="1:40" x14ac:dyDescent="0.25">
      <c r="A35" s="163">
        <f>'DC-h2-ipb1-29b'!M13*100</f>
        <v>450</v>
      </c>
      <c r="B35" s="165">
        <f>'DC-h2-ipb1-29b'!O13</f>
        <v>0.59366027001237243</v>
      </c>
      <c r="C35" s="165">
        <f>'DC-h2-ipb1-29b'!P13</f>
        <v>0</v>
      </c>
      <c r="F35" s="10">
        <f t="shared" si="20"/>
        <v>1.1146795543429813</v>
      </c>
      <c r="G35" s="10">
        <f t="shared" si="15"/>
        <v>1.0387161952073845</v>
      </c>
      <c r="H35" s="10">
        <f t="shared" si="15"/>
        <v>1.1266128390286323</v>
      </c>
      <c r="K35" s="3"/>
      <c r="L35" s="167"/>
      <c r="M35" s="3">
        <f t="shared" ref="M35:O35" si="27">$K27-M27</f>
        <v>3.517191862068902</v>
      </c>
      <c r="N35" s="3">
        <f t="shared" si="27"/>
        <v>3.3489067241379011</v>
      </c>
      <c r="O35" s="3">
        <f t="shared" si="27"/>
        <v>3.5820056551724022</v>
      </c>
      <c r="P35" s="3"/>
      <c r="R35" s="22"/>
      <c r="S35" s="3">
        <f t="shared" si="22"/>
        <v>0.13208199999998893</v>
      </c>
      <c r="T35" s="3">
        <f t="shared" si="22"/>
        <v>0.13489023491379726</v>
      </c>
      <c r="U35" s="3">
        <f t="shared" si="22"/>
        <v>0.14669439870688894</v>
      </c>
      <c r="V35" s="3"/>
      <c r="AD35" s="3"/>
      <c r="AE35" s="3">
        <f t="shared" si="23"/>
        <v>0.37522265517241404</v>
      </c>
      <c r="AF35" s="3">
        <f t="shared" si="23"/>
        <v>8.4516517241373545E-2</v>
      </c>
      <c r="AG35" s="3">
        <f t="shared" si="23"/>
        <v>-7.5729344827585976E-2</v>
      </c>
      <c r="AH35" s="3"/>
      <c r="AJ35" s="3"/>
      <c r="AK35" s="3">
        <f t="shared" si="24"/>
        <v>0.70394137931043455</v>
      </c>
      <c r="AL35" s="3">
        <f t="shared" si="24"/>
        <v>0.48395965517243633</v>
      </c>
      <c r="AM35" s="3">
        <f t="shared" si="24"/>
        <v>0.51942975862063401</v>
      </c>
      <c r="AN35" s="3"/>
    </row>
    <row r="36" spans="1:40" x14ac:dyDescent="0.25">
      <c r="A36" s="163">
        <f>'DC-h2-ipb1-29b'!M14*100</f>
        <v>500</v>
      </c>
      <c r="B36" s="165">
        <f>'DC-h2-ipb1-29b'!O14</f>
        <v>0.57211056752480094</v>
      </c>
      <c r="C36" s="165">
        <f>'DC-h2-ipb1-29b'!P14</f>
        <v>0</v>
      </c>
      <c r="F36" s="10">
        <f t="shared" si="20"/>
        <v>1.0930591283226034</v>
      </c>
      <c r="G36" s="10">
        <f t="shared" si="15"/>
        <v>0.98821539403985159</v>
      </c>
      <c r="H36" s="10">
        <f t="shared" si="15"/>
        <v>1.1089139953480607</v>
      </c>
      <c r="K36" s="3"/>
      <c r="L36" s="167"/>
      <c r="M36" s="3">
        <f>$K28-M28</f>
        <v>3.3817454482758009</v>
      </c>
      <c r="N36" s="3">
        <f t="shared" ref="N36:O36" si="28">$K28-N28</f>
        <v>2.9475478275861988</v>
      </c>
      <c r="O36" s="3">
        <f t="shared" si="28"/>
        <v>3.4721366551723989</v>
      </c>
      <c r="P36" s="3"/>
      <c r="R36" s="3"/>
      <c r="S36" s="3">
        <f t="shared" si="22"/>
        <v>0.13978603663793177</v>
      </c>
      <c r="T36" s="3">
        <f t="shared" si="22"/>
        <v>0.18444310344827741</v>
      </c>
      <c r="U36" s="3">
        <f t="shared" si="22"/>
        <v>0.11058743103447188</v>
      </c>
      <c r="V36" s="3"/>
      <c r="AD36" s="3"/>
      <c r="AE36" s="3">
        <f t="shared" si="23"/>
        <v>-0.39407003448276345</v>
      </c>
      <c r="AF36" s="3">
        <f t="shared" si="23"/>
        <v>-0.64571620689655385</v>
      </c>
      <c r="AG36" s="3">
        <f t="shared" si="23"/>
        <v>-1.0216445862068939</v>
      </c>
      <c r="AH36" s="3"/>
      <c r="AJ36" s="3"/>
      <c r="AK36" s="3">
        <f t="shared" si="24"/>
        <v>0.4004554482758283</v>
      </c>
      <c r="AL36" s="3">
        <f t="shared" si="24"/>
        <v>0.51096003448273231</v>
      </c>
      <c r="AM36" s="3">
        <f t="shared" si="24"/>
        <v>0.19334348275863206</v>
      </c>
      <c r="AN36" s="3"/>
    </row>
    <row r="37" spans="1:40" x14ac:dyDescent="0.25">
      <c r="A37" s="163">
        <f>'DC-h2-ipb1-29b'!M15*100</f>
        <v>550</v>
      </c>
      <c r="B37" s="165">
        <f>'DC-h2-ipb1-29b'!O15</f>
        <v>0.5228455234141075</v>
      </c>
      <c r="C37" s="165">
        <f>'DC-h2-ipb1-29b'!P15</f>
        <v>0</v>
      </c>
      <c r="J37" s="18"/>
      <c r="K37" s="3"/>
      <c r="L37" s="3"/>
      <c r="M37" s="3"/>
      <c r="N37" s="3"/>
      <c r="O37" s="3"/>
      <c r="P37" s="3"/>
      <c r="R37" s="3"/>
      <c r="S37" s="3"/>
      <c r="T37" s="3"/>
      <c r="U37" s="3"/>
      <c r="V37" s="3"/>
      <c r="AD37" s="3"/>
      <c r="AE37" s="3"/>
      <c r="AF37" s="3"/>
      <c r="AG37" s="3"/>
      <c r="AH37" s="3"/>
      <c r="AJ37" s="3"/>
      <c r="AK37" s="3"/>
      <c r="AL37" s="3"/>
      <c r="AM37" s="3"/>
      <c r="AN37" s="3"/>
    </row>
    <row r="38" spans="1:40" x14ac:dyDescent="0.25">
      <c r="A38" s="163">
        <f>'DC-h2-ipb1-29b'!M16*100</f>
        <v>600</v>
      </c>
      <c r="B38" s="165">
        <f>'DC-h2-ipb1-29b'!O16</f>
        <v>0.43491256711935955</v>
      </c>
      <c r="C38" s="165">
        <f>'DC-h2-ipb1-29b'!P16</f>
        <v>0</v>
      </c>
      <c r="J38" s="123"/>
      <c r="K38" s="3"/>
      <c r="L38" s="3"/>
      <c r="M38" s="3"/>
      <c r="N38" s="3"/>
      <c r="O38" s="3"/>
      <c r="P38" s="3"/>
      <c r="R38" s="3"/>
      <c r="S38" s="3"/>
      <c r="T38" s="3"/>
      <c r="U38" s="3"/>
      <c r="V38" s="3"/>
      <c r="AD38" s="3"/>
      <c r="AE38" s="3"/>
      <c r="AF38" s="3"/>
      <c r="AG38" s="3"/>
      <c r="AH38" s="3"/>
      <c r="AJ38" s="3"/>
      <c r="AK38" s="3"/>
      <c r="AL38" s="3"/>
      <c r="AM38" s="3"/>
      <c r="AN38" s="3"/>
    </row>
    <row r="39" spans="1:40" x14ac:dyDescent="0.25">
      <c r="J39" s="123"/>
      <c r="K39" s="2"/>
      <c r="L39" s="3"/>
      <c r="M39" s="3"/>
      <c r="N39" s="3"/>
      <c r="O39" s="3"/>
      <c r="P39" s="3"/>
      <c r="R39" s="3"/>
      <c r="S39" s="3"/>
      <c r="T39" s="3"/>
      <c r="U39" s="3"/>
      <c r="V39" s="3"/>
      <c r="AD39" s="3"/>
      <c r="AE39" s="3"/>
      <c r="AF39" s="3"/>
      <c r="AG39" s="3"/>
      <c r="AH39" s="3"/>
      <c r="AJ39" s="3"/>
      <c r="AK39" s="3"/>
      <c r="AL39" s="3"/>
      <c r="AM39" s="3"/>
      <c r="AN39" s="3"/>
    </row>
    <row r="40" spans="1:40" x14ac:dyDescent="0.25">
      <c r="D40" s="52"/>
      <c r="E40" s="10"/>
      <c r="F40" s="10"/>
      <c r="G40" s="10"/>
      <c r="H40" s="10"/>
      <c r="J40" s="131"/>
      <c r="K40" s="4"/>
      <c r="L40" s="4"/>
      <c r="M40" s="4"/>
      <c r="N40" s="4"/>
      <c r="O40" s="4"/>
      <c r="P40" s="3"/>
      <c r="R40" s="3"/>
      <c r="S40" s="3"/>
      <c r="T40" s="3"/>
      <c r="U40" s="3"/>
      <c r="V40" s="3"/>
      <c r="AD40" s="3"/>
      <c r="AE40" s="3"/>
      <c r="AF40" s="3"/>
      <c r="AG40" s="3"/>
      <c r="AH40" s="3"/>
      <c r="AJ40" s="3"/>
      <c r="AK40" s="3"/>
      <c r="AL40" s="3"/>
      <c r="AM40" s="3"/>
      <c r="AN40" s="3"/>
    </row>
    <row r="41" spans="1:40" x14ac:dyDescent="0.25">
      <c r="D41" s="52"/>
      <c r="E41" s="10"/>
      <c r="F41" s="10"/>
      <c r="G41" s="10"/>
      <c r="H41" s="10"/>
      <c r="J41" s="131"/>
      <c r="K41" s="4"/>
      <c r="L41" s="4"/>
      <c r="M41" s="4"/>
      <c r="N41" s="4"/>
      <c r="O41" s="4"/>
      <c r="P41" s="3"/>
      <c r="R41" s="3"/>
      <c r="S41" s="3"/>
      <c r="T41" s="3"/>
      <c r="U41" s="3"/>
      <c r="V41" s="3"/>
      <c r="AD41" s="3"/>
      <c r="AE41" s="3"/>
      <c r="AF41" s="3"/>
      <c r="AG41" s="3"/>
      <c r="AH41" s="3"/>
      <c r="AJ41" s="3"/>
      <c r="AK41" s="3"/>
      <c r="AL41" s="3"/>
      <c r="AM41" s="3"/>
      <c r="AN41" s="3"/>
    </row>
    <row r="42" spans="1:40" x14ac:dyDescent="0.25">
      <c r="D42" s="52"/>
      <c r="E42" s="10"/>
      <c r="F42" s="10"/>
      <c r="G42" s="10"/>
      <c r="H42" s="10"/>
      <c r="J42" s="131"/>
      <c r="K42" s="4"/>
      <c r="L42" s="4"/>
      <c r="M42" s="4"/>
      <c r="N42" s="4"/>
      <c r="O42" s="4"/>
      <c r="P42" s="3"/>
      <c r="R42" s="3"/>
      <c r="S42" s="3"/>
      <c r="T42" s="3"/>
      <c r="U42" s="3"/>
      <c r="V42" s="3"/>
      <c r="AD42" s="3"/>
      <c r="AE42" s="3"/>
      <c r="AF42" s="3"/>
      <c r="AG42" s="3"/>
      <c r="AH42" s="3"/>
      <c r="AJ42" s="3"/>
      <c r="AK42" s="3"/>
      <c r="AL42" s="3"/>
      <c r="AM42" s="3"/>
      <c r="AN42" s="3"/>
    </row>
    <row r="43" spans="1:40" x14ac:dyDescent="0.25">
      <c r="D43" s="52"/>
      <c r="E43" s="10"/>
      <c r="F43" s="10"/>
      <c r="G43" s="10"/>
      <c r="H43" s="10"/>
      <c r="J43" s="131"/>
      <c r="K43" s="4"/>
      <c r="L43" s="4"/>
      <c r="M43" s="4"/>
      <c r="N43" s="4"/>
      <c r="O43" s="4"/>
      <c r="P43" s="3"/>
      <c r="R43" s="3"/>
      <c r="S43" s="3"/>
      <c r="T43" s="3"/>
      <c r="U43" s="3"/>
      <c r="V43" s="3"/>
      <c r="AD43" s="3"/>
      <c r="AE43" s="3"/>
      <c r="AF43" s="3"/>
      <c r="AG43" s="3"/>
      <c r="AH43" s="3"/>
      <c r="AJ43" s="3"/>
      <c r="AK43" s="3"/>
      <c r="AL43" s="3"/>
      <c r="AM43" s="3"/>
      <c r="AN43" s="3"/>
    </row>
    <row r="44" spans="1:40" x14ac:dyDescent="0.25">
      <c r="D44" s="52"/>
      <c r="E44" s="10"/>
      <c r="F44" s="10"/>
      <c r="G44" s="10"/>
      <c r="H44" s="158"/>
      <c r="J44" s="131"/>
      <c r="K44" s="4"/>
      <c r="L44" s="4"/>
      <c r="M44" s="173"/>
      <c r="V44" s="3"/>
      <c r="AD44" s="3"/>
      <c r="AE44" s="3"/>
      <c r="AF44" s="3"/>
      <c r="AG44" s="3"/>
      <c r="AH44" s="3"/>
      <c r="AJ44" s="3"/>
      <c r="AK44" s="3"/>
      <c r="AL44" s="3"/>
      <c r="AM44" s="3"/>
      <c r="AN44" s="3"/>
    </row>
    <row r="45" spans="1:40" x14ac:dyDescent="0.25">
      <c r="D45" s="52"/>
      <c r="E45" s="10"/>
      <c r="F45" s="10"/>
      <c r="G45" s="10"/>
      <c r="H45" s="158"/>
      <c r="J45" s="131"/>
      <c r="K45" s="4"/>
      <c r="L45" s="4"/>
      <c r="M45" s="3"/>
      <c r="N45" s="3"/>
      <c r="O45" s="3"/>
      <c r="S45" s="3"/>
      <c r="T45" s="3"/>
      <c r="U45" s="3"/>
      <c r="V45" s="3"/>
      <c r="AD45" s="3"/>
      <c r="AE45" s="3"/>
      <c r="AF45" s="3"/>
      <c r="AG45" s="3"/>
      <c r="AH45" s="3"/>
      <c r="AJ45" s="3"/>
      <c r="AK45" s="3"/>
      <c r="AL45" s="3"/>
      <c r="AM45" s="3"/>
      <c r="AN45" s="3"/>
    </row>
    <row r="46" spans="1:40" x14ac:dyDescent="0.25">
      <c r="D46" s="52"/>
      <c r="E46" s="10"/>
      <c r="F46" s="10"/>
      <c r="G46" s="10"/>
      <c r="H46" s="158"/>
      <c r="J46" s="131"/>
      <c r="K46" s="4"/>
      <c r="L46" s="4"/>
      <c r="M46" s="3"/>
      <c r="N46" s="3"/>
      <c r="O46" s="3"/>
      <c r="S46" s="3"/>
      <c r="T46" s="3"/>
      <c r="U46" s="3"/>
      <c r="V46" s="3"/>
      <c r="AD46" s="3"/>
      <c r="AE46" s="3"/>
      <c r="AF46" s="3"/>
      <c r="AG46" s="3"/>
      <c r="AH46" s="3"/>
      <c r="AJ46" s="3"/>
      <c r="AK46" s="3"/>
      <c r="AL46" s="3"/>
      <c r="AM46" s="3"/>
      <c r="AN46" s="3"/>
    </row>
    <row r="47" spans="1:40" x14ac:dyDescent="0.25">
      <c r="K47" s="3"/>
      <c r="L47" s="3"/>
      <c r="M47" s="3"/>
      <c r="N47" s="3"/>
      <c r="O47" s="3"/>
      <c r="S47" s="3"/>
      <c r="T47" s="3"/>
      <c r="U47" s="3"/>
      <c r="V47" s="3"/>
      <c r="AD47" s="3"/>
      <c r="AE47" s="3"/>
      <c r="AF47" s="3"/>
      <c r="AG47" s="3"/>
      <c r="AH47" s="3"/>
      <c r="AJ47" s="3"/>
      <c r="AK47" s="3"/>
      <c r="AL47" s="3"/>
      <c r="AM47" s="3"/>
      <c r="AN47" s="3"/>
    </row>
    <row r="48" spans="1:40" x14ac:dyDescent="0.25">
      <c r="K48" s="3"/>
      <c r="L48" s="3"/>
      <c r="M48" s="22"/>
      <c r="N48" s="22"/>
      <c r="O48" s="22"/>
      <c r="S48" s="3"/>
      <c r="T48" s="3"/>
      <c r="U48" s="3"/>
      <c r="V48" s="3"/>
      <c r="AD48" s="3"/>
      <c r="AE48" s="3"/>
      <c r="AF48" s="3"/>
      <c r="AG48" s="3"/>
      <c r="AH48" s="3"/>
      <c r="AJ48" s="3"/>
      <c r="AK48" s="3"/>
      <c r="AL48" s="3"/>
      <c r="AM48" s="3"/>
      <c r="AN48" s="3"/>
    </row>
    <row r="49" spans="4:39" x14ac:dyDescent="0.25">
      <c r="J49" s="18"/>
      <c r="M49" s="3"/>
      <c r="N49" s="3"/>
      <c r="O49" s="3"/>
      <c r="S49" s="3"/>
      <c r="T49" s="3"/>
      <c r="U49" s="3"/>
    </row>
    <row r="50" spans="4:39" x14ac:dyDescent="0.25">
      <c r="J50" s="123"/>
      <c r="K50" s="2"/>
      <c r="M50" s="3"/>
      <c r="N50" s="3"/>
      <c r="O50" s="3"/>
      <c r="S50" s="3"/>
      <c r="T50" s="3"/>
      <c r="U50" s="3"/>
    </row>
    <row r="51" spans="4:39" x14ac:dyDescent="0.25">
      <c r="J51" s="123"/>
      <c r="K51" s="2"/>
    </row>
    <row r="52" spans="4:39" x14ac:dyDescent="0.25">
      <c r="D52" s="52"/>
      <c r="E52" s="10"/>
      <c r="F52" s="10"/>
      <c r="G52" s="10"/>
      <c r="H52" s="10"/>
      <c r="I52" s="10"/>
      <c r="K52" s="4"/>
      <c r="L52" s="4"/>
      <c r="M52" s="4"/>
      <c r="N52" s="4"/>
      <c r="O52" s="4"/>
      <c r="P52" s="3"/>
      <c r="Q52" s="3"/>
      <c r="R52" s="3"/>
      <c r="S52" s="4"/>
      <c r="T52" s="4"/>
      <c r="U52" s="4"/>
      <c r="V52" s="3"/>
      <c r="W52" s="4"/>
      <c r="X52" s="4"/>
      <c r="Y52" s="4"/>
      <c r="Z52" s="4"/>
      <c r="AA52" s="4"/>
      <c r="AB52" s="3"/>
      <c r="AC52" s="4"/>
      <c r="AD52" s="4"/>
      <c r="AE52" s="4"/>
      <c r="AF52" s="4"/>
      <c r="AG52" s="4"/>
      <c r="AH52" s="3"/>
      <c r="AI52" s="4"/>
      <c r="AJ52" s="4"/>
      <c r="AK52" s="4"/>
      <c r="AL52" s="4"/>
      <c r="AM52" s="4"/>
    </row>
    <row r="53" spans="4:39" x14ac:dyDescent="0.25">
      <c r="D53" s="52"/>
      <c r="E53" s="10"/>
      <c r="F53" s="10"/>
      <c r="G53" s="10"/>
      <c r="H53" s="10"/>
      <c r="I53" s="10"/>
      <c r="K53" s="4"/>
      <c r="L53" s="4"/>
      <c r="M53" s="4"/>
      <c r="N53" s="4"/>
      <c r="O53" s="4"/>
      <c r="P53" s="3"/>
      <c r="Q53" s="3"/>
      <c r="R53" s="3"/>
      <c r="S53" s="4"/>
      <c r="T53" s="4"/>
      <c r="U53" s="4"/>
      <c r="V53" s="3"/>
      <c r="W53" s="4"/>
      <c r="X53" s="4"/>
      <c r="Y53" s="4"/>
      <c r="Z53" s="4"/>
      <c r="AA53" s="4"/>
      <c r="AB53" s="3"/>
      <c r="AC53" s="4"/>
      <c r="AD53" s="4"/>
      <c r="AE53" s="4"/>
      <c r="AF53" s="4"/>
      <c r="AG53" s="4"/>
      <c r="AH53" s="3"/>
      <c r="AI53" s="4"/>
      <c r="AJ53" s="4"/>
      <c r="AK53" s="4"/>
      <c r="AL53" s="4"/>
      <c r="AM53" s="4"/>
    </row>
    <row r="54" spans="4:39" x14ac:dyDescent="0.25">
      <c r="D54" s="52"/>
      <c r="E54" s="10"/>
      <c r="F54" s="87"/>
      <c r="G54" s="87"/>
      <c r="H54" s="87"/>
      <c r="I54" s="10"/>
      <c r="K54" s="4"/>
      <c r="L54" s="4"/>
      <c r="M54" s="4"/>
      <c r="N54" s="4"/>
      <c r="O54" s="4"/>
      <c r="P54" s="3"/>
      <c r="Q54" s="3"/>
      <c r="R54" s="3"/>
      <c r="S54" s="4"/>
      <c r="T54" s="4"/>
      <c r="U54" s="4"/>
      <c r="V54" s="3"/>
      <c r="W54" s="4"/>
      <c r="X54" s="4"/>
      <c r="Y54" s="4"/>
      <c r="Z54" s="4"/>
      <c r="AA54" s="4"/>
      <c r="AB54" s="3"/>
      <c r="AC54" s="4"/>
      <c r="AD54" s="4"/>
      <c r="AE54" s="4"/>
      <c r="AF54" s="4"/>
      <c r="AG54" s="4"/>
      <c r="AH54" s="3"/>
      <c r="AI54" s="4"/>
      <c r="AJ54" s="4"/>
      <c r="AK54" s="4"/>
      <c r="AL54" s="4"/>
      <c r="AM54" s="4"/>
    </row>
    <row r="55" spans="4:39" x14ac:dyDescent="0.25">
      <c r="D55" s="52"/>
      <c r="E55" s="10"/>
      <c r="F55" s="87"/>
      <c r="G55" s="87"/>
      <c r="H55" s="87"/>
      <c r="I55" s="10"/>
      <c r="K55" s="4"/>
      <c r="L55" s="4"/>
      <c r="M55" s="4"/>
      <c r="N55" s="4"/>
      <c r="O55" s="4"/>
      <c r="P55" s="3"/>
      <c r="Q55" s="3"/>
      <c r="R55" s="3"/>
      <c r="S55" s="4"/>
      <c r="T55" s="4"/>
      <c r="U55" s="4"/>
      <c r="V55" s="3"/>
      <c r="W55" s="4"/>
      <c r="X55" s="4"/>
      <c r="Y55" s="4"/>
      <c r="Z55" s="4"/>
      <c r="AA55" s="4"/>
      <c r="AB55" s="3"/>
      <c r="AC55" s="4"/>
      <c r="AD55" s="4"/>
      <c r="AE55" s="4"/>
      <c r="AF55" s="4"/>
      <c r="AG55" s="4"/>
      <c r="AH55" s="3"/>
      <c r="AI55" s="4"/>
      <c r="AJ55" s="4"/>
      <c r="AK55" s="4"/>
      <c r="AL55" s="4"/>
      <c r="AM55" s="4"/>
    </row>
    <row r="56" spans="4:39" x14ac:dyDescent="0.25">
      <c r="D56" s="52"/>
      <c r="E56" s="10"/>
      <c r="F56" s="10"/>
      <c r="G56" s="10"/>
      <c r="H56" s="10"/>
      <c r="I56" s="10"/>
      <c r="K56" s="4"/>
      <c r="L56" s="4"/>
      <c r="M56" s="4"/>
      <c r="N56" s="4"/>
      <c r="O56" s="4"/>
      <c r="P56" s="3"/>
      <c r="Q56" s="3"/>
      <c r="R56" s="3"/>
      <c r="S56" s="4"/>
      <c r="T56" s="4"/>
      <c r="U56" s="4"/>
      <c r="V56" s="3"/>
      <c r="W56" s="4"/>
      <c r="X56" s="4"/>
      <c r="Y56" s="4"/>
      <c r="Z56" s="4"/>
      <c r="AA56" s="4"/>
      <c r="AB56" s="3"/>
      <c r="AC56" s="4"/>
      <c r="AD56" s="4"/>
      <c r="AE56" s="4"/>
      <c r="AF56" s="4"/>
      <c r="AG56" s="4"/>
      <c r="AH56" s="3"/>
      <c r="AI56" s="4"/>
      <c r="AJ56" s="4"/>
      <c r="AK56" s="4"/>
      <c r="AL56" s="4"/>
      <c r="AM56" s="4"/>
    </row>
    <row r="57" spans="4:39" x14ac:dyDescent="0.25">
      <c r="D57" s="52"/>
      <c r="E57" s="10"/>
      <c r="F57" s="10"/>
      <c r="G57" s="10"/>
      <c r="H57" s="10"/>
      <c r="I57" s="10"/>
      <c r="K57" s="4"/>
      <c r="L57" s="4"/>
      <c r="M57" s="4"/>
      <c r="N57" s="4"/>
      <c r="O57" s="3"/>
      <c r="P57" s="3"/>
      <c r="Q57" s="3"/>
      <c r="R57" s="3"/>
      <c r="S57" s="4"/>
      <c r="T57" s="4"/>
      <c r="U57" s="3"/>
      <c r="V57" s="3"/>
      <c r="W57" s="4"/>
      <c r="X57" s="4"/>
      <c r="Y57" s="4"/>
      <c r="Z57" s="4"/>
      <c r="AA57" s="3"/>
      <c r="AB57" s="3"/>
      <c r="AC57" s="4"/>
      <c r="AD57" s="4"/>
      <c r="AE57" s="4"/>
      <c r="AF57" s="4"/>
      <c r="AG57" s="3"/>
      <c r="AH57" s="3"/>
      <c r="AI57" s="4"/>
      <c r="AJ57" s="4"/>
      <c r="AK57" s="4"/>
      <c r="AL57" s="4"/>
      <c r="AM57" s="3"/>
    </row>
    <row r="58" spans="4:39" x14ac:dyDescent="0.25">
      <c r="M58" s="173"/>
    </row>
    <row r="59" spans="4:39" x14ac:dyDescent="0.25">
      <c r="M59" s="3"/>
      <c r="N59" s="3"/>
      <c r="O59" s="3"/>
      <c r="S59" s="3"/>
      <c r="T59" s="3"/>
      <c r="U59" s="3"/>
    </row>
    <row r="60" spans="4:39" x14ac:dyDescent="0.25">
      <c r="M60" s="3"/>
      <c r="N60" s="3"/>
      <c r="O60" s="3"/>
      <c r="S60" s="3"/>
      <c r="T60" s="3"/>
      <c r="U60" s="3"/>
    </row>
    <row r="61" spans="4:39" x14ac:dyDescent="0.25">
      <c r="M61" s="3"/>
      <c r="N61" s="3"/>
      <c r="O61" s="3"/>
      <c r="S61" s="3"/>
      <c r="T61" s="3"/>
      <c r="U61" s="3"/>
    </row>
    <row r="62" spans="4:39" x14ac:dyDescent="0.25">
      <c r="M62" s="22"/>
      <c r="N62" s="22"/>
      <c r="O62" s="22"/>
      <c r="S62" s="3"/>
      <c r="T62" s="3"/>
      <c r="U62" s="3"/>
    </row>
    <row r="63" spans="4:39" x14ac:dyDescent="0.25">
      <c r="M63" s="3"/>
      <c r="N63" s="3"/>
      <c r="O63" s="3"/>
      <c r="S63" s="3"/>
      <c r="T63" s="3"/>
      <c r="U63" s="3"/>
    </row>
    <row r="64" spans="4:39" x14ac:dyDescent="0.25">
      <c r="M64" s="3"/>
      <c r="N64" s="3"/>
      <c r="O64" s="3"/>
      <c r="S64" s="3"/>
      <c r="T64" s="3"/>
      <c r="U64" s="3"/>
    </row>
  </sheetData>
  <mergeCells count="7">
    <mergeCell ref="AI1:AN1"/>
    <mergeCell ref="D3:D5"/>
    <mergeCell ref="E1:I1"/>
    <mergeCell ref="K1:P1"/>
    <mergeCell ref="Q1:U1"/>
    <mergeCell ref="W1:AB1"/>
    <mergeCell ref="AC1:AH1"/>
  </mergeCells>
  <conditionalFormatting sqref="F29:H29">
    <cfRule type="cellIs" dxfId="8" priority="6" operator="greaterThan">
      <formula>1.3</formula>
    </cfRule>
  </conditionalFormatting>
  <conditionalFormatting sqref="E29:I29">
    <cfRule type="cellIs" dxfId="7" priority="1" operator="greaterThan">
      <formula>1.3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6"/>
  <sheetViews>
    <sheetView zoomScale="85" zoomScaleNormal="85" workbookViewId="0">
      <pane xSplit="3" ySplit="2" topLeftCell="D6" activePane="bottomRight" state="frozen"/>
      <selection activeCell="P1" sqref="P1:T1"/>
      <selection pane="topRight" activeCell="P1" sqref="P1:T1"/>
      <selection pane="bottomLeft" activeCell="P1" sqref="P1:T1"/>
      <selection pane="bottomRight" activeCell="V15" sqref="V15"/>
    </sheetView>
  </sheetViews>
  <sheetFormatPr defaultColWidth="9.140625" defaultRowHeight="15" x14ac:dyDescent="0.25"/>
  <cols>
    <col min="1" max="2" width="5.5703125" style="8" customWidth="1"/>
    <col min="3" max="3" width="5.5703125" style="33" customWidth="1"/>
    <col min="4" max="4" width="5.5703125" style="15" customWidth="1"/>
    <col min="5" max="5" width="6.42578125" style="8" bestFit="1" customWidth="1"/>
    <col min="6" max="6" width="5.5703125" style="1" customWidth="1"/>
    <col min="7" max="7" width="6.42578125" style="1" bestFit="1" customWidth="1"/>
    <col min="8" max="8" width="5.5703125" style="1" customWidth="1"/>
    <col min="9" max="9" width="7.42578125" style="8" bestFit="1" customWidth="1"/>
    <col min="10" max="10" width="5.5703125" style="17" customWidth="1"/>
    <col min="11" max="46" width="5.5703125" style="1" customWidth="1"/>
    <col min="47" max="16384" width="9.140625" style="1"/>
  </cols>
  <sheetData>
    <row r="1" spans="1:48" ht="15" customHeight="1" x14ac:dyDescent="0.25">
      <c r="A1" s="62" t="str">
        <f ca="1">'DC-he-ipb1-29b-10122016'!A1</f>
        <v>DC-he-ipb1-29b-10122016</v>
      </c>
      <c r="B1" s="63"/>
      <c r="C1" s="64"/>
      <c r="D1" s="13"/>
      <c r="E1" s="201" t="s">
        <v>54</v>
      </c>
      <c r="F1" s="201"/>
      <c r="G1" s="201"/>
      <c r="H1" s="201"/>
      <c r="I1" s="202"/>
      <c r="K1" s="199" t="s">
        <v>12</v>
      </c>
      <c r="L1" s="199"/>
      <c r="M1" s="199"/>
      <c r="N1" s="199"/>
      <c r="O1" s="199"/>
      <c r="P1" s="199"/>
      <c r="Q1" s="199" t="s">
        <v>10</v>
      </c>
      <c r="R1" s="199"/>
      <c r="S1" s="199"/>
      <c r="T1" s="199"/>
      <c r="U1" s="199"/>
      <c r="V1" s="5"/>
      <c r="W1" s="199" t="s">
        <v>7</v>
      </c>
      <c r="X1" s="199"/>
      <c r="Y1" s="199"/>
      <c r="Z1" s="199"/>
      <c r="AA1" s="199"/>
      <c r="AB1" s="199"/>
      <c r="AC1" s="199" t="s">
        <v>2</v>
      </c>
      <c r="AD1" s="199"/>
      <c r="AE1" s="199"/>
      <c r="AF1" s="199"/>
      <c r="AG1" s="199"/>
      <c r="AH1" s="199"/>
      <c r="AI1" s="199" t="s">
        <v>3</v>
      </c>
      <c r="AJ1" s="199"/>
      <c r="AK1" s="199"/>
      <c r="AL1" s="199"/>
      <c r="AM1" s="199"/>
      <c r="AN1" s="199"/>
      <c r="AO1" s="105" t="s">
        <v>59</v>
      </c>
      <c r="AP1" s="105"/>
      <c r="AQ1" s="105"/>
      <c r="AR1" s="105"/>
      <c r="AS1" s="105"/>
    </row>
    <row r="2" spans="1:48" ht="15" customHeight="1" x14ac:dyDescent="0.25">
      <c r="A2" s="65" t="s">
        <v>1</v>
      </c>
      <c r="B2" s="65" t="s">
        <v>15</v>
      </c>
      <c r="C2" s="66" t="s">
        <v>17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R2" s="5">
        <f>X2</f>
        <v>300</v>
      </c>
      <c r="S2" s="5">
        <f>Y2</f>
        <v>150</v>
      </c>
      <c r="T2" s="5">
        <f>Z2</f>
        <v>100</v>
      </c>
      <c r="U2" s="5">
        <f>AA2</f>
        <v>150</v>
      </c>
      <c r="V2" s="5">
        <f>AB2</f>
        <v>300</v>
      </c>
      <c r="W2" s="5"/>
      <c r="X2" s="1">
        <f>AJ2</f>
        <v>300</v>
      </c>
      <c r="Y2" s="1">
        <f>AK2</f>
        <v>150</v>
      </c>
      <c r="Z2" s="1">
        <f>AL2</f>
        <v>100</v>
      </c>
      <c r="AA2" s="1">
        <f>AM2</f>
        <v>150</v>
      </c>
      <c r="AB2" s="1">
        <f>AN2</f>
        <v>300</v>
      </c>
      <c r="AD2" s="1">
        <f>L2</f>
        <v>300</v>
      </c>
      <c r="AE2" s="1">
        <f>M2</f>
        <v>150</v>
      </c>
      <c r="AF2" s="1">
        <f>N2</f>
        <v>100</v>
      </c>
      <c r="AG2" s="1">
        <f>O2</f>
        <v>150</v>
      </c>
      <c r="AH2" s="1">
        <f>P2</f>
        <v>300</v>
      </c>
      <c r="AJ2" s="1">
        <f>AD2</f>
        <v>300</v>
      </c>
      <c r="AK2" s="1">
        <f>AE2</f>
        <v>150</v>
      </c>
      <c r="AL2" s="1">
        <f>AF2</f>
        <v>100</v>
      </c>
      <c r="AM2" s="1">
        <f>AG2</f>
        <v>150</v>
      </c>
      <c r="AN2" s="1">
        <f>AH2</f>
        <v>300</v>
      </c>
      <c r="AO2" s="105">
        <f>AJ2</f>
        <v>300</v>
      </c>
      <c r="AP2" s="105">
        <f t="shared" ref="AP2:AS2" si="0">AK2</f>
        <v>150</v>
      </c>
      <c r="AQ2" s="105">
        <f t="shared" si="0"/>
        <v>100</v>
      </c>
      <c r="AR2" s="105">
        <f t="shared" si="0"/>
        <v>150</v>
      </c>
      <c r="AS2" s="105">
        <f t="shared" si="0"/>
        <v>300</v>
      </c>
    </row>
    <row r="3" spans="1:48" ht="15" customHeight="1" x14ac:dyDescent="0.25">
      <c r="A3" s="65">
        <f>'DC-he-ipb1-29b-10122016'!M4*100</f>
        <v>150</v>
      </c>
      <c r="B3" s="67">
        <f>'DC-he-ipb1-29b-10122016'!O4</f>
        <v>0.49163676459044392</v>
      </c>
      <c r="C3" s="68">
        <f>'DC-he-ipb1-29b-10122016'!P4</f>
        <v>-1.3749534725519208E-2</v>
      </c>
      <c r="D3" s="200" t="s">
        <v>5</v>
      </c>
      <c r="E3" s="9"/>
      <c r="F3" s="12"/>
      <c r="G3" s="12"/>
      <c r="H3" s="32"/>
      <c r="I3" s="32"/>
      <c r="J3" s="18" t="s">
        <v>22</v>
      </c>
      <c r="M3" s="124" t="s">
        <v>67</v>
      </c>
      <c r="N3" s="2" t="s">
        <v>66</v>
      </c>
      <c r="AO3" s="105"/>
      <c r="AP3" s="105"/>
      <c r="AQ3" s="105"/>
      <c r="AR3" s="105"/>
      <c r="AS3" s="105"/>
    </row>
    <row r="4" spans="1:48" x14ac:dyDescent="0.25">
      <c r="A4" s="65">
        <f>'DC-he-ipb1-29b-10122016'!M5*100</f>
        <v>200</v>
      </c>
      <c r="B4" s="67">
        <f>'DC-he-ipb1-29b-10122016'!O5</f>
        <v>0.51685078285366837</v>
      </c>
      <c r="C4" s="68">
        <f>'DC-he-ipb1-29b-10122016'!P5</f>
        <v>3.9619084191122145E-2</v>
      </c>
      <c r="D4" s="200"/>
      <c r="E4" s="9"/>
      <c r="F4" s="12"/>
      <c r="G4" s="12"/>
      <c r="H4" s="32"/>
      <c r="I4" s="32"/>
      <c r="J4" s="123" t="s">
        <v>64</v>
      </c>
      <c r="K4" s="2" t="s">
        <v>65</v>
      </c>
      <c r="AO4" s="105"/>
      <c r="AP4" s="105"/>
      <c r="AQ4" s="105"/>
      <c r="AR4" s="105"/>
      <c r="AS4" s="105"/>
    </row>
    <row r="5" spans="1:48" x14ac:dyDescent="0.25">
      <c r="A5" s="65">
        <f>'DC-he-ipb1-29b-10122016'!M6*100</f>
        <v>250</v>
      </c>
      <c r="B5" s="67">
        <f>'DC-he-ipb1-29b-10122016'!O6</f>
        <v>0.54381480016859618</v>
      </c>
      <c r="C5" s="68">
        <f>'DC-he-ipb1-29b-10122016'!P6</f>
        <v>-2.0752079767311304E-2</v>
      </c>
      <c r="D5" s="200"/>
      <c r="E5" s="9" t="s">
        <v>107</v>
      </c>
      <c r="F5" s="12" t="s">
        <v>108</v>
      </c>
      <c r="G5" s="12" t="s">
        <v>109</v>
      </c>
      <c r="H5" s="172" t="s">
        <v>108</v>
      </c>
      <c r="I5" s="32" t="s">
        <v>107</v>
      </c>
      <c r="J5" s="123" t="s">
        <v>11</v>
      </c>
      <c r="K5" s="2" t="s">
        <v>30</v>
      </c>
      <c r="AO5" s="105"/>
      <c r="AP5" s="105"/>
      <c r="AQ5" s="105"/>
      <c r="AR5" s="105"/>
      <c r="AS5" s="105"/>
    </row>
    <row r="6" spans="1:48" x14ac:dyDescent="0.25">
      <c r="A6" s="65">
        <f>'DC-he-ipb1-29b-10122016'!M7*100</f>
        <v>275</v>
      </c>
      <c r="B6" s="67">
        <f>'DC-he-ipb1-29b-10122016'!O7</f>
        <v>0.55066944396118356</v>
      </c>
      <c r="C6" s="68">
        <f>'DC-he-ipb1-29b-10122016'!P7</f>
        <v>-2.0752079767311304E-2</v>
      </c>
      <c r="D6" s="52">
        <v>1</v>
      </c>
      <c r="E6" s="10">
        <f>($B$3*$D6*R6+$C$3+$K6-L6)/(R6*$D6)</f>
        <v>0.98917234132201382</v>
      </c>
      <c r="F6" s="10">
        <f>($B$3*$D6*S6+$C$3+$K6-M6)/(S6*$D6)</f>
        <v>1.0198332174736706</v>
      </c>
      <c r="G6" s="10">
        <f>($B$3*$D6*T6+$C$3+$K6-N6)/(T6*$D6)</f>
        <v>0.99849623466992077</v>
      </c>
      <c r="H6" s="10">
        <f>($B$3*$D6*U6+$C$3+$K6-O6)/(U6*$D6)</f>
        <v>1.0263539597382227</v>
      </c>
      <c r="I6" s="10">
        <f>($B$3*$D6*V6+$C$3+$K6-P6)/(V6*$D6)</f>
        <v>1.0407271996635366</v>
      </c>
      <c r="J6" s="19">
        <v>150</v>
      </c>
      <c r="K6" s="23">
        <v>9.4017170338983096</v>
      </c>
      <c r="L6" s="4">
        <v>6.93615476271186</v>
      </c>
      <c r="M6" s="4">
        <v>6.7022774067796602</v>
      </c>
      <c r="N6" s="4">
        <v>6.7112831864406797</v>
      </c>
      <c r="O6" s="4">
        <v>6.6698626101694902</v>
      </c>
      <c r="P6" s="4">
        <v>6.6886200000000002</v>
      </c>
      <c r="Q6" s="88"/>
      <c r="R6" s="4">
        <v>4.9279144067796601</v>
      </c>
      <c r="S6" s="4">
        <v>5.0846424237288099</v>
      </c>
      <c r="T6" s="4">
        <v>5.2809200000000001</v>
      </c>
      <c r="U6" s="4">
        <v>5.0832569322033896</v>
      </c>
      <c r="V6" s="4">
        <v>4.91603445762712</v>
      </c>
      <c r="W6">
        <v>0.317701576271186</v>
      </c>
      <c r="X6" s="4">
        <v>50.091069559322001</v>
      </c>
      <c r="Y6" s="4">
        <v>50.109375932203399</v>
      </c>
      <c r="Z6" s="4">
        <v>50.162098864406801</v>
      </c>
      <c r="AA6" s="4">
        <v>50.178992254237301</v>
      </c>
      <c r="AB6" s="4">
        <v>50.199045271186399</v>
      </c>
      <c r="AC6" s="4">
        <v>0.21305281355932201</v>
      </c>
      <c r="AD6" s="4">
        <v>3.3313502033898299</v>
      </c>
      <c r="AE6" s="4">
        <v>3.5528937627118702</v>
      </c>
      <c r="AF6" s="4">
        <v>3.9016504406779702</v>
      </c>
      <c r="AG6" s="4">
        <v>3.0819517457627099</v>
      </c>
      <c r="AH6" s="4">
        <v>2.7368170338983102</v>
      </c>
      <c r="AI6">
        <v>-0.67069742372881302</v>
      </c>
      <c r="AJ6" s="4">
        <v>31.933257135593198</v>
      </c>
      <c r="AK6" s="4">
        <v>29.9499725254237</v>
      </c>
      <c r="AL6" s="4">
        <v>29.219427898305099</v>
      </c>
      <c r="AM6" s="4">
        <v>30.121592711864398</v>
      </c>
      <c r="AN6" s="4">
        <v>32.180920152542399</v>
      </c>
      <c r="AO6" s="106">
        <f>R6+AD6+AJ6</f>
        <v>40.19252174576269</v>
      </c>
      <c r="AP6" s="106">
        <f>S6+AE6+AK6</f>
        <v>38.58750871186438</v>
      </c>
      <c r="AQ6" s="106">
        <f>T6+AF6+AL6</f>
        <v>38.40199833898307</v>
      </c>
      <c r="AR6" s="106">
        <f>U6+AG6+AM6</f>
        <v>38.286801389830501</v>
      </c>
      <c r="AS6" s="106">
        <f>V6+AH6+AN6</f>
        <v>39.833771644067831</v>
      </c>
      <c r="AT6" s="3"/>
    </row>
    <row r="7" spans="1:48" x14ac:dyDescent="0.25">
      <c r="A7" s="65">
        <f>'DC-he-ipb1-29b-10122016'!M8*100</f>
        <v>300</v>
      </c>
      <c r="B7" s="67">
        <f>'DC-he-ipb1-29b-10122016'!O8</f>
        <v>0.55575524747672289</v>
      </c>
      <c r="C7" s="68">
        <f>'DC-he-ipb1-29b-10122016'!P8</f>
        <v>9.8122734486107532E-2</v>
      </c>
      <c r="D7" s="52">
        <v>1</v>
      </c>
      <c r="E7" s="10">
        <f>($B$4*$D7*R7+$C$4+$K7-L7)/(R7*$D7)</f>
        <v>1.0754300143599054</v>
      </c>
      <c r="F7" s="10">
        <f>($B$4*$D7*S7+$C$4+$K7-M7)/(S7*$D7)</f>
        <v>1.0919623646604635</v>
      </c>
      <c r="G7" s="10">
        <f>($B$4*$D7*T7+$C$4+$K7-N7)/(T7*$D7)</f>
        <v>1.0846769223902342</v>
      </c>
      <c r="H7" s="10">
        <f>($B$4*$D7*U7+$C$4+$K7-O7)/(U7*$D7)</f>
        <v>1.1101961590618181</v>
      </c>
      <c r="I7" s="10">
        <f>($B$4*$D7*V7+$C$4+$K7-P7)/(V7*$D7)</f>
        <v>1.1318496432451937</v>
      </c>
      <c r="J7" s="19">
        <v>200</v>
      </c>
      <c r="K7" s="4">
        <v>14.003539135593201</v>
      </c>
      <c r="L7" s="4">
        <v>11.114252440677999</v>
      </c>
      <c r="M7" s="4">
        <v>10.9175261694915</v>
      </c>
      <c r="N7" s="4">
        <v>10.8389713559322</v>
      </c>
      <c r="O7" s="4">
        <v>10.8248239661017</v>
      </c>
      <c r="P7" s="4">
        <v>10.816344152542399</v>
      </c>
      <c r="Q7" s="88"/>
      <c r="R7" s="4">
        <v>5.2434920847457596</v>
      </c>
      <c r="S7" s="4">
        <v>5.4348271694915304</v>
      </c>
      <c r="T7" s="4">
        <v>5.6429013050847496</v>
      </c>
      <c r="U7" s="4">
        <v>5.4240487627118696</v>
      </c>
      <c r="V7" s="4">
        <v>5.2468618644067799</v>
      </c>
      <c r="W7">
        <v>0.295648491525424</v>
      </c>
      <c r="X7" s="4">
        <v>49.936600491525397</v>
      </c>
      <c r="Y7" s="4">
        <v>49.967348796610203</v>
      </c>
      <c r="Z7" s="4">
        <v>50.010345305084698</v>
      </c>
      <c r="AA7" s="4">
        <v>50.037294457627098</v>
      </c>
      <c r="AB7" s="4">
        <v>50.062466457627103</v>
      </c>
      <c r="AC7" s="4">
        <v>-0.89080444067796605</v>
      </c>
      <c r="AD7" s="4">
        <v>2.1236081525423698</v>
      </c>
      <c r="AE7" s="4">
        <v>2.3858629152542399</v>
      </c>
      <c r="AF7" s="4">
        <v>2.7369977796610199</v>
      </c>
      <c r="AG7" s="4">
        <v>2.2131754237288099</v>
      </c>
      <c r="AH7" s="4">
        <v>1.70425340677966</v>
      </c>
      <c r="AI7">
        <v>-1.2755271525423699</v>
      </c>
      <c r="AJ7" s="4">
        <v>31.107102355932199</v>
      </c>
      <c r="AK7" s="4">
        <v>29.180987949152598</v>
      </c>
      <c r="AL7" s="4">
        <v>28.109169864406802</v>
      </c>
      <c r="AM7" s="4">
        <v>28.8585366271186</v>
      </c>
      <c r="AN7" s="4">
        <v>31.1331992033898</v>
      </c>
      <c r="AO7" s="106">
        <f t="shared" ref="AO7:AO11" si="1">R7+AD7+AJ7</f>
        <v>38.474202593220326</v>
      </c>
      <c r="AP7" s="106">
        <f t="shared" ref="AP7:AS11" si="2">S7+AE7+AK7</f>
        <v>37.001678033898372</v>
      </c>
      <c r="AQ7" s="106">
        <f t="shared" si="2"/>
        <v>36.489068949152568</v>
      </c>
      <c r="AR7" s="106">
        <f t="shared" si="2"/>
        <v>36.495760813559279</v>
      </c>
      <c r="AS7" s="106">
        <f t="shared" si="2"/>
        <v>38.084314474576239</v>
      </c>
      <c r="AT7" s="3"/>
    </row>
    <row r="8" spans="1:48" x14ac:dyDescent="0.25">
      <c r="A8" s="65">
        <f>'DC-he-ipb1-29b-10122016'!M9*100</f>
        <v>325</v>
      </c>
      <c r="B8" s="67">
        <f>'DC-he-ipb1-29b-10122016'!O9</f>
        <v>0.56703828665435096</v>
      </c>
      <c r="C8" s="68">
        <f>'DC-he-ipb1-29b-10122016'!P9</f>
        <v>9.8122734486107532E-2</v>
      </c>
      <c r="D8" s="52">
        <v>1</v>
      </c>
      <c r="E8" s="10">
        <f>($B$5*$D8*R8+$C$5+$K8-L8)/(R8*$D8)</f>
        <v>1.2090905966615915</v>
      </c>
      <c r="F8" s="10">
        <f>($B$5*$D8*S8+$C$5+$K8-M8)/(S8*$D8)</f>
        <v>1.2003342453960086</v>
      </c>
      <c r="G8" s="10">
        <f>($B$5*$D8*T8+$C$5+$K8-N8)/(T8*$D8)</f>
        <v>1.1893950183103468</v>
      </c>
      <c r="H8" s="10">
        <f>($B$5*$D8*U8+$C$5+$K8-O8)/(U8*$D8)</f>
        <v>1.2098751300741568</v>
      </c>
      <c r="I8" s="10">
        <f>($B$5*$D8*V8+$C$5+$K8-P8)/(V8*$D8)</f>
        <v>1.2099177929460052</v>
      </c>
      <c r="J8" s="19">
        <v>250</v>
      </c>
      <c r="K8" s="4">
        <v>19.106832610169501</v>
      </c>
      <c r="L8" s="4">
        <v>15.5728122711864</v>
      </c>
      <c r="M8" s="4">
        <v>15.2304652542373</v>
      </c>
      <c r="N8" s="4">
        <v>15.1466953728814</v>
      </c>
      <c r="O8" s="4">
        <v>15.1826473559322</v>
      </c>
      <c r="P8" s="4">
        <v>15.340330745762699</v>
      </c>
      <c r="Q8" s="88"/>
      <c r="R8" s="4">
        <v>5.2809200000000001</v>
      </c>
      <c r="S8" s="4">
        <v>5.8728119999999997</v>
      </c>
      <c r="T8" s="4">
        <v>6.1020846779660998</v>
      </c>
      <c r="U8" s="4">
        <v>5.8604798983050799</v>
      </c>
      <c r="V8" s="4">
        <v>5.6233793050847396</v>
      </c>
      <c r="W8">
        <v>0.21950340677966099</v>
      </c>
      <c r="X8" s="4">
        <v>49.771409762711897</v>
      </c>
      <c r="Y8" s="4">
        <v>49.807763118644097</v>
      </c>
      <c r="Z8" s="4">
        <v>49.859882813559302</v>
      </c>
      <c r="AA8" s="4">
        <v>49.890036525423703</v>
      </c>
      <c r="AB8" s="4">
        <v>49.922330355932203</v>
      </c>
      <c r="AC8" s="4">
        <v>-1.87138049152542</v>
      </c>
      <c r="AD8" s="4">
        <v>1.3030735084745799</v>
      </c>
      <c r="AE8" s="4">
        <v>1.53401622033898</v>
      </c>
      <c r="AF8" s="4">
        <v>2.43432305084746</v>
      </c>
      <c r="AG8" s="4">
        <v>2.0075934406779701</v>
      </c>
      <c r="AH8" s="4">
        <v>2.0708070169491499</v>
      </c>
      <c r="AI8">
        <v>-1.70027028813559</v>
      </c>
      <c r="AJ8" s="4">
        <v>30.633314559321999</v>
      </c>
      <c r="AK8" s="4">
        <v>28.643454135593199</v>
      </c>
      <c r="AL8" s="4">
        <v>27.593451694915299</v>
      </c>
      <c r="AM8" s="4">
        <v>28.439233559321998</v>
      </c>
      <c r="AN8" s="4">
        <v>30.7963408983051</v>
      </c>
      <c r="AO8" s="106">
        <f t="shared" si="1"/>
        <v>37.21730806779658</v>
      </c>
      <c r="AP8" s="106">
        <f t="shared" si="2"/>
        <v>36.050282355932183</v>
      </c>
      <c r="AQ8" s="106">
        <f t="shared" si="2"/>
        <v>36.12985942372886</v>
      </c>
      <c r="AR8" s="106">
        <f t="shared" si="2"/>
        <v>36.30730689830505</v>
      </c>
      <c r="AS8" s="106">
        <f t="shared" si="2"/>
        <v>38.49052722033899</v>
      </c>
      <c r="AT8" s="3"/>
    </row>
    <row r="9" spans="1:48" x14ac:dyDescent="0.25">
      <c r="A9" s="65">
        <f>'DC-he-ipb1-29b-10122016'!M10*100</f>
        <v>350</v>
      </c>
      <c r="B9" s="67">
        <f>'DC-he-ipb1-29b-10122016'!O10</f>
        <v>0.57418539473575259</v>
      </c>
      <c r="C9" s="68">
        <f>'DC-he-ipb1-29b-10122016'!P10</f>
        <v>0</v>
      </c>
      <c r="D9" s="52">
        <v>1</v>
      </c>
      <c r="E9" s="10">
        <f>($B$7*$D9*R9+$C$7+$K9-L9)/(R9*$D9)</f>
        <v>1.3836361682188631</v>
      </c>
      <c r="F9" s="10">
        <f>($B$7*$D9*S9+$C$7+$K9-M9)/(S9*$D9)</f>
        <v>1.3008128160511587</v>
      </c>
      <c r="G9" s="10">
        <f>($B$7*$D9*T9+$C$7+$K9-N9)/(T9*$D9)</f>
        <v>1.349386690461593</v>
      </c>
      <c r="H9" s="10">
        <f>($B$7*$D9*U9+$C$7+$K9-O9)/(U9*$D9)</f>
        <v>1.3353564428203106</v>
      </c>
      <c r="I9" s="10">
        <f>($B$7*$D9*V9+$C$7+$K9-P9)/(V9*$D9)</f>
        <v>1.3383288529266957</v>
      </c>
      <c r="J9" s="19">
        <v>300</v>
      </c>
      <c r="K9" s="4">
        <v>24.8633748983051</v>
      </c>
      <c r="L9" s="4">
        <v>20.753166203389799</v>
      </c>
      <c r="M9" s="4">
        <v>20.2776375254237</v>
      </c>
      <c r="N9" s="4">
        <v>19.9141357118644</v>
      </c>
      <c r="O9" s="4">
        <v>20.2017062372881</v>
      </c>
      <c r="P9" s="4">
        <v>20.501401694915199</v>
      </c>
      <c r="Q9" s="88"/>
      <c r="R9" s="4">
        <v>5.0832569322033896</v>
      </c>
      <c r="S9" s="4">
        <v>6.2865747627118598</v>
      </c>
      <c r="T9" s="4">
        <v>6.3598310847457604</v>
      </c>
      <c r="U9" s="4">
        <v>6.1054182881355903</v>
      </c>
      <c r="V9" s="4">
        <v>5.6992670169491504</v>
      </c>
      <c r="W9">
        <v>0.33903696610169498</v>
      </c>
      <c r="X9" s="4">
        <v>49.5830051694915</v>
      </c>
      <c r="Y9" s="4">
        <v>49.604878389830503</v>
      </c>
      <c r="Z9" s="4">
        <v>49.680808542372901</v>
      </c>
      <c r="AA9" s="4">
        <v>49.719239101694903</v>
      </c>
      <c r="AB9" s="4">
        <v>49.749586983050897</v>
      </c>
      <c r="AC9" s="4">
        <v>0.33039774576271203</v>
      </c>
      <c r="AD9" s="4">
        <v>3.6842389491525398</v>
      </c>
      <c r="AE9" s="4">
        <v>4.2526860847457604</v>
      </c>
      <c r="AF9" s="4">
        <v>5.4058521694915296</v>
      </c>
      <c r="AG9" s="4">
        <v>4.7418853559322001</v>
      </c>
      <c r="AH9" s="4">
        <v>4.5002692372881397</v>
      </c>
      <c r="AI9">
        <v>-0.58345208474576205</v>
      </c>
      <c r="AJ9" s="4">
        <v>31.141288796610201</v>
      </c>
      <c r="AK9" s="4">
        <v>29.383977406779699</v>
      </c>
      <c r="AL9" s="4">
        <v>27.774326389830499</v>
      </c>
      <c r="AM9" s="4">
        <v>28.818294983050802</v>
      </c>
      <c r="AN9" s="4">
        <v>31.598712847457598</v>
      </c>
      <c r="AO9" s="106">
        <f t="shared" si="1"/>
        <v>39.908784677966132</v>
      </c>
      <c r="AP9" s="106">
        <f t="shared" si="2"/>
        <v>39.923238254237319</v>
      </c>
      <c r="AQ9" s="106">
        <f t="shared" si="2"/>
        <v>39.540009644067787</v>
      </c>
      <c r="AR9" s="106">
        <f t="shared" si="2"/>
        <v>39.665598627118591</v>
      </c>
      <c r="AS9" s="106">
        <f t="shared" si="2"/>
        <v>41.798249101694893</v>
      </c>
      <c r="AT9" s="3"/>
    </row>
    <row r="10" spans="1:48" x14ac:dyDescent="0.25">
      <c r="A10" s="65">
        <f>'DC-he-ipb1-29b-10122016'!M11*100</f>
        <v>375</v>
      </c>
      <c r="B10" s="67">
        <f>'DC-he-ipb1-29b-10122016'!O11</f>
        <v>0.5792096730333085</v>
      </c>
      <c r="C10" s="68">
        <f>'DC-he-ipb1-29b-10122016'!P11</f>
        <v>0</v>
      </c>
      <c r="D10" s="52">
        <v>1</v>
      </c>
      <c r="E10" s="10">
        <f>($B$9*$D10*R10+$C$9+$K10-L10)/(R10*$D10)</f>
        <v>1.4447235413478046</v>
      </c>
      <c r="F10" s="10">
        <f>($B$9*$D10*S10+$C$9+$K10-M10)/(S10*$D10)</f>
        <v>1.2861871736216273</v>
      </c>
      <c r="G10" s="10">
        <f>($B$9*$D10*T10+$C$9+$K10-N10)/(T10*$D10)</f>
        <v>1.2803676505865125</v>
      </c>
      <c r="H10" s="10">
        <f>($B$9*$D10*U10+$C$9+$K10-O10)/(U10*$D10)</f>
        <v>1.3004355081598515</v>
      </c>
      <c r="I10" s="10">
        <f>($B$9*$D10*V10+$C$9+$K10-P10)/(V10*$D10)</f>
        <v>1.3488312005318177</v>
      </c>
      <c r="J10" s="19">
        <v>350</v>
      </c>
      <c r="K10" s="4">
        <v>31.252425779660999</v>
      </c>
      <c r="L10" s="4">
        <v>26.972830254237302</v>
      </c>
      <c r="M10" s="4">
        <v>26.840215813559301</v>
      </c>
      <c r="N10" s="4">
        <v>26.765988949152501</v>
      </c>
      <c r="O10" s="4">
        <v>26.761128508474599</v>
      </c>
      <c r="P10" s="4">
        <v>26.661064271186401</v>
      </c>
      <c r="Q10" s="88"/>
      <c r="R10" s="4">
        <v>4.91603445762712</v>
      </c>
      <c r="S10" s="4">
        <v>6.1969086271186402</v>
      </c>
      <c r="T10" s="4">
        <v>6.3530863220338896</v>
      </c>
      <c r="U10" s="4">
        <v>6.1842293559322004</v>
      </c>
      <c r="V10" s="4">
        <v>5.9270462372881303</v>
      </c>
      <c r="W10">
        <v>0.35817754237288102</v>
      </c>
      <c r="X10" s="4">
        <v>50.3847952033898</v>
      </c>
      <c r="Y10" s="4">
        <v>49.943130271186398</v>
      </c>
      <c r="Z10" s="4">
        <v>49.413891372881402</v>
      </c>
      <c r="AA10" s="4">
        <v>49.528390864406802</v>
      </c>
      <c r="AB10" s="4">
        <v>49.5392849152542</v>
      </c>
      <c r="AC10" s="4">
        <v>0.95444805084745798</v>
      </c>
      <c r="AD10" s="4">
        <v>3.8949563389830502</v>
      </c>
      <c r="AE10" s="4">
        <v>4.1586735423728802</v>
      </c>
      <c r="AF10" s="4">
        <v>4.5757946440678001</v>
      </c>
      <c r="AG10" s="4">
        <v>3.8396903728813601</v>
      </c>
      <c r="AH10" s="4">
        <v>3.4298027118644101</v>
      </c>
      <c r="AI10">
        <v>-0.43464466101694899</v>
      </c>
      <c r="AJ10" s="4">
        <v>31.059163474576302</v>
      </c>
      <c r="AK10" s="4">
        <v>29.094302033898298</v>
      </c>
      <c r="AL10" s="4">
        <v>27.943222983050799</v>
      </c>
      <c r="AM10" s="4">
        <v>28.902802593220301</v>
      </c>
      <c r="AN10" s="4">
        <v>30.6984033559322</v>
      </c>
      <c r="AO10" s="106">
        <f t="shared" si="1"/>
        <v>39.870154271186472</v>
      </c>
      <c r="AP10" s="106">
        <f t="shared" si="2"/>
        <v>39.449884203389814</v>
      </c>
      <c r="AQ10" s="106">
        <f t="shared" si="2"/>
        <v>38.872103949152489</v>
      </c>
      <c r="AR10" s="106">
        <f t="shared" si="2"/>
        <v>38.926722322033861</v>
      </c>
      <c r="AS10" s="106">
        <f t="shared" si="2"/>
        <v>40.055252305084743</v>
      </c>
      <c r="AT10" s="3"/>
    </row>
    <row r="11" spans="1:48" x14ac:dyDescent="0.25">
      <c r="A11" s="65">
        <f>'DC-he-ipb1-29b-10122016'!M12*100</f>
        <v>400</v>
      </c>
      <c r="B11" s="67">
        <f>'DC-he-ipb1-29b-10122016'!O12</f>
        <v>0.59043911356022083</v>
      </c>
      <c r="C11" s="68">
        <f>'DC-he-ipb1-29b-10122016'!P12</f>
        <v>0.15376608084083587</v>
      </c>
      <c r="D11" s="52">
        <v>1</v>
      </c>
      <c r="E11" s="10">
        <f>($B$11*$D11*R11+$C$11+$K11-L11)/(R11*$D11)</f>
        <v>1.3474218216616753</v>
      </c>
      <c r="F11" s="10">
        <f>($B$11*$D11*S11+$C$11+$K11-M11)/(S11*$D11)</f>
        <v>1.3192010329853607</v>
      </c>
      <c r="G11" s="10">
        <f>($B$11*$D11*T11+$C$11+$K11-N11)/(T11*$D11)</f>
        <v>1.3466632863482619</v>
      </c>
      <c r="H11" s="10">
        <f>($B$11*$D11*U11+$C$11+$K11-O11)/(U11*$D11)</f>
        <v>1.3247202582326287</v>
      </c>
      <c r="I11" s="10">
        <f>($B$11*$D11*V11+$C$11+$K11-P11)/(V11*$D11)</f>
        <v>1.393996446887183</v>
      </c>
      <c r="J11" s="19">
        <v>400</v>
      </c>
      <c r="K11" s="4">
        <v>38.258695677966102</v>
      </c>
      <c r="L11" s="4">
        <v>33.752595169491499</v>
      </c>
      <c r="M11" s="4">
        <v>33.809670288135599</v>
      </c>
      <c r="N11" s="4">
        <v>33.582080983050901</v>
      </c>
      <c r="O11" s="4">
        <v>33.776391779660997</v>
      </c>
      <c r="P11" s="4">
        <v>33.476982627118701</v>
      </c>
      <c r="Q11" s="88"/>
      <c r="R11" s="4">
        <v>6.1558428474576203</v>
      </c>
      <c r="S11" s="4">
        <v>6.3159055762711898</v>
      </c>
      <c r="T11" s="4">
        <v>6.3874985084745797</v>
      </c>
      <c r="U11" s="4">
        <v>6.3137532711864397</v>
      </c>
      <c r="V11" s="4">
        <v>6.1420373220339002</v>
      </c>
      <c r="W11">
        <v>0.315761610169492</v>
      </c>
      <c r="X11" s="4">
        <v>50.341674966101699</v>
      </c>
      <c r="Y11" s="4">
        <v>50.361077288135597</v>
      </c>
      <c r="Z11" s="4">
        <v>50.3942565254237</v>
      </c>
      <c r="AA11" s="4">
        <v>50.407417949152503</v>
      </c>
      <c r="AB11" s="4">
        <v>50.405146220338999</v>
      </c>
      <c r="AC11" s="4">
        <v>-0.10647093220339</v>
      </c>
      <c r="AD11" s="4">
        <v>2.7146111355932199</v>
      </c>
      <c r="AE11" s="4">
        <v>3.1635128305084801</v>
      </c>
      <c r="AF11" s="4">
        <v>3.4110736949152498</v>
      </c>
      <c r="AG11" s="4">
        <v>2.6987267118644098</v>
      </c>
      <c r="AH11" s="4">
        <v>2.1598449830508502</v>
      </c>
      <c r="AI11">
        <v>-0.872771677966102</v>
      </c>
      <c r="AJ11" s="4">
        <v>30.1586450847458</v>
      </c>
      <c r="AK11" s="4">
        <v>28.339154915254198</v>
      </c>
      <c r="AL11" s="4">
        <v>27.298213610169501</v>
      </c>
      <c r="AM11" s="4">
        <v>27.9970778474576</v>
      </c>
      <c r="AN11" s="4">
        <v>29.718980389830499</v>
      </c>
      <c r="AO11" s="106">
        <f t="shared" si="1"/>
        <v>39.029099067796636</v>
      </c>
      <c r="AP11" s="106">
        <f t="shared" si="2"/>
        <v>37.81857332203387</v>
      </c>
      <c r="AQ11" s="106">
        <f t="shared" si="2"/>
        <v>37.096785813559329</v>
      </c>
      <c r="AR11" s="106">
        <f t="shared" si="2"/>
        <v>37.009557830508449</v>
      </c>
      <c r="AS11" s="106">
        <f t="shared" si="2"/>
        <v>38.020862694915252</v>
      </c>
      <c r="AT11" s="3"/>
    </row>
    <row r="12" spans="1:48" x14ac:dyDescent="0.25">
      <c r="A12" s="65">
        <f>'DC-he-ipb1-29b-10122016'!M13*100</f>
        <v>450</v>
      </c>
      <c r="B12" s="67">
        <f>'DC-he-ipb1-29b-10122016'!O13</f>
        <v>0.58536410306123443</v>
      </c>
      <c r="C12" s="68">
        <f>'DC-he-ipb1-29b-10122016'!P13</f>
        <v>0</v>
      </c>
      <c r="D12" s="14"/>
      <c r="E12" s="9"/>
      <c r="F12" s="24"/>
      <c r="G12" s="24"/>
      <c r="H12" s="24"/>
      <c r="I12" s="9"/>
      <c r="J12" s="18"/>
      <c r="L12" s="3"/>
      <c r="M12" s="24"/>
      <c r="N12" s="24"/>
      <c r="O12" s="24"/>
      <c r="P12" s="3"/>
      <c r="Q12" s="3"/>
      <c r="R12" s="24"/>
      <c r="S12" s="24"/>
      <c r="T12" s="24"/>
      <c r="U12" s="24"/>
      <c r="V12" s="24"/>
      <c r="W12" s="110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24"/>
      <c r="AP12" s="24"/>
      <c r="AQ12" s="24"/>
      <c r="AR12" s="24"/>
      <c r="AS12" s="24"/>
      <c r="AT12" s="24"/>
      <c r="AU12" s="24"/>
      <c r="AV12" s="24"/>
    </row>
    <row r="13" spans="1:48" x14ac:dyDescent="0.25">
      <c r="A13" s="65">
        <f>'DC-he-ipb1-29b-10122016'!M14*100</f>
        <v>500</v>
      </c>
      <c r="B13" s="67">
        <f>'DC-he-ipb1-29b-10122016'!O14</f>
        <v>0.59434790825157446</v>
      </c>
      <c r="C13" s="68">
        <f>'DC-he-ipb1-29b-10122016'!P14</f>
        <v>0</v>
      </c>
      <c r="D13" s="14"/>
      <c r="E13" s="186" t="s">
        <v>126</v>
      </c>
      <c r="F13" s="178"/>
      <c r="G13" s="178"/>
      <c r="H13" s="178"/>
      <c r="I13" s="9"/>
      <c r="J13" s="18"/>
      <c r="L13" s="24" t="s">
        <v>101</v>
      </c>
      <c r="M13" s="103"/>
      <c r="N13" s="103"/>
      <c r="O13" s="48"/>
      <c r="P13" s="3"/>
      <c r="Q13" s="3"/>
      <c r="S13" s="178"/>
      <c r="T13" s="178"/>
      <c r="U13" s="178"/>
      <c r="V13" s="178"/>
      <c r="W13" s="178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7">
        <f>AVERAGE(AO6:AS11)</f>
        <v>38.434259558192075</v>
      </c>
      <c r="AP13" s="24"/>
      <c r="AQ13" s="24"/>
      <c r="AR13" s="24"/>
      <c r="AS13" s="24"/>
      <c r="AT13" s="24"/>
      <c r="AU13" s="24"/>
      <c r="AV13" s="24"/>
    </row>
    <row r="14" spans="1:48" x14ac:dyDescent="0.25">
      <c r="A14" s="65">
        <f>'DC-he-ipb1-29b-10122016'!M15*100</f>
        <v>550</v>
      </c>
      <c r="B14" s="67">
        <f>'DC-he-ipb1-29b-10122016'!O15</f>
        <v>0.58875455688525746</v>
      </c>
      <c r="C14" s="68">
        <f>'DC-he-ipb1-29b-10122016'!P15</f>
        <v>0</v>
      </c>
      <c r="D14" s="14"/>
      <c r="E14" s="10">
        <f>(L14-(R6*$B$3+$C$3))/(R6)+1</f>
        <v>1.011479077377309</v>
      </c>
      <c r="F14" s="10">
        <f t="shared" ref="F14:I14" si="3">(M14-(S6*$B$3+$C$3))/(S6)+1</f>
        <v>1.0419679485320292</v>
      </c>
      <c r="G14" s="10">
        <f t="shared" si="3"/>
        <v>1.0204299552582092</v>
      </c>
      <c r="H14" s="10">
        <f t="shared" si="3"/>
        <v>1.0484901648709455</v>
      </c>
      <c r="I14" s="10">
        <f t="shared" si="3"/>
        <v>1.0630474208292058</v>
      </c>
      <c r="J14" s="18"/>
      <c r="K14" s="22">
        <f>K9-K8</f>
        <v>5.7565422881355985</v>
      </c>
      <c r="L14" s="3">
        <f>$K6-L6</f>
        <v>2.4655622711864495</v>
      </c>
      <c r="M14" s="3">
        <f t="shared" ref="M14:P14" si="4">$K6-M6</f>
        <v>2.6994396271186494</v>
      </c>
      <c r="N14" s="3">
        <f t="shared" si="4"/>
        <v>2.6904338474576299</v>
      </c>
      <c r="O14" s="3">
        <f t="shared" si="4"/>
        <v>2.7318544237288194</v>
      </c>
      <c r="P14" s="3">
        <f t="shared" si="4"/>
        <v>2.7130970338983094</v>
      </c>
      <c r="R14" s="3"/>
      <c r="S14" s="3"/>
      <c r="T14" s="3"/>
      <c r="U14" s="3"/>
      <c r="V14" s="3"/>
      <c r="X14" s="3"/>
      <c r="Y14" s="3"/>
      <c r="Z14" s="3"/>
      <c r="AA14" s="3"/>
      <c r="AB14" s="3"/>
      <c r="AE14" s="23"/>
      <c r="AF14" s="23"/>
      <c r="AG14" s="23"/>
      <c r="AK14" s="23"/>
      <c r="AL14" s="23"/>
      <c r="AM14" s="23"/>
    </row>
    <row r="15" spans="1:48" s="24" customFormat="1" x14ac:dyDescent="0.25">
      <c r="A15" s="65">
        <f>'DC-he-ipb1-29b-10122016'!M16*100</f>
        <v>600</v>
      </c>
      <c r="B15" s="67">
        <f>'DC-he-ipb1-29b-10122016'!O16</f>
        <v>0.58203738985027065</v>
      </c>
      <c r="C15" s="68">
        <f>'DC-he-ipb1-29b-10122016'!P16</f>
        <v>0</v>
      </c>
      <c r="D15" s="14"/>
      <c r="E15" s="10">
        <f>(L15-(R7*$B$4+$C$4))/(R7)+1</f>
        <v>1.0266167316705288</v>
      </c>
      <c r="F15" s="10">
        <f t="shared" ref="F15:I15" si="5">(M15-(S7*$B$4+$C$4))/(S7)+1</f>
        <v>1.0436810955125009</v>
      </c>
      <c r="G15" s="10">
        <f t="shared" si="5"/>
        <v>1.0369332595243235</v>
      </c>
      <c r="H15" s="10">
        <f t="shared" si="5"/>
        <v>1.0618859178339042</v>
      </c>
      <c r="I15" s="10">
        <f t="shared" si="5"/>
        <v>1.0830460660060166</v>
      </c>
      <c r="J15" s="17"/>
      <c r="K15" s="1"/>
      <c r="L15" s="3">
        <f t="shared" ref="L15:P15" si="6">$K7-L7</f>
        <v>2.8892866949152012</v>
      </c>
      <c r="M15" s="3">
        <f t="shared" si="6"/>
        <v>3.0860129661017002</v>
      </c>
      <c r="N15" s="3">
        <f t="shared" si="6"/>
        <v>3.1645677796610006</v>
      </c>
      <c r="O15" s="3">
        <f t="shared" si="6"/>
        <v>3.1787151694915003</v>
      </c>
      <c r="P15" s="3">
        <f t="shared" si="6"/>
        <v>3.1871949830508015</v>
      </c>
      <c r="Q15" s="1"/>
      <c r="R15" s="3"/>
      <c r="S15" s="3"/>
      <c r="T15" s="3"/>
      <c r="U15" s="3"/>
      <c r="V15" s="3"/>
      <c r="W15" s="1"/>
      <c r="X15" s="3"/>
      <c r="Y15" s="3"/>
      <c r="Z15" s="3"/>
      <c r="AA15" s="3"/>
      <c r="AB15" s="3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s="24" customFormat="1" ht="15" customHeight="1" x14ac:dyDescent="0.25">
      <c r="A16" s="8"/>
      <c r="B16" s="34"/>
      <c r="C16" s="35"/>
      <c r="D16" s="14"/>
      <c r="E16" s="10">
        <f>(L16-(R8*$B$5+$C$5))/(R8)+1</f>
        <v>1.1293202631821859</v>
      </c>
      <c r="F16" s="10">
        <f t="shared" ref="F16:I16" si="7">(M16-(S8*$B$5+$C$5))/(S8)+1</f>
        <v>1.1197718148464106</v>
      </c>
      <c r="G16" s="10">
        <f t="shared" si="7"/>
        <v>1.1085670540901509</v>
      </c>
      <c r="H16" s="10">
        <f t="shared" si="7"/>
        <v>1.1293275708419306</v>
      </c>
      <c r="I16" s="10">
        <f t="shared" si="7"/>
        <v>1.1296688363966314</v>
      </c>
      <c r="J16" s="51"/>
      <c r="K16" s="1"/>
      <c r="L16" s="3">
        <f t="shared" ref="L16:P16" si="8">$K8-L8</f>
        <v>3.5340203389831011</v>
      </c>
      <c r="M16" s="3">
        <f t="shared" si="8"/>
        <v>3.8763673559322012</v>
      </c>
      <c r="N16" s="3">
        <f t="shared" si="8"/>
        <v>3.9601372372881016</v>
      </c>
      <c r="O16" s="3">
        <f t="shared" si="8"/>
        <v>3.924185254237301</v>
      </c>
      <c r="P16" s="3">
        <f t="shared" si="8"/>
        <v>3.766501864406802</v>
      </c>
      <c r="Q16" s="1"/>
      <c r="R16" s="3"/>
      <c r="S16" s="3"/>
      <c r="T16" s="3"/>
      <c r="U16" s="3"/>
      <c r="V16" s="3"/>
      <c r="W16" s="1"/>
      <c r="X16" s="3"/>
      <c r="Y16" s="3"/>
      <c r="Z16" s="3"/>
      <c r="AA16" s="3"/>
      <c r="AB16" s="3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s="24" customFormat="1" x14ac:dyDescent="0.25">
      <c r="A17" s="9">
        <v>150</v>
      </c>
      <c r="B17" s="34">
        <v>0.52</v>
      </c>
      <c r="C17" s="35">
        <v>-0.03</v>
      </c>
      <c r="D17" s="14"/>
      <c r="E17" s="10"/>
      <c r="F17" s="10">
        <f t="shared" ref="F17:I17" si="9">(M17-(S9*$B$7+$C$7))/(S9)+1</f>
        <v>1.1580857244008558</v>
      </c>
      <c r="G17" s="10">
        <f t="shared" si="9"/>
        <v>1.2070191701631003</v>
      </c>
      <c r="H17" s="10">
        <f t="shared" si="9"/>
        <v>1.1917031101920783</v>
      </c>
      <c r="I17" s="10">
        <f t="shared" si="9"/>
        <v>1.1923849004095675</v>
      </c>
      <c r="J17" s="51"/>
      <c r="L17" s="3">
        <f t="shared" ref="L17:P17" si="10">$K9-L9</f>
        <v>4.1102086949153005</v>
      </c>
      <c r="M17" s="3">
        <f t="shared" si="10"/>
        <v>4.5857373728814004</v>
      </c>
      <c r="N17" s="3">
        <f t="shared" si="10"/>
        <v>4.9492391864406997</v>
      </c>
      <c r="O17" s="3">
        <f t="shared" si="10"/>
        <v>4.6616686610169999</v>
      </c>
      <c r="P17" s="3">
        <f t="shared" si="10"/>
        <v>4.3619732033899012</v>
      </c>
      <c r="Q17" s="1"/>
      <c r="R17" s="3"/>
      <c r="S17" s="3"/>
      <c r="T17" s="3"/>
      <c r="U17" s="3"/>
      <c r="V17" s="3"/>
      <c r="W17" s="178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8" s="24" customFormat="1" ht="15" customHeight="1" x14ac:dyDescent="0.25">
      <c r="A18" s="157">
        <v>200</v>
      </c>
      <c r="B18" s="129">
        <f>(B17+B19)/2</f>
        <v>0.57499999999999996</v>
      </c>
      <c r="C18" s="130">
        <v>-0.02</v>
      </c>
      <c r="D18" s="14"/>
      <c r="E18" s="10"/>
      <c r="F18" s="10">
        <f t="shared" ref="F18:I18" si="11">(M18-(S10*$B$9+$C$9))/(S10)+1</f>
        <v>1.1378163841501228</v>
      </c>
      <c r="G18" s="10">
        <f t="shared" si="11"/>
        <v>1.1319968611150073</v>
      </c>
      <c r="H18" s="10">
        <f t="shared" si="11"/>
        <v>1.1520647186883459</v>
      </c>
      <c r="I18" s="10">
        <f t="shared" si="11"/>
        <v>1.2004604110603123</v>
      </c>
      <c r="J18" s="17"/>
      <c r="L18" s="3">
        <f t="shared" ref="L18:P18" si="12">$K10-L10</f>
        <v>4.2795955254236979</v>
      </c>
      <c r="M18" s="3">
        <f t="shared" si="12"/>
        <v>4.4122099661016989</v>
      </c>
      <c r="N18" s="3">
        <f t="shared" si="12"/>
        <v>4.4864368305084987</v>
      </c>
      <c r="O18" s="3">
        <f t="shared" si="12"/>
        <v>4.4912972711864008</v>
      </c>
      <c r="P18" s="3">
        <f t="shared" si="12"/>
        <v>4.5913615084745985</v>
      </c>
      <c r="Q18" s="1"/>
      <c r="R18" s="3"/>
      <c r="S18" s="3"/>
      <c r="T18" s="3"/>
      <c r="U18" s="3"/>
      <c r="V18" s="3"/>
      <c r="W18" s="178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8" s="24" customFormat="1" ht="15" customHeight="1" x14ac:dyDescent="0.25">
      <c r="A19" s="157">
        <v>250</v>
      </c>
      <c r="B19" s="129">
        <v>0.63</v>
      </c>
      <c r="C19" s="130">
        <v>-0.01</v>
      </c>
      <c r="D19" s="14"/>
      <c r="E19" s="10">
        <f>(L19-(R11*$B$11+$C$11))/(R11)+1</f>
        <v>1.1165858277004699</v>
      </c>
      <c r="F19" s="10">
        <f t="shared" ref="F19:I19" si="13">(M19-(S11*$B$11+$C$11))/(S11)+1</f>
        <v>1.0896311086937223</v>
      </c>
      <c r="G19" s="10">
        <f t="shared" si="13"/>
        <v>1.1176391126927796</v>
      </c>
      <c r="H19" s="10">
        <f t="shared" si="13"/>
        <v>1.0951337353532873</v>
      </c>
      <c r="I19" s="10">
        <f t="shared" si="13"/>
        <v>1.1630481622992568</v>
      </c>
      <c r="J19" s="19"/>
      <c r="K19" s="3"/>
      <c r="L19" s="3">
        <f t="shared" ref="L19:P19" si="14">$K11-L11</f>
        <v>4.5061005084746029</v>
      </c>
      <c r="M19" s="3">
        <f t="shared" si="14"/>
        <v>4.4490253898305028</v>
      </c>
      <c r="N19" s="3">
        <f t="shared" si="14"/>
        <v>4.6766146949152017</v>
      </c>
      <c r="O19" s="3">
        <f t="shared" si="14"/>
        <v>4.4823038983051049</v>
      </c>
      <c r="P19" s="3">
        <f t="shared" si="14"/>
        <v>4.7817130508474008</v>
      </c>
      <c r="Q19" s="1"/>
      <c r="R19" s="3"/>
      <c r="S19" s="3"/>
      <c r="T19" s="3"/>
      <c r="U19" s="3"/>
      <c r="V19" s="3"/>
      <c r="W19" s="178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8" s="24" customFormat="1" ht="15" customHeight="1" x14ac:dyDescent="0.25">
      <c r="A20" s="157">
        <v>300</v>
      </c>
      <c r="B20" s="129">
        <v>0.69</v>
      </c>
      <c r="C20" s="130">
        <v>0.01</v>
      </c>
      <c r="D20" s="15"/>
      <c r="E20" s="10"/>
      <c r="F20" s="10"/>
      <c r="G20" s="10"/>
      <c r="H20" s="10"/>
      <c r="I20" s="10"/>
      <c r="J20" s="18" t="s">
        <v>74</v>
      </c>
      <c r="K20" s="1"/>
      <c r="Q20" s="3"/>
      <c r="R20" s="1"/>
      <c r="W20" s="110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8" ht="15" customHeight="1" x14ac:dyDescent="0.25">
      <c r="A21" s="9">
        <v>350</v>
      </c>
      <c r="B21" s="129">
        <f>(B20+B22)/2</f>
        <v>0.68500000000000005</v>
      </c>
      <c r="C21" s="36">
        <v>0.01</v>
      </c>
      <c r="D21" s="14"/>
      <c r="E21" s="9"/>
      <c r="F21" s="24"/>
      <c r="G21" s="24"/>
      <c r="H21" s="24"/>
      <c r="I21" s="9"/>
      <c r="J21" s="123" t="s">
        <v>64</v>
      </c>
      <c r="K21" s="2" t="s">
        <v>65</v>
      </c>
      <c r="L21" s="3"/>
      <c r="M21" s="3"/>
      <c r="N21" s="3"/>
      <c r="O21" s="3"/>
      <c r="P21" s="3"/>
      <c r="Q21" s="3"/>
      <c r="R21" s="24"/>
      <c r="S21" s="24"/>
      <c r="T21" s="24"/>
      <c r="U21" s="24"/>
      <c r="V21" s="24"/>
      <c r="W21" s="110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24"/>
      <c r="AP21" s="24"/>
      <c r="AQ21" s="24"/>
      <c r="AR21" s="24"/>
      <c r="AS21" s="24"/>
      <c r="AT21" s="24"/>
      <c r="AU21" s="24"/>
      <c r="AV21" s="24"/>
    </row>
    <row r="22" spans="1:48" ht="15" customHeight="1" x14ac:dyDescent="0.25">
      <c r="A22" s="9">
        <v>400</v>
      </c>
      <c r="B22" s="9">
        <v>0.68</v>
      </c>
      <c r="C22" s="36">
        <v>-0.09</v>
      </c>
      <c r="D22" s="14"/>
      <c r="E22" s="9"/>
      <c r="F22" s="24"/>
      <c r="G22" s="24"/>
      <c r="H22" s="24"/>
      <c r="I22" s="9"/>
      <c r="J22" s="123" t="s">
        <v>11</v>
      </c>
      <c r="K22" s="2" t="s">
        <v>75</v>
      </c>
      <c r="L22" s="3"/>
      <c r="M22" s="3"/>
      <c r="N22" s="3"/>
      <c r="O22" s="3"/>
      <c r="P22" s="3"/>
      <c r="Q22" s="3"/>
      <c r="R22" s="24"/>
      <c r="S22" s="24"/>
      <c r="T22" s="24"/>
      <c r="U22" s="24"/>
      <c r="V22" s="24"/>
      <c r="W22" s="110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24"/>
      <c r="AP22" s="24"/>
      <c r="AQ22" s="24"/>
      <c r="AR22" s="24"/>
      <c r="AS22" s="24"/>
      <c r="AT22" s="24"/>
      <c r="AU22" s="24"/>
      <c r="AV22" s="24"/>
    </row>
    <row r="23" spans="1:48" ht="15" customHeight="1" x14ac:dyDescent="0.25">
      <c r="A23" s="9"/>
      <c r="B23" s="9"/>
      <c r="C23" s="36"/>
      <c r="D23" s="52">
        <v>1</v>
      </c>
      <c r="E23" s="10">
        <f>($B$3*$D23*R23+$C$3+$K23-L23)/(R23*$D23)</f>
        <v>0.96632170052537814</v>
      </c>
      <c r="F23" s="10">
        <f>($B$3*$D23*S23+$C$3+$K23-M23)/(S23*$D23)</f>
        <v>0.99582171420679244</v>
      </c>
      <c r="G23" s="10">
        <f>($B$3*$D23*T23+$C$3+$K23-N23)/(T23*$D23)</f>
        <v>0.97753128437893255</v>
      </c>
      <c r="H23" s="10">
        <f>($B$3*$D23*U23+$C$3+$K23-O23)/(U23*$D23)</f>
        <v>0.99567322563639971</v>
      </c>
      <c r="I23" s="10">
        <f>($B$3*$D23*V23+$C$3+$K23-P23)/(V23*$D23)</f>
        <v>1.0156997076545715</v>
      </c>
      <c r="J23" s="131">
        <f>J6</f>
        <v>150</v>
      </c>
      <c r="K23" s="4">
        <v>9.4829125593220294</v>
      </c>
      <c r="L23" s="4">
        <v>7.0299714067796604</v>
      </c>
      <c r="M23" s="4">
        <v>6.8818544745762704</v>
      </c>
      <c r="N23" s="4">
        <v>6.9344390677966103</v>
      </c>
      <c r="O23" s="4">
        <v>6.8852342542372904</v>
      </c>
      <c r="P23" s="4">
        <v>6.7665882542372904</v>
      </c>
      <c r="Q23" s="3"/>
      <c r="R23" s="4">
        <v>5.1385486101694902</v>
      </c>
      <c r="S23" s="4">
        <v>5.1316655762711898</v>
      </c>
      <c r="T23" s="4">
        <v>5.2166135932203401</v>
      </c>
      <c r="U23" s="4">
        <v>5.1264719322033896</v>
      </c>
      <c r="V23" s="4">
        <v>5.1569659830508501</v>
      </c>
      <c r="W23" s="4">
        <v>0.41145199999999998</v>
      </c>
      <c r="X23" s="4">
        <v>50.2522558813559</v>
      </c>
      <c r="Y23" s="4">
        <v>49.7917929322034</v>
      </c>
      <c r="Z23" s="4">
        <v>49.404911237288097</v>
      </c>
      <c r="AA23" s="4">
        <v>49.530613203389798</v>
      </c>
      <c r="AB23" s="4">
        <v>49.554941542372902</v>
      </c>
      <c r="AC23" s="4">
        <v>1.16554481355932</v>
      </c>
      <c r="AD23" s="4">
        <v>4.4526859322033898</v>
      </c>
      <c r="AE23" s="4">
        <v>4.9925523559322</v>
      </c>
      <c r="AF23" s="4">
        <v>5.2059828813559301</v>
      </c>
      <c r="AG23" s="4">
        <v>4.4901600000000004</v>
      </c>
      <c r="AH23" s="4">
        <v>4.06131979661017</v>
      </c>
      <c r="AI23" s="4">
        <v>-0.110144050847458</v>
      </c>
      <c r="AJ23" s="4">
        <v>35.990022728813599</v>
      </c>
      <c r="AK23" s="4">
        <v>33.061217322033897</v>
      </c>
      <c r="AL23" s="4">
        <v>30.8728806610169</v>
      </c>
      <c r="AM23" s="4">
        <v>32.682209016949102</v>
      </c>
      <c r="AN23" s="4">
        <v>35.599077542372903</v>
      </c>
      <c r="AO23" s="106">
        <f>R23+AD23+AJ23</f>
        <v>45.58125727118648</v>
      </c>
      <c r="AP23" s="106">
        <f>S23+AE23+AK23</f>
        <v>43.185435254237291</v>
      </c>
      <c r="AQ23" s="106">
        <f>T23+AF23+AL23</f>
        <v>41.295477135593174</v>
      </c>
      <c r="AR23" s="106">
        <f>U23+AG23+AM23</f>
        <v>42.298840949152492</v>
      </c>
      <c r="AS23" s="106">
        <f>V23+AH23+AN23</f>
        <v>44.817363322033927</v>
      </c>
    </row>
    <row r="24" spans="1:48" s="24" customFormat="1" ht="15" customHeight="1" x14ac:dyDescent="0.25">
      <c r="A24" s="160" t="str">
        <f ca="1">'DC-h2-ipb1-29b'!A1</f>
        <v>DC-h2-ipb1-29b</v>
      </c>
      <c r="B24" s="161"/>
      <c r="C24" s="162"/>
      <c r="D24" s="52">
        <v>1</v>
      </c>
      <c r="E24" s="10">
        <f>($B$4*$D24*R24+$C$4+$K24-L24)/(R24*$D24)</f>
        <v>1.0532149655835721</v>
      </c>
      <c r="F24" s="10">
        <f>($B$4*$D24*S24+$C$4+$K24-M24)/(S24*$D24)</f>
        <v>1.0859738427222356</v>
      </c>
      <c r="G24" s="10">
        <f>($B$4*$D24*T24+$C$4+$K24-N24)/(T24*$D24)</f>
        <v>1.0594164363262868</v>
      </c>
      <c r="H24" s="10">
        <f>($B$4*$D24*U24+$C$4+$K24-O24)/(U24*$D24)</f>
        <v>1.0769993451267188</v>
      </c>
      <c r="I24" s="10">
        <f>($B$4*$D24*V24+$C$4+$K24-P24)/(V24*$D24)</f>
        <v>1.0902884185437998</v>
      </c>
      <c r="J24" s="131">
        <f t="shared" ref="J24:J26" si="15">J7</f>
        <v>200</v>
      </c>
      <c r="K24" s="4">
        <v>14.0817428983051</v>
      </c>
      <c r="L24" s="4">
        <v>11.166086508474599</v>
      </c>
      <c r="M24" s="4">
        <v>11.0027264576271</v>
      </c>
      <c r="N24" s="4">
        <v>11.0916639152542</v>
      </c>
      <c r="O24" s="4">
        <v>11.0507500847458</v>
      </c>
      <c r="P24" s="4">
        <v>10.9571663389831</v>
      </c>
      <c r="Q24" s="3"/>
      <c r="R24" s="4">
        <v>5.5098300169491496</v>
      </c>
      <c r="S24" s="4">
        <v>5.4797208983050796</v>
      </c>
      <c r="T24" s="4">
        <v>5.5840211186440696</v>
      </c>
      <c r="U24" s="4">
        <v>5.4817812711864402</v>
      </c>
      <c r="V24" s="4">
        <v>5.5179420508474601</v>
      </c>
      <c r="W24" s="4">
        <v>0.340916440677966</v>
      </c>
      <c r="X24" s="4">
        <v>50.3489747118644</v>
      </c>
      <c r="Y24" s="4">
        <v>50.367549322033902</v>
      </c>
      <c r="Z24" s="4">
        <v>50.397442067796597</v>
      </c>
      <c r="AA24" s="4">
        <v>50.413277203389903</v>
      </c>
      <c r="AB24" s="4">
        <v>50.427939457627097</v>
      </c>
      <c r="AC24" s="4">
        <v>-5.8470203389830597E-2</v>
      </c>
      <c r="AD24" s="4">
        <v>3.0186623559322001</v>
      </c>
      <c r="AE24" s="4">
        <v>3.17941908474576</v>
      </c>
      <c r="AF24" s="4">
        <v>3.5197154576271199</v>
      </c>
      <c r="AG24" s="4">
        <v>2.8338724237288102</v>
      </c>
      <c r="AH24" s="4">
        <v>2.6576965254237299</v>
      </c>
      <c r="AI24" s="4">
        <v>-0.92051162711864498</v>
      </c>
      <c r="AJ24" s="4">
        <v>34.970998254237301</v>
      </c>
      <c r="AK24" s="4">
        <v>31.753048440678</v>
      </c>
      <c r="AL24" s="4">
        <v>29.831322796610198</v>
      </c>
      <c r="AM24" s="4">
        <v>31.817963338983098</v>
      </c>
      <c r="AN24" s="4">
        <v>34.8311127118644</v>
      </c>
      <c r="AO24" s="106">
        <f t="shared" ref="AO24:AO25" si="16">R24+AD24+AJ24</f>
        <v>43.499490627118647</v>
      </c>
      <c r="AP24" s="106">
        <f t="shared" ref="AP24:AP25" si="17">S24+AE24+AK24</f>
        <v>40.412188423728836</v>
      </c>
      <c r="AQ24" s="106">
        <f t="shared" ref="AQ24:AQ26" si="18">T24+AF24+AL24</f>
        <v>38.935059372881383</v>
      </c>
      <c r="AR24" s="106">
        <f t="shared" ref="AR24:AR26" si="19">U24+AG24+AM24</f>
        <v>40.133617033898346</v>
      </c>
      <c r="AS24" s="106">
        <f t="shared" ref="AS24:AS26" si="20">V24+AH24+AN24</f>
        <v>43.00675128813559</v>
      </c>
      <c r="AT24" s="1"/>
      <c r="AU24" s="1"/>
      <c r="AV24" s="1"/>
    </row>
    <row r="25" spans="1:48" s="24" customFormat="1" x14ac:dyDescent="0.25">
      <c r="A25" s="163" t="s">
        <v>1</v>
      </c>
      <c r="B25" s="163" t="s">
        <v>15</v>
      </c>
      <c r="C25" s="164" t="s">
        <v>17</v>
      </c>
      <c r="D25" s="52">
        <v>1</v>
      </c>
      <c r="E25" s="10">
        <f>($B$5*$D25*R25+$C$5+$K25-L25)/(R25*$D25)</f>
        <v>1.1189033611819681</v>
      </c>
      <c r="F25" s="10">
        <f>($B$5*$D25*S25+$C$5+$K25-M25)/(S25*$D25)</f>
        <v>1.1629357810157916</v>
      </c>
      <c r="G25" s="10">
        <f>($B$5*$D25*T25+$C$5+$K25-N25)/(T25*$D25)</f>
        <v>1.1636871473534391</v>
      </c>
      <c r="H25" s="10">
        <f>($B$5*$D25*U25+$C$5+$K25-O25)/(U25*$D25)</f>
        <v>1.1845691462260435</v>
      </c>
      <c r="I25" s="10">
        <f>($B$5*$D25*V25+$C$5+$K25-P25)/(V25*$D25)</f>
        <v>1.1610236392453015</v>
      </c>
      <c r="J25" s="131">
        <f t="shared" si="15"/>
        <v>250</v>
      </c>
      <c r="K25" s="4">
        <v>19.166625338983</v>
      </c>
      <c r="L25" s="4">
        <v>15.7373203559322</v>
      </c>
      <c r="M25" s="4">
        <v>15.466835186440701</v>
      </c>
      <c r="N25" s="4">
        <v>15.3615015084746</v>
      </c>
      <c r="O25" s="4">
        <v>15.330801661016899</v>
      </c>
      <c r="P25" s="4">
        <v>15.4858438305085</v>
      </c>
      <c r="Q25" s="3"/>
      <c r="R25" s="4">
        <v>5.9270052203389803</v>
      </c>
      <c r="S25" s="4">
        <v>5.9423572881355904</v>
      </c>
      <c r="T25" s="4">
        <v>6.1050823898305104</v>
      </c>
      <c r="U25" s="4">
        <v>5.9540315593220301</v>
      </c>
      <c r="V25" s="4">
        <v>5.9299692372881401</v>
      </c>
      <c r="W25" s="4">
        <v>0.28472845762711901</v>
      </c>
      <c r="X25" s="4">
        <v>50.227042813559301</v>
      </c>
      <c r="Y25" s="4">
        <v>50.256511033898299</v>
      </c>
      <c r="Z25" s="4">
        <v>50.290542237288101</v>
      </c>
      <c r="AA25" s="4">
        <v>50.305402067796599</v>
      </c>
      <c r="AB25" s="4">
        <v>50.332131016949198</v>
      </c>
      <c r="AC25" s="4">
        <v>-1.1132939322033899</v>
      </c>
      <c r="AD25" s="4">
        <v>1.9582257796610201</v>
      </c>
      <c r="AE25" s="4">
        <v>2.2500018305084701</v>
      </c>
      <c r="AF25" s="4">
        <v>2.5516091186440701</v>
      </c>
      <c r="AG25" s="4">
        <v>1.97175881355932</v>
      </c>
      <c r="AH25" s="4">
        <v>1.6154714745762699</v>
      </c>
      <c r="AI25" s="4">
        <v>-1.3777174237288099</v>
      </c>
      <c r="AJ25" s="4">
        <v>33.929630033898299</v>
      </c>
      <c r="AK25" s="4">
        <v>30.819409576271202</v>
      </c>
      <c r="AL25" s="4">
        <v>28.788304</v>
      </c>
      <c r="AM25" s="4">
        <v>30.792548372881399</v>
      </c>
      <c r="AN25" s="4">
        <v>33.867719525423702</v>
      </c>
      <c r="AO25" s="106">
        <f t="shared" si="16"/>
        <v>41.814861033898296</v>
      </c>
      <c r="AP25" s="106">
        <f t="shared" si="17"/>
        <v>39.011768694915261</v>
      </c>
      <c r="AQ25" s="106">
        <f t="shared" si="18"/>
        <v>37.444995508474577</v>
      </c>
      <c r="AR25" s="106">
        <f t="shared" si="19"/>
        <v>38.71833874576275</v>
      </c>
      <c r="AS25" s="106">
        <f t="shared" si="20"/>
        <v>41.41316023728811</v>
      </c>
      <c r="AT25" s="1"/>
      <c r="AU25" s="1"/>
      <c r="AV25" s="1"/>
    </row>
    <row r="26" spans="1:48" s="24" customFormat="1" x14ac:dyDescent="0.25">
      <c r="A26" s="163">
        <f>'DC-h2-ipb1-29b'!M4*100</f>
        <v>150</v>
      </c>
      <c r="B26" s="165">
        <f>'DC-h2-ipb1-29b'!O4</f>
        <v>0.4478814859572835</v>
      </c>
      <c r="C26" s="165">
        <f>'DC-h2-ipb1-29b'!P4</f>
        <v>4.5507160988492945E-2</v>
      </c>
      <c r="D26" s="52">
        <v>1</v>
      </c>
      <c r="E26" s="10">
        <v>0.96</v>
      </c>
      <c r="F26" s="10">
        <v>1</v>
      </c>
      <c r="G26" s="10">
        <f>($B$7*$D26*T26+$C$7+$K26-N26)/(T26*$D26)</f>
        <v>1.2650734777531347</v>
      </c>
      <c r="H26" s="10">
        <f>($B$7*$D26*U26+$C$7+$K26-O26)/(U26*$D26)</f>
        <v>1.2535459301457645</v>
      </c>
      <c r="I26" s="10">
        <f>($B$7*$D26*V26+$C$7+$K26-P26)/(V26*$D26)</f>
        <v>1.2431644008426312</v>
      </c>
      <c r="J26" s="131">
        <f t="shared" si="15"/>
        <v>300</v>
      </c>
      <c r="K26" s="4">
        <v>24.8606068474576</v>
      </c>
      <c r="L26" s="4">
        <v>20.714675745762701</v>
      </c>
      <c r="M26" s="4">
        <v>20.285571016949199</v>
      </c>
      <c r="N26" s="4">
        <v>20.2468263559322</v>
      </c>
      <c r="O26" s="4">
        <v>20.464651101694901</v>
      </c>
      <c r="P26" s="4">
        <v>20.587456711864402</v>
      </c>
      <c r="Q26" s="3"/>
      <c r="R26" s="4"/>
      <c r="S26" s="4"/>
      <c r="T26" s="4">
        <v>6.6428621525423699</v>
      </c>
      <c r="U26" s="4">
        <v>6.4404392203389804</v>
      </c>
      <c r="V26" s="4">
        <v>6.3590553728813601</v>
      </c>
      <c r="W26" s="4">
        <v>0.309441423728814</v>
      </c>
      <c r="X26" s="4">
        <v>50.098475305084797</v>
      </c>
      <c r="Y26" s="4">
        <v>50.122338898305102</v>
      </c>
      <c r="Z26" s="4">
        <v>50.169379220339003</v>
      </c>
      <c r="AA26" s="4">
        <v>50.194501644067799</v>
      </c>
      <c r="AB26" s="4">
        <v>50.211868220338999</v>
      </c>
      <c r="AC26" s="4">
        <v>-1.48952508474576</v>
      </c>
      <c r="AD26" s="4">
        <v>1.92113115254237</v>
      </c>
      <c r="AE26" s="4">
        <v>2.3734437288135601</v>
      </c>
      <c r="AF26" s="4">
        <v>4.5117623898305101</v>
      </c>
      <c r="AG26" s="4">
        <v>4.3232319491525404</v>
      </c>
      <c r="AH26" s="4">
        <v>4.1514393389830504</v>
      </c>
      <c r="AI26" s="4">
        <v>-1.58322913559322</v>
      </c>
      <c r="AJ26" s="4">
        <v>33.341626118644101</v>
      </c>
      <c r="AK26" s="4">
        <v>30.365206610169501</v>
      </c>
      <c r="AL26" s="4">
        <v>29.060845355932202</v>
      </c>
      <c r="AM26" s="4">
        <v>31.174423745762699</v>
      </c>
      <c r="AN26" s="4">
        <v>34.425442440677998</v>
      </c>
      <c r="AO26" s="106">
        <f>AO25</f>
        <v>41.814861033898296</v>
      </c>
      <c r="AP26" s="106">
        <f>AP25</f>
        <v>39.011768694915261</v>
      </c>
      <c r="AQ26" s="106">
        <f t="shared" si="18"/>
        <v>40.215469898305081</v>
      </c>
      <c r="AR26" s="106">
        <f t="shared" si="19"/>
        <v>41.938094915254219</v>
      </c>
      <c r="AS26" s="106">
        <f t="shared" si="20"/>
        <v>44.935937152542408</v>
      </c>
      <c r="AT26" s="1"/>
      <c r="AU26" s="1"/>
      <c r="AV26" s="1"/>
    </row>
    <row r="27" spans="1:48" s="24" customFormat="1" x14ac:dyDescent="0.25">
      <c r="A27" s="163">
        <f>'DC-h2-ipb1-29b'!M5*100</f>
        <v>200</v>
      </c>
      <c r="B27" s="165">
        <f>'DC-h2-ipb1-29b'!O5</f>
        <v>0.46795946724441367</v>
      </c>
      <c r="C27" s="165">
        <f>'DC-h2-ipb1-29b'!P5</f>
        <v>1.5549341072913947E-2</v>
      </c>
      <c r="D27" s="52">
        <v>1</v>
      </c>
      <c r="E27" s="10">
        <f>($B$9*$D27*R27+$C$9+$K27-L27)/(R27*$D27)</f>
        <v>1.3589015339086774</v>
      </c>
      <c r="F27" s="10">
        <f>($B$9*$D27*S27+$C$9+$K27-M27)/(S27*$D27)</f>
        <v>1.1772596868473992</v>
      </c>
      <c r="G27" s="10">
        <f>($B$9*$D27*T27+$C$9+$K27-N27)/(T27*$D27)</f>
        <v>1.2390806723470946</v>
      </c>
      <c r="H27" s="10">
        <f>($B$9*$D27*U27+$C$9+$K27-O27)/(U27*$D27)</f>
        <v>1.2608498128194106</v>
      </c>
      <c r="I27" s="10">
        <f>($B$9*$D27*V27+$C$9+$K27-P27)/(V27*$D27)</f>
        <v>1.2592471132597254</v>
      </c>
      <c r="J27" s="21">
        <v>350</v>
      </c>
      <c r="K27">
        <v>31.311797050847499</v>
      </c>
      <c r="L27" s="155">
        <v>26.8</v>
      </c>
      <c r="M27">
        <v>27.411908372881399</v>
      </c>
      <c r="N27">
        <v>26.9644646101695</v>
      </c>
      <c r="O27">
        <v>26.869517847457601</v>
      </c>
      <c r="P27">
        <v>26.802268016949199</v>
      </c>
      <c r="Q27" s="3"/>
      <c r="R27" s="4">
        <v>5.7495912542372896</v>
      </c>
      <c r="S27" s="4">
        <v>6.4666803559322004</v>
      </c>
      <c r="T27" s="4">
        <v>6.5383716610169502</v>
      </c>
      <c r="U27" s="4">
        <v>6.4693598305084796</v>
      </c>
      <c r="V27" s="4">
        <v>6.5826609661016899</v>
      </c>
      <c r="W27">
        <v>0.417039983050847</v>
      </c>
      <c r="X27">
        <v>50</v>
      </c>
      <c r="Y27">
        <v>50.317943881355902</v>
      </c>
      <c r="Z27">
        <v>50.297100033898303</v>
      </c>
      <c r="AA27">
        <v>50.320657932203403</v>
      </c>
      <c r="AB27">
        <v>50.346781033898303</v>
      </c>
      <c r="AC27" s="4">
        <v>1.7155154576271201</v>
      </c>
      <c r="AD27" s="4">
        <v>4.37105662711864</v>
      </c>
      <c r="AE27" s="4">
        <v>5.5969201186440696</v>
      </c>
      <c r="AF27" s="4">
        <v>6.4398073559322002</v>
      </c>
      <c r="AG27" s="4">
        <v>5.5831311864406796</v>
      </c>
      <c r="AH27" s="4">
        <v>5.0152269491525399</v>
      </c>
      <c r="AI27">
        <v>-0.20782644067796599</v>
      </c>
      <c r="AJ27">
        <v>29.1245321864407</v>
      </c>
      <c r="AK27">
        <v>31.5234799152542</v>
      </c>
      <c r="AL27">
        <v>29.944250118644099</v>
      </c>
      <c r="AM27">
        <v>31.5915691694915</v>
      </c>
      <c r="AN27">
        <v>34.1691104745763</v>
      </c>
      <c r="AO27" s="1"/>
      <c r="AP27" s="1"/>
      <c r="AQ27" s="1"/>
      <c r="AR27" s="1"/>
      <c r="AS27" s="1"/>
      <c r="AT27" s="1"/>
      <c r="AU27" s="1"/>
      <c r="AV27" s="1"/>
    </row>
    <row r="28" spans="1:48" s="24" customFormat="1" x14ac:dyDescent="0.25">
      <c r="A28" s="163">
        <f>'DC-h2-ipb1-29b'!M6*100</f>
        <v>250</v>
      </c>
      <c r="B28" s="165">
        <f>'DC-h2-ipb1-29b'!O6</f>
        <v>0.49616245375907758</v>
      </c>
      <c r="C28" s="165">
        <f>'DC-h2-ipb1-29b'!P6</f>
        <v>4.7050606023473662E-2</v>
      </c>
      <c r="D28" s="52">
        <v>1</v>
      </c>
      <c r="E28" s="10">
        <f>($B$11*$D28*R28+$C$11+$K28-L28)/(R28*$D28)</f>
        <v>1.279386422442069</v>
      </c>
      <c r="F28" s="10">
        <f>($B$11*$D28*S28+$C$11+$K28-M28)/(S28*$D28)</f>
        <v>1.2948391458427027</v>
      </c>
      <c r="G28" s="10">
        <f>($B$11*$D28*T28+$C$11+$K28-N28)/(T28*$D28)</f>
        <v>1.2657461544450286</v>
      </c>
      <c r="H28" s="10">
        <f>($B$11*$D28*U28+$C$11+$K28-O28)/(U28*$D28)</f>
        <v>1.2971804996989531</v>
      </c>
      <c r="I28" s="10">
        <f>($B$11*$D28*V28+$C$11+$K28-P28)/(V28*$D28)</f>
        <v>1.3092736733309576</v>
      </c>
      <c r="J28" s="19">
        <v>400</v>
      </c>
      <c r="K28">
        <v>38.316713796610202</v>
      </c>
      <c r="L28">
        <v>33.771166406779699</v>
      </c>
      <c r="M28">
        <v>33.838299288135602</v>
      </c>
      <c r="N28">
        <v>34.046688677966102</v>
      </c>
      <c r="O28">
        <v>33.805295152542399</v>
      </c>
      <c r="P28">
        <v>33.559552084745803</v>
      </c>
      <c r="Q28" s="3"/>
      <c r="R28" s="4">
        <v>6.8210056271186499</v>
      </c>
      <c r="S28" s="4">
        <v>6.5760652711864402</v>
      </c>
      <c r="T28" s="4">
        <v>6.5507849491525398</v>
      </c>
      <c r="U28" s="4">
        <v>6.6009785423728804</v>
      </c>
      <c r="V28" s="4">
        <v>6.8317914406779696</v>
      </c>
      <c r="W28">
        <v>0.38517630508474598</v>
      </c>
      <c r="X28">
        <v>50.113298322033899</v>
      </c>
      <c r="Y28">
        <v>50.146093288135603</v>
      </c>
      <c r="Z28">
        <v>50.1774593559322</v>
      </c>
      <c r="AA28">
        <v>50.2200156440678</v>
      </c>
      <c r="AB28">
        <v>50.231822644067798</v>
      </c>
      <c r="AC28" s="4">
        <v>1.08728720338983</v>
      </c>
      <c r="AD28" s="4">
        <v>4.01442493220339</v>
      </c>
      <c r="AE28" s="4">
        <v>4.2086245762711902</v>
      </c>
      <c r="AF28" s="4">
        <v>4.4671189322033902</v>
      </c>
      <c r="AG28" s="4">
        <v>3.6270731186440699</v>
      </c>
      <c r="AH28" s="4">
        <v>3.3400373050847501</v>
      </c>
      <c r="AI28">
        <v>-0.34793071186440699</v>
      </c>
      <c r="AJ28">
        <v>33.824354322033898</v>
      </c>
      <c r="AK28">
        <v>30.652908949152501</v>
      </c>
      <c r="AL28">
        <v>28.9936278983051</v>
      </c>
      <c r="AM28">
        <v>30.568513559322</v>
      </c>
      <c r="AN28">
        <v>33.689012762711798</v>
      </c>
      <c r="AO28" s="7">
        <f>AVERAGE(AO21:AS26)</f>
        <v>41.474236829661017</v>
      </c>
      <c r="AP28" s="1"/>
      <c r="AQ28" s="1"/>
      <c r="AR28" s="1"/>
      <c r="AS28" s="1"/>
      <c r="AT28" s="1"/>
      <c r="AU28" s="1"/>
      <c r="AV28" s="1"/>
    </row>
    <row r="29" spans="1:48" s="24" customFormat="1" x14ac:dyDescent="0.25">
      <c r="A29" s="163">
        <f>'DC-h2-ipb1-29b'!M7*100</f>
        <v>275</v>
      </c>
      <c r="B29" s="165">
        <f>'DC-h2-ipb1-29b'!O7</f>
        <v>0.51404700802891057</v>
      </c>
      <c r="C29" s="165">
        <f>'DC-h2-ipb1-29b'!P7</f>
        <v>4.7050606023473662E-2</v>
      </c>
      <c r="D29" s="14"/>
      <c r="E29" s="8"/>
      <c r="F29" s="10"/>
      <c r="G29" s="10"/>
      <c r="H29" s="10"/>
      <c r="I29" s="8"/>
      <c r="J29" s="17"/>
      <c r="K29" s="24" t="s">
        <v>78</v>
      </c>
      <c r="L29" s="23"/>
      <c r="M29" s="23"/>
      <c r="N29" s="23"/>
      <c r="O29" s="23"/>
      <c r="P29" s="3"/>
      <c r="Q29" s="3"/>
      <c r="R29" s="3" t="s">
        <v>79</v>
      </c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 t="s">
        <v>76</v>
      </c>
      <c r="AE29" s="3"/>
      <c r="AF29" s="3"/>
      <c r="AG29" s="3"/>
      <c r="AH29" s="23"/>
      <c r="AI29" s="23"/>
      <c r="AJ29" s="23" t="s">
        <v>77</v>
      </c>
      <c r="AK29" s="3"/>
      <c r="AL29" s="3"/>
      <c r="AM29" s="3"/>
      <c r="AN29" s="41"/>
      <c r="AO29" s="1"/>
      <c r="AP29" s="1"/>
      <c r="AQ29" s="1"/>
      <c r="AR29" s="1"/>
      <c r="AS29" s="1"/>
      <c r="AT29" s="1"/>
      <c r="AU29" s="1"/>
      <c r="AV29" s="1"/>
    </row>
    <row r="30" spans="1:48" x14ac:dyDescent="0.25">
      <c r="A30" s="163">
        <f>'DC-h2-ipb1-29b'!M8*100</f>
        <v>300</v>
      </c>
      <c r="B30" s="165">
        <f>'DC-h2-ipb1-29b'!O8</f>
        <v>0.5284040682623824</v>
      </c>
      <c r="C30" s="165">
        <f>'DC-h2-ipb1-29b'!P8</f>
        <v>2.8609705166789734E-2</v>
      </c>
      <c r="D30" s="14"/>
      <c r="E30" s="186" t="s">
        <v>126</v>
      </c>
      <c r="F30" s="178"/>
      <c r="G30" s="178"/>
      <c r="H30" s="178"/>
      <c r="I30" s="9"/>
      <c r="J30" s="21"/>
      <c r="K30" s="23"/>
      <c r="L30" s="127"/>
      <c r="M30" s="127"/>
      <c r="N30" s="127"/>
      <c r="O30" s="48"/>
      <c r="P30" s="3"/>
      <c r="Q30" s="3"/>
      <c r="R30" s="47"/>
      <c r="S30" s="127"/>
      <c r="T30" s="127"/>
      <c r="U30" s="127"/>
      <c r="V30" s="127"/>
      <c r="W30" s="3"/>
      <c r="X30" s="3"/>
      <c r="Y30" s="23"/>
      <c r="Z30" s="23"/>
      <c r="AA30" s="23"/>
      <c r="AB30" s="3"/>
      <c r="AC30" s="3"/>
      <c r="AD30" s="3"/>
      <c r="AE30" s="23"/>
      <c r="AF30" s="23"/>
      <c r="AG30" s="23"/>
      <c r="AH30" s="23"/>
      <c r="AI30" s="23"/>
      <c r="AJ30" s="23"/>
      <c r="AK30" s="23"/>
      <c r="AL30" s="23"/>
      <c r="AM30" s="23"/>
      <c r="AN30" s="41"/>
    </row>
    <row r="31" spans="1:48" x14ac:dyDescent="0.25">
      <c r="A31" s="163">
        <f>'DC-h2-ipb1-29b'!M9*100</f>
        <v>325</v>
      </c>
      <c r="B31" s="165">
        <f>'DC-h2-ipb1-29b'!O9</f>
        <v>0.54825198238411754</v>
      </c>
      <c r="C31" s="165">
        <f>'DC-h2-ipb1-29b'!P9</f>
        <v>2.8609705166789734E-2</v>
      </c>
      <c r="D31" s="16">
        <f>J23</f>
        <v>150</v>
      </c>
      <c r="E31" s="10">
        <f>(L31-(R23*$B$3+$C$3))/(R23)+1</f>
        <v>0.98839969597473631</v>
      </c>
      <c r="F31" s="10">
        <f t="shared" ref="F31" si="21">(M31-(S23*$B$3+$C$3))/(S23)+1</f>
        <v>1.0179068875840358</v>
      </c>
      <c r="G31" s="10">
        <f t="shared" ref="G31" si="22">(N31-(T23*$B$3+$C$3))/(T23)+1</f>
        <v>0.99952919594396805</v>
      </c>
      <c r="H31" s="10">
        <f t="shared" ref="H31" si="23">(O31-(U23*$B$3+$C$3))/(U23)+1</f>
        <v>1.0177638279312535</v>
      </c>
      <c r="I31" s="10">
        <f t="shared" ref="I31" si="24">(P31-(V23*$B$3+$C$3))/(V23)+1</f>
        <v>1.0377585908924232</v>
      </c>
      <c r="K31" s="3"/>
      <c r="L31" s="3">
        <f>$K23-L23</f>
        <v>2.452941152542369</v>
      </c>
      <c r="M31" s="3">
        <f t="shared" ref="M31:P31" si="25">$K23-M23</f>
        <v>2.6010580847457589</v>
      </c>
      <c r="N31" s="3">
        <f t="shared" si="25"/>
        <v>2.548473491525419</v>
      </c>
      <c r="O31" s="3">
        <f t="shared" si="25"/>
        <v>2.597678305084739</v>
      </c>
      <c r="P31" s="3">
        <f t="shared" si="25"/>
        <v>2.716324305084739</v>
      </c>
      <c r="R31" s="3">
        <f t="shared" ref="R31:V31" si="26">R6-R23</f>
        <v>-0.21063420338983008</v>
      </c>
      <c r="S31" s="3">
        <f t="shared" si="26"/>
        <v>-4.7023152542379876E-2</v>
      </c>
      <c r="T31" s="3">
        <f t="shared" si="26"/>
        <v>6.430640677965993E-2</v>
      </c>
      <c r="U31" s="3">
        <f t="shared" si="26"/>
        <v>-4.3215000000000003E-2</v>
      </c>
      <c r="V31" s="3">
        <f t="shared" si="26"/>
        <v>-0.24093152542373009</v>
      </c>
      <c r="AD31" s="3">
        <f>AD6-AD23-$AC6-$AC23</f>
        <v>-2.4999333559322019</v>
      </c>
      <c r="AE31" s="3">
        <f t="shared" ref="AE31:AH31" si="27">AE6-AE23-$AC6-$AC23</f>
        <v>-2.8182562203389718</v>
      </c>
      <c r="AF31" s="3">
        <f t="shared" si="27"/>
        <v>-2.6829300677966019</v>
      </c>
      <c r="AG31" s="3">
        <f t="shared" si="27"/>
        <v>-2.7868058813559324</v>
      </c>
      <c r="AH31" s="3">
        <f t="shared" si="27"/>
        <v>-2.7031003898305017</v>
      </c>
      <c r="AJ31" s="3">
        <f>AJ6-AJ23-$AI6-$AI23</f>
        <v>-3.2759241186441304</v>
      </c>
      <c r="AK31" s="3">
        <f t="shared" ref="AK31:AN31" si="28">AK6-AK23-$AI6-$AI23</f>
        <v>-2.3304033220339266</v>
      </c>
      <c r="AL31" s="3">
        <f t="shared" si="28"/>
        <v>-0.87261128813552991</v>
      </c>
      <c r="AM31" s="3">
        <f t="shared" si="28"/>
        <v>-1.7797748305084327</v>
      </c>
      <c r="AN31" s="3">
        <f t="shared" si="28"/>
        <v>-2.6373159152542338</v>
      </c>
    </row>
    <row r="32" spans="1:48" x14ac:dyDescent="0.25">
      <c r="A32" s="163">
        <f>'DC-h2-ipb1-29b'!M10*100</f>
        <v>350</v>
      </c>
      <c r="B32" s="165">
        <f>'DC-h2-ipb1-29b'!O10</f>
        <v>0.57015222925348907</v>
      </c>
      <c r="C32" s="165">
        <f>'DC-h2-ipb1-29b'!P10</f>
        <v>0</v>
      </c>
      <c r="D32" s="16">
        <f t="shared" ref="D32:D36" si="29">J24</f>
        <v>200</v>
      </c>
      <c r="E32" s="10">
        <f>(L32-(R24*$B$4+$C$4))/(R24)+1</f>
        <v>1.0051321634064179</v>
      </c>
      <c r="F32" s="10">
        <f t="shared" ref="F32" si="30">(M32-(S24*$B$4+$C$4))/(S24)+1</f>
        <v>1.0378120207622945</v>
      </c>
      <c r="G32" s="10">
        <f t="shared" ref="G32" si="31">(N32-(T24*$B$4+$C$4))/(T24)+1</f>
        <v>1.0115247078852023</v>
      </c>
      <c r="H32" s="10">
        <f t="shared" ref="H32" si="32">(O32-(U24*$B$4+$C$4))/(U24)+1</f>
        <v>1.0288429581738252</v>
      </c>
      <c r="I32" s="10">
        <f t="shared" ref="I32" si="33">(P32-(V24*$B$4+$C$4))/(V24)+1</f>
        <v>1.0422267585020044</v>
      </c>
      <c r="K32" s="3"/>
      <c r="L32" s="3">
        <f t="shared" ref="L32:P32" si="34">$K24-L24</f>
        <v>2.9156563898305006</v>
      </c>
      <c r="M32" s="3">
        <f t="shared" si="34"/>
        <v>3.0790164406780001</v>
      </c>
      <c r="N32" s="3">
        <f t="shared" si="34"/>
        <v>2.9900789830508998</v>
      </c>
      <c r="O32" s="3">
        <f t="shared" si="34"/>
        <v>3.0309928135592994</v>
      </c>
      <c r="P32" s="3">
        <f t="shared" si="34"/>
        <v>3.1245765593219996</v>
      </c>
      <c r="R32" s="3">
        <f t="shared" ref="R32:V32" si="35">R7-R24</f>
        <v>-0.26633793220339008</v>
      </c>
      <c r="S32" s="3">
        <f t="shared" si="35"/>
        <v>-4.4893728813549139E-2</v>
      </c>
      <c r="T32" s="3">
        <f t="shared" si="35"/>
        <v>5.8880186440680049E-2</v>
      </c>
      <c r="U32" s="3">
        <f t="shared" si="35"/>
        <v>-5.7732508474570565E-2</v>
      </c>
      <c r="V32" s="3">
        <f t="shared" si="35"/>
        <v>-0.27108018644068022</v>
      </c>
      <c r="AD32" s="3">
        <f t="shared" ref="AD32:AH34" si="36">AD7-AD24-$AC7-$AC24</f>
        <v>5.4220440677966317E-2</v>
      </c>
      <c r="AE32" s="3">
        <f t="shared" si="36"/>
        <v>0.15571847457627658</v>
      </c>
      <c r="AF32" s="3">
        <f t="shared" si="36"/>
        <v>0.16655696610169662</v>
      </c>
      <c r="AG32" s="3">
        <f t="shared" si="36"/>
        <v>0.32857764406779638</v>
      </c>
      <c r="AH32" s="3">
        <f t="shared" si="36"/>
        <v>-4.1684745762732983E-3</v>
      </c>
      <c r="AJ32" s="3">
        <f t="shared" ref="AJ32:AN34" si="37">AJ7-AJ24-$AI7-$AI24</f>
        <v>-1.6678571186440876</v>
      </c>
      <c r="AK32" s="3">
        <f t="shared" si="37"/>
        <v>-0.37602171186438726</v>
      </c>
      <c r="AL32" s="3">
        <f t="shared" si="37"/>
        <v>0.4738858474576183</v>
      </c>
      <c r="AM32" s="3">
        <f t="shared" si="37"/>
        <v>-0.76338793220348367</v>
      </c>
      <c r="AN32" s="3">
        <f t="shared" si="37"/>
        <v>-1.5018747288135841</v>
      </c>
    </row>
    <row r="33" spans="1:40" x14ac:dyDescent="0.25">
      <c r="A33" s="163">
        <f>'DC-h2-ipb1-29b'!M11*100</f>
        <v>375</v>
      </c>
      <c r="B33" s="165">
        <f>'DC-h2-ipb1-29b'!O11</f>
        <v>0.57627492745650033</v>
      </c>
      <c r="C33" s="165">
        <f>'DC-h2-ipb1-29b'!P11</f>
        <v>0</v>
      </c>
      <c r="D33" s="16">
        <f t="shared" si="29"/>
        <v>250</v>
      </c>
      <c r="E33" s="10">
        <f>(L33-(R25*$B$5+$C$5))/(R25)+1</f>
        <v>1.0382763123850036</v>
      </c>
      <c r="F33" s="10">
        <f t="shared" ref="F33" si="38">(M33-(S25*$B$5+$C$5))/(S25)+1</f>
        <v>1.0822906411413671</v>
      </c>
      <c r="G33" s="10">
        <f t="shared" ref="G33" si="39">(N33-(T25*$B$5+$C$5))/(T25)+1</f>
        <v>1.0828558434002165</v>
      </c>
      <c r="H33" s="10">
        <f t="shared" ref="H33" si="40">(O33-(U25*$B$5+$C$5))/(U25)+1</f>
        <v>1.1039103116836073</v>
      </c>
      <c r="I33" s="10">
        <f t="shared" ref="I33" si="41">(P33-(V25*$B$5+$C$5))/(V25)+1</f>
        <v>1.0803930903152632</v>
      </c>
      <c r="K33" s="3"/>
      <c r="L33" s="3">
        <f t="shared" ref="L33:P33" si="42">$K25-L25</f>
        <v>3.4293049830508</v>
      </c>
      <c r="M33" s="3">
        <f t="shared" si="42"/>
        <v>3.6997901525422989</v>
      </c>
      <c r="N33" s="3">
        <f t="shared" si="42"/>
        <v>3.8051238305083999</v>
      </c>
      <c r="O33" s="3">
        <f t="shared" si="42"/>
        <v>3.8358236779661006</v>
      </c>
      <c r="P33" s="3">
        <f t="shared" si="42"/>
        <v>3.6807815084744995</v>
      </c>
      <c r="R33" s="3">
        <f t="shared" ref="R33:V33" si="43">R8-R25</f>
        <v>-0.64608522033898019</v>
      </c>
      <c r="S33" s="3">
        <f t="shared" si="43"/>
        <v>-6.9545288135590688E-2</v>
      </c>
      <c r="T33" s="3">
        <f t="shared" si="43"/>
        <v>-2.9977118644106682E-3</v>
      </c>
      <c r="U33" s="3">
        <f t="shared" si="43"/>
        <v>-9.3551661016950227E-2</v>
      </c>
      <c r="V33" s="3">
        <f t="shared" si="43"/>
        <v>-0.30658993220340047</v>
      </c>
      <c r="AD33" s="3">
        <f t="shared" si="36"/>
        <v>2.3295221525423697</v>
      </c>
      <c r="AE33" s="3">
        <f t="shared" si="36"/>
        <v>2.2686888135593195</v>
      </c>
      <c r="AF33" s="3">
        <f t="shared" si="36"/>
        <v>2.8673883559321998</v>
      </c>
      <c r="AG33" s="3">
        <f t="shared" si="36"/>
        <v>3.0205090508474601</v>
      </c>
      <c r="AH33" s="50">
        <f t="shared" si="36"/>
        <v>3.4400099661016901</v>
      </c>
      <c r="AJ33" s="3">
        <f t="shared" si="37"/>
        <v>-0.21832776271190002</v>
      </c>
      <c r="AK33" s="3">
        <f t="shared" si="37"/>
        <v>0.90203227118639728</v>
      </c>
      <c r="AL33" s="3">
        <f t="shared" si="37"/>
        <v>1.8831354067796984</v>
      </c>
      <c r="AM33" s="3">
        <f t="shared" si="37"/>
        <v>0.72467289830499948</v>
      </c>
      <c r="AN33" s="3">
        <f t="shared" si="37"/>
        <v>6.6090847457982438E-3</v>
      </c>
    </row>
    <row r="34" spans="1:40" x14ac:dyDescent="0.25">
      <c r="A34" s="163">
        <f>'DC-h2-ipb1-29b'!M12*100</f>
        <v>400</v>
      </c>
      <c r="B34" s="165">
        <f>'DC-h2-ipb1-29b'!O12</f>
        <v>0.57986436537355046</v>
      </c>
      <c r="C34" s="165">
        <f>'DC-h2-ipb1-29b'!P12</f>
        <v>-8.6000454472652699E-2</v>
      </c>
      <c r="D34" s="16">
        <f t="shared" si="29"/>
        <v>300</v>
      </c>
      <c r="E34" s="10"/>
      <c r="F34" s="10"/>
      <c r="G34" s="10">
        <f t="shared" ref="G34" si="44">(N34-(T26*$B$7+$C$7))/(T26)+1</f>
        <v>1.1240206764164218</v>
      </c>
      <c r="H34" s="10">
        <f t="shared" ref="H34" si="45">(O34-(U26*$B$7+$C$7))/(U26)+1</f>
        <v>1.1115646144519458</v>
      </c>
      <c r="I34" s="10">
        <f>(P34-(V26*$B$7+$C$7))/(V26)+1</f>
        <v>1.1007931164377964</v>
      </c>
      <c r="K34" s="3"/>
      <c r="L34" s="3">
        <f t="shared" ref="L34:P34" si="46">$K26-L26</f>
        <v>4.1459311016948988</v>
      </c>
      <c r="M34" s="3">
        <f t="shared" si="46"/>
        <v>4.5750358305084013</v>
      </c>
      <c r="N34" s="3">
        <f t="shared" si="46"/>
        <v>4.6137804915254002</v>
      </c>
      <c r="O34" s="3">
        <f t="shared" si="46"/>
        <v>4.3959557457626985</v>
      </c>
      <c r="P34" s="3">
        <f t="shared" si="46"/>
        <v>4.2731501355931982</v>
      </c>
      <c r="R34" s="3"/>
      <c r="S34" s="3"/>
      <c r="T34" s="3">
        <f t="shared" ref="T34:V34" si="47">T9-T26</f>
        <v>-0.28303106779660947</v>
      </c>
      <c r="U34" s="3">
        <f t="shared" si="47"/>
        <v>-0.33502093220339013</v>
      </c>
      <c r="V34" s="3">
        <f t="shared" si="47"/>
        <v>-0.65978835593220975</v>
      </c>
      <c r="AD34" s="3">
        <f t="shared" si="36"/>
        <v>2.9222351355932177</v>
      </c>
      <c r="AE34" s="3">
        <f t="shared" si="36"/>
        <v>3.0383696949152483</v>
      </c>
      <c r="AF34" s="3">
        <f t="shared" si="36"/>
        <v>2.0532171186440671</v>
      </c>
      <c r="AG34" s="3">
        <f t="shared" si="36"/>
        <v>1.5777807457627075</v>
      </c>
      <c r="AH34" s="3">
        <f t="shared" si="36"/>
        <v>1.5079572372881371</v>
      </c>
      <c r="AJ34" s="3">
        <f t="shared" si="37"/>
        <v>-3.3656101694917284E-2</v>
      </c>
      <c r="AK34" s="3">
        <f t="shared" si="37"/>
        <v>1.1854520169491802</v>
      </c>
      <c r="AL34" s="3">
        <f t="shared" si="37"/>
        <v>0.88016225423727934</v>
      </c>
      <c r="AM34" s="3">
        <f t="shared" si="37"/>
        <v>-0.18944754237291517</v>
      </c>
      <c r="AN34" s="3">
        <f t="shared" si="37"/>
        <v>-0.66004837288141749</v>
      </c>
    </row>
    <row r="35" spans="1:40" x14ac:dyDescent="0.25">
      <c r="A35" s="163">
        <f>'DC-h2-ipb1-29b'!M13*100</f>
        <v>450</v>
      </c>
      <c r="B35" s="165">
        <f>'DC-h2-ipb1-29b'!O13</f>
        <v>0.59366027001237243</v>
      </c>
      <c r="C35" s="165">
        <f>'DC-h2-ipb1-29b'!P13</f>
        <v>0</v>
      </c>
      <c r="D35" s="16">
        <f t="shared" si="29"/>
        <v>350</v>
      </c>
      <c r="E35" s="10">
        <f>(L35-(R27*$B$9+$C$9))/(R27)+1</f>
        <v>1.2105307444371718</v>
      </c>
      <c r="F35" s="10">
        <f t="shared" ref="F35" si="48">(M35-(S27*$B$9+$C$9))/(S27)+1</f>
        <v>1.0288888973758936</v>
      </c>
      <c r="G35" s="10">
        <f t="shared" ref="G35" si="49">(N35-(T27*$B$9+$C$9))/(T27)+1</f>
        <v>1.0907098828755897</v>
      </c>
      <c r="H35" s="10">
        <f t="shared" ref="H35" si="50">(O35-(U27*$B$9+$C$9))/(U27)+1</f>
        <v>1.1124790233479054</v>
      </c>
      <c r="I35" s="10">
        <f t="shared" ref="I35" si="51">(P35-(V27*$B$9+$C$9))/(V27)+1</f>
        <v>1.1108763237882204</v>
      </c>
      <c r="K35" s="3"/>
      <c r="L35" s="3">
        <f t="shared" ref="L35:P35" si="52">$K27-L27</f>
        <v>4.5117970508474983</v>
      </c>
      <c r="M35" s="3">
        <f t="shared" si="52"/>
        <v>3.8998886779660999</v>
      </c>
      <c r="N35" s="3">
        <f t="shared" si="52"/>
        <v>4.3473324406779987</v>
      </c>
      <c r="O35" s="3">
        <f t="shared" si="52"/>
        <v>4.4422792033898979</v>
      </c>
      <c r="P35" s="3">
        <f t="shared" si="52"/>
        <v>4.5095290338982998</v>
      </c>
      <c r="R35" s="104">
        <f t="shared" ref="R35:V35" si="53">R10-R27</f>
        <v>-0.83355679661016957</v>
      </c>
      <c r="S35" s="3">
        <f t="shared" si="53"/>
        <v>-0.26977172881356015</v>
      </c>
      <c r="T35" s="3">
        <f t="shared" si="53"/>
        <v>-0.18528533898306065</v>
      </c>
      <c r="U35" s="3">
        <f t="shared" si="53"/>
        <v>-0.28513047457627927</v>
      </c>
      <c r="V35" s="3">
        <f t="shared" si="53"/>
        <v>-0.65561472881355964</v>
      </c>
      <c r="AD35" s="3">
        <f t="shared" ref="AD35:AH35" si="54">AD10-AD27-$AC10-$AC27</f>
        <v>-3.1460637966101679</v>
      </c>
      <c r="AE35" s="3">
        <f t="shared" si="54"/>
        <v>-4.1082100847457674</v>
      </c>
      <c r="AF35" s="3">
        <f t="shared" si="54"/>
        <v>-4.5339762203389782</v>
      </c>
      <c r="AG35" s="3">
        <f t="shared" si="54"/>
        <v>-4.4134043220338981</v>
      </c>
      <c r="AH35" s="3">
        <f t="shared" si="54"/>
        <v>-4.2553877457627074</v>
      </c>
      <c r="AJ35" s="3">
        <f t="shared" ref="AJ35:AN35" si="55">AJ10-AJ27-$AI10-$AI27</f>
        <v>2.5771023898305172</v>
      </c>
      <c r="AK35" s="3">
        <f t="shared" si="55"/>
        <v>-1.7867067796609863</v>
      </c>
      <c r="AL35" s="3">
        <f t="shared" si="55"/>
        <v>-1.3585560338983858</v>
      </c>
      <c r="AM35" s="3">
        <f t="shared" si="55"/>
        <v>-2.0462954745762838</v>
      </c>
      <c r="AN35" s="3">
        <f t="shared" si="55"/>
        <v>-2.8282360169491847</v>
      </c>
    </row>
    <row r="36" spans="1:40" x14ac:dyDescent="0.25">
      <c r="A36" s="163">
        <f>'DC-h2-ipb1-29b'!M14*100</f>
        <v>500</v>
      </c>
      <c r="B36" s="165">
        <f>'DC-h2-ipb1-29b'!O14</f>
        <v>0.57211056752480094</v>
      </c>
      <c r="C36" s="165">
        <f>'DC-h2-ipb1-29b'!P14</f>
        <v>0</v>
      </c>
      <c r="D36" s="16">
        <f t="shared" si="29"/>
        <v>400</v>
      </c>
      <c r="E36" s="10">
        <f>(L36-(R28*$B$11+$C$11))/(R28)+1</f>
        <v>1.0534221510499444</v>
      </c>
      <c r="F36" s="10">
        <f t="shared" ref="F36" si="56">(M36-(S28*$B$11+$C$11))/(S28)+1</f>
        <v>1.06719554322802</v>
      </c>
      <c r="G36" s="10">
        <f t="shared" ref="G36" si="57">(N36-(T28*$B$11+$C$11))/(T28)+1</f>
        <v>1.0379220782288294</v>
      </c>
      <c r="H36" s="10">
        <f t="shared" ref="H36" si="58">(O36-(U28*$B$11+$C$11))/(U28)+1</f>
        <v>1.0697133979582463</v>
      </c>
      <c r="I36" s="10">
        <f t="shared" ref="I36" si="59">(P36-(V28*$B$11+$C$11))/(V28)+1</f>
        <v>1.0833805823417859</v>
      </c>
      <c r="K36" s="3"/>
      <c r="L36" s="3">
        <f t="shared" ref="L36:P36" si="60">$K28-L28</f>
        <v>4.545547389830503</v>
      </c>
      <c r="M36" s="3">
        <f t="shared" si="60"/>
        <v>4.4784145084746001</v>
      </c>
      <c r="N36" s="3">
        <f t="shared" si="60"/>
        <v>4.2700251186440994</v>
      </c>
      <c r="O36" s="3">
        <f t="shared" si="60"/>
        <v>4.5114186440678026</v>
      </c>
      <c r="P36" s="3">
        <f t="shared" si="60"/>
        <v>4.7571617118643985</v>
      </c>
      <c r="R36" s="3">
        <f t="shared" ref="R36:V36" si="61">R11-R28</f>
        <v>-0.66516277966102955</v>
      </c>
      <c r="S36" s="3">
        <f t="shared" si="61"/>
        <v>-0.26015969491525048</v>
      </c>
      <c r="T36" s="3">
        <f t="shared" si="61"/>
        <v>-0.16328644067796017</v>
      </c>
      <c r="U36" s="3">
        <f t="shared" si="61"/>
        <v>-0.2872252711864407</v>
      </c>
      <c r="V36" s="3">
        <f t="shared" si="61"/>
        <v>-0.68975411864406944</v>
      </c>
      <c r="AD36" s="3">
        <f t="shared" ref="AD36:AH36" si="62">AD11-AD28-$AC11-$AC28</f>
        <v>-2.28063006779661</v>
      </c>
      <c r="AE36" s="3">
        <f t="shared" si="62"/>
        <v>-2.02592801694915</v>
      </c>
      <c r="AF36" s="3">
        <f t="shared" si="62"/>
        <v>-2.0368615084745803</v>
      </c>
      <c r="AG36" s="3">
        <f t="shared" si="62"/>
        <v>-1.9091626779661</v>
      </c>
      <c r="AH36" s="3">
        <f t="shared" si="62"/>
        <v>-2.1610085932203398</v>
      </c>
      <c r="AJ36" s="3">
        <f t="shared" ref="AJ36:AN36" si="63">AJ11-AJ28-$AI11-$AI28</f>
        <v>-2.4450068474575892</v>
      </c>
      <c r="AK36" s="3">
        <f t="shared" si="63"/>
        <v>-1.0930516440677931</v>
      </c>
      <c r="AL36" s="3">
        <f t="shared" si="63"/>
        <v>-0.47471189830508947</v>
      </c>
      <c r="AM36" s="3">
        <f t="shared" si="63"/>
        <v>-1.3507333220338904</v>
      </c>
      <c r="AN36" s="3">
        <f t="shared" si="63"/>
        <v>-2.74932998305079</v>
      </c>
    </row>
    <row r="37" spans="1:40" x14ac:dyDescent="0.25">
      <c r="A37" s="163">
        <f>'DC-h2-ipb1-29b'!M15*100</f>
        <v>550</v>
      </c>
      <c r="B37" s="165">
        <f>'DC-h2-ipb1-29b'!O15</f>
        <v>0.5228455234141075</v>
      </c>
      <c r="C37" s="165">
        <f>'DC-h2-ipb1-29b'!P15</f>
        <v>0</v>
      </c>
      <c r="J37" s="18" t="s">
        <v>98</v>
      </c>
      <c r="K37" s="3"/>
      <c r="L37" s="3"/>
      <c r="M37" s="3"/>
      <c r="N37" s="3"/>
      <c r="O37" s="3"/>
      <c r="P37" s="3"/>
      <c r="R37" s="3"/>
      <c r="S37" s="3"/>
      <c r="T37" s="3"/>
      <c r="U37" s="3"/>
      <c r="V37" s="3"/>
      <c r="AD37" s="3"/>
      <c r="AE37" s="3"/>
      <c r="AF37" s="3"/>
      <c r="AG37" s="3"/>
      <c r="AH37" s="3"/>
      <c r="AJ37" s="3"/>
      <c r="AK37" s="3"/>
      <c r="AL37" s="3"/>
      <c r="AM37" s="3"/>
      <c r="AN37" s="3"/>
    </row>
    <row r="38" spans="1:40" x14ac:dyDescent="0.25">
      <c r="A38" s="163">
        <f>'DC-h2-ipb1-29b'!M16*100</f>
        <v>600</v>
      </c>
      <c r="B38" s="165">
        <f>'DC-h2-ipb1-29b'!O16</f>
        <v>0.43491256711935955</v>
      </c>
      <c r="C38" s="165">
        <f>'DC-h2-ipb1-29b'!P16</f>
        <v>0</v>
      </c>
      <c r="J38" s="123" t="s">
        <v>64</v>
      </c>
      <c r="K38" s="3"/>
      <c r="L38" s="3"/>
      <c r="M38" s="3"/>
      <c r="N38" s="3"/>
      <c r="O38" s="3"/>
      <c r="P38" s="3"/>
      <c r="R38" s="3"/>
      <c r="S38" s="3"/>
      <c r="T38" s="3"/>
      <c r="U38" s="3"/>
      <c r="V38" s="3"/>
      <c r="AD38" s="3"/>
      <c r="AE38" s="3"/>
      <c r="AF38" s="3"/>
      <c r="AG38" s="3"/>
      <c r="AH38" s="3"/>
      <c r="AJ38" s="3"/>
      <c r="AK38" s="3"/>
      <c r="AL38" s="3"/>
      <c r="AM38" s="3"/>
      <c r="AN38" s="3"/>
    </row>
    <row r="39" spans="1:40" x14ac:dyDescent="0.25">
      <c r="J39" s="123" t="s">
        <v>11</v>
      </c>
      <c r="K39" s="2" t="s">
        <v>99</v>
      </c>
      <c r="L39" s="3"/>
      <c r="M39" s="3"/>
      <c r="N39" s="3"/>
      <c r="O39" s="3"/>
      <c r="P39" s="3"/>
      <c r="R39" s="3"/>
      <c r="S39" s="3"/>
      <c r="T39" s="3"/>
      <c r="U39" s="3"/>
      <c r="V39" s="3"/>
      <c r="AD39" s="3"/>
      <c r="AE39" s="3"/>
      <c r="AF39" s="3"/>
      <c r="AG39" s="3"/>
      <c r="AH39" s="3"/>
      <c r="AJ39" s="3"/>
      <c r="AK39" s="3"/>
      <c r="AL39" s="3"/>
      <c r="AM39" s="3"/>
      <c r="AN39" s="3"/>
    </row>
    <row r="40" spans="1:40" x14ac:dyDescent="0.25">
      <c r="D40" s="52">
        <v>1</v>
      </c>
      <c r="E40" s="10"/>
      <c r="F40" s="10">
        <f>($B$26*$D40*S40+$C$26+$K40-M40)/(S40*$D40)</f>
        <v>1.146736589651475</v>
      </c>
      <c r="G40" s="10">
        <f>($B$26*$D40*T40+$C$26+$K40-N40)/(T40*$D40)</f>
        <v>1.1613377936271922</v>
      </c>
      <c r="H40" s="10">
        <f>($B$26*$D40*U40+$C$26+$K40-O40)/(U40*$D40)</f>
        <v>1.204262048799869</v>
      </c>
      <c r="J40" s="131">
        <f>J23</f>
        <v>150</v>
      </c>
      <c r="K40" s="4">
        <v>9.3971255862069007</v>
      </c>
      <c r="L40" s="4"/>
      <c r="M40" s="4">
        <v>7.5822125517241403</v>
      </c>
      <c r="N40" s="4">
        <v>7.2578694482758603</v>
      </c>
      <c r="O40" s="4">
        <v>7.4318426206896602</v>
      </c>
      <c r="P40" s="3"/>
      <c r="R40" s="3"/>
      <c r="S40" s="3">
        <f>S53</f>
        <v>2.6620971724137901</v>
      </c>
      <c r="T40" s="3">
        <f t="shared" ref="T40:U40" si="64">T53</f>
        <v>3.0622243793103401</v>
      </c>
      <c r="U40" s="3">
        <f t="shared" si="64"/>
        <v>2.6584370689655201</v>
      </c>
      <c r="V40" s="3"/>
      <c r="AD40" s="3"/>
      <c r="AE40" s="3"/>
      <c r="AF40" s="3"/>
      <c r="AG40" s="3"/>
      <c r="AH40" s="3"/>
      <c r="AJ40" s="3"/>
      <c r="AK40" s="3"/>
      <c r="AL40" s="3"/>
      <c r="AM40" s="3"/>
      <c r="AN40" s="3"/>
    </row>
    <row r="41" spans="1:40" x14ac:dyDescent="0.25">
      <c r="D41" s="52">
        <v>1</v>
      </c>
      <c r="E41" s="10"/>
      <c r="F41" s="10">
        <f>($B$27*$D41*S41+$C$27+$K41-M41)/(S41*$D41)</f>
        <v>1.2695325994926412</v>
      </c>
      <c r="G41" s="10">
        <f>($B$27*$D41*T41+$C$27+$K41-N41)/(T41*$D41)</f>
        <v>1.2699748792390833</v>
      </c>
      <c r="H41" s="10">
        <f>($B$27*$D41*U41+$C$27+$K41-O41)/(U41*$D41)</f>
        <v>1.3117982932691254</v>
      </c>
      <c r="J41" s="131">
        <f t="shared" ref="J41:J43" si="65">J24</f>
        <v>200</v>
      </c>
      <c r="K41" s="4">
        <v>14.1651251034483</v>
      </c>
      <c r="L41" s="4"/>
      <c r="M41" s="4">
        <v>11.874630275862099</v>
      </c>
      <c r="N41" s="4">
        <v>11.563274137931</v>
      </c>
      <c r="O41" s="4">
        <v>11.755941172413801</v>
      </c>
      <c r="P41" s="3"/>
      <c r="R41" s="3"/>
      <c r="S41" s="3">
        <f t="shared" ref="S41:U43" si="66">S54</f>
        <v>2.8768980344827599</v>
      </c>
      <c r="T41" s="3">
        <f t="shared" si="66"/>
        <v>3.2635286896551698</v>
      </c>
      <c r="U41" s="3">
        <f t="shared" si="66"/>
        <v>2.8734554482758599</v>
      </c>
      <c r="V41" s="3"/>
      <c r="AD41" s="3"/>
      <c r="AE41" s="3"/>
      <c r="AF41" s="3"/>
      <c r="AG41" s="3"/>
      <c r="AH41" s="3"/>
      <c r="AJ41" s="3"/>
      <c r="AK41" s="3"/>
      <c r="AL41" s="3"/>
      <c r="AM41" s="3"/>
      <c r="AN41" s="3"/>
    </row>
    <row r="42" spans="1:40" x14ac:dyDescent="0.25">
      <c r="D42" s="52">
        <v>1</v>
      </c>
      <c r="E42" s="10"/>
      <c r="F42" s="10">
        <f>($B$28*$D42*S42+$C$28+$K42-M42)/(S42*$D42)</f>
        <v>1.415398021961261</v>
      </c>
      <c r="G42" s="10">
        <f>($B$28*$D42*T42+$C$28+$K42-N42)/(T42*$D42)</f>
        <v>1.395332289967574</v>
      </c>
      <c r="H42" s="10">
        <f>($B$28*$D42*U42+$C$28+$K42-O42)/(U42*$D42)</f>
        <v>1.4510854901359496</v>
      </c>
      <c r="J42" s="131">
        <f t="shared" si="65"/>
        <v>250</v>
      </c>
      <c r="K42" s="4">
        <v>19.360079172413801</v>
      </c>
      <c r="L42" s="4"/>
      <c r="M42" s="4">
        <v>16.481686482758601</v>
      </c>
      <c r="N42" s="4">
        <v>16.1746964137931</v>
      </c>
      <c r="O42" s="4">
        <v>16.3674796206897</v>
      </c>
      <c r="P42" s="3"/>
      <c r="R42" s="3"/>
      <c r="S42" s="3">
        <f t="shared" si="66"/>
        <v>3.182474</v>
      </c>
      <c r="T42" s="3">
        <f t="shared" si="66"/>
        <v>3.5949085862069001</v>
      </c>
      <c r="U42" s="3">
        <f t="shared" si="66"/>
        <v>3.1831362758620698</v>
      </c>
      <c r="V42" s="3"/>
      <c r="AD42" s="3"/>
      <c r="AE42" s="3"/>
      <c r="AF42" s="3"/>
      <c r="AG42" s="3"/>
      <c r="AH42" s="3"/>
      <c r="AJ42" s="3"/>
      <c r="AK42" s="3"/>
      <c r="AL42" s="3"/>
      <c r="AM42" s="3"/>
      <c r="AN42" s="3"/>
    </row>
    <row r="43" spans="1:40" x14ac:dyDescent="0.25">
      <c r="D43" s="52">
        <v>1</v>
      </c>
      <c r="E43" s="10"/>
      <c r="F43" s="10">
        <f>($B$30*$D43*S43+$C$30+$K43-M43)/(S43*$D43)</f>
        <v>1.5673245414758583</v>
      </c>
      <c r="G43" s="10">
        <f>($B$30*$D43*T43+$C$30+$K43-N43)/(T43*$D43)</f>
        <v>1.5463326424299257</v>
      </c>
      <c r="H43" s="10">
        <f>($B$30*$D43*U43+$C$30+$K43-O43)/(U43*$D43)</f>
        <v>1.5881050900692437</v>
      </c>
      <c r="J43" s="131">
        <f t="shared" si="65"/>
        <v>300</v>
      </c>
      <c r="K43" s="4">
        <v>25.185805896551699</v>
      </c>
      <c r="L43" s="4"/>
      <c r="M43" s="4">
        <v>21.508566999999999</v>
      </c>
      <c r="N43" s="4">
        <v>21.113766931034501</v>
      </c>
      <c r="O43" s="4">
        <v>21.438658034482799</v>
      </c>
      <c r="P43" s="3"/>
      <c r="R43" s="3"/>
      <c r="S43" s="3">
        <f t="shared" si="66"/>
        <v>3.5670185517241402</v>
      </c>
      <c r="T43" s="3">
        <f t="shared" si="66"/>
        <v>4.02842475862069</v>
      </c>
      <c r="U43" s="3">
        <f t="shared" si="66"/>
        <v>3.5630404137931002</v>
      </c>
      <c r="V43" s="3"/>
      <c r="AD43" s="3"/>
      <c r="AE43" s="3"/>
      <c r="AF43" s="3"/>
      <c r="AG43" s="3"/>
      <c r="AH43" s="3"/>
      <c r="AJ43" s="3"/>
      <c r="AK43" s="3"/>
      <c r="AL43" s="3"/>
      <c r="AM43" s="3"/>
      <c r="AN43" s="3"/>
    </row>
    <row r="44" spans="1:40" x14ac:dyDescent="0.25">
      <c r="D44" s="52"/>
      <c r="E44" s="10"/>
      <c r="F44" s="10"/>
      <c r="G44" s="10"/>
      <c r="H44" s="10"/>
      <c r="J44" s="131"/>
      <c r="K44" s="4"/>
      <c r="L44" s="4"/>
      <c r="M44" s="4"/>
      <c r="N44" s="4"/>
      <c r="O44" s="4"/>
      <c r="P44" s="3"/>
      <c r="R44" s="3"/>
      <c r="S44" s="3"/>
      <c r="T44" s="3"/>
      <c r="U44" s="3"/>
      <c r="V44" s="3"/>
      <c r="AD44" s="3"/>
      <c r="AE44" s="3"/>
      <c r="AF44" s="3"/>
      <c r="AG44" s="3"/>
      <c r="AH44" s="3"/>
      <c r="AJ44" s="3"/>
      <c r="AK44" s="3"/>
      <c r="AL44" s="3"/>
      <c r="AM44" s="3"/>
      <c r="AN44" s="3"/>
    </row>
    <row r="45" spans="1:40" x14ac:dyDescent="0.25">
      <c r="D45" s="52"/>
      <c r="E45" s="186" t="s">
        <v>126</v>
      </c>
      <c r="F45" s="10"/>
      <c r="G45" s="10"/>
      <c r="H45" s="10"/>
      <c r="J45" s="131"/>
      <c r="K45" s="4"/>
      <c r="L45" s="4"/>
      <c r="M45" s="159" t="s">
        <v>101</v>
      </c>
      <c r="S45" s="1" t="s">
        <v>100</v>
      </c>
      <c r="V45" s="3"/>
      <c r="AD45" s="3"/>
      <c r="AE45" s="3"/>
      <c r="AF45" s="3"/>
      <c r="AG45" s="3"/>
      <c r="AH45" s="3"/>
      <c r="AJ45" s="3"/>
      <c r="AK45" s="3"/>
      <c r="AL45" s="3"/>
      <c r="AM45" s="3"/>
      <c r="AN45" s="3"/>
    </row>
    <row r="46" spans="1:40" x14ac:dyDescent="0.25">
      <c r="D46" s="52"/>
      <c r="E46" s="10"/>
      <c r="F46" s="10">
        <f>(M46-(S40*$B$26+$C$26))/(S40)+1</f>
        <v>1.2167846621570255</v>
      </c>
      <c r="G46" s="10">
        <f t="shared" ref="G46:H46" si="67">(N46-(T40*$B$26+$C$26))/(T40)+1</f>
        <v>1.2358531845289111</v>
      </c>
      <c r="H46" s="10">
        <f t="shared" si="67"/>
        <v>1.2742630503720236</v>
      </c>
      <c r="J46" s="131"/>
      <c r="K46" s="4"/>
      <c r="L46" s="4"/>
      <c r="M46" s="3">
        <f>$K40-M40</f>
        <v>1.8149130344827604</v>
      </c>
      <c r="N46" s="3">
        <f t="shared" ref="N46:O46" si="68">$K40-N40</f>
        <v>2.1392561379310404</v>
      </c>
      <c r="O46" s="3">
        <f t="shared" si="68"/>
        <v>1.9652829655172406</v>
      </c>
      <c r="S46" s="3">
        <f t="shared" ref="S46:U49" si="69">M46/S40</f>
        <v>0.68176062590425024</v>
      </c>
      <c r="T46" s="3">
        <f t="shared" si="69"/>
        <v>0.69859548907805169</v>
      </c>
      <c r="U46" s="3">
        <f t="shared" si="69"/>
        <v>0.73926254958594628</v>
      </c>
      <c r="V46" s="3"/>
      <c r="AD46" s="3"/>
      <c r="AE46" s="3"/>
      <c r="AF46" s="3"/>
      <c r="AG46" s="3"/>
      <c r="AH46" s="3"/>
      <c r="AJ46" s="3"/>
      <c r="AK46" s="3"/>
      <c r="AL46" s="3"/>
      <c r="AM46" s="3"/>
      <c r="AN46" s="3"/>
    </row>
    <row r="47" spans="1:40" x14ac:dyDescent="0.25">
      <c r="D47" s="52"/>
      <c r="E47" s="10"/>
      <c r="F47" s="10">
        <f>(M47-(S41*$B$27+$C$27))/(S41)+1</f>
        <v>1.3228038685587968</v>
      </c>
      <c r="G47" s="10">
        <f t="shared" ref="G47:H47" si="70">(N47-(T41*$B$27+$C$27))/(T41)+1</f>
        <v>1.3245267862524599</v>
      </c>
      <c r="H47" s="10">
        <f t="shared" si="70"/>
        <v>1.365056611497236</v>
      </c>
      <c r="J47" s="131"/>
      <c r="K47" s="4"/>
      <c r="L47" s="4"/>
      <c r="M47" s="3">
        <f>$K41-M41</f>
        <v>2.2904948275862012</v>
      </c>
      <c r="N47" s="3">
        <f t="shared" ref="N47:O47" si="71">$K41-N41</f>
        <v>2.6018509655173006</v>
      </c>
      <c r="O47" s="3">
        <f t="shared" si="71"/>
        <v>2.4091839310344998</v>
      </c>
      <c r="S47" s="3">
        <f t="shared" si="69"/>
        <v>0.79616823402571901</v>
      </c>
      <c r="T47" s="3">
        <f t="shared" si="69"/>
        <v>0.79725083274577146</v>
      </c>
      <c r="U47" s="3">
        <f t="shared" si="69"/>
        <v>0.83842745238318073</v>
      </c>
      <c r="V47" s="3"/>
      <c r="AD47" s="3"/>
      <c r="AE47" s="3"/>
      <c r="AF47" s="3"/>
      <c r="AG47" s="3"/>
      <c r="AH47" s="3"/>
      <c r="AJ47" s="3"/>
      <c r="AK47" s="3"/>
      <c r="AL47" s="3"/>
      <c r="AM47" s="3"/>
      <c r="AN47" s="3"/>
    </row>
    <row r="48" spans="1:40" x14ac:dyDescent="0.25">
      <c r="E48" s="10"/>
      <c r="F48" s="10">
        <f>(M48-(S42*$B$28+$C$28))/(S42)+1</f>
        <v>1.3935045423049048</v>
      </c>
      <c r="G48" s="10">
        <f t="shared" ref="G48:H48" si="72">(N48-(T42*$B$28+$C$28))/(T42)+1</f>
        <v>1.3768311362972914</v>
      </c>
      <c r="H48" s="10">
        <f t="shared" si="72"/>
        <v>1.4291981624473091</v>
      </c>
      <c r="K48" s="3"/>
      <c r="L48" s="3"/>
      <c r="M48" s="3">
        <f>$K42-M42</f>
        <v>2.8783926896552003</v>
      </c>
      <c r="N48" s="3">
        <f t="shared" ref="N48:O48" si="73">$K42-N42</f>
        <v>3.1853827586207011</v>
      </c>
      <c r="O48" s="3">
        <f t="shared" si="73"/>
        <v>2.9925995517241013</v>
      </c>
      <c r="S48" s="3">
        <f t="shared" si="69"/>
        <v>0.90445128213308268</v>
      </c>
      <c r="T48" s="3">
        <f t="shared" si="69"/>
        <v>0.88608171313243256</v>
      </c>
      <c r="U48" s="3">
        <f t="shared" si="69"/>
        <v>0.94014182629162912</v>
      </c>
      <c r="V48" s="3"/>
      <c r="AD48" s="3"/>
      <c r="AE48" s="3"/>
      <c r="AF48" s="3"/>
      <c r="AG48" s="3"/>
      <c r="AH48" s="3"/>
      <c r="AJ48" s="3"/>
      <c r="AK48" s="3"/>
      <c r="AL48" s="3"/>
      <c r="AM48" s="3"/>
      <c r="AN48" s="3"/>
    </row>
    <row r="49" spans="4:40" x14ac:dyDescent="0.25">
      <c r="E49" s="10"/>
      <c r="F49" s="10">
        <f>(M49-(S43*$B$30+$C$30))/(S43)+1</f>
        <v>1.4944751622426911</v>
      </c>
      <c r="G49" s="10">
        <f t="shared" ref="G49:H49" si="74">(N49-(T43*$B$30+$C$30))/(T43)+1</f>
        <v>1.4753205890487933</v>
      </c>
      <c r="H49" s="10">
        <f t="shared" si="74"/>
        <v>1.5152378007736951</v>
      </c>
      <c r="K49" s="3"/>
      <c r="L49" s="3"/>
      <c r="M49" s="22">
        <f>$K43-M43</f>
        <v>3.6772388965516996</v>
      </c>
      <c r="N49" s="22">
        <f t="shared" ref="N49:O49" si="75">$K43-N43</f>
        <v>4.0720389655171978</v>
      </c>
      <c r="O49" s="22">
        <f t="shared" si="75"/>
        <v>3.7471478620688998</v>
      </c>
      <c r="S49" s="3">
        <f t="shared" si="69"/>
        <v>1.0308998518592745</v>
      </c>
      <c r="T49" s="3">
        <f t="shared" si="69"/>
        <v>1.0108266157393593</v>
      </c>
      <c r="U49" s="3">
        <f t="shared" si="69"/>
        <v>1.0516714454214693</v>
      </c>
      <c r="V49" s="3"/>
      <c r="AD49" s="3"/>
      <c r="AE49" s="3"/>
      <c r="AF49" s="3"/>
      <c r="AG49" s="3"/>
      <c r="AH49" s="3"/>
      <c r="AJ49" s="3"/>
      <c r="AK49" s="3"/>
      <c r="AL49" s="3"/>
      <c r="AM49" s="3"/>
      <c r="AN49" s="3"/>
    </row>
    <row r="50" spans="4:40" x14ac:dyDescent="0.25">
      <c r="E50" s="10"/>
      <c r="F50" s="10"/>
      <c r="G50" s="10"/>
      <c r="H50" s="10"/>
      <c r="J50" s="18" t="s">
        <v>95</v>
      </c>
      <c r="M50" s="3"/>
      <c r="N50" s="3"/>
      <c r="O50" s="3"/>
      <c r="S50" s="3"/>
      <c r="T50" s="3"/>
      <c r="U50" s="3"/>
    </row>
    <row r="51" spans="4:40" x14ac:dyDescent="0.25">
      <c r="F51" s="10"/>
      <c r="G51" s="10"/>
      <c r="H51" s="10"/>
      <c r="J51" s="123" t="s">
        <v>64</v>
      </c>
      <c r="K51" s="2" t="s">
        <v>97</v>
      </c>
      <c r="M51" s="3"/>
      <c r="N51" s="3"/>
      <c r="O51" s="3"/>
      <c r="S51" s="3"/>
      <c r="T51" s="3"/>
      <c r="U51" s="3"/>
    </row>
    <row r="52" spans="4:40" x14ac:dyDescent="0.25">
      <c r="F52" s="1" t="s">
        <v>110</v>
      </c>
      <c r="G52" s="1" t="s">
        <v>111</v>
      </c>
      <c r="H52" s="1" t="s">
        <v>110</v>
      </c>
      <c r="J52" s="123" t="s">
        <v>11</v>
      </c>
      <c r="K52" s="2" t="s">
        <v>96</v>
      </c>
    </row>
    <row r="53" spans="4:40" x14ac:dyDescent="0.25">
      <c r="D53" s="52">
        <v>1</v>
      </c>
      <c r="E53" s="10"/>
      <c r="F53" s="10">
        <f>($B$26*$D53*S53+$C$26+$K53-M53)/(S53*$D53)</f>
        <v>1.2299286356217658</v>
      </c>
      <c r="G53" s="10">
        <f>($B$26*$D53*T53+$C$26+$K53-N53)/(T53*$D53)</f>
        <v>1.1527214967088348</v>
      </c>
      <c r="H53" s="10">
        <f>($B$26*$D53*U53+$C$26+$K53-O53)/(U53*$D53)</f>
        <v>1.262974456628295</v>
      </c>
      <c r="I53" s="10"/>
      <c r="J53" s="17">
        <v>150</v>
      </c>
      <c r="K53" s="4">
        <v>9.4908219999999996</v>
      </c>
      <c r="L53" s="4"/>
      <c r="M53" s="4">
        <v>7.45444365517241</v>
      </c>
      <c r="N53" s="4">
        <v>7.37795089655173</v>
      </c>
      <c r="O53" s="4">
        <v>7.3694557931034499</v>
      </c>
      <c r="P53" s="3"/>
      <c r="Q53" s="3"/>
      <c r="R53" s="3"/>
      <c r="S53" s="4">
        <v>2.6620971724137901</v>
      </c>
      <c r="T53" s="4">
        <v>3.0622243793103401</v>
      </c>
      <c r="U53" s="4">
        <v>2.6584370689655201</v>
      </c>
      <c r="V53" s="3"/>
      <c r="W53" s="4">
        <v>0.43761175862069002</v>
      </c>
      <c r="X53" s="4"/>
      <c r="Y53" s="4">
        <v>49.773547482758602</v>
      </c>
      <c r="Z53" s="4">
        <v>49.844884413793103</v>
      </c>
      <c r="AA53" s="4">
        <v>49.876802931034497</v>
      </c>
      <c r="AB53" s="3"/>
      <c r="AC53" s="4">
        <v>0.74000148275862099</v>
      </c>
      <c r="AD53" s="4"/>
      <c r="AE53" s="4">
        <v>4.1537079310344804</v>
      </c>
      <c r="AF53" s="4">
        <v>5.0127353793103504</v>
      </c>
      <c r="AG53" s="4">
        <v>4.2932399655172402</v>
      </c>
      <c r="AH53" s="3"/>
      <c r="AI53" s="4">
        <v>-0.28160465517241401</v>
      </c>
      <c r="AJ53" s="4"/>
      <c r="AK53" s="4">
        <v>31.952324999999998</v>
      </c>
      <c r="AL53" s="4">
        <v>30.316319793103499</v>
      </c>
      <c r="AM53" s="4">
        <v>31.791765999999999</v>
      </c>
    </row>
    <row r="54" spans="4:40" x14ac:dyDescent="0.25">
      <c r="D54" s="52">
        <v>1</v>
      </c>
      <c r="E54" s="10"/>
      <c r="F54" s="10">
        <f>($B$27*$D54*S54+$C$27+$K54-M54)/(S54*$D54)</f>
        <v>1.3110210954292927</v>
      </c>
      <c r="G54" s="10">
        <f>($B$27*$D54*T54+$C$27+$K54-N54)/(T54*$D54)</f>
        <v>1.2444488493014383</v>
      </c>
      <c r="H54" s="10">
        <f>($B$27*$D54*U54+$C$27+$K54-O54)/(U54*$D54)</f>
        <v>1.3716879913723474</v>
      </c>
      <c r="I54" s="10"/>
      <c r="J54" s="17">
        <v>200</v>
      </c>
      <c r="K54" s="4">
        <v>14.1652515862069</v>
      </c>
      <c r="L54" s="4"/>
      <c r="M54" s="4">
        <v>11.755398586206899</v>
      </c>
      <c r="N54" s="4">
        <v>11.6467055517241</v>
      </c>
      <c r="O54" s="4">
        <v>11.5839772758621</v>
      </c>
      <c r="P54" s="3"/>
      <c r="Q54" s="3"/>
      <c r="R54" s="3"/>
      <c r="S54" s="4">
        <v>2.8768980344827599</v>
      </c>
      <c r="T54" s="4">
        <v>3.2635286896551698</v>
      </c>
      <c r="U54" s="4">
        <v>2.8734554482758599</v>
      </c>
      <c r="V54" s="3"/>
      <c r="W54" s="4">
        <v>0.50176817241379301</v>
      </c>
      <c r="X54" s="4"/>
      <c r="Y54" s="4">
        <v>49.532508275862099</v>
      </c>
      <c r="Z54" s="4">
        <v>49.601886137930997</v>
      </c>
      <c r="AA54" s="4">
        <v>49.639729103448303</v>
      </c>
      <c r="AB54" s="3"/>
      <c r="AC54" s="4">
        <v>0.71458844827586199</v>
      </c>
      <c r="AD54" s="4"/>
      <c r="AE54" s="4">
        <v>4.2570945172413799</v>
      </c>
      <c r="AF54" s="4">
        <v>4.9508164137930999</v>
      </c>
      <c r="AG54" s="4">
        <v>4.1678436206896601</v>
      </c>
      <c r="AH54" s="3"/>
      <c r="AI54" s="4">
        <v>-0.49238758620689699</v>
      </c>
      <c r="AJ54" s="4"/>
      <c r="AK54" s="4">
        <v>31.040786827586199</v>
      </c>
      <c r="AL54" s="4">
        <v>29.905607448275902</v>
      </c>
      <c r="AM54" s="4">
        <v>31.317239793103401</v>
      </c>
    </row>
    <row r="55" spans="4:40" x14ac:dyDescent="0.25">
      <c r="D55" s="52">
        <v>1</v>
      </c>
      <c r="E55" s="10"/>
      <c r="F55" s="87">
        <f>($B$28*$D55*S55+$C$28+$K55-M55)/(S55*$D55)</f>
        <v>1.4813427490227544</v>
      </c>
      <c r="G55" s="87">
        <f>($B$28*$D55*T55+$C$28+$K55-N55)/(T55*$D55)</f>
        <v>1.333743212487883</v>
      </c>
      <c r="H55" s="87">
        <f>($B$28*$D55*U55+$C$28+$K55-O55)/(U55*$D55)</f>
        <v>1.4825690458466634</v>
      </c>
      <c r="I55" s="10"/>
      <c r="J55" s="17">
        <v>250</v>
      </c>
      <c r="K55" s="4">
        <v>19.365478551724099</v>
      </c>
      <c r="L55" s="4"/>
      <c r="M55" s="4">
        <v>16.277218482758599</v>
      </c>
      <c r="N55" s="4">
        <v>16.401502896551701</v>
      </c>
      <c r="O55" s="4">
        <v>16.2726625517241</v>
      </c>
      <c r="P55" s="3"/>
      <c r="Q55" s="3"/>
      <c r="R55" s="3"/>
      <c r="S55" s="4">
        <v>3.182474</v>
      </c>
      <c r="T55" s="4">
        <v>3.5949085862069001</v>
      </c>
      <c r="U55" s="4">
        <v>3.1831362758620698</v>
      </c>
      <c r="V55" s="3"/>
      <c r="W55" s="4">
        <v>0.48587072413793098</v>
      </c>
      <c r="X55" s="4"/>
      <c r="Y55" s="4">
        <v>50.3959041724138</v>
      </c>
      <c r="Z55" s="4">
        <v>50.424586344827603</v>
      </c>
      <c r="AA55" s="4">
        <v>50.391075310344803</v>
      </c>
      <c r="AB55" s="3"/>
      <c r="AC55" s="4">
        <v>0.44695499999999999</v>
      </c>
      <c r="AD55" s="4"/>
      <c r="AE55" s="4">
        <v>4.0190618620689698</v>
      </c>
      <c r="AF55" s="4">
        <v>4.6934508965517203</v>
      </c>
      <c r="AG55" s="4">
        <v>3.9903166551724101</v>
      </c>
      <c r="AH55" s="3"/>
      <c r="AI55" s="4">
        <v>-0.56784917241379296</v>
      </c>
      <c r="AJ55" s="4"/>
      <c r="AK55" s="4">
        <v>30.866881517241399</v>
      </c>
      <c r="AL55" s="4">
        <v>29.392022379310301</v>
      </c>
      <c r="AM55" s="4">
        <v>30.8631661034483</v>
      </c>
    </row>
    <row r="56" spans="4:40" x14ac:dyDescent="0.25">
      <c r="D56" s="52">
        <v>1</v>
      </c>
      <c r="E56" s="10"/>
      <c r="F56" s="87">
        <f>($B$30*$D56*S56+$C$30+$K56-M56)/(S56*$D56)</f>
        <v>1.6283746865318023</v>
      </c>
      <c r="G56" s="87">
        <f>($B$30*$D56*T56+$C$30+$K56-N56)/(T56*$D56)</f>
        <v>1.5389528433028405</v>
      </c>
      <c r="H56" s="87">
        <f>($B$30*$D56*U56+$C$30+$K56-O56)/(U56*$D56)</f>
        <v>1.6664297022572956</v>
      </c>
      <c r="I56" s="10"/>
      <c r="J56" s="17">
        <v>300</v>
      </c>
      <c r="K56" s="4">
        <v>25.1961757931034</v>
      </c>
      <c r="L56" s="4"/>
      <c r="M56" s="4">
        <v>21.301169896551698</v>
      </c>
      <c r="N56" s="4">
        <v>21.1538657931034</v>
      </c>
      <c r="O56" s="4">
        <v>21.169954172413799</v>
      </c>
      <c r="P56" s="3"/>
      <c r="Q56" s="3"/>
      <c r="R56" s="3"/>
      <c r="S56" s="4">
        <v>3.5670185517241402</v>
      </c>
      <c r="T56" s="4">
        <v>4.02842475862069</v>
      </c>
      <c r="U56" s="4">
        <v>3.5630404137931002</v>
      </c>
      <c r="V56" s="3"/>
      <c r="W56" s="4">
        <v>0.49610275862068998</v>
      </c>
      <c r="X56" s="4"/>
      <c r="Y56" s="4">
        <v>50.253643172413803</v>
      </c>
      <c r="Z56" s="4">
        <v>50.292516551724098</v>
      </c>
      <c r="AA56" s="4">
        <v>50.314433896551698</v>
      </c>
      <c r="AB56" s="3"/>
      <c r="AC56" s="4">
        <v>0.451614034482759</v>
      </c>
      <c r="AD56" s="4"/>
      <c r="AE56" s="4">
        <v>4.0513742413793103</v>
      </c>
      <c r="AF56" s="4">
        <v>4.5649950689655201</v>
      </c>
      <c r="AG56" s="4">
        <v>4.0744988965517202</v>
      </c>
      <c r="AH56" s="3"/>
      <c r="AI56" s="4">
        <v>-0.57703300000000002</v>
      </c>
      <c r="AJ56" s="4"/>
      <c r="AK56" s="4">
        <v>30.112379517241401</v>
      </c>
      <c r="AL56" s="4">
        <v>28.6948231034483</v>
      </c>
      <c r="AM56" s="4">
        <v>30.194398551724099</v>
      </c>
    </row>
    <row r="57" spans="4:40" x14ac:dyDescent="0.25">
      <c r="D57" s="52">
        <v>1</v>
      </c>
      <c r="E57" s="10"/>
      <c r="F57" s="10">
        <f>($B$32*$D57*S57+$C$32+$K57-M57)/(S57*$D57)</f>
        <v>1.5889159750506883</v>
      </c>
      <c r="G57" s="10">
        <f>($B$32*$D57*T57+$C$32+$K57-N57)/(T57*$D57)</f>
        <v>1.5063671748605671</v>
      </c>
      <c r="H57" s="10">
        <f>($B$32*$D57*U57+$C$32+$K57-O57)/(U57*$D57)</f>
        <v>1.646768426933896</v>
      </c>
      <c r="I57" s="10"/>
      <c r="J57" s="17">
        <v>350</v>
      </c>
      <c r="K57" s="4">
        <v>31.711928448275899</v>
      </c>
      <c r="L57" s="4"/>
      <c r="M57" s="4">
        <v>28.1995371034483</v>
      </c>
      <c r="N57" s="4">
        <v>28.0979626206897</v>
      </c>
      <c r="O57" s="4">
        <v>28.004251413793099</v>
      </c>
      <c r="P57" s="3"/>
      <c r="Q57" s="3"/>
      <c r="R57" s="3"/>
      <c r="S57" s="4">
        <v>3.4476995862069</v>
      </c>
      <c r="T57" s="4">
        <v>3.8601881379310399</v>
      </c>
      <c r="U57" s="4">
        <v>3.4438243103448301</v>
      </c>
      <c r="V57" s="3"/>
      <c r="W57" s="4">
        <v>0.50472565517241397</v>
      </c>
      <c r="X57" s="4"/>
      <c r="Y57" s="4">
        <v>50.084816275862103</v>
      </c>
      <c r="Z57" s="4">
        <v>50.127197965517198</v>
      </c>
      <c r="AA57" s="4">
        <v>50.166481551724097</v>
      </c>
      <c r="AB57" s="3"/>
      <c r="AC57" s="4">
        <v>0.72620865517241395</v>
      </c>
      <c r="AD57" s="4"/>
      <c r="AE57" s="4">
        <v>4.5618407586206899</v>
      </c>
      <c r="AF57" s="4">
        <v>5.3771774137930999</v>
      </c>
      <c r="AG57" s="4">
        <v>4.64916251724138</v>
      </c>
      <c r="AH57" s="3"/>
      <c r="AI57" s="4">
        <v>-0.403718137931035</v>
      </c>
      <c r="AJ57" s="4"/>
      <c r="AK57" s="4">
        <v>30.574806241379299</v>
      </c>
      <c r="AL57" s="4">
        <v>29.425053344827599</v>
      </c>
      <c r="AM57" s="4">
        <v>30.680661172413799</v>
      </c>
    </row>
    <row r="58" spans="4:40" x14ac:dyDescent="0.25">
      <c r="D58" s="52">
        <v>1</v>
      </c>
      <c r="E58" s="10"/>
      <c r="F58" s="10">
        <f>($B$34*$D58*S58+$C$34+$K58-M58)/(S58*$D58)</f>
        <v>1.5490545023304314</v>
      </c>
      <c r="G58" s="10">
        <f>($B$34*$D58*T58+$C$34+$K58-N58)/(T58*$D58)</f>
        <v>1.4223305391250904</v>
      </c>
      <c r="H58" s="10"/>
      <c r="I58" s="10"/>
      <c r="J58" s="17">
        <v>400</v>
      </c>
      <c r="K58" s="4">
        <v>38.917611586206903</v>
      </c>
      <c r="L58" s="4"/>
      <c r="M58" s="4">
        <v>35.531575931034503</v>
      </c>
      <c r="N58" s="4">
        <v>35.728211689655197</v>
      </c>
      <c r="O58" s="3"/>
      <c r="P58" s="3"/>
      <c r="Q58" s="3"/>
      <c r="R58" s="3"/>
      <c r="S58" s="4">
        <v>3.4049409655172398</v>
      </c>
      <c r="T58" s="4">
        <v>3.6837080689655202</v>
      </c>
      <c r="U58" s="3"/>
      <c r="V58" s="3"/>
      <c r="W58" s="4">
        <v>0.52546658620689701</v>
      </c>
      <c r="X58" s="4"/>
      <c r="Y58" s="4">
        <v>49.908997896551703</v>
      </c>
      <c r="Z58" s="4">
        <v>49.954936379310297</v>
      </c>
      <c r="AA58" s="3"/>
      <c r="AB58" s="3"/>
      <c r="AC58" s="4">
        <v>0.697338448275862</v>
      </c>
      <c r="AD58" s="4"/>
      <c r="AE58" s="4">
        <v>4.35510586206897</v>
      </c>
      <c r="AF58" s="4">
        <v>4.95062303448276</v>
      </c>
      <c r="AG58" s="3"/>
      <c r="AH58" s="3"/>
      <c r="AI58" s="4">
        <v>-0.50400448275862098</v>
      </c>
      <c r="AJ58" s="4"/>
      <c r="AK58" s="4">
        <v>30.561204689655199</v>
      </c>
      <c r="AL58" s="4">
        <v>28.9794689310345</v>
      </c>
      <c r="AM58" s="3"/>
    </row>
    <row r="59" spans="4:40" x14ac:dyDescent="0.25">
      <c r="F59" s="178"/>
      <c r="G59" s="178"/>
      <c r="H59" s="178"/>
      <c r="I59" s="9"/>
      <c r="M59" s="159"/>
    </row>
    <row r="60" spans="4:40" x14ac:dyDescent="0.25">
      <c r="E60" s="186" t="s">
        <v>126</v>
      </c>
      <c r="F60" s="10"/>
      <c r="G60" s="10"/>
      <c r="H60" s="10"/>
      <c r="I60" s="10"/>
      <c r="K60" s="22">
        <f>K56-K55</f>
        <v>5.8306972413793012</v>
      </c>
      <c r="M60" s="178" t="s">
        <v>101</v>
      </c>
      <c r="S60" s="1" t="s">
        <v>100</v>
      </c>
    </row>
    <row r="61" spans="4:40" x14ac:dyDescent="0.25">
      <c r="E61" s="10"/>
      <c r="F61" s="10">
        <f>(M61-(S53*$B$26+$C$26))/(S53)+1</f>
        <v>1.2999767081273164</v>
      </c>
      <c r="G61" s="10">
        <f t="shared" ref="G61:H61" si="76">(N61-(T53*$B$26+$C$26))/(T53)+1</f>
        <v>1.2272368876105537</v>
      </c>
      <c r="H61" s="10">
        <f t="shared" si="76"/>
        <v>1.3329754582004496</v>
      </c>
      <c r="I61" s="10"/>
      <c r="J61" s="17">
        <v>150</v>
      </c>
      <c r="M61" s="3">
        <f t="shared" ref="M61:O65" si="77">$K53-M53</f>
        <v>2.0363783448275896</v>
      </c>
      <c r="N61" s="3">
        <f t="shared" si="77"/>
        <v>2.1128711034482697</v>
      </c>
      <c r="O61" s="3">
        <f t="shared" si="77"/>
        <v>2.1213662068965498</v>
      </c>
      <c r="S61" s="3">
        <f t="shared" ref="S61:U65" si="78">M61/S53</f>
        <v>0.76495267187454108</v>
      </c>
      <c r="T61" s="3">
        <f t="shared" si="78"/>
        <v>0.68997919215969428</v>
      </c>
      <c r="U61" s="3">
        <f t="shared" si="78"/>
        <v>0.7979749574143723</v>
      </c>
    </row>
    <row r="62" spans="4:40" x14ac:dyDescent="0.25">
      <c r="E62" s="10"/>
      <c r="F62" s="10">
        <f>(M62-(S54*$B$27+$C$27))/(S54)+1</f>
        <v>1.3642923644954486</v>
      </c>
      <c r="G62" s="10">
        <f t="shared" ref="G62:H62" si="79">(N62-(T54*$B$27+$C$27))/(T54)+1</f>
        <v>1.2990007563148149</v>
      </c>
      <c r="H62" s="10">
        <f t="shared" si="79"/>
        <v>1.424946309600458</v>
      </c>
      <c r="I62" s="10"/>
      <c r="J62" s="17">
        <v>200</v>
      </c>
      <c r="M62" s="3">
        <f t="shared" si="77"/>
        <v>2.409853</v>
      </c>
      <c r="N62" s="3">
        <f t="shared" si="77"/>
        <v>2.5185460344827995</v>
      </c>
      <c r="O62" s="3">
        <f t="shared" si="77"/>
        <v>2.5812743103447993</v>
      </c>
      <c r="S62" s="3">
        <f t="shared" si="78"/>
        <v>0.83765672996237062</v>
      </c>
      <c r="T62" s="3">
        <f t="shared" si="78"/>
        <v>0.7717248028081265</v>
      </c>
      <c r="U62" s="3">
        <f t="shared" si="78"/>
        <v>0.8983171504864027</v>
      </c>
    </row>
    <row r="63" spans="4:40" x14ac:dyDescent="0.25">
      <c r="E63" s="10"/>
      <c r="F63" s="10">
        <f>(M63-(S55*$B$28+$C$28))/(S55)+1</f>
        <v>1.4594492693663985</v>
      </c>
      <c r="G63" s="10">
        <f t="shared" ref="G63:H63" si="80">(N63-(T55*$B$28+$C$28))/(T55)+1</f>
        <v>1.3152420588176004</v>
      </c>
      <c r="H63" s="10">
        <f t="shared" si="80"/>
        <v>1.4606817181580229</v>
      </c>
      <c r="I63" s="10"/>
      <c r="J63" s="17">
        <v>250</v>
      </c>
      <c r="M63" s="3">
        <f t="shared" si="77"/>
        <v>3.0882600689655</v>
      </c>
      <c r="N63" s="3">
        <f t="shared" si="77"/>
        <v>2.9639756551723977</v>
      </c>
      <c r="O63" s="3">
        <f t="shared" si="77"/>
        <v>3.0928159999999991</v>
      </c>
      <c r="S63" s="3">
        <f t="shared" si="78"/>
        <v>0.97039600919457625</v>
      </c>
      <c r="T63" s="3">
        <f t="shared" si="78"/>
        <v>0.82449263565274145</v>
      </c>
      <c r="U63" s="3">
        <f t="shared" si="78"/>
        <v>0.97162538200234305</v>
      </c>
    </row>
    <row r="64" spans="4:40" x14ac:dyDescent="0.25">
      <c r="E64" s="10"/>
      <c r="F64" s="10">
        <f>(M64-(S56*$B$30+$C$30))/(S56)+1</f>
        <v>1.555525307298635</v>
      </c>
      <c r="G64" s="10">
        <f t="shared" ref="G64:H64" si="81">(N64-(T56*$B$30+$C$30))/(T56)+1</f>
        <v>1.4679407899217081</v>
      </c>
      <c r="H64" s="10">
        <f t="shared" si="81"/>
        <v>1.5935624129617469</v>
      </c>
      <c r="I64" s="10"/>
      <c r="J64" s="17">
        <v>300</v>
      </c>
      <c r="M64" s="3">
        <f t="shared" si="77"/>
        <v>3.8950058965517016</v>
      </c>
      <c r="N64" s="3">
        <f t="shared" si="77"/>
        <v>4.0423100000000005</v>
      </c>
      <c r="O64" s="3">
        <f t="shared" si="77"/>
        <v>4.0262216206896007</v>
      </c>
      <c r="S64" s="3">
        <f t="shared" si="78"/>
        <v>1.0919499969152184</v>
      </c>
      <c r="T64" s="3">
        <f t="shared" si="78"/>
        <v>1.0034468166122743</v>
      </c>
      <c r="U64" s="3">
        <f t="shared" si="78"/>
        <v>1.1299960576095214</v>
      </c>
    </row>
    <row r="65" spans="5:21" x14ac:dyDescent="0.25">
      <c r="E65" s="10"/>
      <c r="F65" s="10">
        <f>(M65-(S57*$B$32+$C$32))/(S57)+1</f>
        <v>1.448611516543711</v>
      </c>
      <c r="G65" s="10">
        <f t="shared" ref="G65:H65" si="82">(N65-(T57*$B$32+$C$32))/(T57)+1</f>
        <v>1.3660627163535897</v>
      </c>
      <c r="H65" s="10">
        <f t="shared" si="82"/>
        <v>1.5064639684269174</v>
      </c>
      <c r="I65" s="10"/>
      <c r="J65" s="17">
        <v>350</v>
      </c>
      <c r="M65" s="22">
        <f t="shared" si="77"/>
        <v>3.5123913448275985</v>
      </c>
      <c r="N65" s="22">
        <f t="shared" si="77"/>
        <v>3.613965827586199</v>
      </c>
      <c r="O65" s="22">
        <f t="shared" si="77"/>
        <v>3.7076770344827992</v>
      </c>
      <c r="S65" s="3">
        <f t="shared" si="78"/>
        <v>1.0187637457972001</v>
      </c>
      <c r="T65" s="3">
        <f t="shared" si="78"/>
        <v>0.93621494560707874</v>
      </c>
      <c r="U65" s="3">
        <f t="shared" si="78"/>
        <v>1.0766161976804065</v>
      </c>
    </row>
    <row r="66" spans="5:21" x14ac:dyDescent="0.25">
      <c r="F66" s="10">
        <f>(M66-(S58*$B$34+$C$34))/(S58)+1</f>
        <v>1.4398408644108431</v>
      </c>
      <c r="G66" s="10">
        <f>(N66-(T58*$B$34+$C$34))/(T58)+1</f>
        <v>1.3092941373370552</v>
      </c>
      <c r="H66" s="10"/>
      <c r="J66" s="17">
        <v>400</v>
      </c>
      <c r="M66" s="3">
        <f>$K58-M58</f>
        <v>3.3860356551723996</v>
      </c>
      <c r="N66" s="3">
        <f>$K58-N58</f>
        <v>3.1893998965517056</v>
      </c>
      <c r="O66" s="3"/>
      <c r="S66" s="3">
        <f>M66/S58</f>
        <v>0.99444768337063716</v>
      </c>
      <c r="T66" s="3">
        <f>N66/T58</f>
        <v>0.8658123382310724</v>
      </c>
      <c r="U66" s="3"/>
    </row>
  </sheetData>
  <mergeCells count="7">
    <mergeCell ref="AI1:AN1"/>
    <mergeCell ref="W1:AB1"/>
    <mergeCell ref="Q1:U1"/>
    <mergeCell ref="E1:I1"/>
    <mergeCell ref="D3:D5"/>
    <mergeCell ref="K1:P1"/>
    <mergeCell ref="AC1:AH1"/>
  </mergeCells>
  <conditionalFormatting sqref="F29:H29">
    <cfRule type="cellIs" dxfId="6" priority="28" operator="greaterThan">
      <formula>1.3</formula>
    </cfRule>
  </conditionalFormatting>
  <conditionalFormatting sqref="E29:I29">
    <cfRule type="cellIs" dxfId="5" priority="23" operator="greaterThan">
      <formula>1.3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6"/>
  <sheetViews>
    <sheetView zoomScale="85" zoomScaleNormal="85" workbookViewId="0">
      <pane xSplit="3" ySplit="2" topLeftCell="D3" activePane="bottomRight" state="frozen"/>
      <selection activeCell="P1" sqref="P1:T1"/>
      <selection pane="topRight" activeCell="P1" sqref="P1:T1"/>
      <selection pane="bottomLeft" activeCell="P1" sqref="P1:T1"/>
      <selection pane="bottomRight" activeCell="N38" sqref="N38"/>
    </sheetView>
  </sheetViews>
  <sheetFormatPr defaultColWidth="9.140625" defaultRowHeight="15" x14ac:dyDescent="0.25"/>
  <cols>
    <col min="1" max="2" width="5.5703125" style="8" customWidth="1"/>
    <col min="3" max="3" width="5.5703125" style="33" customWidth="1"/>
    <col min="4" max="4" width="5.5703125" style="15" customWidth="1"/>
    <col min="5" max="5" width="5.5703125" style="8" customWidth="1"/>
    <col min="6" max="8" width="5.5703125" style="1" customWidth="1"/>
    <col min="9" max="9" width="5.5703125" style="8" customWidth="1"/>
    <col min="10" max="10" width="5.5703125" style="17" customWidth="1"/>
    <col min="11" max="36" width="5.5703125" style="1" customWidth="1"/>
    <col min="37" max="41" width="9.28515625" style="1" bestFit="1" customWidth="1"/>
    <col min="42" max="16384" width="9.140625" style="1"/>
  </cols>
  <sheetData>
    <row r="1" spans="1:36" ht="15" customHeight="1" x14ac:dyDescent="0.25">
      <c r="A1" s="55" t="str">
        <f ca="1">'DC-h2-ipb2-28b'!A1</f>
        <v>DC-h2-ipb2-28b</v>
      </c>
      <c r="B1" s="56"/>
      <c r="C1" s="57"/>
      <c r="D1" s="13"/>
      <c r="E1" s="201" t="s">
        <v>54</v>
      </c>
      <c r="F1" s="201"/>
      <c r="G1" s="201"/>
      <c r="H1" s="201"/>
      <c r="I1" s="202"/>
      <c r="K1" s="199" t="s">
        <v>4</v>
      </c>
      <c r="L1" s="199"/>
      <c r="M1" s="199"/>
      <c r="N1" s="199"/>
      <c r="O1" s="199"/>
      <c r="P1" s="199"/>
      <c r="Q1" s="5" t="s">
        <v>10</v>
      </c>
      <c r="R1" s="5"/>
      <c r="S1" s="5"/>
      <c r="T1" s="5"/>
      <c r="U1" s="5"/>
      <c r="V1" s="199" t="s">
        <v>7</v>
      </c>
      <c r="W1" s="199"/>
      <c r="X1" s="199"/>
      <c r="Y1" s="199"/>
      <c r="Z1" s="199"/>
      <c r="AA1" s="199" t="s">
        <v>2</v>
      </c>
      <c r="AB1" s="199"/>
      <c r="AC1" s="199"/>
      <c r="AD1" s="199"/>
      <c r="AE1" s="199"/>
      <c r="AF1" s="199" t="s">
        <v>3</v>
      </c>
      <c r="AG1" s="199"/>
      <c r="AH1" s="199"/>
      <c r="AI1" s="199"/>
      <c r="AJ1" s="199"/>
    </row>
    <row r="2" spans="1:36" ht="15" customHeight="1" x14ac:dyDescent="0.25">
      <c r="A2" s="58" t="s">
        <v>1</v>
      </c>
      <c r="B2" s="58" t="s">
        <v>15</v>
      </c>
      <c r="C2" s="61" t="s">
        <v>17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Q2" s="5">
        <f>V2</f>
        <v>300</v>
      </c>
      <c r="R2" s="5">
        <f>W2</f>
        <v>150</v>
      </c>
      <c r="S2" s="5">
        <f>X2</f>
        <v>100</v>
      </c>
      <c r="T2" s="5">
        <f>Y2</f>
        <v>150</v>
      </c>
      <c r="U2" s="5">
        <f>Z2</f>
        <v>300</v>
      </c>
      <c r="V2" s="1">
        <f>AF2</f>
        <v>300</v>
      </c>
      <c r="W2" s="1">
        <f>AG2</f>
        <v>150</v>
      </c>
      <c r="X2" s="1">
        <f>AH2</f>
        <v>100</v>
      </c>
      <c r="Y2" s="1">
        <f>AI2</f>
        <v>150</v>
      </c>
      <c r="Z2" s="1">
        <f>AJ2</f>
        <v>300</v>
      </c>
      <c r="AA2" s="1">
        <f>L2</f>
        <v>300</v>
      </c>
      <c r="AB2" s="1">
        <f>M2</f>
        <v>150</v>
      </c>
      <c r="AC2" s="1">
        <f>N2</f>
        <v>100</v>
      </c>
      <c r="AD2" s="1">
        <f>O2</f>
        <v>150</v>
      </c>
      <c r="AE2" s="1">
        <f>P2</f>
        <v>300</v>
      </c>
      <c r="AF2" s="1">
        <f>AA2</f>
        <v>300</v>
      </c>
      <c r="AG2" s="1">
        <f t="shared" ref="AG2:AJ2" si="0">AB2</f>
        <v>150</v>
      </c>
      <c r="AH2" s="1">
        <f t="shared" si="0"/>
        <v>100</v>
      </c>
      <c r="AI2" s="1">
        <f t="shared" si="0"/>
        <v>150</v>
      </c>
      <c r="AJ2" s="1">
        <f t="shared" si="0"/>
        <v>300</v>
      </c>
    </row>
    <row r="3" spans="1:36" ht="15" customHeight="1" x14ac:dyDescent="0.25">
      <c r="A3" s="58">
        <f>'DC-h2-ipb2-28b'!M4*100</f>
        <v>150</v>
      </c>
      <c r="B3" s="59">
        <f>'DC-h2-ipb2-28b'!O4</f>
        <v>0.41335216422290755</v>
      </c>
      <c r="C3" s="60">
        <f>'DC-h2-ipb2-28b'!P4</f>
        <v>0</v>
      </c>
      <c r="D3" s="200" t="s">
        <v>5</v>
      </c>
      <c r="E3" s="9"/>
      <c r="F3" s="12"/>
      <c r="G3" s="12"/>
      <c r="H3" s="32"/>
      <c r="I3" s="32"/>
      <c r="J3" s="18" t="s">
        <v>8</v>
      </c>
      <c r="K3" s="2"/>
    </row>
    <row r="4" spans="1:36" x14ac:dyDescent="0.25">
      <c r="A4" s="58">
        <f>'DC-h2-ipb2-28b'!M5*100</f>
        <v>200</v>
      </c>
      <c r="B4" s="59">
        <f>'DC-h2-ipb2-28b'!O5</f>
        <v>0.45225118158322425</v>
      </c>
      <c r="C4" s="60">
        <f>'DC-h2-ipb2-28b'!P5</f>
        <v>4.6496645773602907E-2</v>
      </c>
      <c r="D4" s="200"/>
      <c r="E4" s="9"/>
      <c r="F4" s="12"/>
      <c r="G4" s="12"/>
      <c r="H4" s="32"/>
      <c r="I4" s="32"/>
      <c r="J4" s="18"/>
      <c r="K4" s="2"/>
    </row>
    <row r="5" spans="1:36" x14ac:dyDescent="0.25">
      <c r="A5" s="58">
        <f>'DC-h2-ipb2-28b'!M6*100</f>
        <v>250</v>
      </c>
      <c r="B5" s="59">
        <f>'DC-h2-ipb2-28b'!O6</f>
        <v>0.48108908038893228</v>
      </c>
      <c r="C5" s="60">
        <f>'DC-h2-ipb2-28b'!P6</f>
        <v>0</v>
      </c>
      <c r="D5" s="200"/>
      <c r="E5" s="9"/>
      <c r="F5" s="12"/>
      <c r="G5" s="12"/>
      <c r="H5" s="32"/>
      <c r="I5" s="32"/>
      <c r="J5" s="18" t="s">
        <v>11</v>
      </c>
      <c r="K5" s="2" t="s">
        <v>9</v>
      </c>
    </row>
    <row r="6" spans="1:36" x14ac:dyDescent="0.25">
      <c r="A6" s="58">
        <f>'DC-h2-ipb2-28b'!M7*100</f>
        <v>275</v>
      </c>
      <c r="B6" s="59">
        <f>'DC-h2-ipb2-28b'!O7</f>
        <v>0.49486046276504769</v>
      </c>
      <c r="C6" s="60">
        <f>'DC-h2-ipb2-28b'!P7</f>
        <v>0</v>
      </c>
      <c r="D6" s="52">
        <v>1</v>
      </c>
      <c r="E6" s="10">
        <f>($B$3*$D6*Q6+$C$3+$K6-L6)/(Q6*$D6)</f>
        <v>1.2553707816145525</v>
      </c>
      <c r="F6" s="10">
        <f>($B$3*$D6*R6+$C$3+$K6-M6)/(R6*$D6)</f>
        <v>1.2133983807372704</v>
      </c>
      <c r="G6" s="10">
        <f>($B$3*$D6*S6+$C$3+$K6-N6)/(S6*$D6)</f>
        <v>1.1915633438185644</v>
      </c>
      <c r="H6" s="10">
        <f>($B$3*$D6*T6+$C$3+$K6-O6)/(T6*$D6)</f>
        <v>1.2217881228011458</v>
      </c>
      <c r="I6" s="10">
        <f>($B$3*$D6*U6+$C$3+$K6-P6)/(U6*$D6)</f>
        <v>1.2922724717698684</v>
      </c>
      <c r="J6" s="19">
        <v>150</v>
      </c>
      <c r="K6" s="23">
        <v>8.7210560975609805</v>
      </c>
      <c r="L6" s="23">
        <v>5.0763659024390204</v>
      </c>
      <c r="M6" s="23">
        <v>5.2430148292682901</v>
      </c>
      <c r="N6" s="23">
        <v>5.2219754146341399</v>
      </c>
      <c r="O6" s="23">
        <v>5.1942029024390202</v>
      </c>
      <c r="P6" s="23">
        <v>4.9778476097561004</v>
      </c>
      <c r="Q6" s="23">
        <v>4.3285149756097603</v>
      </c>
      <c r="R6" s="23">
        <v>4.3473004390243899</v>
      </c>
      <c r="S6" s="23">
        <v>4.4963125365853696</v>
      </c>
      <c r="T6" s="23">
        <v>4.3625634878048798</v>
      </c>
      <c r="U6" s="23">
        <v>4.2588713170731696</v>
      </c>
      <c r="V6" s="3">
        <v>50.081449819875772</v>
      </c>
      <c r="W6" s="3">
        <v>50.046401049382709</v>
      </c>
      <c r="X6" s="3">
        <v>50.150551071207438</v>
      </c>
      <c r="Y6" s="3">
        <v>50.250018339506191</v>
      </c>
      <c r="Z6" s="3">
        <v>50.302016827160507</v>
      </c>
      <c r="AA6" s="3">
        <v>1.3915957515527948</v>
      </c>
      <c r="AB6" s="3">
        <v>1.8026083950617295</v>
      </c>
      <c r="AC6" s="3">
        <v>2.8717396439628482</v>
      </c>
      <c r="AD6" s="3">
        <v>2.4130449135802459</v>
      </c>
      <c r="AE6" s="3">
        <v>1.8641909259259257</v>
      </c>
      <c r="AF6" s="3">
        <v>30.473475565217392</v>
      </c>
      <c r="AG6" s="3">
        <v>28.883613308641991</v>
      </c>
      <c r="AH6" s="3">
        <v>28.619536879256959</v>
      </c>
      <c r="AI6" s="3">
        <v>29.408625283950602</v>
      </c>
      <c r="AJ6" s="3">
        <v>31.094530635802457</v>
      </c>
    </row>
    <row r="7" spans="1:36" x14ac:dyDescent="0.25">
      <c r="A7" s="58">
        <f>'DC-h2-ipb2-28b'!M8*100</f>
        <v>300</v>
      </c>
      <c r="B7" s="59">
        <f>'DC-h2-ipb2-28b'!O8</f>
        <v>0.50072551601274784</v>
      </c>
      <c r="C7" s="60">
        <f>'DC-h2-ipb2-28b'!P8</f>
        <v>-4.6776203432279395E-3</v>
      </c>
      <c r="D7" s="52">
        <v>1</v>
      </c>
      <c r="E7" s="10">
        <f>($B$4*$D7*Q7+$C$4+$K7-L7)/(Q7*$D7)</f>
        <v>1.340210708742414</v>
      </c>
      <c r="F7" s="10">
        <f>($B$4*$D7*R7+$C$4+$K7-M7)/(R7*$D7)</f>
        <v>1.3216087919100123</v>
      </c>
      <c r="G7" s="10">
        <f>($B$4*$D7*S7+$C$4+$K7-N7)/(S7*$D7)</f>
        <v>1.2421526164847667</v>
      </c>
      <c r="H7" s="10">
        <f>($B$4*$D7*T7+$C$4+$K7-O7)/(T7*$D7)</f>
        <v>1.3027172609440754</v>
      </c>
      <c r="I7" s="10">
        <f>($B$4*$D7*U7+$C$4+$K7-P7)/(U7*$D7)</f>
        <v>1.3459253516437844</v>
      </c>
      <c r="J7" s="19">
        <v>200</v>
      </c>
      <c r="K7" s="23">
        <v>13.009960878048799</v>
      </c>
      <c r="L7" s="23">
        <v>8.8354832195122004</v>
      </c>
      <c r="M7" s="23">
        <v>9.0208656341463396</v>
      </c>
      <c r="N7" s="23">
        <v>9.0633916585365899</v>
      </c>
      <c r="O7" s="23">
        <v>9.0146242439024409</v>
      </c>
      <c r="P7" s="23">
        <v>8.7720393658536597</v>
      </c>
      <c r="Q7" s="23">
        <v>4.7535660975609799</v>
      </c>
      <c r="R7" s="23">
        <v>4.6420389512195097</v>
      </c>
      <c r="S7" s="23">
        <v>5.0551444634146403</v>
      </c>
      <c r="T7" s="23">
        <v>4.75249204878049</v>
      </c>
      <c r="U7" s="23">
        <v>4.7941613414634201</v>
      </c>
      <c r="V7" s="3">
        <v>49.535082481481481</v>
      </c>
      <c r="W7" s="3">
        <v>49.577822179012358</v>
      </c>
      <c r="X7" s="3">
        <v>49.703537361111131</v>
      </c>
      <c r="Y7" s="3">
        <v>49.804915104938267</v>
      </c>
      <c r="Z7" s="3">
        <v>49.872200037037025</v>
      </c>
      <c r="AA7" s="3">
        <v>1.3535131481481475</v>
      </c>
      <c r="AB7" s="3">
        <v>1.7996395925925921</v>
      </c>
      <c r="AC7" s="3">
        <v>2.5940405987654334</v>
      </c>
      <c r="AD7" s="3">
        <v>2.0244301790123473</v>
      </c>
      <c r="AE7" s="3">
        <v>1.4299560432098779</v>
      </c>
      <c r="AF7" s="3">
        <v>29.955352827160482</v>
      </c>
      <c r="AG7" s="3">
        <v>28.435618240740759</v>
      </c>
      <c r="AH7" s="3">
        <v>27.817903987654315</v>
      </c>
      <c r="AI7" s="3">
        <v>28.716317024691357</v>
      </c>
      <c r="AJ7" s="3">
        <v>30.408860703703695</v>
      </c>
    </row>
    <row r="8" spans="1:36" x14ac:dyDescent="0.25">
      <c r="A8" s="58">
        <f>'DC-h2-ipb2-28b'!M9*100</f>
        <v>325</v>
      </c>
      <c r="B8" s="59">
        <f>'DC-h2-ipb2-28b'!O9</f>
        <v>0.51860781151880964</v>
      </c>
      <c r="C8" s="60">
        <f>'DC-h2-ipb2-28b'!P9</f>
        <v>0</v>
      </c>
      <c r="D8" s="52">
        <v>1</v>
      </c>
      <c r="E8" s="10">
        <f>($B$5*$D8*Q8+$C$5+$K8-L8)/(Q8*$D8)</f>
        <v>1.4039997658644554</v>
      </c>
      <c r="F8" s="10">
        <f>($B$5*$D8*R8+$C$5+$K8-M8)/(R8*$D8)</f>
        <v>1.3646202821202236</v>
      </c>
      <c r="G8" s="10">
        <f>($B$5*$D8*S8+$C$5+$K8-N8)/(S8*$D8)</f>
        <v>1.351930855650318</v>
      </c>
      <c r="H8" s="10">
        <f>($B$5*$D8*T8+$C$5+$K8-O8)/(T8*$D8)</f>
        <v>1.3655888424826026</v>
      </c>
      <c r="I8" s="10">
        <f>($B$5*$D8*U8+$C$5+$K8-P8)/(U8*$D8)</f>
        <v>1.4092938551872272</v>
      </c>
      <c r="J8" s="19">
        <v>250</v>
      </c>
      <c r="K8" s="23">
        <v>17.810158000000001</v>
      </c>
      <c r="L8" s="23">
        <v>12.999576609756099</v>
      </c>
      <c r="M8" s="23">
        <v>13.207124</v>
      </c>
      <c r="N8" s="23">
        <v>13.245294048780501</v>
      </c>
      <c r="O8" s="23">
        <v>13.222196487804901</v>
      </c>
      <c r="P8" s="23">
        <v>12.964943926829299</v>
      </c>
      <c r="Q8" s="23">
        <v>5.2124018780487802</v>
      </c>
      <c r="R8" s="23">
        <v>5.2098148780487801</v>
      </c>
      <c r="S8" s="23">
        <v>5.2418982195122004</v>
      </c>
      <c r="T8" s="23">
        <v>5.1870692439024397</v>
      </c>
      <c r="U8" s="23">
        <v>5.2199840000000002</v>
      </c>
      <c r="V8" s="3">
        <v>50.514650283950616</v>
      </c>
      <c r="W8" s="3">
        <v>50.510212888888894</v>
      </c>
      <c r="X8" s="3">
        <v>50.018710080246947</v>
      </c>
      <c r="Y8" s="3">
        <v>49.685199666666634</v>
      </c>
      <c r="Z8" s="3">
        <v>49.383589240740719</v>
      </c>
      <c r="AA8" s="3">
        <v>1.236097283950617</v>
      </c>
      <c r="AB8" s="3">
        <v>1.7078293148148149</v>
      </c>
      <c r="AC8" s="3">
        <v>2.4111411172839503</v>
      </c>
      <c r="AD8" s="3">
        <v>1.6064540370370368</v>
      </c>
      <c r="AE8" s="3">
        <v>1.1434315740740737</v>
      </c>
      <c r="AF8" s="3">
        <v>29.340725580246918</v>
      </c>
      <c r="AG8" s="3">
        <v>27.799009209876541</v>
      </c>
      <c r="AH8" s="3">
        <v>27.310132379629636</v>
      </c>
      <c r="AI8" s="3">
        <v>27.945002666666671</v>
      </c>
      <c r="AJ8" s="3">
        <v>29.797900438271601</v>
      </c>
    </row>
    <row r="9" spans="1:36" x14ac:dyDescent="0.25">
      <c r="A9" s="58">
        <f>'DC-h2-ipb2-28b'!M10*100</f>
        <v>350</v>
      </c>
      <c r="B9" s="59">
        <f>'DC-h2-ipb2-28b'!O10</f>
        <v>0.52858377789645616</v>
      </c>
      <c r="C9" s="60">
        <f>'DC-h2-ipb2-28b'!P10</f>
        <v>0</v>
      </c>
      <c r="D9" s="52">
        <v>1</v>
      </c>
      <c r="E9" s="10">
        <f>($B$7*$D9*Q9+$C$7+$K9-L9)/(Q9*$D9)</f>
        <v>1.3893316333764298</v>
      </c>
      <c r="F9" s="10">
        <f>($B$7*$D9*R9+$C$7+$K9-M9)/(R9*$D9)</f>
        <v>1.3554544391204053</v>
      </c>
      <c r="G9" s="10">
        <f>($B$7*$D9*S9+$C$7+$K9-N9)/(S9*$D9)</f>
        <v>1.3480782097653647</v>
      </c>
      <c r="H9" s="10">
        <f>($B$7*$D9*T9+$C$7+$K9-O9)/(T9*$D9)</f>
        <v>1.3511105260280614</v>
      </c>
      <c r="I9" s="10">
        <f>($B$7*$D9*U9+$C$7+$K9-P9)/(U9*$D9)</f>
        <v>1.3881800681210013</v>
      </c>
      <c r="J9" s="19">
        <v>300</v>
      </c>
      <c r="K9" s="23">
        <v>23.136116365853699</v>
      </c>
      <c r="L9" s="23">
        <v>18.484168219512199</v>
      </c>
      <c r="M9" s="23">
        <v>18.641023951219498</v>
      </c>
      <c r="N9" s="23">
        <v>18.645231756097601</v>
      </c>
      <c r="O9" s="23">
        <v>18.700204146341498</v>
      </c>
      <c r="P9" s="23">
        <v>18.5678587560976</v>
      </c>
      <c r="Q9" s="23">
        <v>5.2298430487804897</v>
      </c>
      <c r="R9" s="23">
        <v>5.2536127804878099</v>
      </c>
      <c r="S9" s="23">
        <v>5.2943798048780497</v>
      </c>
      <c r="T9" s="23">
        <v>5.2108569024390201</v>
      </c>
      <c r="U9" s="23">
        <v>5.1423252926829299</v>
      </c>
      <c r="V9" s="3">
        <v>50.194638493827142</v>
      </c>
      <c r="W9" s="3">
        <v>50.233307283950623</v>
      </c>
      <c r="X9" s="3">
        <v>50.339712817901223</v>
      </c>
      <c r="Y9" s="3">
        <v>50.4283952222222</v>
      </c>
      <c r="Z9" s="3">
        <v>50.472653932098758</v>
      </c>
      <c r="AA9" s="3">
        <v>0.82100843209876506</v>
      </c>
      <c r="AB9" s="3">
        <v>1.3151019382716049</v>
      </c>
      <c r="AC9" s="3">
        <v>2.0429413518518507</v>
      </c>
      <c r="AD9" s="3">
        <v>1.3044280370370376</v>
      </c>
      <c r="AE9" s="3">
        <v>0.97642662962962912</v>
      </c>
      <c r="AF9" s="3">
        <v>29.163192499999987</v>
      </c>
      <c r="AG9" s="3">
        <v>27.546955370370377</v>
      </c>
      <c r="AH9" s="3">
        <v>26.995499212962955</v>
      </c>
      <c r="AI9" s="3">
        <v>27.812683567901225</v>
      </c>
      <c r="AJ9" s="3">
        <v>29.587757728395047</v>
      </c>
    </row>
    <row r="10" spans="1:36" x14ac:dyDescent="0.25">
      <c r="A10" s="58">
        <f>'DC-h2-ipb2-28b'!M11*100</f>
        <v>375</v>
      </c>
      <c r="B10" s="59">
        <f>'DC-h2-ipb2-28b'!O11</f>
        <v>0.5372946056079464</v>
      </c>
      <c r="C10" s="60">
        <f>'DC-h2-ipb2-28b'!P11</f>
        <v>0</v>
      </c>
      <c r="D10" s="52">
        <v>1</v>
      </c>
      <c r="E10" s="10">
        <f>($B$9*$D10*Q10+$C$9+$K10-L10)/(Q10*$D10)</f>
        <v>1.4038439269448175</v>
      </c>
      <c r="F10" s="10">
        <f>($B$9*$D10*R10+$C$9+$K10-M10)/(R10*$D10)</f>
        <v>1.3738522439767913</v>
      </c>
      <c r="G10" s="10">
        <f>($B$9*$D10*S10+$C$9+$K10-N10)/(S10*$D10)</f>
        <v>1.3371203511242906</v>
      </c>
      <c r="H10" s="10">
        <f>($B$9*$D10*T10+$C$9+$K10-O10)/(T10*$D10)</f>
        <v>1.3708676239974695</v>
      </c>
      <c r="I10" s="10">
        <f>($B$9*$D10*U10+$C$9+$K10-P10)/(U10*$D10)</f>
        <v>1.4067475720882316</v>
      </c>
      <c r="J10" s="19">
        <v>350</v>
      </c>
      <c r="K10" s="23">
        <v>28.8216432439024</v>
      </c>
      <c r="L10" s="23">
        <v>24.097453999999999</v>
      </c>
      <c r="M10" s="23">
        <v>24.170908975609802</v>
      </c>
      <c r="N10" s="23">
        <v>24.169508463414601</v>
      </c>
      <c r="O10" s="23">
        <v>24.219334317073201</v>
      </c>
      <c r="P10" s="23">
        <v>24.1238325609756</v>
      </c>
      <c r="Q10" s="23">
        <v>5.3974686829268297</v>
      </c>
      <c r="R10" s="23">
        <v>5.5020794634146304</v>
      </c>
      <c r="S10" s="23">
        <v>5.7537716097561002</v>
      </c>
      <c r="T10" s="23">
        <v>5.4640830975609802</v>
      </c>
      <c r="U10" s="23">
        <v>5.3495836585365799</v>
      </c>
      <c r="V10" s="3">
        <v>49.770143444444443</v>
      </c>
      <c r="W10" s="3">
        <v>49.808865901234576</v>
      </c>
      <c r="X10" s="3">
        <v>49.9286911265432</v>
      </c>
      <c r="Y10" s="3">
        <v>50.030792296296276</v>
      </c>
      <c r="Z10" s="3">
        <v>50.087558234567894</v>
      </c>
      <c r="AA10" s="3">
        <v>0.81290205555555517</v>
      </c>
      <c r="AB10" s="3">
        <v>1.552444234567901</v>
      </c>
      <c r="AC10" s="3">
        <v>2.5695065277777771</v>
      </c>
      <c r="AD10" s="3">
        <v>1.8587937901234568</v>
      </c>
      <c r="AE10" s="3">
        <v>1.687002567901235</v>
      </c>
      <c r="AF10" s="3">
        <v>29.743880185185169</v>
      </c>
      <c r="AG10" s="3">
        <v>28.79475125308641</v>
      </c>
      <c r="AH10" s="3">
        <v>28.676207358024698</v>
      </c>
      <c r="AI10" s="3">
        <v>29.32465211111111</v>
      </c>
      <c r="AJ10" s="3">
        <v>30.574475432098765</v>
      </c>
    </row>
    <row r="11" spans="1:36" x14ac:dyDescent="0.25">
      <c r="A11" s="58">
        <f>'DC-h2-ipb2-28b'!M12*100</f>
        <v>400</v>
      </c>
      <c r="B11" s="59">
        <f>'DC-h2-ipb2-28b'!O12</f>
        <v>0.5497211533591817</v>
      </c>
      <c r="C11" s="60">
        <f>'DC-h2-ipb2-28b'!P12</f>
        <v>-3.8901466027035925E-2</v>
      </c>
      <c r="D11" s="52">
        <v>1</v>
      </c>
      <c r="E11" s="10">
        <f>($B$11*$D11*Q11+$C$11+$K11-L11)/(Q11*$D11)</f>
        <v>1.4146163226159643</v>
      </c>
      <c r="F11" s="10">
        <f>($B$11*$D11*R11+$C$11+$K11-M11)/(R11*$D11)</f>
        <v>1.377462399907476</v>
      </c>
      <c r="G11" s="10">
        <f>($B$11*$D11*S11+$C$11+$K11-N11)/(S11*$D11)</f>
        <v>1.3363140130356239</v>
      </c>
      <c r="H11" s="10">
        <f>($B$11*$D11*T11+$C$11+$K11-O11)/(T11*$D11)</f>
        <v>1.3726758861911346</v>
      </c>
      <c r="I11" s="10">
        <f>($B$11*$D11*U11+$C$11+$K11-P11)/(U11*$D11)</f>
        <v>1.411264810539776</v>
      </c>
      <c r="J11" s="19">
        <v>400</v>
      </c>
      <c r="K11" s="23">
        <v>35.253009024390302</v>
      </c>
      <c r="L11" s="23">
        <v>30.467073634146299</v>
      </c>
      <c r="M11" s="23">
        <v>30.631360341463399</v>
      </c>
      <c r="N11" s="23">
        <v>30.6883767804878</v>
      </c>
      <c r="O11" s="23">
        <v>30.661907219512202</v>
      </c>
      <c r="P11" s="23">
        <v>30.504182512195101</v>
      </c>
      <c r="Q11" s="23">
        <v>5.4885656585365901</v>
      </c>
      <c r="R11" s="23">
        <v>5.5364490243902402</v>
      </c>
      <c r="S11" s="23">
        <v>5.7535874146341497</v>
      </c>
      <c r="T11" s="23">
        <v>5.5315318780487797</v>
      </c>
      <c r="U11" s="23">
        <v>5.4668443170731704</v>
      </c>
      <c r="V11" s="3">
        <v>49.192380203703678</v>
      </c>
      <c r="W11" s="3">
        <v>49.263853006172845</v>
      </c>
      <c r="X11" s="3">
        <v>49.396199557275537</v>
      </c>
      <c r="Y11" s="3">
        <v>49.503001290123471</v>
      </c>
      <c r="Z11" s="3">
        <v>49.570008543209859</v>
      </c>
      <c r="AA11" s="3">
        <v>1.5664391975308645</v>
      </c>
      <c r="AB11" s="3">
        <v>2.1330492901234579</v>
      </c>
      <c r="AC11" s="3">
        <v>2.7472683034055714</v>
      </c>
      <c r="AD11" s="3">
        <v>1.8398997592592592</v>
      </c>
      <c r="AE11" s="3">
        <v>1.3265141049382718</v>
      </c>
      <c r="AF11" s="3">
        <v>30.190679117283967</v>
      </c>
      <c r="AG11" s="3">
        <v>29.151320672839489</v>
      </c>
      <c r="AH11" s="3">
        <v>28.872263414860665</v>
      </c>
      <c r="AI11" s="3">
        <v>29.217178617283942</v>
      </c>
      <c r="AJ11" s="3">
        <v>30.348401333333332</v>
      </c>
    </row>
    <row r="12" spans="1:36" x14ac:dyDescent="0.25">
      <c r="A12" s="58">
        <f>'DC-h2-ipb2-28b'!M13*100</f>
        <v>450</v>
      </c>
      <c r="B12" s="59">
        <f>'DC-h2-ipb2-28b'!O13</f>
        <v>0.55583625674547943</v>
      </c>
      <c r="C12" s="60">
        <f>'DC-h2-ipb2-28b'!P13</f>
        <v>0</v>
      </c>
      <c r="E12" s="39"/>
      <c r="F12" s="39"/>
      <c r="G12" s="39"/>
      <c r="H12" s="39"/>
      <c r="I12" s="40"/>
      <c r="J12" s="20"/>
      <c r="K12" s="3"/>
      <c r="L12" s="1" t="s">
        <v>27</v>
      </c>
      <c r="Q12" s="1" t="s">
        <v>91</v>
      </c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</row>
    <row r="13" spans="1:36" x14ac:dyDescent="0.25">
      <c r="A13" s="58">
        <f>'DC-h2-ipb2-28b'!M14*100</f>
        <v>500</v>
      </c>
      <c r="B13" s="59">
        <f>'DC-h2-ipb2-28b'!O14</f>
        <v>0.56187166417305323</v>
      </c>
      <c r="C13" s="60">
        <f>'DC-h2-ipb2-28b'!P14</f>
        <v>0</v>
      </c>
      <c r="E13" s="9"/>
      <c r="F13" s="24"/>
      <c r="G13" s="24"/>
      <c r="H13" s="24"/>
      <c r="I13" s="36"/>
      <c r="J13" s="17">
        <f>J6</f>
        <v>150</v>
      </c>
      <c r="L13" s="3">
        <f>$K6-L6</f>
        <v>3.6446901951219601</v>
      </c>
      <c r="M13" s="3">
        <f t="shared" ref="M13:P13" si="1">$K6-M6</f>
        <v>3.4780412682926904</v>
      </c>
      <c r="N13" s="3">
        <f t="shared" si="1"/>
        <v>3.4990806829268406</v>
      </c>
      <c r="O13" s="3">
        <f t="shared" si="1"/>
        <v>3.5268531951219604</v>
      </c>
      <c r="P13" s="3">
        <f t="shared" si="1"/>
        <v>3.7432084878048801</v>
      </c>
      <c r="Q13" s="3">
        <f>L13/Q6</f>
        <v>0.84201861739164496</v>
      </c>
      <c r="R13" s="3">
        <f t="shared" ref="R13:U18" si="2">M13/R6</f>
        <v>0.80004621651436258</v>
      </c>
      <c r="S13" s="3">
        <f t="shared" si="2"/>
        <v>0.77821117959565689</v>
      </c>
      <c r="T13" s="3">
        <f t="shared" si="2"/>
        <v>0.80843595857823825</v>
      </c>
      <c r="U13" s="3">
        <f t="shared" si="2"/>
        <v>0.87892030754696082</v>
      </c>
    </row>
    <row r="14" spans="1:36" x14ac:dyDescent="0.25">
      <c r="A14" s="58">
        <f>'DC-h2-ipb2-28b'!M15*100</f>
        <v>550</v>
      </c>
      <c r="B14" s="59">
        <f>'DC-h2-ipb2-28b'!O15</f>
        <v>0.56284651693600185</v>
      </c>
      <c r="C14" s="60">
        <f>'DC-h2-ipb2-28b'!P15</f>
        <v>0</v>
      </c>
      <c r="E14" s="9"/>
      <c r="F14" s="24"/>
      <c r="G14" s="24"/>
      <c r="H14" s="24"/>
      <c r="I14" s="36"/>
      <c r="J14" s="17">
        <f t="shared" ref="J14:J18" si="3">J7</f>
        <v>200</v>
      </c>
      <c r="K14" s="2"/>
      <c r="L14" s="3">
        <f t="shared" ref="L14:P18" si="4">$K7-L7</f>
        <v>4.174477658536599</v>
      </c>
      <c r="M14" s="3">
        <f t="shared" si="4"/>
        <v>3.9890952439024598</v>
      </c>
      <c r="N14" s="3">
        <f t="shared" si="4"/>
        <v>3.9465692195122095</v>
      </c>
      <c r="O14" s="3">
        <f t="shared" si="4"/>
        <v>3.9953366341463585</v>
      </c>
      <c r="P14" s="3">
        <f t="shared" si="4"/>
        <v>4.2379215121951397</v>
      </c>
      <c r="Q14" s="3">
        <f t="shared" ref="Q14:Q18" si="5">L14/Q7</f>
        <v>0.87817810310421329</v>
      </c>
      <c r="R14" s="3">
        <f t="shared" si="2"/>
        <v>0.859341183006335</v>
      </c>
      <c r="S14" s="3">
        <f t="shared" si="2"/>
        <v>0.78070354825159394</v>
      </c>
      <c r="T14" s="3">
        <f t="shared" si="2"/>
        <v>0.84068244473372222</v>
      </c>
      <c r="U14" s="3">
        <f t="shared" si="2"/>
        <v>0.88397557160675611</v>
      </c>
    </row>
    <row r="15" spans="1:36" s="24" customFormat="1" x14ac:dyDescent="0.25">
      <c r="A15" s="58">
        <f>'DC-h2-ipb2-28b'!M16*100</f>
        <v>600</v>
      </c>
      <c r="B15" s="59">
        <f>'DC-h2-ipb2-28b'!O16</f>
        <v>0.55793113930373617</v>
      </c>
      <c r="C15" s="60">
        <f>'DC-h2-ipb2-28b'!P16</f>
        <v>3.0409143457279519E-3</v>
      </c>
      <c r="D15" s="14"/>
      <c r="E15" s="9"/>
      <c r="I15" s="36"/>
      <c r="J15" s="17">
        <f t="shared" si="3"/>
        <v>250</v>
      </c>
      <c r="K15" s="3"/>
      <c r="L15" s="3">
        <f t="shared" si="4"/>
        <v>4.8105813902439021</v>
      </c>
      <c r="M15" s="3">
        <f t="shared" si="4"/>
        <v>4.603034000000001</v>
      </c>
      <c r="N15" s="3">
        <f t="shared" si="4"/>
        <v>4.5648639512195004</v>
      </c>
      <c r="O15" s="3">
        <f t="shared" si="4"/>
        <v>4.5879615121951005</v>
      </c>
      <c r="P15" s="3">
        <f t="shared" si="4"/>
        <v>4.8452140731707019</v>
      </c>
      <c r="Q15" s="3">
        <f t="shared" si="5"/>
        <v>0.9229106854755228</v>
      </c>
      <c r="R15" s="3">
        <f t="shared" si="2"/>
        <v>0.88353120173129163</v>
      </c>
      <c r="S15" s="3">
        <f t="shared" si="2"/>
        <v>0.87084177526138551</v>
      </c>
      <c r="T15" s="3">
        <f t="shared" si="2"/>
        <v>0.88449976209366998</v>
      </c>
      <c r="U15" s="3">
        <f t="shared" si="2"/>
        <v>0.92820477479829477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</row>
    <row r="16" spans="1:36" s="24" customFormat="1" ht="15" customHeight="1" x14ac:dyDescent="0.25">
      <c r="A16" s="8"/>
      <c r="B16" s="34"/>
      <c r="C16" s="35"/>
      <c r="D16" s="14"/>
      <c r="E16" s="9"/>
      <c r="I16" s="36"/>
      <c r="J16" s="17">
        <f t="shared" si="3"/>
        <v>300</v>
      </c>
      <c r="K16" s="3"/>
      <c r="L16" s="3">
        <f t="shared" si="4"/>
        <v>4.6519481463414998</v>
      </c>
      <c r="M16" s="3">
        <f t="shared" si="4"/>
        <v>4.4950924146342004</v>
      </c>
      <c r="N16" s="3">
        <f t="shared" si="4"/>
        <v>4.4908846097560975</v>
      </c>
      <c r="O16" s="3">
        <f t="shared" si="4"/>
        <v>4.4359122195122005</v>
      </c>
      <c r="P16" s="3">
        <f t="shared" si="4"/>
        <v>4.568257609756099</v>
      </c>
      <c r="Q16" s="3">
        <f t="shared" si="5"/>
        <v>0.88950052667952528</v>
      </c>
      <c r="R16" s="3">
        <f t="shared" si="2"/>
        <v>0.85561928570929446</v>
      </c>
      <c r="S16" s="3">
        <f t="shared" si="2"/>
        <v>0.84823620051178783</v>
      </c>
      <c r="T16" s="3">
        <f t="shared" si="2"/>
        <v>0.85128267817830594</v>
      </c>
      <c r="U16" s="3">
        <f t="shared" si="2"/>
        <v>0.8883641834670245</v>
      </c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</row>
    <row r="17" spans="1:36" s="24" customFormat="1" x14ac:dyDescent="0.25">
      <c r="A17" s="8"/>
      <c r="B17" s="34"/>
      <c r="C17" s="35"/>
      <c r="D17" s="14"/>
      <c r="E17" s="9"/>
      <c r="I17" s="36"/>
      <c r="J17" s="17">
        <f t="shared" si="3"/>
        <v>350</v>
      </c>
      <c r="K17" s="3"/>
      <c r="L17" s="3">
        <f t="shared" si="4"/>
        <v>4.7241892439024014</v>
      </c>
      <c r="M17" s="3">
        <f t="shared" si="4"/>
        <v>4.6507342682925987</v>
      </c>
      <c r="N17" s="3">
        <f t="shared" si="4"/>
        <v>4.652134780487799</v>
      </c>
      <c r="O17" s="3">
        <f t="shared" si="4"/>
        <v>4.602308926829199</v>
      </c>
      <c r="P17" s="3">
        <f t="shared" si="4"/>
        <v>4.6978106829268</v>
      </c>
      <c r="Q17" s="3">
        <f t="shared" si="5"/>
        <v>0.87526014904836169</v>
      </c>
      <c r="R17" s="3">
        <f t="shared" si="2"/>
        <v>0.84526846608033523</v>
      </c>
      <c r="S17" s="3">
        <f t="shared" si="2"/>
        <v>0.80853657322783468</v>
      </c>
      <c r="T17" s="3">
        <f t="shared" si="2"/>
        <v>0.84228384610101303</v>
      </c>
      <c r="U17" s="3">
        <f t="shared" si="2"/>
        <v>0.87816379419177504</v>
      </c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</row>
    <row r="18" spans="1:36" s="24" customFormat="1" ht="15" customHeight="1" x14ac:dyDescent="0.25">
      <c r="A18" s="129"/>
      <c r="B18" s="129"/>
      <c r="C18" s="130"/>
      <c r="D18" s="14"/>
      <c r="E18" s="9"/>
      <c r="I18" s="36"/>
      <c r="J18" s="17">
        <f t="shared" si="3"/>
        <v>400</v>
      </c>
      <c r="K18" s="3"/>
      <c r="L18" s="3">
        <f t="shared" si="4"/>
        <v>4.7859353902440027</v>
      </c>
      <c r="M18" s="3">
        <f t="shared" si="4"/>
        <v>4.621648682926903</v>
      </c>
      <c r="N18" s="3">
        <f t="shared" si="4"/>
        <v>4.5646322439025013</v>
      </c>
      <c r="O18" s="3">
        <f t="shared" si="4"/>
        <v>4.5911018048781003</v>
      </c>
      <c r="P18" s="3">
        <f t="shared" si="4"/>
        <v>4.7488265121952011</v>
      </c>
      <c r="Q18" s="3">
        <f t="shared" si="5"/>
        <v>0.87198289826418351</v>
      </c>
      <c r="R18" s="3">
        <f t="shared" si="2"/>
        <v>0.83476767555642961</v>
      </c>
      <c r="S18" s="3">
        <f t="shared" si="2"/>
        <v>0.79335411369477737</v>
      </c>
      <c r="T18" s="3">
        <f t="shared" si="2"/>
        <v>0.82998740784579705</v>
      </c>
      <c r="U18" s="3">
        <f t="shared" si="2"/>
        <v>0.86865954776952925</v>
      </c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</row>
    <row r="19" spans="1:36" s="24" customFormat="1" ht="15" customHeight="1" x14ac:dyDescent="0.25">
      <c r="A19" s="187"/>
      <c r="B19" s="129"/>
      <c r="C19" s="130"/>
      <c r="D19" s="14"/>
      <c r="E19" s="9"/>
      <c r="I19" s="9"/>
      <c r="J19" s="18" t="s">
        <v>38</v>
      </c>
      <c r="K19" s="3"/>
      <c r="L19" s="3"/>
      <c r="M19" s="3"/>
      <c r="N19" s="3"/>
      <c r="O19" s="3"/>
      <c r="P19" s="3"/>
      <c r="Q19" s="127"/>
      <c r="R19" s="127"/>
      <c r="S19" s="127"/>
      <c r="T19" s="127"/>
      <c r="U19" s="127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</row>
    <row r="20" spans="1:36" s="24" customFormat="1" ht="15" customHeight="1" x14ac:dyDescent="0.25">
      <c r="A20" s="8"/>
      <c r="B20" s="8"/>
      <c r="C20" s="33"/>
      <c r="D20" s="14"/>
      <c r="E20" s="9"/>
      <c r="I20" s="9"/>
      <c r="J20" s="19"/>
      <c r="K20" s="3"/>
      <c r="L20" s="3"/>
      <c r="M20" s="3"/>
      <c r="N20" s="3"/>
      <c r="O20" s="3"/>
      <c r="P20" s="3"/>
      <c r="Q20" s="127"/>
      <c r="R20" s="127"/>
      <c r="S20" s="127"/>
      <c r="T20" s="127"/>
      <c r="U20" s="127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</row>
    <row r="21" spans="1:36" ht="15" customHeight="1" x14ac:dyDescent="0.25">
      <c r="B21" s="34"/>
      <c r="C21" s="35"/>
      <c r="J21" s="18" t="s">
        <v>11</v>
      </c>
      <c r="K21" s="2" t="s">
        <v>31</v>
      </c>
    </row>
    <row r="22" spans="1:36" ht="15" customHeight="1" x14ac:dyDescent="0.25">
      <c r="B22" s="34"/>
      <c r="C22" s="35"/>
      <c r="D22" s="52">
        <v>1</v>
      </c>
      <c r="E22" s="10">
        <f>($B$3*$D22*Q22+$C$3+$K22-L22)/(Q22*$D22)</f>
        <v>0.89580693843173509</v>
      </c>
      <c r="F22" s="10">
        <f>($B$3*$D22*R22+$C$3+$K22-M22)/(R22*$D22)</f>
        <v>0.87987147962411294</v>
      </c>
      <c r="G22" s="10">
        <f>($B$3*$D22*S22+$C$3+$K22-N22)/(S22*$D22)</f>
        <v>0.85279866600534182</v>
      </c>
      <c r="H22" s="10">
        <f>($B$3*$D22*T22+$C$3+$K22-O22)/(T22*$D22)</f>
        <v>0.87338689975275141</v>
      </c>
      <c r="I22" s="10">
        <f>($B$3*$D22*U22+$C$3+$K22-P22)/(U22*$D22)</f>
        <v>0.90735234912317719</v>
      </c>
      <c r="J22" s="19">
        <v>150</v>
      </c>
      <c r="K22" s="23">
        <v>8.7650471951219497</v>
      </c>
      <c r="L22" s="23">
        <v>6.7695235121951196</v>
      </c>
      <c r="M22" s="23">
        <v>6.7368900975609796</v>
      </c>
      <c r="N22" s="23">
        <v>6.6966856097561003</v>
      </c>
      <c r="O22" s="23">
        <v>6.7843698292682904</v>
      </c>
      <c r="P22" s="23">
        <v>6.7638700975609796</v>
      </c>
      <c r="Q22" s="23">
        <v>4.1361880731707297</v>
      </c>
      <c r="R22" s="23">
        <v>4.3474236341463399</v>
      </c>
      <c r="S22" s="23">
        <v>4.7067426341463401</v>
      </c>
      <c r="T22" s="23">
        <v>4.3054952439024401</v>
      </c>
      <c r="U22" s="23">
        <v>4.0509642682926801</v>
      </c>
      <c r="V22" s="23">
        <v>49.5988316829268</v>
      </c>
      <c r="W22" s="23">
        <v>49.245792170731697</v>
      </c>
      <c r="X22" s="23">
        <v>49.3649740731707</v>
      </c>
      <c r="Y22" s="23">
        <v>49.4118987560976</v>
      </c>
      <c r="Z22" s="23">
        <v>49.477422243902502</v>
      </c>
      <c r="AA22" s="3">
        <v>1.9384347160493813</v>
      </c>
      <c r="AB22" s="3">
        <v>2.3809066543209871</v>
      </c>
      <c r="AC22" s="3">
        <v>3.139758629629628</v>
      </c>
      <c r="AD22" s="3">
        <v>2.4788161296296303</v>
      </c>
      <c r="AE22" s="3">
        <v>1.9582383086419748</v>
      </c>
      <c r="AF22" s="7">
        <v>33.278816123456807</v>
      </c>
      <c r="AG22" s="7">
        <v>32.314171518518513</v>
      </c>
      <c r="AH22" s="7">
        <v>31.847067506172856</v>
      </c>
      <c r="AI22" s="7">
        <v>32.465383524691347</v>
      </c>
      <c r="AJ22" s="7">
        <v>33.845613388888893</v>
      </c>
    </row>
    <row r="23" spans="1:36" ht="15" customHeight="1" x14ac:dyDescent="0.25">
      <c r="B23" s="34"/>
      <c r="C23" s="35"/>
      <c r="D23" s="52">
        <v>1</v>
      </c>
      <c r="E23" s="10">
        <f>($B$4*$D23*Q23+$C$4+$K23-L23)/(Q23*$D23)</f>
        <v>0.97519846489356621</v>
      </c>
      <c r="F23" s="10">
        <f>($B$4*$D23*R23+$C$4+$K23-M23)/(R23*$D23)</f>
        <v>0.95642440378432725</v>
      </c>
      <c r="G23" s="10">
        <f>($B$4*$D23*S23+$C$4+$K23-N23)/(S23*$D23)</f>
        <v>0.93446375888990207</v>
      </c>
      <c r="H23" s="10">
        <f>($B$4*$D23*T23+$C$4+$K23-O23)/(T23*$D23)</f>
        <v>0.95531132298910515</v>
      </c>
      <c r="I23" s="10">
        <f>($B$4*$D23*U23+$C$4+$K23-P23)/(U23*$D23)</f>
        <v>0.98503984428128577</v>
      </c>
      <c r="J23" s="19">
        <v>200</v>
      </c>
      <c r="K23" s="23">
        <v>13.0889888780488</v>
      </c>
      <c r="L23" s="23">
        <v>10.9282766829268</v>
      </c>
      <c r="M23" s="23">
        <v>10.8901508780488</v>
      </c>
      <c r="N23" s="23">
        <v>10.8027586585366</v>
      </c>
      <c r="O23" s="23">
        <v>10.911961097561001</v>
      </c>
      <c r="P23" s="23">
        <v>10.931407439024399</v>
      </c>
      <c r="Q23" s="23">
        <v>4.2207100243902396</v>
      </c>
      <c r="R23" s="23">
        <v>4.4534984146341499</v>
      </c>
      <c r="S23" s="23">
        <v>4.8375487804878103</v>
      </c>
      <c r="T23" s="23">
        <v>4.4199972195121902</v>
      </c>
      <c r="U23" s="23">
        <v>4.1368712195121997</v>
      </c>
      <c r="V23" s="23">
        <v>50.416209878048797</v>
      </c>
      <c r="W23" s="23">
        <v>50.4120605365854</v>
      </c>
      <c r="X23" s="23">
        <v>50.488798926829297</v>
      </c>
      <c r="Y23" s="23">
        <v>50.5162065853659</v>
      </c>
      <c r="Z23" s="23">
        <v>50.546852829268303</v>
      </c>
      <c r="AA23" s="3">
        <v>1.483729592592592</v>
      </c>
      <c r="AB23" s="3">
        <v>1.8733846049382721</v>
      </c>
      <c r="AC23" s="3">
        <v>2.6239816068111446</v>
      </c>
      <c r="AD23" s="3">
        <v>1.9813636975308639</v>
      </c>
      <c r="AE23" s="3">
        <v>1.5766086296296298</v>
      </c>
      <c r="AF23" s="7">
        <v>32.990227771604964</v>
      </c>
      <c r="AG23" s="7">
        <v>31.935279685185176</v>
      </c>
      <c r="AH23" s="7">
        <v>31.557925591331315</v>
      </c>
      <c r="AI23" s="7">
        <v>32.029924067901227</v>
      </c>
      <c r="AJ23" s="7">
        <v>33.534486962962937</v>
      </c>
    </row>
    <row r="24" spans="1:36" s="24" customFormat="1" ht="15" customHeight="1" x14ac:dyDescent="0.25">
      <c r="A24" s="8"/>
      <c r="B24" s="34"/>
      <c r="C24" s="35"/>
      <c r="D24" s="52">
        <v>1</v>
      </c>
      <c r="E24" s="10">
        <f>($B$5*$D24*Q24+$C$5+$K24-L24)/(Q24*$D24)</f>
        <v>1.0330513202344105</v>
      </c>
      <c r="F24" s="10">
        <f>($B$5*$D24*R24+$C$5+$K24-M24)/(R24*$D24)</f>
        <v>1.0175408252704046</v>
      </c>
      <c r="G24" s="10">
        <f>($B$5*$D24*S24+$C$5+$K24-N24)/(S24*$D24)</f>
        <v>1.0042868327367349</v>
      </c>
      <c r="H24" s="10">
        <f>($B$5*$D24*T24+$C$5+$K24-O24)/(T24*$D24)</f>
        <v>1.0194735780501469</v>
      </c>
      <c r="I24" s="10">
        <f>($B$5*$D24*U24+$C$5+$K24-P24)/(U24*$D24)</f>
        <v>1.0407237849099824</v>
      </c>
      <c r="J24" s="19">
        <v>250</v>
      </c>
      <c r="K24" s="23">
        <v>17.898304390243901</v>
      </c>
      <c r="L24" s="23">
        <v>15.470228097561</v>
      </c>
      <c r="M24" s="23">
        <v>15.3598026829268</v>
      </c>
      <c r="N24" s="23">
        <v>15.204070804878</v>
      </c>
      <c r="O24" s="23">
        <v>15.3599768536585</v>
      </c>
      <c r="P24" s="23">
        <v>15.464871243902399</v>
      </c>
      <c r="Q24" s="23">
        <v>4.3989898536585397</v>
      </c>
      <c r="R24" s="23">
        <v>4.73202246341463</v>
      </c>
      <c r="S24" s="23">
        <v>5.1495511463414596</v>
      </c>
      <c r="T24" s="23">
        <v>4.7147114146341504</v>
      </c>
      <c r="U24" s="23">
        <v>4.3482527560975601</v>
      </c>
      <c r="V24" s="23">
        <v>50.049502829268299</v>
      </c>
      <c r="W24" s="23">
        <v>50.094397414634102</v>
      </c>
      <c r="X24" s="23">
        <v>50.152286317073198</v>
      </c>
      <c r="Y24" s="23">
        <v>50.191392243902399</v>
      </c>
      <c r="Z24" s="23">
        <v>50.213489707317102</v>
      </c>
      <c r="AA24" s="3">
        <v>1.3774750802469138</v>
      </c>
      <c r="AB24" s="3">
        <v>1.8163870987654327</v>
      </c>
      <c r="AC24" s="3">
        <v>2.5167773858024693</v>
      </c>
      <c r="AD24" s="3">
        <v>1.848771901234568</v>
      </c>
      <c r="AE24" s="3">
        <v>1.405627037037037</v>
      </c>
      <c r="AF24" s="7">
        <v>32.793896827160516</v>
      </c>
      <c r="AG24" s="7">
        <v>31.511236370370355</v>
      </c>
      <c r="AH24" s="7">
        <v>31.124424959876549</v>
      </c>
      <c r="AI24" s="7">
        <v>31.740790703703691</v>
      </c>
      <c r="AJ24" s="7">
        <v>33.250925080246908</v>
      </c>
    </row>
    <row r="25" spans="1:36" s="24" customFormat="1" x14ac:dyDescent="0.25">
      <c r="A25" s="8"/>
      <c r="B25" s="34"/>
      <c r="C25" s="35"/>
      <c r="D25" s="52">
        <v>1</v>
      </c>
      <c r="E25" s="10">
        <f>($B$7*$D25*Q25+$C$7+$K25-L25)/(Q25*$D25)</f>
        <v>1.1131415724958751</v>
      </c>
      <c r="F25" s="10">
        <f>($B$7*$D25*R25+$C$7+$K25-M25)/(R25*$D25)</f>
        <v>1.1177293165305648</v>
      </c>
      <c r="G25" s="10">
        <f>($B$7*$D25*S25+$C$7+$K25-N25)/(S25*$D25)</f>
        <v>1.1086764565831657</v>
      </c>
      <c r="H25" s="10">
        <f>($B$7*$D25*T25+$C$7+$K25-O25)/(T25*$D25)</f>
        <v>1.1228945947419018</v>
      </c>
      <c r="I25" s="10">
        <f>($B$7*$D25*U25+$C$7+$K25-P25)/(U25*$D25)</f>
        <v>1.1253142483610716</v>
      </c>
      <c r="J25" s="19">
        <v>300</v>
      </c>
      <c r="K25" s="23">
        <v>23.315927804878001</v>
      </c>
      <c r="L25" s="23">
        <v>20.385650390243899</v>
      </c>
      <c r="M25" s="23">
        <v>20.075419365853701</v>
      </c>
      <c r="N25" s="23">
        <v>19.748561097561002</v>
      </c>
      <c r="O25" s="23">
        <v>20.048470707317101</v>
      </c>
      <c r="P25" s="23">
        <v>20.352165365853701</v>
      </c>
      <c r="Q25" s="23">
        <v>4.7771441707317104</v>
      </c>
      <c r="R25" s="23">
        <v>5.2444260731707297</v>
      </c>
      <c r="S25" s="23">
        <v>5.8601588536585396</v>
      </c>
      <c r="T25" s="23">
        <v>5.2442006341463401</v>
      </c>
      <c r="U25" s="23">
        <v>4.7376532195121897</v>
      </c>
      <c r="V25" s="23">
        <v>49.5653023902439</v>
      </c>
      <c r="W25" s="23">
        <v>49.612255317073199</v>
      </c>
      <c r="X25" s="23">
        <v>49.718596146341497</v>
      </c>
      <c r="Y25" s="23">
        <v>49.763994097561003</v>
      </c>
      <c r="Z25" s="23">
        <v>49.786583146341499</v>
      </c>
      <c r="AA25" s="3">
        <v>1.3195330617283949</v>
      </c>
      <c r="AB25" s="3">
        <v>1.9094586913580247</v>
      </c>
      <c r="AC25" s="3">
        <v>2.9377664043209872</v>
      </c>
      <c r="AD25" s="3">
        <v>2.68420201851852</v>
      </c>
      <c r="AE25" s="3">
        <v>2.4232163148148138</v>
      </c>
      <c r="AF25" s="7">
        <v>32.478417506172839</v>
      </c>
      <c r="AG25" s="7">
        <v>31.058172666666671</v>
      </c>
      <c r="AH25" s="7">
        <v>30.755772694444438</v>
      </c>
      <c r="AI25" s="7">
        <v>31.61016574691358</v>
      </c>
      <c r="AJ25" s="7">
        <v>33.511662024691354</v>
      </c>
    </row>
    <row r="26" spans="1:36" s="24" customFormat="1" x14ac:dyDescent="0.25">
      <c r="A26" s="8"/>
      <c r="B26" s="34"/>
      <c r="C26" s="35"/>
      <c r="D26" s="52">
        <v>1</v>
      </c>
      <c r="E26" s="10">
        <f>($B$9*$D26*Q26+$C$9+$K26-L26)/(Q26*$D26)</f>
        <v>1.1911265603391135</v>
      </c>
      <c r="F26" s="10">
        <f>($B$9*$D26*R26+$C$9+$K26-M26)/(R26*$D26)</f>
        <v>1.1416040114879296</v>
      </c>
      <c r="G26" s="10">
        <f>($B$9*$D26*S26+$C$9+$K26-N26)/(S26*$D26)</f>
        <v>1.1263683881596076</v>
      </c>
      <c r="H26" s="10">
        <f>($B$9*$D26*T26+$C$9+$K26-O26)/(T26*$D26)</f>
        <v>1.1471578142781147</v>
      </c>
      <c r="I26" s="10">
        <f>($B$9*$D26*U26+$C$9+$K26-P26)/(U26*$D26)</f>
        <v>1.1674426620676563</v>
      </c>
      <c r="J26" s="19">
        <v>350</v>
      </c>
      <c r="K26" s="23">
        <v>29.1666845609756</v>
      </c>
      <c r="L26" s="23">
        <v>26.0947407804878</v>
      </c>
      <c r="M26" s="23">
        <v>25.964147560975601</v>
      </c>
      <c r="N26" s="23">
        <v>25.739586731707298</v>
      </c>
      <c r="O26" s="23">
        <v>25.946914292682902</v>
      </c>
      <c r="P26" s="23">
        <v>26.084170219512199</v>
      </c>
      <c r="Q26" s="23">
        <v>4.6365968536585402</v>
      </c>
      <c r="R26" s="23">
        <v>5.2241946097560996</v>
      </c>
      <c r="S26" s="23">
        <v>5.7329977560975598</v>
      </c>
      <c r="T26" s="23">
        <v>5.2051493902438999</v>
      </c>
      <c r="U26" s="23">
        <v>4.8250316585365898</v>
      </c>
      <c r="V26" s="23">
        <v>50.5884525853659</v>
      </c>
      <c r="W26" s="23">
        <v>50.528650121951202</v>
      </c>
      <c r="X26" s="23">
        <v>49.692455878048797</v>
      </c>
      <c r="Y26" s="23">
        <v>49.302900000000001</v>
      </c>
      <c r="Z26" s="23">
        <v>49.303639975609798</v>
      </c>
      <c r="AA26" s="3">
        <v>2.944861080246914</v>
      </c>
      <c r="AB26" s="3">
        <v>3.4128761481481473</v>
      </c>
      <c r="AC26" s="3">
        <v>3.8073074475308619</v>
      </c>
      <c r="AD26" s="3">
        <v>2.5826637530864196</v>
      </c>
      <c r="AE26" s="3">
        <v>2.2526746666666657</v>
      </c>
      <c r="AF26" s="7">
        <v>34.310607135802471</v>
      </c>
      <c r="AG26" s="7">
        <v>32.865580314814814</v>
      </c>
      <c r="AH26" s="7">
        <v>32.194925663580243</v>
      </c>
      <c r="AI26" s="7">
        <v>32.406108851851847</v>
      </c>
      <c r="AJ26" s="7">
        <v>34.013159197530882</v>
      </c>
    </row>
    <row r="27" spans="1:36" s="24" customFormat="1" x14ac:dyDescent="0.25">
      <c r="A27" s="8"/>
      <c r="B27" s="34"/>
      <c r="C27" s="35"/>
      <c r="D27" s="52">
        <v>1</v>
      </c>
      <c r="E27" s="10">
        <f>($B$11*$D27*Q27+$C$11+$K27-L27)/(Q27*$D27)</f>
        <v>1.1846097788931809</v>
      </c>
      <c r="F27" s="10">
        <f>($B$11*$D27*R27+$C$11+$K27-M27)/(R27*$D27)</f>
        <v>1.1420260922896226</v>
      </c>
      <c r="G27" s="10">
        <f>($B$11*$D27*S27+$C$11+$K27-N27)/(S27*$D27)</f>
        <v>1.1126835532482648</v>
      </c>
      <c r="H27" s="10">
        <f>($B$11*$D27*T27+$C$11+$K27-O27)/(T27*$D27)</f>
        <v>1.1410682503692151</v>
      </c>
      <c r="I27" s="10">
        <f>($B$11*$D27*U27+$C$11+$K27-P27)/(U27*$D27)</f>
        <v>1.2059472274895684</v>
      </c>
      <c r="J27" s="19">
        <v>400</v>
      </c>
      <c r="K27" s="23">
        <v>35.700520634146301</v>
      </c>
      <c r="L27" s="23">
        <v>32.610770707317101</v>
      </c>
      <c r="M27" s="23">
        <v>32.620729512195098</v>
      </c>
      <c r="N27" s="23">
        <v>32.567297902439002</v>
      </c>
      <c r="O27" s="23">
        <v>32.630538804878</v>
      </c>
      <c r="P27" s="23">
        <v>32.606374024390199</v>
      </c>
      <c r="Q27" s="23">
        <v>4.8053285853658503</v>
      </c>
      <c r="R27" s="23">
        <v>5.1339934146341504</v>
      </c>
      <c r="S27" s="23">
        <v>5.4964972195122002</v>
      </c>
      <c r="T27" s="23">
        <v>5.1257212195121999</v>
      </c>
      <c r="U27" s="23">
        <v>4.6557813902438996</v>
      </c>
      <c r="V27" s="23">
        <v>50.275290341463403</v>
      </c>
      <c r="W27" s="23">
        <v>50.314520560975602</v>
      </c>
      <c r="X27" s="23">
        <v>50.387774731707303</v>
      </c>
      <c r="Y27" s="23">
        <v>50.414800390243897</v>
      </c>
      <c r="Z27" s="23">
        <v>50.4406373414634</v>
      </c>
      <c r="AA27" s="3">
        <v>1.5272565802469136</v>
      </c>
      <c r="AB27" s="3">
        <v>1.951707771604938</v>
      </c>
      <c r="AC27" s="3">
        <v>2.4701872345679012</v>
      </c>
      <c r="AD27" s="3">
        <v>1.7102489197530859</v>
      </c>
      <c r="AE27" s="3">
        <v>1.285736833333333</v>
      </c>
      <c r="AF27" s="7">
        <v>33.203267888888874</v>
      </c>
      <c r="AG27" s="7">
        <v>31.948359808641975</v>
      </c>
      <c r="AH27" s="7">
        <v>31.364737861111099</v>
      </c>
      <c r="AI27" s="7">
        <v>31.947554561728388</v>
      </c>
      <c r="AJ27" s="7">
        <v>33.422970740740723</v>
      </c>
    </row>
    <row r="28" spans="1:36" s="127" customFormat="1" x14ac:dyDescent="0.25">
      <c r="A28" s="8"/>
      <c r="B28" s="34"/>
      <c r="C28" s="35"/>
      <c r="D28" s="52"/>
      <c r="E28" s="10"/>
      <c r="F28" s="10"/>
      <c r="G28" s="10"/>
      <c r="H28" s="10"/>
      <c r="I28" s="10"/>
      <c r="J28" s="19"/>
      <c r="K28" s="23"/>
      <c r="L28" s="1" t="s">
        <v>27</v>
      </c>
      <c r="M28" s="1"/>
      <c r="N28" s="1"/>
      <c r="O28" s="1"/>
      <c r="P28" s="1"/>
      <c r="Q28" s="1" t="s">
        <v>91</v>
      </c>
      <c r="R28" s="3"/>
      <c r="S28" s="3"/>
      <c r="T28" s="3"/>
      <c r="U28" s="3"/>
      <c r="V28" s="23"/>
      <c r="W28" s="23"/>
      <c r="X28" s="23"/>
      <c r="Y28" s="23"/>
      <c r="Z28" s="23"/>
      <c r="AA28" s="3"/>
      <c r="AB28" s="3"/>
      <c r="AC28" s="3"/>
      <c r="AD28" s="3"/>
      <c r="AE28" s="3"/>
      <c r="AF28" s="7"/>
      <c r="AG28" s="7"/>
      <c r="AH28" s="7"/>
      <c r="AI28" s="7"/>
      <c r="AJ28" s="7"/>
    </row>
    <row r="29" spans="1:36" s="127" customFormat="1" x14ac:dyDescent="0.25">
      <c r="A29" s="8"/>
      <c r="B29" s="34"/>
      <c r="C29" s="35"/>
      <c r="D29" s="52"/>
      <c r="E29" s="10"/>
      <c r="F29" s="10"/>
      <c r="G29" s="10"/>
      <c r="H29" s="10"/>
      <c r="I29" s="10"/>
      <c r="J29" s="19"/>
      <c r="K29" s="23"/>
      <c r="L29" s="3">
        <f>$K22-L22</f>
        <v>1.9955236829268301</v>
      </c>
      <c r="M29" s="3">
        <f>$K22-M22</f>
        <v>2.0281570975609702</v>
      </c>
      <c r="N29" s="3">
        <f t="shared" ref="N29:P29" si="6">$K22-N22</f>
        <v>2.0683615853658495</v>
      </c>
      <c r="O29" s="3">
        <f t="shared" si="6"/>
        <v>1.9806773658536594</v>
      </c>
      <c r="P29" s="3">
        <f t="shared" si="6"/>
        <v>2.0011770975609702</v>
      </c>
      <c r="Q29" s="3">
        <f>L29/Q22</f>
        <v>0.4824547742088276</v>
      </c>
      <c r="R29" s="3">
        <f t="shared" ref="R29:U34" si="7">M29/R22</f>
        <v>0.46651931540120523</v>
      </c>
      <c r="S29" s="3">
        <f t="shared" si="7"/>
        <v>0.43944650178243438</v>
      </c>
      <c r="T29" s="3">
        <f t="shared" si="7"/>
        <v>0.46003473552984381</v>
      </c>
      <c r="U29" s="3">
        <f t="shared" si="7"/>
        <v>0.49400018490026981</v>
      </c>
      <c r="V29" s="23"/>
      <c r="W29" s="23"/>
      <c r="X29" s="23"/>
      <c r="Y29" s="23"/>
      <c r="Z29" s="23"/>
      <c r="AA29" s="3"/>
      <c r="AB29" s="3"/>
      <c r="AC29" s="3"/>
      <c r="AD29" s="3"/>
      <c r="AE29" s="3"/>
      <c r="AF29" s="7"/>
      <c r="AG29" s="7"/>
      <c r="AH29" s="7"/>
      <c r="AI29" s="7"/>
      <c r="AJ29" s="7"/>
    </row>
    <row r="30" spans="1:36" s="127" customFormat="1" x14ac:dyDescent="0.25">
      <c r="A30" s="8"/>
      <c r="B30" s="34"/>
      <c r="C30" s="35"/>
      <c r="D30" s="52"/>
      <c r="E30" s="10"/>
      <c r="F30" s="10"/>
      <c r="G30" s="10"/>
      <c r="H30" s="10"/>
      <c r="I30" s="10"/>
      <c r="J30" s="19"/>
      <c r="K30" s="23"/>
      <c r="L30" s="3">
        <f t="shared" ref="L30:P30" si="8">$K23-L23</f>
        <v>2.1607121951220005</v>
      </c>
      <c r="M30" s="3">
        <f>$K23-M23</f>
        <v>2.1988380000000003</v>
      </c>
      <c r="N30" s="3">
        <f t="shared" si="8"/>
        <v>2.2862302195122002</v>
      </c>
      <c r="O30" s="3">
        <f t="shared" si="8"/>
        <v>2.1770277804877995</v>
      </c>
      <c r="P30" s="3">
        <f t="shared" si="8"/>
        <v>2.1575814390244012</v>
      </c>
      <c r="Q30" s="3">
        <f t="shared" ref="Q30:Q34" si="9">L30/Q23</f>
        <v>0.5119309743232493</v>
      </c>
      <c r="R30" s="3">
        <f t="shared" si="7"/>
        <v>0.49373274564882325</v>
      </c>
      <c r="S30" s="3">
        <f t="shared" si="7"/>
        <v>0.47260096450782674</v>
      </c>
      <c r="T30" s="3">
        <f t="shared" si="7"/>
        <v>0.49254053167211398</v>
      </c>
      <c r="U30" s="3">
        <f t="shared" si="7"/>
        <v>0.52154909460266274</v>
      </c>
      <c r="V30" s="23"/>
      <c r="W30" s="23"/>
      <c r="X30" s="23"/>
      <c r="Y30" s="23"/>
      <c r="Z30" s="23"/>
      <c r="AA30" s="3"/>
      <c r="AB30" s="3"/>
      <c r="AC30" s="3"/>
      <c r="AD30" s="3"/>
      <c r="AE30" s="3"/>
      <c r="AF30" s="7"/>
      <c r="AG30" s="7"/>
      <c r="AH30" s="7"/>
      <c r="AI30" s="7"/>
      <c r="AJ30" s="7"/>
    </row>
    <row r="31" spans="1:36" s="127" customFormat="1" x14ac:dyDescent="0.25">
      <c r="A31" s="8"/>
      <c r="B31" s="34"/>
      <c r="C31" s="35"/>
      <c r="D31" s="52"/>
      <c r="E31" s="10"/>
      <c r="F31" s="10"/>
      <c r="G31" s="10"/>
      <c r="H31" s="10"/>
      <c r="I31" s="10"/>
      <c r="J31" s="19"/>
      <c r="K31" s="23"/>
      <c r="L31" s="3">
        <f t="shared" ref="L31:P31" si="10">$K24-L24</f>
        <v>2.4280762926829009</v>
      </c>
      <c r="M31" s="3">
        <f>$K24-M24</f>
        <v>2.538501707317101</v>
      </c>
      <c r="N31" s="3">
        <f t="shared" si="10"/>
        <v>2.6942335853659003</v>
      </c>
      <c r="O31" s="3">
        <f t="shared" si="10"/>
        <v>2.5383275365854008</v>
      </c>
      <c r="P31" s="3">
        <f t="shared" si="10"/>
        <v>2.4334331463415015</v>
      </c>
      <c r="Q31" s="3">
        <f t="shared" si="9"/>
        <v>0.55196223984547843</v>
      </c>
      <c r="R31" s="3">
        <f t="shared" si="7"/>
        <v>0.53645174488147229</v>
      </c>
      <c r="S31" s="3">
        <f t="shared" si="7"/>
        <v>0.5231977523478023</v>
      </c>
      <c r="T31" s="3">
        <f t="shared" si="7"/>
        <v>0.53838449766121443</v>
      </c>
      <c r="U31" s="3">
        <f t="shared" si="7"/>
        <v>0.55963470452105046</v>
      </c>
      <c r="V31" s="23"/>
      <c r="W31" s="23"/>
      <c r="X31" s="23"/>
      <c r="Y31" s="23"/>
      <c r="Z31" s="23"/>
      <c r="AA31" s="3"/>
      <c r="AB31" s="3"/>
      <c r="AC31" s="3"/>
      <c r="AD31" s="3"/>
      <c r="AE31" s="3"/>
      <c r="AF31" s="7"/>
      <c r="AG31" s="7"/>
      <c r="AH31" s="7"/>
      <c r="AI31" s="7"/>
      <c r="AJ31" s="7"/>
    </row>
    <row r="32" spans="1:36" s="127" customFormat="1" x14ac:dyDescent="0.25">
      <c r="A32" s="8"/>
      <c r="B32" s="34"/>
      <c r="C32" s="35"/>
      <c r="D32" s="52"/>
      <c r="E32" s="10"/>
      <c r="F32" s="10"/>
      <c r="G32" s="10"/>
      <c r="H32" s="10"/>
      <c r="I32" s="10"/>
      <c r="J32" s="19"/>
      <c r="K32" s="23"/>
      <c r="L32" s="3">
        <f t="shared" ref="L32:P32" si="11">$K25-L25</f>
        <v>2.9302774146341015</v>
      </c>
      <c r="M32" s="3">
        <f>$K25-M25</f>
        <v>3.2405084390242997</v>
      </c>
      <c r="N32" s="3">
        <f t="shared" si="11"/>
        <v>3.5673667073169995</v>
      </c>
      <c r="O32" s="3">
        <f t="shared" si="11"/>
        <v>3.2674570975609001</v>
      </c>
      <c r="P32" s="3">
        <f t="shared" si="11"/>
        <v>2.9637624390243005</v>
      </c>
      <c r="Q32" s="3">
        <f t="shared" si="9"/>
        <v>0.61339522315175887</v>
      </c>
      <c r="R32" s="3">
        <f t="shared" si="7"/>
        <v>0.61789572277546079</v>
      </c>
      <c r="S32" s="3">
        <f t="shared" si="7"/>
        <v>0.60874914766002741</v>
      </c>
      <c r="T32" s="3">
        <f t="shared" si="7"/>
        <v>0.62306103932897727</v>
      </c>
      <c r="U32" s="3">
        <f t="shared" si="7"/>
        <v>0.62557606091090456</v>
      </c>
      <c r="V32" s="23"/>
      <c r="W32" s="23"/>
      <c r="X32" s="23"/>
      <c r="Y32" s="23"/>
      <c r="Z32" s="23"/>
      <c r="AA32" s="3"/>
      <c r="AB32" s="3"/>
      <c r="AC32" s="3"/>
      <c r="AD32" s="3"/>
      <c r="AE32" s="3"/>
      <c r="AF32" s="7"/>
      <c r="AG32" s="7"/>
      <c r="AH32" s="7"/>
      <c r="AI32" s="7"/>
      <c r="AJ32" s="7"/>
    </row>
    <row r="33" spans="1:36" s="127" customFormat="1" x14ac:dyDescent="0.25">
      <c r="A33" s="8"/>
      <c r="B33" s="34"/>
      <c r="C33" s="35"/>
      <c r="D33" s="52"/>
      <c r="E33" s="10"/>
      <c r="F33" s="10"/>
      <c r="G33" s="10"/>
      <c r="H33" s="10"/>
      <c r="I33" s="10"/>
      <c r="J33" s="19"/>
      <c r="K33" s="23"/>
      <c r="L33" s="3">
        <f t="shared" ref="L33:P33" si="12">$K26-L26</f>
        <v>3.0719437804877998</v>
      </c>
      <c r="M33" s="3">
        <f>$K26-M26</f>
        <v>3.2025369999999995</v>
      </c>
      <c r="N33" s="3">
        <f t="shared" si="12"/>
        <v>3.4270978292683019</v>
      </c>
      <c r="O33" s="3">
        <f t="shared" si="12"/>
        <v>3.2197702682926987</v>
      </c>
      <c r="P33" s="3">
        <f t="shared" si="12"/>
        <v>3.0825143414634013</v>
      </c>
      <c r="Q33" s="3">
        <f t="shared" si="9"/>
        <v>0.6625427824426573</v>
      </c>
      <c r="R33" s="3">
        <f t="shared" si="7"/>
        <v>0.61302023359147328</v>
      </c>
      <c r="S33" s="3">
        <f t="shared" si="7"/>
        <v>0.59778461026315155</v>
      </c>
      <c r="T33" s="3">
        <f t="shared" si="7"/>
        <v>0.61857403638165875</v>
      </c>
      <c r="U33" s="3">
        <f t="shared" si="7"/>
        <v>0.63885888417120018</v>
      </c>
      <c r="V33" s="23"/>
      <c r="W33" s="23"/>
      <c r="X33" s="23"/>
      <c r="Y33" s="23"/>
      <c r="Z33" s="23"/>
      <c r="AA33" s="3"/>
      <c r="AB33" s="3"/>
      <c r="AC33" s="3"/>
      <c r="AD33" s="3"/>
      <c r="AE33" s="3"/>
      <c r="AF33" s="7"/>
      <c r="AG33" s="7"/>
      <c r="AH33" s="7"/>
      <c r="AI33" s="7"/>
      <c r="AJ33" s="7"/>
    </row>
    <row r="34" spans="1:36" s="127" customFormat="1" x14ac:dyDescent="0.25">
      <c r="A34" s="10"/>
      <c r="B34" s="10"/>
      <c r="C34" s="37"/>
      <c r="D34" s="52"/>
      <c r="E34" s="10"/>
      <c r="F34" s="10"/>
      <c r="G34" s="10"/>
      <c r="H34" s="10"/>
      <c r="I34" s="10"/>
      <c r="J34" s="19"/>
      <c r="K34" s="23"/>
      <c r="L34" s="3">
        <f t="shared" ref="L34:P34" si="13">$K27-L27</f>
        <v>3.0897499268291995</v>
      </c>
      <c r="M34" s="3">
        <f>$K27-M27</f>
        <v>3.0797911219512031</v>
      </c>
      <c r="N34" s="3">
        <f t="shared" si="13"/>
        <v>3.1332227317072991</v>
      </c>
      <c r="O34" s="3">
        <f t="shared" si="13"/>
        <v>3.0699818292683005</v>
      </c>
      <c r="P34" s="3">
        <f t="shared" si="13"/>
        <v>3.0941466097561019</v>
      </c>
      <c r="Q34" s="3">
        <f t="shared" si="9"/>
        <v>0.64298411064723549</v>
      </c>
      <c r="R34" s="3">
        <f t="shared" si="7"/>
        <v>0.59988217226232454</v>
      </c>
      <c r="S34" s="3">
        <f t="shared" si="7"/>
        <v>0.57003990115460557</v>
      </c>
      <c r="T34" s="3">
        <f t="shared" si="7"/>
        <v>0.59893655893374198</v>
      </c>
      <c r="U34" s="3">
        <f t="shared" si="7"/>
        <v>0.66458159230582148</v>
      </c>
      <c r="V34" s="23"/>
      <c r="W34" s="23"/>
      <c r="X34" s="23"/>
      <c r="Y34" s="23"/>
      <c r="Z34" s="23"/>
      <c r="AA34" s="3"/>
      <c r="AB34" s="3"/>
      <c r="AC34" s="3"/>
      <c r="AD34" s="3"/>
      <c r="AE34" s="3"/>
      <c r="AF34" s="7"/>
      <c r="AG34" s="7"/>
      <c r="AH34" s="7"/>
      <c r="AI34" s="7"/>
      <c r="AJ34" s="7"/>
    </row>
    <row r="35" spans="1:36" s="24" customFormat="1" x14ac:dyDescent="0.25">
      <c r="A35" s="9"/>
      <c r="B35" s="9"/>
      <c r="C35" s="36"/>
      <c r="D35" s="14"/>
      <c r="E35" s="9"/>
      <c r="I35" s="9"/>
      <c r="J35" s="18" t="s">
        <v>32</v>
      </c>
      <c r="K35" s="2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s="24" customFormat="1" x14ac:dyDescent="0.25">
      <c r="A36" s="9"/>
      <c r="B36" s="9"/>
      <c r="C36" s="36"/>
      <c r="D36" s="14"/>
      <c r="E36" s="9"/>
      <c r="I36" s="9"/>
      <c r="J36" s="18"/>
      <c r="K36" s="2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5">
      <c r="A37" s="9"/>
      <c r="B37" s="9"/>
      <c r="C37" s="36"/>
      <c r="J37" s="18" t="s">
        <v>11</v>
      </c>
      <c r="K37" s="2" t="s">
        <v>33</v>
      </c>
    </row>
    <row r="38" spans="1:36" x14ac:dyDescent="0.25">
      <c r="A38" s="9"/>
      <c r="B38" s="9"/>
      <c r="C38" s="36"/>
      <c r="D38" s="52">
        <v>1.3</v>
      </c>
      <c r="E38" s="10">
        <f>($B$3*$D38*Q38+$C$3+$K38-L38)/(Q38*$D38)</f>
        <v>2.0376509961787526</v>
      </c>
      <c r="F38" s="10">
        <f>($B$3*$D38*R38+$C$3+$K38-M38)/(R38*$D38)</f>
        <v>1.9538455470410594</v>
      </c>
      <c r="G38" s="10">
        <f>($B$3*$D38*S38+$C$3+$K38-N38)/(S38*$D38)</f>
        <v>1.7691219413858794</v>
      </c>
      <c r="H38" s="10">
        <f>($B$3*$D38*T38+$C$3+$K38-O38)/(T38*$D38)</f>
        <v>1.8526042563568499</v>
      </c>
      <c r="I38" s="10">
        <f>($B$3*$D38*U38+$C$3+$K38-P38)/(U38*$D38)</f>
        <v>1.9962290290214328</v>
      </c>
      <c r="J38" s="19">
        <v>150</v>
      </c>
      <c r="K38" s="7">
        <v>10.751353999999999</v>
      </c>
      <c r="L38" s="7">
        <v>5.8630570000000004</v>
      </c>
      <c r="M38" s="7">
        <v>5.5647719999999996</v>
      </c>
      <c r="N38" s="7">
        <v>5.7123369999999998</v>
      </c>
      <c r="O38" s="7">
        <v>5.8793129999999998</v>
      </c>
      <c r="P38" s="7">
        <v>5.9902049999999996</v>
      </c>
      <c r="Q38" s="23">
        <v>2.31498563414634</v>
      </c>
      <c r="R38" s="23">
        <v>2.5898705609756099</v>
      </c>
      <c r="S38" s="23">
        <v>2.8590155853658499</v>
      </c>
      <c r="T38" s="23">
        <v>2.60393843902439</v>
      </c>
      <c r="U38" s="23">
        <v>2.31377587804878</v>
      </c>
      <c r="V38" s="7">
        <v>49.817937030864194</v>
      </c>
      <c r="W38" s="7">
        <v>49.758566524691368</v>
      </c>
      <c r="X38" s="7">
        <v>49.864557376543232</v>
      </c>
      <c r="Y38" s="7">
        <v>49.946880074074073</v>
      </c>
      <c r="Z38" s="7">
        <v>49.998522506172868</v>
      </c>
      <c r="AA38" s="3">
        <v>1.543845234567901</v>
      </c>
      <c r="AB38" s="3">
        <v>1.8698809444444435</v>
      </c>
      <c r="AC38" s="3">
        <v>2.5478718209876541</v>
      </c>
      <c r="AD38" s="3">
        <v>1.9139273641975307</v>
      </c>
      <c r="AE38" s="3">
        <v>1.4072136604938277</v>
      </c>
      <c r="AF38" s="7">
        <v>29.30557766666664</v>
      </c>
      <c r="AG38" s="7">
        <v>27.301842376543245</v>
      </c>
      <c r="AH38" s="7">
        <v>26.210680160493812</v>
      </c>
      <c r="AI38" s="7">
        <v>27.578835314814803</v>
      </c>
      <c r="AJ38" s="7">
        <v>29.56214413580248</v>
      </c>
    </row>
    <row r="39" spans="1:36" x14ac:dyDescent="0.25">
      <c r="A39" s="9"/>
      <c r="B39" s="9"/>
      <c r="C39" s="36"/>
      <c r="D39" s="52">
        <v>1.45</v>
      </c>
      <c r="E39" s="10">
        <f>($B$4*$D39*Q39+$C$4+$K39-L39)/(Q39*$D39)</f>
        <v>1.08994981033362</v>
      </c>
      <c r="F39" s="10">
        <f>($B$4*$D39*R39+$C$4+$K39-M39)/(R39*$D39)</f>
        <v>1.0529596786563742</v>
      </c>
      <c r="G39" s="10">
        <f>($B$4*$D39*S39+$C$4+$K39-N39)/(S39*$D39)</f>
        <v>1.0463374490217765</v>
      </c>
      <c r="H39" s="10">
        <f>($B$4*$D39*T39+$C$4+$K39-O39)/(T39*$D39)</f>
        <v>1.0357994961557433</v>
      </c>
      <c r="I39" s="10">
        <f>($B$4*$D39*U39+$C$4+$K39-P39)/(U39*$D39)</f>
        <v>1.0458656364269625</v>
      </c>
      <c r="J39" s="19">
        <v>200</v>
      </c>
      <c r="K39" s="7">
        <v>14.116942999999999</v>
      </c>
      <c r="L39" s="7">
        <v>11.566281</v>
      </c>
      <c r="M39" s="7">
        <v>11.252226</v>
      </c>
      <c r="N39" s="7">
        <v>10.902817000000001</v>
      </c>
      <c r="O39" s="7">
        <v>11.329435999999999</v>
      </c>
      <c r="P39" s="7">
        <v>11.740525999999999</v>
      </c>
      <c r="Q39" s="23">
        <v>2.8087623414634102</v>
      </c>
      <c r="R39" s="23">
        <v>3.3422759268292701</v>
      </c>
      <c r="S39" s="23">
        <v>3.7851493902439</v>
      </c>
      <c r="T39" s="23">
        <v>3.3493118292682902</v>
      </c>
      <c r="U39" s="23">
        <v>2.8149161707317099</v>
      </c>
      <c r="V39" s="7">
        <v>49.545634234567906</v>
      </c>
      <c r="W39" s="7">
        <v>49.580673475308636</v>
      </c>
      <c r="X39" s="7">
        <v>49.680263098765451</v>
      </c>
      <c r="Y39" s="7">
        <v>49.77771397530865</v>
      </c>
      <c r="Z39" s="7">
        <v>49.844525950617246</v>
      </c>
      <c r="AA39" s="3">
        <v>0.82832469753086424</v>
      </c>
      <c r="AB39" s="3">
        <v>1.1903476234567902</v>
      </c>
      <c r="AC39" s="3">
        <v>1.8660694043209862</v>
      </c>
      <c r="AD39" s="3">
        <v>1.1954957716049388</v>
      </c>
      <c r="AE39" s="3">
        <v>0.77386608024691383</v>
      </c>
      <c r="AF39" s="7">
        <v>32.237656679012339</v>
      </c>
      <c r="AG39" s="7">
        <v>30.644784395061727</v>
      </c>
      <c r="AH39" s="7">
        <v>29.278434370370363</v>
      </c>
      <c r="AI39" s="7">
        <v>30.825391265432089</v>
      </c>
      <c r="AJ39" s="7">
        <v>32.567175160493818</v>
      </c>
    </row>
    <row r="40" spans="1:36" x14ac:dyDescent="0.25">
      <c r="D40" s="52">
        <v>1.65</v>
      </c>
      <c r="E40" s="10">
        <f>($B$5*$D40*Q40+$C$5+$K40-L40)/(Q40*$D40)</f>
        <v>0.96939509512822053</v>
      </c>
      <c r="F40" s="10">
        <f>($B$5*$D40*R40+$C$5+$K40-M40)/(R40*$D40)</f>
        <v>0.9830968628434702</v>
      </c>
      <c r="G40" s="10">
        <f>($B$5*$D40*S40+$C$5+$K40-N40)/(S40*$D40)</f>
        <v>0.97249692035580049</v>
      </c>
      <c r="H40" s="10">
        <f>($B$5*$D40*T40+$C$5+$K40-O40)/(T40*$D40)</f>
        <v>0.9852872571826401</v>
      </c>
      <c r="I40" s="10">
        <f>($B$5*$D40*U40+$C$5+$K40-P40)/(U40*$D40)</f>
        <v>0.9962999625386314</v>
      </c>
      <c r="J40" s="19">
        <v>250</v>
      </c>
      <c r="K40" s="7">
        <v>18.756398000000001</v>
      </c>
      <c r="L40" s="7">
        <v>16.102122999999999</v>
      </c>
      <c r="M40" s="7">
        <v>15.469367</v>
      </c>
      <c r="N40" s="7">
        <v>15.110438</v>
      </c>
      <c r="O40" s="7">
        <v>15.445907999999999</v>
      </c>
      <c r="P40" s="7">
        <v>15.959549000000001</v>
      </c>
      <c r="Q40" s="23">
        <v>3.2943512195121998</v>
      </c>
      <c r="R40" s="23">
        <v>3.96834485365854</v>
      </c>
      <c r="S40" s="23">
        <v>4.4966167560975601</v>
      </c>
      <c r="T40" s="23">
        <v>3.9793035121951199</v>
      </c>
      <c r="U40" s="23">
        <v>3.2900314390243901</v>
      </c>
      <c r="V40" s="7">
        <v>49.926582604938282</v>
      </c>
      <c r="W40" s="7">
        <v>49.554313567901225</v>
      </c>
      <c r="X40" s="7">
        <v>49.512013040123477</v>
      </c>
      <c r="Y40" s="7">
        <v>49.614013796296305</v>
      </c>
      <c r="Z40" s="7">
        <v>49.66324211111111</v>
      </c>
      <c r="AA40" s="3">
        <v>0.98471925925925941</v>
      </c>
      <c r="AB40" s="3">
        <v>1.3600865925925929</v>
      </c>
      <c r="AC40" s="3">
        <v>2.3326661327160498</v>
      </c>
      <c r="AD40" s="3">
        <v>1.7939578456790117</v>
      </c>
      <c r="AE40" s="3">
        <v>1.4559047345679015</v>
      </c>
      <c r="AF40" s="7">
        <v>31.885164543209875</v>
      </c>
      <c r="AG40" s="7">
        <v>30.24050058024692</v>
      </c>
      <c r="AH40" s="7">
        <v>28.728012179012357</v>
      </c>
      <c r="AI40" s="7">
        <v>30.42346437037035</v>
      </c>
      <c r="AJ40" s="7">
        <v>32.651315419753061</v>
      </c>
    </row>
    <row r="41" spans="1:36" x14ac:dyDescent="0.25">
      <c r="D41" s="52">
        <v>1.7</v>
      </c>
      <c r="E41" s="10">
        <f>($B$7*$D41*Q41+$C$7+$K41-L41)/(Q41*$D41)</f>
        <v>0.82691227272489598</v>
      </c>
      <c r="F41" s="10">
        <f>($B$7*$D41*R41+$C$7+$K41-M41)/(R41*$D41)</f>
        <v>0.9957908417064707</v>
      </c>
      <c r="G41" s="10">
        <f>($B$7*$D41*S41+$C$7+$K41-N41)/(S41*$D41)</f>
        <v>1.0056047706885289</v>
      </c>
      <c r="H41" s="10">
        <f>($B$7*$D41*T41+$C$7+$K41-O41)/(T41*$D41)</f>
        <v>1.0082739543182901</v>
      </c>
      <c r="I41" s="10">
        <f>($B$7*$D41*U41+$C$7+$K41-P41)/(U41*$D41)</f>
        <v>0.98988736276021871</v>
      </c>
      <c r="J41" s="19">
        <v>300</v>
      </c>
      <c r="K41" s="7">
        <v>24.33522</v>
      </c>
      <c r="L41" s="7">
        <v>22.276478000000001</v>
      </c>
      <c r="M41" s="7">
        <v>20.523309999999999</v>
      </c>
      <c r="N41" s="7">
        <v>19.787241000000002</v>
      </c>
      <c r="O41" s="7">
        <v>20.423985999999999</v>
      </c>
      <c r="P41" s="7">
        <v>21.240273999999999</v>
      </c>
      <c r="Q41" s="23">
        <v>3.7042373414634202</v>
      </c>
      <c r="R41" s="23">
        <v>4.52374331707317</v>
      </c>
      <c r="S41" s="23">
        <v>5.2934047073170696</v>
      </c>
      <c r="T41" s="23">
        <v>4.5275961219512197</v>
      </c>
      <c r="U41" s="23">
        <v>3.7161625365853701</v>
      </c>
      <c r="V41" s="7">
        <v>50.282074722222198</v>
      </c>
      <c r="W41" s="7">
        <v>50.287845086419743</v>
      </c>
      <c r="X41" s="7">
        <v>50.380035024767807</v>
      </c>
      <c r="Y41" s="7">
        <v>50.435650111111109</v>
      </c>
      <c r="Z41" s="7">
        <v>50.322056351851884</v>
      </c>
      <c r="AA41" s="3">
        <v>1.7525021604938271</v>
      </c>
      <c r="AB41" s="3">
        <v>2.3085803765432105</v>
      </c>
      <c r="AC41" s="3">
        <v>3.0869402507739929</v>
      </c>
      <c r="AD41" s="3">
        <v>2.6104380061728381</v>
      </c>
      <c r="AE41" s="3">
        <v>2.1790594629629632</v>
      </c>
      <c r="AF41" s="7">
        <v>32.159633734567905</v>
      </c>
      <c r="AG41" s="7">
        <v>30.261739074074079</v>
      </c>
      <c r="AH41" s="7">
        <v>28.876227529411747</v>
      </c>
      <c r="AI41" s="7">
        <v>30.676035160493811</v>
      </c>
      <c r="AJ41" s="7">
        <v>32.877691672839518</v>
      </c>
    </row>
    <row r="42" spans="1:36" x14ac:dyDescent="0.25">
      <c r="D42" s="52">
        <v>1.7</v>
      </c>
      <c r="E42" s="10">
        <f>($B$9*$D42*Q42+$C$9+$K42-L42)/(Q42*$D42)</f>
        <v>1.0522818266628311</v>
      </c>
      <c r="F42" s="10">
        <f>($B$9*$D42*R42+$C$9+$K42-M42)/(R42*$D42)</f>
        <v>1.0459553271439135</v>
      </c>
      <c r="G42" s="10">
        <f>($B$9*$D42*S42+$C$9+$K42-N42)/(S42*$D42)</f>
        <v>0.99599640924458366</v>
      </c>
      <c r="H42" s="10">
        <f>($B$9*$D42*T42+$C$9+$K42-O42)/(T42*$D42)</f>
        <v>1.0201824708445342</v>
      </c>
      <c r="I42" s="10">
        <f>($B$9*$D42*U42+$C$9+$K42-P42)/(U42*$D42)</f>
        <v>1.0262760802874584</v>
      </c>
      <c r="J42" s="19">
        <v>350</v>
      </c>
      <c r="K42" s="7">
        <v>30.689131</v>
      </c>
      <c r="L42" s="7">
        <v>27.445384000000001</v>
      </c>
      <c r="M42" s="7">
        <v>27.096337999999999</v>
      </c>
      <c r="N42" s="7">
        <v>27.075520000000001</v>
      </c>
      <c r="O42" s="7">
        <v>27.28002</v>
      </c>
      <c r="P42" s="7">
        <v>27.594048999999998</v>
      </c>
      <c r="Q42" s="23">
        <v>3.6434859268292699</v>
      </c>
      <c r="R42" s="23">
        <v>4.0848934390243903</v>
      </c>
      <c r="S42" s="23">
        <v>4.5477023658536604</v>
      </c>
      <c r="T42" s="23">
        <v>4.0792610731707297</v>
      </c>
      <c r="U42" s="23">
        <v>3.6581567804878099</v>
      </c>
      <c r="V42" s="7">
        <v>50.163889882716028</v>
      </c>
      <c r="W42" s="7">
        <v>50.174103493827147</v>
      </c>
      <c r="X42" s="7">
        <v>50.278549660493852</v>
      </c>
      <c r="Y42" s="7">
        <v>50.347710469135805</v>
      </c>
      <c r="Z42" s="7">
        <v>50.384897314814829</v>
      </c>
      <c r="AA42" s="3">
        <v>1.4792990185185184</v>
      </c>
      <c r="AB42" s="3">
        <v>1.8645685864197528</v>
      </c>
      <c r="AC42" s="3">
        <v>2.3929068086419751</v>
      </c>
      <c r="AD42" s="3">
        <v>1.6643171172839499</v>
      </c>
      <c r="AE42" s="3">
        <v>1.0781180555555556</v>
      </c>
      <c r="AF42" s="7">
        <v>32.304622537037055</v>
      </c>
      <c r="AG42" s="7">
        <v>30.672115932098766</v>
      </c>
      <c r="AH42" s="7">
        <v>29.223618376543207</v>
      </c>
      <c r="AI42" s="7">
        <v>30.740535814814802</v>
      </c>
      <c r="AJ42" s="7">
        <v>32.317042006172827</v>
      </c>
    </row>
    <row r="43" spans="1:36" x14ac:dyDescent="0.25">
      <c r="D43" s="52">
        <v>1.8</v>
      </c>
      <c r="E43" s="10">
        <f>($B$11*$D43*Q43+$C$11+$K43-L43)/(Q43*$D43)</f>
        <v>1.0910779849859051</v>
      </c>
      <c r="F43" s="10">
        <f>($B$11*$D43*R43+$C$11+$K43-M43)/(R43*$D43)</f>
        <v>1.0357080121156044</v>
      </c>
      <c r="G43" s="10">
        <f>($B$11*$D43*S43+$C$11+$K43-N43)/(S43*$D43)</f>
        <v>0.9722592878971833</v>
      </c>
      <c r="H43" s="10">
        <f>($B$11*$D43*T43+$C$11+$K43-O43)/(T43*$D43)</f>
        <v>1.0336910683080096</v>
      </c>
      <c r="I43" s="10">
        <f>($B$11*$D43*U43+$C$11+$K43-P43)/(U43*$D43)</f>
        <v>1.0522705698957735</v>
      </c>
      <c r="J43" s="19">
        <v>400</v>
      </c>
      <c r="K43" s="7">
        <v>37.649247000000003</v>
      </c>
      <c r="L43" s="7">
        <v>33.955770999999999</v>
      </c>
      <c r="M43" s="7">
        <v>34.101933000000002</v>
      </c>
      <c r="N43" s="7">
        <v>34.388174999999997</v>
      </c>
      <c r="O43" s="7">
        <v>34.108972000000001</v>
      </c>
      <c r="P43" s="7">
        <v>34.204276</v>
      </c>
      <c r="Q43" s="23">
        <v>3.7504268292682901</v>
      </c>
      <c r="R43" s="23">
        <v>4.0106394634146403</v>
      </c>
      <c r="S43" s="23">
        <v>4.2365282439024403</v>
      </c>
      <c r="T43" s="23">
        <v>4.01927363414634</v>
      </c>
      <c r="U43" s="23">
        <v>3.7653229512195101</v>
      </c>
      <c r="V43" s="7">
        <v>50.055624561728393</v>
      </c>
      <c r="W43" s="7">
        <v>50.069861277777768</v>
      </c>
      <c r="X43" s="7">
        <v>50.160284086419736</v>
      </c>
      <c r="Y43" s="7">
        <v>50.232220907407402</v>
      </c>
      <c r="Z43" s="7">
        <v>50.269072111111107</v>
      </c>
      <c r="AA43" s="3">
        <v>0.6622926234567903</v>
      </c>
      <c r="AB43" s="3">
        <v>0.92464952469135808</v>
      </c>
      <c r="AC43" s="3">
        <v>1.7431704722222219</v>
      </c>
      <c r="AD43" s="3">
        <v>1.0305273580246916</v>
      </c>
      <c r="AE43" s="3">
        <v>0.52788514197530878</v>
      </c>
      <c r="AF43" s="7">
        <v>31.75317213580248</v>
      </c>
      <c r="AG43" s="7">
        <v>30.189037592592605</v>
      </c>
      <c r="AH43" s="7">
        <v>29.059730410493817</v>
      </c>
      <c r="AI43" s="7">
        <v>30.352437055555551</v>
      </c>
      <c r="AJ43" s="7">
        <v>31.954779049382708</v>
      </c>
    </row>
    <row r="44" spans="1:36" x14ac:dyDescent="0.25">
      <c r="D44" s="52"/>
      <c r="E44" s="10"/>
      <c r="F44" s="10"/>
      <c r="G44" s="10"/>
      <c r="H44" s="10"/>
      <c r="I44" s="10"/>
      <c r="J44" s="19"/>
      <c r="K44" s="7"/>
      <c r="L44" s="1" t="s">
        <v>27</v>
      </c>
      <c r="Q44" s="1" t="s">
        <v>91</v>
      </c>
      <c r="R44" s="3"/>
      <c r="S44" s="3"/>
      <c r="T44" s="3"/>
      <c r="U44" s="3"/>
      <c r="V44" s="7"/>
      <c r="W44" s="7"/>
      <c r="X44" s="7"/>
      <c r="Y44" s="7"/>
      <c r="Z44" s="7"/>
      <c r="AA44" s="3"/>
      <c r="AB44" s="3"/>
      <c r="AC44" s="3"/>
      <c r="AD44" s="3"/>
      <c r="AE44" s="3"/>
      <c r="AF44" s="7"/>
      <c r="AG44" s="7"/>
      <c r="AH44" s="7"/>
      <c r="AI44" s="7"/>
      <c r="AJ44" s="7"/>
    </row>
    <row r="45" spans="1:36" x14ac:dyDescent="0.25">
      <c r="D45" s="52"/>
      <c r="E45" s="10"/>
      <c r="F45" s="10"/>
      <c r="G45" s="10"/>
      <c r="H45" s="10"/>
      <c r="I45" s="10"/>
      <c r="J45" s="19"/>
      <c r="K45" s="7"/>
      <c r="L45" s="3">
        <f>$K38-L38</f>
        <v>4.8882969999999988</v>
      </c>
      <c r="M45" s="3">
        <f t="shared" ref="M45:P45" si="14">$K38-M38</f>
        <v>5.1865819999999996</v>
      </c>
      <c r="N45" s="3">
        <f t="shared" si="14"/>
        <v>5.0390169999999994</v>
      </c>
      <c r="O45" s="3">
        <f t="shared" si="14"/>
        <v>4.8720409999999994</v>
      </c>
      <c r="P45" s="3">
        <f t="shared" si="14"/>
        <v>4.7611489999999996</v>
      </c>
      <c r="Q45" s="3">
        <f>L45/Q38</f>
        <v>2.111588481542598</v>
      </c>
      <c r="R45" s="3">
        <f t="shared" ref="R45:R50" si="15">M45/R38</f>
        <v>2.0026413976635973</v>
      </c>
      <c r="S45" s="3">
        <f t="shared" ref="S45:S50" si="16">N45/S38</f>
        <v>1.7625007103118637</v>
      </c>
      <c r="T45" s="3">
        <f t="shared" ref="T45:T50" si="17">O45/T38</f>
        <v>1.8710277197741252</v>
      </c>
      <c r="U45" s="3">
        <f t="shared" ref="U45:U50" si="18">P45/U38</f>
        <v>2.0577399242380827</v>
      </c>
      <c r="V45" s="7"/>
      <c r="W45" s="7"/>
      <c r="X45" s="7"/>
      <c r="Y45" s="7"/>
      <c r="Z45" s="7"/>
      <c r="AA45" s="3"/>
      <c r="AB45" s="3"/>
      <c r="AC45" s="3"/>
      <c r="AD45" s="3"/>
      <c r="AE45" s="3"/>
      <c r="AF45" s="7"/>
      <c r="AG45" s="7"/>
      <c r="AH45" s="7"/>
      <c r="AI45" s="7"/>
      <c r="AJ45" s="7"/>
    </row>
    <row r="46" spans="1:36" x14ac:dyDescent="0.25">
      <c r="D46" s="52"/>
      <c r="E46" s="10"/>
      <c r="F46" s="10"/>
      <c r="G46" s="10"/>
      <c r="H46" s="10"/>
      <c r="I46" s="10"/>
      <c r="J46" s="19"/>
      <c r="K46" s="7"/>
      <c r="L46" s="3">
        <f t="shared" ref="L46:P46" si="19">$K39-L39</f>
        <v>2.5506619999999991</v>
      </c>
      <c r="M46" s="3">
        <f t="shared" si="19"/>
        <v>2.8647169999999988</v>
      </c>
      <c r="N46" s="3">
        <f t="shared" si="19"/>
        <v>3.2141259999999985</v>
      </c>
      <c r="O46" s="3">
        <f t="shared" si="19"/>
        <v>2.7875069999999997</v>
      </c>
      <c r="P46" s="3">
        <f t="shared" si="19"/>
        <v>2.376417</v>
      </c>
      <c r="Q46" s="3">
        <f t="shared" ref="Q46:Q50" si="20">L46/Q39</f>
        <v>0.90810887142237295</v>
      </c>
      <c r="R46" s="3">
        <f t="shared" si="15"/>
        <v>0.85711564895172521</v>
      </c>
      <c r="S46" s="3">
        <f t="shared" si="16"/>
        <v>0.84914112195526659</v>
      </c>
      <c r="T46" s="3">
        <f t="shared" si="17"/>
        <v>0.83226260858756007</v>
      </c>
      <c r="U46" s="3">
        <f t="shared" si="18"/>
        <v>0.84422300909311754</v>
      </c>
      <c r="V46" s="7"/>
      <c r="W46" s="7"/>
      <c r="X46" s="7"/>
      <c r="Y46" s="7"/>
      <c r="Z46" s="7"/>
      <c r="AA46" s="3"/>
      <c r="AB46" s="3"/>
      <c r="AC46" s="3"/>
      <c r="AD46" s="3"/>
      <c r="AE46" s="3"/>
      <c r="AF46" s="7"/>
      <c r="AG46" s="7"/>
      <c r="AH46" s="7"/>
      <c r="AI46" s="7"/>
      <c r="AJ46" s="7"/>
    </row>
    <row r="47" spans="1:36" x14ac:dyDescent="0.25">
      <c r="D47" s="52"/>
      <c r="E47" s="10"/>
      <c r="F47" s="10"/>
      <c r="G47" s="10"/>
      <c r="H47" s="10"/>
      <c r="I47" s="10"/>
      <c r="J47" s="19"/>
      <c r="K47" s="7"/>
      <c r="L47" s="3">
        <f t="shared" ref="L47:P47" si="21">$K40-L40</f>
        <v>2.6542750000000019</v>
      </c>
      <c r="M47" s="3">
        <f t="shared" si="21"/>
        <v>3.2870310000000007</v>
      </c>
      <c r="N47" s="3">
        <f t="shared" si="21"/>
        <v>3.6459600000000005</v>
      </c>
      <c r="O47" s="3">
        <f t="shared" si="21"/>
        <v>3.3104900000000015</v>
      </c>
      <c r="P47" s="3">
        <f t="shared" si="21"/>
        <v>2.7968489999999999</v>
      </c>
      <c r="Q47" s="3">
        <f t="shared" si="20"/>
        <v>0.80570492431982554</v>
      </c>
      <c r="R47" s="3">
        <f t="shared" si="15"/>
        <v>0.82831284104998715</v>
      </c>
      <c r="S47" s="3">
        <f t="shared" si="16"/>
        <v>0.8108229359453325</v>
      </c>
      <c r="T47" s="3">
        <f t="shared" si="17"/>
        <v>0.83192699170961759</v>
      </c>
      <c r="U47" s="3">
        <f t="shared" si="18"/>
        <v>0.85009795554700351</v>
      </c>
      <c r="V47" s="7"/>
      <c r="W47" s="7"/>
      <c r="X47" s="7"/>
      <c r="Y47" s="7"/>
      <c r="Z47" s="7"/>
      <c r="AA47" s="3"/>
      <c r="AB47" s="3"/>
      <c r="AC47" s="3"/>
      <c r="AD47" s="3"/>
      <c r="AE47" s="3"/>
      <c r="AF47" s="7"/>
      <c r="AG47" s="7"/>
      <c r="AH47" s="7"/>
      <c r="AI47" s="7"/>
      <c r="AJ47" s="7"/>
    </row>
    <row r="48" spans="1:36" x14ac:dyDescent="0.25">
      <c r="D48" s="52"/>
      <c r="E48" s="10"/>
      <c r="F48" s="10"/>
      <c r="G48" s="10"/>
      <c r="H48" s="10"/>
      <c r="I48" s="10"/>
      <c r="J48" s="19"/>
      <c r="K48" s="7"/>
      <c r="L48" s="3">
        <f t="shared" ref="L48:P48" si="22">$K41-L41</f>
        <v>2.0587419999999987</v>
      </c>
      <c r="M48" s="3">
        <f t="shared" si="22"/>
        <v>3.811910000000001</v>
      </c>
      <c r="N48" s="3">
        <f t="shared" si="22"/>
        <v>4.547978999999998</v>
      </c>
      <c r="O48" s="3">
        <f t="shared" si="22"/>
        <v>3.9112340000000003</v>
      </c>
      <c r="P48" s="3">
        <f t="shared" si="22"/>
        <v>3.0949460000000002</v>
      </c>
      <c r="Q48" s="3">
        <f t="shared" si="20"/>
        <v>0.5557802619598502</v>
      </c>
      <c r="R48" s="3">
        <f t="shared" si="15"/>
        <v>0.8426450690987215</v>
      </c>
      <c r="S48" s="3">
        <f t="shared" si="16"/>
        <v>0.85917840245869159</v>
      </c>
      <c r="T48" s="3">
        <f t="shared" si="17"/>
        <v>0.86386548063266932</v>
      </c>
      <c r="U48" s="3">
        <f t="shared" si="18"/>
        <v>0.83283386276312332</v>
      </c>
      <c r="V48" s="7"/>
      <c r="W48" s="7"/>
      <c r="X48" s="7"/>
      <c r="Y48" s="7"/>
      <c r="Z48" s="7"/>
      <c r="AA48" s="3"/>
      <c r="AB48" s="3"/>
      <c r="AC48" s="3"/>
      <c r="AD48" s="3"/>
      <c r="AE48" s="3"/>
      <c r="AF48" s="7"/>
      <c r="AG48" s="7"/>
      <c r="AH48" s="7"/>
      <c r="AI48" s="7"/>
      <c r="AJ48" s="7"/>
    </row>
    <row r="49" spans="4:36" x14ac:dyDescent="0.25">
      <c r="D49" s="52"/>
      <c r="E49" s="10"/>
      <c r="F49" s="10"/>
      <c r="G49" s="10"/>
      <c r="H49" s="10"/>
      <c r="I49" s="10"/>
      <c r="J49" s="19"/>
      <c r="K49" s="7"/>
      <c r="L49" s="3">
        <f t="shared" ref="L49:P49" si="23">$K42-L42</f>
        <v>3.243746999999999</v>
      </c>
      <c r="M49" s="3">
        <f t="shared" si="23"/>
        <v>3.5927930000000003</v>
      </c>
      <c r="N49" s="3">
        <f t="shared" si="23"/>
        <v>3.6136109999999988</v>
      </c>
      <c r="O49" s="3">
        <f t="shared" si="23"/>
        <v>3.4091109999999993</v>
      </c>
      <c r="P49" s="3">
        <f t="shared" si="23"/>
        <v>3.0950820000000014</v>
      </c>
      <c r="Q49" s="3">
        <f t="shared" si="20"/>
        <v>0.89028668290283697</v>
      </c>
      <c r="R49" s="3">
        <f t="shared" si="15"/>
        <v>0.87953163372067789</v>
      </c>
      <c r="S49" s="3">
        <f t="shared" si="16"/>
        <v>0.79460147329181663</v>
      </c>
      <c r="T49" s="3">
        <f t="shared" si="17"/>
        <v>0.83571777801173297</v>
      </c>
      <c r="U49" s="3">
        <f t="shared" si="18"/>
        <v>0.84607691406470464</v>
      </c>
      <c r="V49" s="7"/>
      <c r="W49" s="7"/>
      <c r="X49" s="7"/>
      <c r="Y49" s="7"/>
      <c r="Z49" s="7"/>
      <c r="AA49" s="3"/>
      <c r="AB49" s="3"/>
      <c r="AC49" s="3"/>
      <c r="AD49" s="3"/>
      <c r="AE49" s="3"/>
      <c r="AF49" s="7"/>
      <c r="AG49" s="7"/>
      <c r="AH49" s="7"/>
      <c r="AI49" s="7"/>
      <c r="AJ49" s="7"/>
    </row>
    <row r="50" spans="4:36" x14ac:dyDescent="0.25">
      <c r="D50" s="52"/>
      <c r="E50" s="10"/>
      <c r="F50" s="10"/>
      <c r="G50" s="10"/>
      <c r="H50" s="10"/>
      <c r="I50" s="10"/>
      <c r="J50" s="19"/>
      <c r="K50" s="7"/>
      <c r="L50" s="3">
        <f t="shared" ref="L50:P50" si="24">$K43-L43</f>
        <v>3.693476000000004</v>
      </c>
      <c r="M50" s="3">
        <f t="shared" si="24"/>
        <v>3.5473140000000001</v>
      </c>
      <c r="N50" s="3">
        <f t="shared" si="24"/>
        <v>3.2610720000000057</v>
      </c>
      <c r="O50" s="3">
        <f t="shared" si="24"/>
        <v>3.5402750000000012</v>
      </c>
      <c r="P50" s="3">
        <f t="shared" si="24"/>
        <v>3.4449710000000024</v>
      </c>
      <c r="Q50" s="3">
        <f t="shared" si="20"/>
        <v>0.98481484058725199</v>
      </c>
      <c r="R50" s="3">
        <f t="shared" si="15"/>
        <v>0.88447591272136761</v>
      </c>
      <c r="S50" s="3">
        <f t="shared" si="16"/>
        <v>0.76975103487002794</v>
      </c>
      <c r="T50" s="3">
        <f t="shared" si="17"/>
        <v>0.88082457733732422</v>
      </c>
      <c r="U50" s="3">
        <f t="shared" si="18"/>
        <v>0.91492045825292301</v>
      </c>
      <c r="V50" s="7"/>
      <c r="W50" s="7"/>
      <c r="X50" s="7"/>
      <c r="Y50" s="7"/>
      <c r="Z50" s="7"/>
      <c r="AA50" s="3"/>
      <c r="AB50" s="3"/>
      <c r="AC50" s="3"/>
      <c r="AD50" s="3"/>
      <c r="AE50" s="3"/>
      <c r="AF50" s="7"/>
      <c r="AG50" s="7"/>
      <c r="AH50" s="7"/>
      <c r="AI50" s="7"/>
      <c r="AJ50" s="7"/>
    </row>
    <row r="51" spans="4:36" x14ac:dyDescent="0.25">
      <c r="D51" s="14"/>
      <c r="F51" s="10"/>
      <c r="G51" s="10"/>
      <c r="H51" s="10"/>
      <c r="J51" s="18" t="s">
        <v>34</v>
      </c>
      <c r="K51" s="79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</row>
    <row r="52" spans="4:36" x14ac:dyDescent="0.25">
      <c r="D52" s="16"/>
      <c r="J52" s="21"/>
      <c r="K52" s="79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</row>
    <row r="53" spans="4:36" x14ac:dyDescent="0.25">
      <c r="J53" s="21"/>
      <c r="K53" s="2" t="s">
        <v>35</v>
      </c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</row>
    <row r="54" spans="4:36" x14ac:dyDescent="0.25">
      <c r="D54" s="52">
        <v>1.3</v>
      </c>
      <c r="E54" s="10"/>
      <c r="F54" s="10">
        <f>($B$3*$D54*R54+$C$3+$K54-M54)/(R54*$D54)</f>
        <v>1.0685116336867193</v>
      </c>
      <c r="G54" s="10">
        <f>($B$3*$D54*S54+$C$3+$K54-N54)/(S54*$D54)</f>
        <v>1.0294386531888824</v>
      </c>
      <c r="H54" s="10">
        <f>($B$3*$D54*T54+$C$3+$K54-O54)/(T54*$D54)</f>
        <v>1.077779455644283</v>
      </c>
      <c r="I54" s="10"/>
      <c r="J54" s="21">
        <v>150</v>
      </c>
      <c r="K54" s="7">
        <v>9.6736520000000006</v>
      </c>
      <c r="L54" s="7"/>
      <c r="M54" s="7">
        <v>6.5815534193548402</v>
      </c>
      <c r="N54" s="7">
        <v>6.3078298387096803</v>
      </c>
      <c r="O54" s="7">
        <v>6.5307742903225803</v>
      </c>
      <c r="P54" s="7"/>
      <c r="Q54" s="23"/>
      <c r="R54" s="23">
        <v>3.63047087096774</v>
      </c>
      <c r="S54" s="23">
        <v>4.2024845806451596</v>
      </c>
      <c r="T54" s="23">
        <v>3.6386197096774202</v>
      </c>
      <c r="U54" s="23"/>
      <c r="V54" s="7"/>
      <c r="W54" s="7">
        <v>50.1180807096774</v>
      </c>
      <c r="X54" s="7">
        <v>50.165017451612897</v>
      </c>
      <c r="Y54" s="7">
        <v>50.1660379677419</v>
      </c>
      <c r="Z54" s="7"/>
      <c r="AA54" s="3"/>
      <c r="AB54" s="3">
        <v>3.7297872580645199</v>
      </c>
      <c r="AC54" s="3">
        <v>4.1692492258064497</v>
      </c>
      <c r="AD54" s="3">
        <v>2.98407783870968</v>
      </c>
      <c r="AE54" s="3"/>
      <c r="AF54" s="7"/>
      <c r="AG54" s="7">
        <v>31.182671483871001</v>
      </c>
      <c r="AH54" s="7">
        <v>30.439076</v>
      </c>
      <c r="AI54" s="7">
        <v>30.873075354838701</v>
      </c>
      <c r="AJ54" s="7"/>
    </row>
    <row r="55" spans="4:36" x14ac:dyDescent="0.25">
      <c r="D55" s="52">
        <v>1.45</v>
      </c>
      <c r="E55" s="10"/>
      <c r="F55" s="10">
        <f>($B$4*$D55*R55+$C$4+$K55-M55)/(R55*$D55)</f>
        <v>1.0158001750023846</v>
      </c>
      <c r="G55" s="10">
        <f>($B$4*$D55*S55+$C$4+$K55-N55)/(S55*$D55)</f>
        <v>0.97502873632906084</v>
      </c>
      <c r="H55" s="10">
        <f>($B$4*$D55*T55+$C$4+$K55-O55)/(T55*$D55)</f>
        <v>1.0043766927133804</v>
      </c>
      <c r="I55" s="10"/>
      <c r="J55" s="21">
        <v>200</v>
      </c>
      <c r="K55" s="7">
        <v>13.785767</v>
      </c>
      <c r="L55" s="7"/>
      <c r="M55" s="7">
        <v>10.4130027096774</v>
      </c>
      <c r="N55" s="7">
        <v>10.1989359677419</v>
      </c>
      <c r="O55" s="7">
        <v>10.483904774193499</v>
      </c>
      <c r="P55" s="7"/>
      <c r="Q55" s="23"/>
      <c r="R55" s="23">
        <v>4.18439393548387</v>
      </c>
      <c r="S55" s="23">
        <v>4.7931346774193502</v>
      </c>
      <c r="T55" s="23">
        <v>4.1824059354838701</v>
      </c>
      <c r="U55" s="23"/>
      <c r="V55" s="7"/>
      <c r="W55" s="7">
        <v>49.9107195483871</v>
      </c>
      <c r="X55" s="7">
        <v>49.972070225806398</v>
      </c>
      <c r="Y55" s="7">
        <v>50.002038354838703</v>
      </c>
      <c r="Z55" s="7"/>
      <c r="AA55" s="3"/>
      <c r="AB55" s="3">
        <v>2.5389995483871002</v>
      </c>
      <c r="AC55" s="3">
        <v>2.97494383870968</v>
      </c>
      <c r="AD55" s="3">
        <v>2.1641670645161302</v>
      </c>
      <c r="AE55" s="3"/>
      <c r="AF55" s="7"/>
      <c r="AG55" s="7">
        <v>29.947248645161299</v>
      </c>
      <c r="AH55" s="7">
        <v>29.2137748064516</v>
      </c>
      <c r="AI55" s="7">
        <v>29.687694838709699</v>
      </c>
      <c r="AJ55" s="7"/>
    </row>
    <row r="56" spans="4:36" x14ac:dyDescent="0.25">
      <c r="D56" s="52">
        <v>1.65</v>
      </c>
      <c r="E56" s="10"/>
      <c r="F56" s="10">
        <f>($B$5*$D56*R56+$C$5+$K56-M56)/(R56*$D56)</f>
        <v>0.97466511128309719</v>
      </c>
      <c r="G56" s="10">
        <f>($B$5*$D56*S56+$C$5+$K56-N56)/(S56*$D56)</f>
        <v>0.952604313089359</v>
      </c>
      <c r="H56" s="10">
        <f>($B$5*$D56*T56+$C$5+$K56-O56)/(T56*$D56)</f>
        <v>0.96087440819777836</v>
      </c>
      <c r="I56" s="10"/>
      <c r="J56" s="21">
        <v>250</v>
      </c>
      <c r="K56" s="7">
        <v>18.675742</v>
      </c>
      <c r="L56" s="7"/>
      <c r="M56" s="7">
        <v>14.7454349677419</v>
      </c>
      <c r="N56" s="7">
        <v>14.391017064516101</v>
      </c>
      <c r="O56" s="7">
        <v>14.859460064516099</v>
      </c>
      <c r="P56" s="7"/>
      <c r="Q56" s="23"/>
      <c r="R56" s="23">
        <v>4.8260128387096799</v>
      </c>
      <c r="S56" s="23">
        <v>5.5073575806451602</v>
      </c>
      <c r="T56" s="23">
        <v>4.8206937741935496</v>
      </c>
      <c r="U56" s="23"/>
      <c r="V56" s="7"/>
      <c r="W56" s="7">
        <v>49.691671483870998</v>
      </c>
      <c r="X56" s="7">
        <v>49.760520483870998</v>
      </c>
      <c r="Y56" s="7">
        <v>49.776057064516102</v>
      </c>
      <c r="Z56" s="7"/>
      <c r="AA56" s="3"/>
      <c r="AB56" s="3">
        <v>1.8249681612903199</v>
      </c>
      <c r="AC56" s="3">
        <v>2.3772176129032299</v>
      </c>
      <c r="AD56" s="3">
        <v>1.61334022580645</v>
      </c>
      <c r="AE56" s="3"/>
      <c r="AF56" s="7"/>
      <c r="AG56" s="7">
        <v>28.9926969677419</v>
      </c>
      <c r="AH56" s="7">
        <v>28.125794548387098</v>
      </c>
      <c r="AI56" s="7">
        <v>28.8276018387097</v>
      </c>
      <c r="AJ56" s="7"/>
    </row>
    <row r="57" spans="4:36" x14ac:dyDescent="0.25">
      <c r="D57" s="52">
        <v>1.7</v>
      </c>
      <c r="E57" s="10"/>
      <c r="F57" s="10">
        <f>($B$7*$D57*R57+$C$7+$K57-M57)/(R57*$D57)</f>
        <v>1.0388650451076744</v>
      </c>
      <c r="G57" s="10">
        <f>($B$7*$D57*S57+$C$7+$K57-N57)/(S57*$D57)</f>
        <v>1.0031626948240986</v>
      </c>
      <c r="H57" s="10">
        <f>($B$7*$D57*T57+$C$7+$K57-O57)/(T57*$D57)</f>
        <v>1.0165907866364499</v>
      </c>
      <c r="I57" s="10"/>
      <c r="J57" s="21">
        <v>300</v>
      </c>
      <c r="K57" s="7">
        <v>24.561382999999999</v>
      </c>
      <c r="L57" s="7"/>
      <c r="M57" s="7">
        <v>19.330484838709701</v>
      </c>
      <c r="N57" s="7">
        <v>18.9642855483871</v>
      </c>
      <c r="O57" s="7">
        <v>19.554142193548401</v>
      </c>
      <c r="P57" s="7"/>
      <c r="Q57" s="23"/>
      <c r="R57" s="23">
        <v>5.7127328709677396</v>
      </c>
      <c r="S57" s="23">
        <v>6.5474030645161303</v>
      </c>
      <c r="T57" s="23">
        <v>5.7043658387096796</v>
      </c>
      <c r="U57" s="23"/>
      <c r="V57" s="7"/>
      <c r="W57" s="7">
        <v>50.137949903225802</v>
      </c>
      <c r="X57" s="7">
        <v>49.439257258064501</v>
      </c>
      <c r="Y57" s="7">
        <v>49.536264451612901</v>
      </c>
      <c r="Z57" s="7"/>
      <c r="AA57" s="3"/>
      <c r="AB57" s="3">
        <v>1.1819031612903199</v>
      </c>
      <c r="AC57" s="3">
        <v>2.4040775483871002</v>
      </c>
      <c r="AD57" s="3">
        <v>1.6126497419354799</v>
      </c>
      <c r="AE57" s="3"/>
      <c r="AF57" s="7"/>
      <c r="AG57" s="7">
        <v>27.883549580645202</v>
      </c>
      <c r="AH57" s="7">
        <v>27.0474471935484</v>
      </c>
      <c r="AI57" s="7">
        <v>28.115129516128999</v>
      </c>
      <c r="AJ57" s="7"/>
    </row>
    <row r="58" spans="4:36" x14ac:dyDescent="0.25">
      <c r="D58" s="52">
        <v>1.7</v>
      </c>
      <c r="J58" s="21"/>
      <c r="K58" s="41"/>
      <c r="L58" s="1" t="s">
        <v>27</v>
      </c>
      <c r="Q58" s="1" t="s">
        <v>91</v>
      </c>
      <c r="R58" s="3"/>
      <c r="S58" s="3"/>
      <c r="T58" s="3"/>
      <c r="U58" s="3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</row>
    <row r="59" spans="4:36" x14ac:dyDescent="0.25">
      <c r="D59" s="52">
        <v>1.8</v>
      </c>
      <c r="J59" s="21"/>
      <c r="K59" s="41"/>
      <c r="L59" s="3"/>
      <c r="M59" s="3">
        <f>$K54-M54</f>
        <v>3.0920985806451604</v>
      </c>
      <c r="N59" s="3">
        <f t="shared" ref="N59:O59" si="25">$K54-N54</f>
        <v>3.3658221612903203</v>
      </c>
      <c r="O59" s="3">
        <f t="shared" si="25"/>
        <v>3.1428777096774203</v>
      </c>
      <c r="P59" s="3"/>
      <c r="Q59" s="3"/>
      <c r="R59" s="3">
        <f>M59/R54</f>
        <v>0.85170731030295499</v>
      </c>
      <c r="S59" s="3">
        <f t="shared" ref="S59:T62" si="26">N59/S54</f>
        <v>0.8009124356557672</v>
      </c>
      <c r="T59" s="3">
        <f t="shared" si="26"/>
        <v>0.86375547884778825</v>
      </c>
      <c r="U59" s="3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</row>
    <row r="60" spans="4:36" x14ac:dyDescent="0.25">
      <c r="J60" s="21"/>
      <c r="K60" s="41"/>
      <c r="L60" s="3"/>
      <c r="M60" s="3">
        <f t="shared" ref="M60:O62" si="27">$K55-M55</f>
        <v>3.3727642903225998</v>
      </c>
      <c r="N60" s="3">
        <f t="shared" si="27"/>
        <v>3.5868310322581003</v>
      </c>
      <c r="O60" s="3">
        <f t="shared" si="27"/>
        <v>3.3018622258065005</v>
      </c>
      <c r="P60" s="3"/>
      <c r="Q60" s="3"/>
      <c r="R60" s="3">
        <f t="shared" ref="R60:R62" si="28">M60/R55</f>
        <v>0.80603412162544974</v>
      </c>
      <c r="S60" s="3">
        <f t="shared" si="26"/>
        <v>0.7483267785392731</v>
      </c>
      <c r="T60" s="3">
        <f t="shared" si="26"/>
        <v>0.78946479053915697</v>
      </c>
      <c r="U60" s="3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</row>
    <row r="61" spans="4:36" x14ac:dyDescent="0.25">
      <c r="J61" s="21"/>
      <c r="K61" s="41"/>
      <c r="L61" s="3"/>
      <c r="M61" s="3">
        <f t="shared" si="27"/>
        <v>3.9303070322580993</v>
      </c>
      <c r="N61" s="3">
        <f t="shared" si="27"/>
        <v>4.284724935483899</v>
      </c>
      <c r="O61" s="3">
        <f t="shared" si="27"/>
        <v>3.8162819354839002</v>
      </c>
      <c r="P61" s="3"/>
      <c r="Q61" s="3"/>
      <c r="R61" s="3">
        <f t="shared" si="28"/>
        <v>0.81440045097537217</v>
      </c>
      <c r="S61" s="3">
        <f t="shared" si="26"/>
        <v>0.77800013395570444</v>
      </c>
      <c r="T61" s="3">
        <f t="shared" si="26"/>
        <v>0.79164579088459586</v>
      </c>
      <c r="U61" s="3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</row>
    <row r="62" spans="4:36" x14ac:dyDescent="0.25">
      <c r="J62" s="21"/>
      <c r="K62" s="41"/>
      <c r="L62" s="3"/>
      <c r="M62" s="3">
        <f t="shared" si="27"/>
        <v>5.2308981612902983</v>
      </c>
      <c r="N62" s="3">
        <f t="shared" si="27"/>
        <v>5.5970974516128997</v>
      </c>
      <c r="O62" s="3">
        <f t="shared" si="27"/>
        <v>5.0072408064515983</v>
      </c>
      <c r="P62" s="3"/>
      <c r="Q62" s="3"/>
      <c r="R62" s="3">
        <f t="shared" si="28"/>
        <v>0.91565600553000859</v>
      </c>
      <c r="S62" s="3">
        <f t="shared" si="26"/>
        <v>0.85485762774351814</v>
      </c>
      <c r="T62" s="3">
        <f t="shared" si="26"/>
        <v>0.87779096713478499</v>
      </c>
      <c r="U62" s="3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</row>
    <row r="63" spans="4:36" x14ac:dyDescent="0.25">
      <c r="J63" s="18" t="s">
        <v>36</v>
      </c>
      <c r="K63" s="79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</row>
    <row r="64" spans="4:36" x14ac:dyDescent="0.25">
      <c r="J64" s="21"/>
      <c r="K64" s="79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</row>
    <row r="65" spans="4:36" x14ac:dyDescent="0.25">
      <c r="J65" s="21"/>
      <c r="K65" s="2" t="s">
        <v>37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</row>
    <row r="66" spans="4:36" x14ac:dyDescent="0.25">
      <c r="D66" s="52">
        <v>1.3</v>
      </c>
      <c r="E66" s="10"/>
      <c r="F66" s="10">
        <f>($B$3*$D66*R66+$C$3+$K66-M66)/(R66*$D66)</f>
        <v>1.0149166672908727</v>
      </c>
      <c r="G66" s="10">
        <f>($B$3*$D66*S66+$C$3+$K66-N66)/(S66*$D66)</f>
        <v>0.95696131080326485</v>
      </c>
      <c r="H66" s="10">
        <f>($B$3*$D66*T66+$C$3+$K66-O66)/(T66*$D66)</f>
        <v>1.0063490977627285</v>
      </c>
      <c r="J66" s="21">
        <v>150</v>
      </c>
      <c r="K66" s="7">
        <v>9.238524</v>
      </c>
      <c r="L66" s="7"/>
      <c r="M66" s="7">
        <v>6.13008229032258</v>
      </c>
      <c r="N66" s="7">
        <v>5.9199886774193597</v>
      </c>
      <c r="O66" s="7">
        <v>6.1598161612903199</v>
      </c>
      <c r="P66" s="7"/>
      <c r="Q66" s="23"/>
      <c r="R66" s="23">
        <v>3.97481732258065</v>
      </c>
      <c r="S66" s="23">
        <v>4.6958729354838704</v>
      </c>
      <c r="T66" s="23">
        <v>3.9936746129032299</v>
      </c>
      <c r="U66" s="23"/>
      <c r="V66" s="7"/>
      <c r="W66" s="7">
        <v>49.9500356451613</v>
      </c>
      <c r="X66" s="7">
        <v>50.0061939032258</v>
      </c>
      <c r="Y66" s="7">
        <v>50.015281935483898</v>
      </c>
      <c r="Z66" s="7"/>
      <c r="AA66" s="3"/>
      <c r="AB66" s="3">
        <v>2.9833646129032299</v>
      </c>
      <c r="AC66" s="3">
        <v>3.6240154516129</v>
      </c>
      <c r="AD66" s="3">
        <v>2.6943278387096798</v>
      </c>
      <c r="AE66" s="3"/>
      <c r="AF66" s="7"/>
      <c r="AG66" s="7">
        <v>30.340196032258099</v>
      </c>
      <c r="AH66" s="7">
        <v>29.9184849677419</v>
      </c>
      <c r="AI66" s="7">
        <v>30.234648161290298</v>
      </c>
      <c r="AJ66" s="7"/>
    </row>
    <row r="67" spans="4:36" x14ac:dyDescent="0.25">
      <c r="D67" s="52">
        <v>1.45</v>
      </c>
      <c r="E67" s="10"/>
      <c r="F67" s="10">
        <f>($B$4*$D67*R67+$C$4+$K67-M67)/(R67*$D67)</f>
        <v>1.0787952312756164</v>
      </c>
      <c r="G67" s="10">
        <f>($B$4*$D67*S67+$C$4+$K67-N67)/(S67*$D67)</f>
        <v>1.0006334308672082</v>
      </c>
      <c r="H67" s="10">
        <f>($B$4*$D67*T67+$C$4+$K67-O67)/(T67*$D67)</f>
        <v>1.0606420294687879</v>
      </c>
      <c r="J67" s="21">
        <v>200</v>
      </c>
      <c r="K67" s="7">
        <v>13.678048</v>
      </c>
      <c r="L67" s="7"/>
      <c r="M67" s="7">
        <v>8.38039809677419</v>
      </c>
      <c r="N67" s="7">
        <v>8.3713855806451605</v>
      </c>
      <c r="O67" s="7">
        <v>8.6810899999999993</v>
      </c>
      <c r="P67" s="7"/>
      <c r="Q67" s="23"/>
      <c r="R67" s="23">
        <v>5.8824568064516098</v>
      </c>
      <c r="S67" s="23">
        <v>6.7322270967741904</v>
      </c>
      <c r="T67" s="23">
        <v>5.7171218064516101</v>
      </c>
      <c r="U67" s="23"/>
      <c r="V67" s="7"/>
      <c r="W67" s="7">
        <v>49.7165757096774</v>
      </c>
      <c r="X67" s="7">
        <v>49.816142967741897</v>
      </c>
      <c r="Y67" s="7">
        <v>49.803597741935498</v>
      </c>
      <c r="Z67" s="7"/>
      <c r="AA67" s="3"/>
      <c r="AB67" s="3">
        <v>2.3114378064516101</v>
      </c>
      <c r="AC67" s="3">
        <v>3.1140747741935502</v>
      </c>
      <c r="AD67" s="3">
        <v>2.1571873225806399</v>
      </c>
      <c r="AE67" s="3"/>
      <c r="AF67" s="7"/>
      <c r="AG67" s="7">
        <v>27.933668129032299</v>
      </c>
      <c r="AH67" s="7">
        <v>27.614249967741902</v>
      </c>
      <c r="AI67" s="7">
        <v>28.055010516128998</v>
      </c>
      <c r="AJ67" s="7"/>
    </row>
    <row r="68" spans="4:36" x14ac:dyDescent="0.25">
      <c r="D68" s="52">
        <v>1.65</v>
      </c>
      <c r="E68" s="10"/>
      <c r="F68" s="10">
        <f>($B$5*$D68*R68+$C$5+$K68-M68)/(R68*$D68)</f>
        <v>1.0556811345984891</v>
      </c>
      <c r="G68" s="10">
        <f>($B$5*$D68*S68+$C$5+$K68-N68)/(S68*$D68)</f>
        <v>1.0001083304748428</v>
      </c>
      <c r="H68" s="10">
        <f>($B$5*$D68*T68+$C$5+$K68-O68)/(T68*$D68)</f>
        <v>1.0315123045409198</v>
      </c>
      <c r="J68" s="21">
        <v>250</v>
      </c>
      <c r="K68" s="7">
        <v>18.779761000000001</v>
      </c>
      <c r="L68" s="7"/>
      <c r="M68" s="7">
        <v>12.519104677419399</v>
      </c>
      <c r="N68" s="7">
        <v>12.2313438709677</v>
      </c>
      <c r="O68" s="7">
        <v>12.807984129032301</v>
      </c>
      <c r="P68" s="7"/>
      <c r="Q68" s="23"/>
      <c r="R68" s="23">
        <v>6.6035322580645204</v>
      </c>
      <c r="S68" s="23">
        <v>7.6466097419354799</v>
      </c>
      <c r="T68" s="23">
        <v>6.5754106129032301</v>
      </c>
      <c r="U68" s="23"/>
      <c r="V68" s="7"/>
      <c r="W68" s="7">
        <v>49.973716096774197</v>
      </c>
      <c r="X68" s="7">
        <v>49.456389838709697</v>
      </c>
      <c r="Y68" s="7">
        <v>49.527996806451597</v>
      </c>
      <c r="Z68" s="7"/>
      <c r="AA68" s="3"/>
      <c r="AB68" s="3">
        <v>1.7590518064516101</v>
      </c>
      <c r="AC68" s="3">
        <v>2.8483396774193599</v>
      </c>
      <c r="AD68" s="3">
        <v>1.9191635806451599</v>
      </c>
      <c r="AE68" s="3"/>
      <c r="AF68" s="7"/>
      <c r="AG68" s="7">
        <v>26.860495838709699</v>
      </c>
      <c r="AH68" s="7">
        <v>26.782994838709701</v>
      </c>
      <c r="AI68" s="7">
        <v>27.014090193548402</v>
      </c>
      <c r="AJ68" s="7"/>
    </row>
    <row r="69" spans="4:36" x14ac:dyDescent="0.25">
      <c r="D69" s="52">
        <v>1.7</v>
      </c>
      <c r="L69" s="1" t="s">
        <v>27</v>
      </c>
      <c r="R69" s="1" t="s">
        <v>91</v>
      </c>
    </row>
    <row r="70" spans="4:36" x14ac:dyDescent="0.25">
      <c r="D70" s="52">
        <v>1.7</v>
      </c>
      <c r="M70" s="3">
        <f>$K66-M66</f>
        <v>3.10844170967742</v>
      </c>
      <c r="N70" s="3">
        <f t="shared" ref="N70:O70" si="29">$K66-N66</f>
        <v>3.3185353225806402</v>
      </c>
      <c r="O70" s="3">
        <f t="shared" si="29"/>
        <v>3.07870783870968</v>
      </c>
      <c r="P70" s="3"/>
      <c r="Q70" s="3"/>
      <c r="R70" s="3">
        <f>M70/R66</f>
        <v>0.7820338539883549</v>
      </c>
      <c r="S70" s="3">
        <f t="shared" ref="S70:T72" si="30">N70/S66</f>
        <v>0.70669189055446469</v>
      </c>
      <c r="T70" s="3">
        <f t="shared" si="30"/>
        <v>0.77089601360176707</v>
      </c>
      <c r="U70" s="3"/>
    </row>
    <row r="71" spans="4:36" x14ac:dyDescent="0.25">
      <c r="D71" s="52">
        <v>1.8</v>
      </c>
      <c r="M71" s="22">
        <f t="shared" ref="M71:O71" si="31">$K67-M67</f>
        <v>5.2976499032258104</v>
      </c>
      <c r="N71" s="22">
        <f t="shared" si="31"/>
        <v>5.30666241935484</v>
      </c>
      <c r="O71" s="22">
        <f t="shared" si="31"/>
        <v>4.9969580000000011</v>
      </c>
      <c r="P71" s="3"/>
      <c r="Q71" s="3"/>
      <c r="R71" s="3">
        <f t="shared" ref="R71:R72" si="32">M71/R67</f>
        <v>0.90058458183927337</v>
      </c>
      <c r="S71" s="3">
        <f t="shared" si="30"/>
        <v>0.78824768432092507</v>
      </c>
      <c r="T71" s="3">
        <f t="shared" si="30"/>
        <v>0.87403385290148539</v>
      </c>
      <c r="U71" s="3"/>
    </row>
    <row r="72" spans="4:36" x14ac:dyDescent="0.25">
      <c r="M72" s="22">
        <f t="shared" ref="M72:O72" si="33">$K68-M68</f>
        <v>6.2606563225806013</v>
      </c>
      <c r="N72" s="22">
        <f t="shared" si="33"/>
        <v>6.5484171290323001</v>
      </c>
      <c r="O72" s="22">
        <f t="shared" si="33"/>
        <v>5.9717768709676999</v>
      </c>
      <c r="P72" s="3"/>
      <c r="Q72" s="3"/>
      <c r="R72" s="3">
        <f t="shared" si="32"/>
        <v>0.9480768894457684</v>
      </c>
      <c r="S72" s="3">
        <f t="shared" si="30"/>
        <v>0.85638176264175214</v>
      </c>
      <c r="T72" s="3">
        <f t="shared" si="30"/>
        <v>0.90819831985077981</v>
      </c>
      <c r="U72" s="3"/>
    </row>
    <row r="73" spans="4:36" x14ac:dyDescent="0.25">
      <c r="M73" s="3"/>
      <c r="N73" s="3"/>
      <c r="O73" s="3"/>
      <c r="P73" s="3"/>
      <c r="Q73" s="3"/>
      <c r="R73" s="3"/>
      <c r="S73" s="3"/>
      <c r="T73" s="3"/>
      <c r="U73" s="3"/>
    </row>
    <row r="74" spans="4:36" x14ac:dyDescent="0.25">
      <c r="M74" s="3"/>
      <c r="N74" s="3"/>
      <c r="O74" s="3"/>
      <c r="P74" s="3"/>
      <c r="Q74" s="3"/>
      <c r="R74" s="3"/>
      <c r="S74" s="3"/>
      <c r="T74" s="3"/>
      <c r="U74" s="3"/>
    </row>
    <row r="75" spans="4:36" x14ac:dyDescent="0.25">
      <c r="M75" s="3"/>
      <c r="N75" s="3"/>
      <c r="O75" s="3"/>
      <c r="P75" s="3"/>
      <c r="Q75" s="3"/>
      <c r="R75" s="3"/>
      <c r="S75" s="3"/>
      <c r="T75" s="3"/>
      <c r="U75" s="3"/>
    </row>
    <row r="76" spans="4:36" x14ac:dyDescent="0.25">
      <c r="M76" s="3"/>
      <c r="N76" s="3"/>
      <c r="O76" s="3"/>
      <c r="P76" s="3"/>
      <c r="Q76" s="3"/>
    </row>
    <row r="77" spans="4:36" x14ac:dyDescent="0.25">
      <c r="M77" s="3"/>
      <c r="N77" s="3"/>
      <c r="O77" s="3"/>
      <c r="P77" s="3"/>
      <c r="Q77" s="3"/>
      <c r="R77" s="3"/>
      <c r="S77" s="3"/>
      <c r="T77" s="3"/>
    </row>
    <row r="78" spans="4:36" x14ac:dyDescent="0.25">
      <c r="M78" s="3"/>
      <c r="N78" s="3"/>
      <c r="O78" s="3"/>
      <c r="P78" s="3"/>
      <c r="Q78" s="3"/>
      <c r="R78" s="3"/>
      <c r="S78" s="3"/>
      <c r="T78" s="3"/>
    </row>
    <row r="79" spans="4:36" x14ac:dyDescent="0.25">
      <c r="R79" s="3"/>
      <c r="S79" s="3"/>
      <c r="T79" s="3"/>
    </row>
    <row r="80" spans="4:36" x14ac:dyDescent="0.25">
      <c r="L80" s="3"/>
      <c r="M80" s="3"/>
      <c r="N80" s="3"/>
      <c r="O80" s="3"/>
      <c r="P80" s="3"/>
    </row>
    <row r="81" spans="12:20" x14ac:dyDescent="0.25">
      <c r="L81" s="3"/>
      <c r="M81" s="3"/>
      <c r="N81" s="3"/>
      <c r="O81" s="3"/>
      <c r="P81" s="3"/>
      <c r="R81" s="3"/>
      <c r="S81" s="3"/>
      <c r="T81" s="3"/>
    </row>
    <row r="82" spans="12:20" x14ac:dyDescent="0.25">
      <c r="L82" s="3"/>
      <c r="M82" s="3"/>
      <c r="N82" s="3"/>
      <c r="O82" s="3"/>
      <c r="P82" s="3"/>
      <c r="R82" s="3"/>
      <c r="S82" s="3"/>
      <c r="T82" s="3"/>
    </row>
    <row r="83" spans="12:20" x14ac:dyDescent="0.25">
      <c r="L83" s="3"/>
      <c r="M83" s="3"/>
      <c r="N83" s="3"/>
      <c r="O83" s="3"/>
      <c r="P83" s="3"/>
      <c r="R83" s="3"/>
      <c r="S83" s="3"/>
      <c r="T83" s="3"/>
    </row>
    <row r="84" spans="12:20" x14ac:dyDescent="0.25">
      <c r="L84" s="3"/>
      <c r="M84" s="3"/>
      <c r="N84" s="3"/>
      <c r="O84" s="3"/>
      <c r="P84" s="3"/>
      <c r="R84" s="3"/>
      <c r="S84" s="3"/>
      <c r="T84" s="3"/>
    </row>
    <row r="85" spans="12:20" x14ac:dyDescent="0.25">
      <c r="L85" s="3"/>
      <c r="M85" s="3"/>
      <c r="N85" s="3"/>
      <c r="O85" s="3"/>
      <c r="P85" s="3"/>
    </row>
    <row r="86" spans="12:20" x14ac:dyDescent="0.25">
      <c r="L86" s="3"/>
    </row>
  </sheetData>
  <mergeCells count="6">
    <mergeCell ref="V1:Z1"/>
    <mergeCell ref="AA1:AE1"/>
    <mergeCell ref="AF1:AJ1"/>
    <mergeCell ref="D3:D5"/>
    <mergeCell ref="E1:I1"/>
    <mergeCell ref="K1:P1"/>
  </mergeCells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2"/>
  <sheetViews>
    <sheetView zoomScale="85" zoomScaleNormal="85" workbookViewId="0">
      <pane xSplit="7" ySplit="2" topLeftCell="H3" activePane="bottomRight" state="frozen"/>
      <selection activeCell="L46" sqref="L46"/>
      <selection pane="topRight" activeCell="L46" sqref="L46"/>
      <selection pane="bottomLeft" activeCell="L46" sqref="L46"/>
      <selection pane="bottomRight" activeCell="BC47" sqref="BC47:BC51"/>
    </sheetView>
  </sheetViews>
  <sheetFormatPr defaultColWidth="9.140625" defaultRowHeight="15" x14ac:dyDescent="0.25"/>
  <cols>
    <col min="1" max="4" width="5.5703125" style="1" customWidth="1"/>
    <col min="5" max="6" width="5.5703125" style="8" customWidth="1"/>
    <col min="7" max="7" width="5.5703125" style="33" customWidth="1"/>
    <col min="8" max="14" width="5.5703125" style="1" customWidth="1"/>
    <col min="15" max="15" width="5.5703125" style="15" customWidth="1"/>
    <col min="16" max="16" width="5.5703125" style="8" customWidth="1"/>
    <col min="17" max="19" width="5.5703125" style="1" customWidth="1"/>
    <col min="20" max="20" width="5.5703125" style="8" customWidth="1"/>
    <col min="21" max="21" width="5.5703125" style="17" customWidth="1"/>
    <col min="22" max="50" width="5.5703125" style="1" customWidth="1"/>
    <col min="51" max="55" width="9.28515625" style="1" bestFit="1" customWidth="1"/>
    <col min="56" max="16384" width="9.140625" style="1"/>
  </cols>
  <sheetData>
    <row r="1" spans="1:67" ht="15" customHeight="1" x14ac:dyDescent="0.25">
      <c r="E1" s="111" t="str">
        <f ca="1">'DC-h2-sri-ipb2-27b'!A1</f>
        <v>DC-h2-sri-ipb2-27b</v>
      </c>
      <c r="F1" s="112"/>
      <c r="G1" s="113"/>
      <c r="H1" s="38"/>
      <c r="I1" s="11"/>
      <c r="J1" s="203" t="s">
        <v>92</v>
      </c>
      <c r="K1" s="203"/>
      <c r="L1" s="203"/>
      <c r="M1" s="203"/>
      <c r="N1" s="204"/>
      <c r="O1" s="13"/>
      <c r="P1" s="201" t="s">
        <v>54</v>
      </c>
      <c r="Q1" s="201"/>
      <c r="R1" s="201"/>
      <c r="S1" s="201"/>
      <c r="T1" s="202"/>
      <c r="V1" s="199" t="s">
        <v>4</v>
      </c>
      <c r="W1" s="199"/>
      <c r="X1" s="199"/>
      <c r="Y1" s="199"/>
      <c r="Z1" s="199"/>
      <c r="AA1" s="199"/>
      <c r="AB1" s="199" t="s">
        <v>10</v>
      </c>
      <c r="AC1" s="199"/>
      <c r="AD1" s="199"/>
      <c r="AE1" s="199"/>
      <c r="AF1" s="199"/>
      <c r="AG1" s="199" t="s">
        <v>7</v>
      </c>
      <c r="AH1" s="199"/>
      <c r="AI1" s="199"/>
      <c r="AJ1" s="199"/>
      <c r="AK1" s="199"/>
      <c r="AL1" s="199"/>
      <c r="AM1" s="199" t="s">
        <v>2</v>
      </c>
      <c r="AN1" s="199"/>
      <c r="AO1" s="199"/>
      <c r="AP1" s="199"/>
      <c r="AQ1" s="199"/>
      <c r="AR1" s="199"/>
      <c r="AS1" s="199" t="s">
        <v>3</v>
      </c>
      <c r="AT1" s="199"/>
      <c r="AU1" s="199"/>
      <c r="AV1" s="199"/>
      <c r="AW1" s="199"/>
      <c r="AX1" s="199"/>
      <c r="AZ1" s="1" t="s">
        <v>56</v>
      </c>
      <c r="BF1" s="1" t="s">
        <v>57</v>
      </c>
    </row>
    <row r="2" spans="1:67" ht="15" customHeight="1" x14ac:dyDescent="0.25">
      <c r="A2" s="1" t="s">
        <v>52</v>
      </c>
      <c r="B2" s="3" t="s">
        <v>93</v>
      </c>
      <c r="C2" s="3"/>
      <c r="D2" s="3"/>
      <c r="E2" s="114" t="s">
        <v>1</v>
      </c>
      <c r="F2" s="114" t="s">
        <v>15</v>
      </c>
      <c r="G2" s="115" t="s">
        <v>17</v>
      </c>
      <c r="H2" s="1" t="s">
        <v>1</v>
      </c>
      <c r="I2" s="1" t="s">
        <v>0</v>
      </c>
      <c r="J2" s="69">
        <v>300</v>
      </c>
      <c r="K2" s="69">
        <v>150</v>
      </c>
      <c r="L2" s="69">
        <v>100</v>
      </c>
      <c r="M2" s="69">
        <v>150</v>
      </c>
      <c r="N2" s="69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AH2</f>
        <v>300</v>
      </c>
      <c r="AC2" s="5">
        <f>AI2</f>
        <v>150</v>
      </c>
      <c r="AD2" s="5">
        <f>AJ2</f>
        <v>100</v>
      </c>
      <c r="AE2" s="5">
        <f>AK2</f>
        <v>150</v>
      </c>
      <c r="AF2" s="5">
        <f>AL2</f>
        <v>300</v>
      </c>
      <c r="AG2" s="5" t="s">
        <v>115</v>
      </c>
      <c r="AH2" s="1">
        <f>AT2</f>
        <v>300</v>
      </c>
      <c r="AI2" s="1">
        <f>AU2</f>
        <v>150</v>
      </c>
      <c r="AJ2" s="1">
        <f>AV2</f>
        <v>100</v>
      </c>
      <c r="AK2" s="1">
        <f>AW2</f>
        <v>150</v>
      </c>
      <c r="AL2" s="1">
        <f>AX2</f>
        <v>300</v>
      </c>
      <c r="AN2" s="1">
        <f>W2</f>
        <v>300</v>
      </c>
      <c r="AO2" s="1">
        <f>X2</f>
        <v>150</v>
      </c>
      <c r="AP2" s="1">
        <f>Y2</f>
        <v>100</v>
      </c>
      <c r="AQ2" s="1">
        <f>Z2</f>
        <v>150</v>
      </c>
      <c r="AR2" s="1">
        <f>AA2</f>
        <v>300</v>
      </c>
      <c r="AT2" s="1">
        <f>AN2</f>
        <v>300</v>
      </c>
      <c r="AU2" s="1">
        <f>AO2</f>
        <v>150</v>
      </c>
      <c r="AV2" s="1">
        <f>AP2</f>
        <v>100</v>
      </c>
      <c r="AW2" s="1">
        <f>AQ2</f>
        <v>150</v>
      </c>
      <c r="AX2" s="1">
        <f>AR2</f>
        <v>300</v>
      </c>
      <c r="BC2" s="1" t="s">
        <v>58</v>
      </c>
    </row>
    <row r="3" spans="1:67" ht="15" customHeight="1" x14ac:dyDescent="0.25">
      <c r="A3" s="116">
        <f>'DC-h2-sri-ipb2-27b'!B4</f>
        <v>9.3409230000000001</v>
      </c>
      <c r="B3" s="116">
        <f>'DC-h2-sri-ipb2-27b'!G5</f>
        <v>0.41538562931878487</v>
      </c>
      <c r="C3" s="116">
        <f>'DC-h2-sri-ipb2-27b'!G6</f>
        <v>0.41778972006380355</v>
      </c>
      <c r="D3" s="116">
        <f>'DC-h2-sri-ipb2-27b'!G7</f>
        <v>0.41243966009160876</v>
      </c>
      <c r="E3" s="114">
        <f>'DC-h2-sri-ipb2-27b'!M4*100</f>
        <v>150</v>
      </c>
      <c r="F3" s="116">
        <f>'DC-h2-sri-ipb2-27b'!O4</f>
        <v>0.41084043000987536</v>
      </c>
      <c r="G3" s="117">
        <f>'DC-h2-sri-ipb2-27b'!P4</f>
        <v>3.16822469613256E-2</v>
      </c>
      <c r="M3" s="7"/>
      <c r="N3" s="7"/>
      <c r="O3" s="200" t="s">
        <v>5</v>
      </c>
      <c r="P3" s="9"/>
      <c r="Q3" s="12"/>
      <c r="R3" s="12"/>
      <c r="S3" s="32"/>
      <c r="T3" s="32"/>
      <c r="U3" s="18" t="s">
        <v>106</v>
      </c>
      <c r="V3" s="2"/>
    </row>
    <row r="4" spans="1:67" x14ac:dyDescent="0.25">
      <c r="A4" s="116">
        <f>'DC-h2-sri-ipb2-27b'!B9</f>
        <v>14.025439</v>
      </c>
      <c r="B4" s="116">
        <f>'DC-h2-sri-ipb2-27b'!G10</f>
        <v>0.47178702051667776</v>
      </c>
      <c r="C4" s="116">
        <f>'DC-h2-sri-ipb2-27b'!G11</f>
        <v>0.46286152527341018</v>
      </c>
      <c r="D4" s="116">
        <f>'DC-h2-sri-ipb2-27b'!G12</f>
        <v>0.44876847625130323</v>
      </c>
      <c r="E4" s="114">
        <f>'DC-h2-sri-ipb2-27b'!M5*100</f>
        <v>200</v>
      </c>
      <c r="F4" s="116">
        <f>'DC-h2-sri-ipb2-27b'!O5</f>
        <v>0.4380935452446082</v>
      </c>
      <c r="G4" s="117">
        <f>'DC-h2-sri-ipb2-27b'!P5</f>
        <v>0.14662166096612816</v>
      </c>
      <c r="M4" s="7"/>
      <c r="N4" s="7"/>
      <c r="O4" s="200"/>
      <c r="P4" s="9"/>
      <c r="Q4" s="12"/>
      <c r="R4" s="12"/>
      <c r="S4" s="32"/>
      <c r="T4" s="32"/>
      <c r="U4" s="18"/>
      <c r="V4" s="2"/>
    </row>
    <row r="5" spans="1:67" x14ac:dyDescent="0.25">
      <c r="A5" s="116">
        <f>'DC-h2-sri-ipb2-27b'!B14</f>
        <v>19.078040000000001</v>
      </c>
      <c r="B5" s="116">
        <f>'DC-h2-sri-ipb2-27b'!G15</f>
        <v>0.49240360879275957</v>
      </c>
      <c r="C5" s="116">
        <f>'DC-h2-sri-ipb2-27b'!G16</f>
        <v>0.49064271186779851</v>
      </c>
      <c r="D5" s="116">
        <f>'DC-h2-sri-ipb2-27b'!G17</f>
        <v>0.48290108272155496</v>
      </c>
      <c r="E5" s="114">
        <f>'DC-h2-sri-ipb2-27b'!M6*100</f>
        <v>250</v>
      </c>
      <c r="F5" s="116">
        <f>'DC-h2-sri-ipb2-27b'!O6</f>
        <v>0.47839048915851073</v>
      </c>
      <c r="G5" s="117">
        <f>'DC-h2-sri-ipb2-27b'!P6</f>
        <v>6.0570896685289366E-2</v>
      </c>
      <c r="M5" s="7"/>
      <c r="N5" s="7"/>
      <c r="O5" s="200"/>
      <c r="P5" s="9"/>
      <c r="Q5" s="12"/>
      <c r="R5" s="12"/>
      <c r="S5" s="32"/>
      <c r="T5" s="32"/>
      <c r="U5" s="18" t="s">
        <v>11</v>
      </c>
      <c r="V5" s="2" t="s">
        <v>29</v>
      </c>
    </row>
    <row r="6" spans="1:67" x14ac:dyDescent="0.25">
      <c r="A6" s="34"/>
      <c r="B6" s="48"/>
      <c r="C6" s="3"/>
      <c r="D6" s="3"/>
      <c r="E6" s="114">
        <f>'DC-h2-sri-ipb2-27b'!M7*100</f>
        <v>275</v>
      </c>
      <c r="F6" s="116">
        <f>'DC-h2-sri-ipb2-27b'!O7</f>
        <v>0.49517471573506122</v>
      </c>
      <c r="G6" s="117">
        <f>'DC-h2-sri-ipb2-27b'!P7</f>
        <v>6.0570896685289366E-2</v>
      </c>
      <c r="K6" s="3">
        <f>$V6-X6-AC6+$F$5*AC6+$G$5</f>
        <v>1.1516506413182881</v>
      </c>
      <c r="L6" s="3">
        <f>$V6-Y6-AD6+$F$5*AD6+$G$5</f>
        <v>1.3129268028268202</v>
      </c>
      <c r="M6" s="3">
        <f>$V6-Z6-AE6+$F$5*AE6+$G$5</f>
        <v>1.2962597168373495</v>
      </c>
      <c r="O6" s="52">
        <v>1</v>
      </c>
      <c r="P6" s="10"/>
      <c r="Q6" s="10">
        <f>($F$5*$O6*AC6+$G$5+$V6-X6)/(AC6*$O6)</f>
        <v>1.2821985732803149</v>
      </c>
      <c r="R6" s="10">
        <f t="shared" ref="R6:S6" si="0">($F$5*$O6*AD6+$G$5+$V6-Y6)/(AD6*$O6)</f>
        <v>1.2817238142643197</v>
      </c>
      <c r="S6" s="10">
        <f t="shared" si="0"/>
        <v>1.3171475711255383</v>
      </c>
      <c r="T6" s="10"/>
      <c r="U6" s="19">
        <v>250</v>
      </c>
      <c r="V6" s="167">
        <v>19.0929562881356</v>
      </c>
      <c r="W6" s="167"/>
      <c r="X6" s="167">
        <v>15.8731913389831</v>
      </c>
      <c r="Y6" s="167">
        <v>15.4097263389831</v>
      </c>
      <c r="Z6" s="167">
        <v>15.725321779661</v>
      </c>
      <c r="AA6" s="167"/>
      <c r="AB6" s="167"/>
      <c r="AC6" s="167">
        <v>4.0809938474576297</v>
      </c>
      <c r="AD6" s="167">
        <v>4.6603330508474601</v>
      </c>
      <c r="AE6" s="167">
        <v>4.0872446610169497</v>
      </c>
      <c r="AF6" s="167"/>
      <c r="AG6" s="167"/>
      <c r="AH6" s="167"/>
      <c r="AI6" s="167">
        <v>49.568169898305101</v>
      </c>
      <c r="AJ6" s="167">
        <v>49.613632271186503</v>
      </c>
      <c r="AK6" s="167">
        <v>49.637831254237298</v>
      </c>
      <c r="AL6" s="167"/>
      <c r="AM6" s="167"/>
      <c r="AN6" s="167"/>
      <c r="AO6" s="167">
        <v>1.3208704915254199</v>
      </c>
      <c r="AP6" s="167">
        <v>2.1046466610169499</v>
      </c>
      <c r="AQ6" s="167">
        <v>1.4728551186440699</v>
      </c>
      <c r="AR6" s="3"/>
      <c r="AS6" s="3"/>
      <c r="AT6" s="3"/>
      <c r="AU6" s="4">
        <v>31.5256010677966</v>
      </c>
      <c r="AV6" s="4">
        <v>30.015646864406801</v>
      </c>
      <c r="AW6" s="4">
        <v>31.534985254237299</v>
      </c>
      <c r="AX6" s="3"/>
      <c r="AZ6" s="3">
        <f t="shared" ref="AZ6:BB10" si="1">AI6-AC6-AO6-AU6</f>
        <v>12.640704491525455</v>
      </c>
      <c r="BA6" s="3">
        <f t="shared" si="1"/>
        <v>12.83300569491529</v>
      </c>
      <c r="BB6" s="3">
        <f t="shared" si="1"/>
        <v>12.542746220338977</v>
      </c>
      <c r="BC6" s="3">
        <f>AZ6/(AU6+AO6)</f>
        <v>0.38484208170414425</v>
      </c>
      <c r="BD6" s="3">
        <f>BA6/(AV6+AP6)</f>
        <v>0.3995295274857234</v>
      </c>
      <c r="BE6" s="3">
        <f>BB6/(AW6+AQ6)</f>
        <v>0.37999293739447021</v>
      </c>
      <c r="BF6" s="101">
        <f t="shared" ref="BF6:BH10" si="2">AC6+AO6+AU6</f>
        <v>36.927465406779646</v>
      </c>
      <c r="BG6" s="101">
        <f t="shared" si="2"/>
        <v>36.78062657627121</v>
      </c>
      <c r="BH6" s="101">
        <f t="shared" si="2"/>
        <v>37.095085033898314</v>
      </c>
    </row>
    <row r="7" spans="1:67" x14ac:dyDescent="0.25">
      <c r="A7" s="116">
        <f>'DC-h2-sri-ipb2-27b'!B19</f>
        <v>24.828835000000002</v>
      </c>
      <c r="B7" s="116">
        <f>'DC-h2-sri-ipb2-27b'!G20</f>
        <v>0.53532475062117901</v>
      </c>
      <c r="C7" s="116">
        <f>'DC-h2-sri-ipb2-27b'!G21</f>
        <v>0.52598553972352435</v>
      </c>
      <c r="D7" s="116">
        <f>'DC-h2-sri-ipb2-27b'!G22</f>
        <v>0.51774441115878389</v>
      </c>
      <c r="E7" s="114">
        <f>'DC-h2-sri-ipb2-27b'!M8*100</f>
        <v>300</v>
      </c>
      <c r="F7" s="116">
        <f>'DC-h2-sri-ipb2-27b'!O8</f>
        <v>0.50850058684966015</v>
      </c>
      <c r="G7" s="117">
        <f>'DC-h2-sri-ipb2-27b'!P8</f>
        <v>0.11610757219407075</v>
      </c>
      <c r="K7" s="3">
        <f t="shared" ref="K7:K10" si="3">$V7-X7-AC7+$F$5*AC7+$G$5</f>
        <v>1.5527667817786313</v>
      </c>
      <c r="L7" s="3">
        <f t="shared" ref="L7:L10" si="4">$V7-Y7-AD7+$F$5*AD7+$G$5</f>
        <v>1.7330128726785778</v>
      </c>
      <c r="M7" s="3">
        <f t="shared" ref="M7:M10" si="5">$V7-Z7-AE7+$F$5*AE7+$G$5</f>
        <v>1.5730159819587377</v>
      </c>
      <c r="O7" s="52">
        <v>1</v>
      </c>
      <c r="P7" s="10"/>
      <c r="Q7" s="10">
        <f>($F$6*$O7*AC7+$G$6+$V7-X7)/(AC7*$O7)</f>
        <v>1.3726449084730941</v>
      </c>
      <c r="R7" s="10">
        <f t="shared" ref="R7:S7" si="6">($F$6*$O7*AD7+$G$6+$V7-Y7)/(AD7*$O7)</f>
        <v>1.3640250509350125</v>
      </c>
      <c r="S7" s="10">
        <f t="shared" si="6"/>
        <v>1.3767538895318454</v>
      </c>
      <c r="T7" s="10"/>
      <c r="U7" s="19">
        <v>275</v>
      </c>
      <c r="V7" s="167">
        <v>21.884751983050801</v>
      </c>
      <c r="W7" s="167"/>
      <c r="X7" s="167">
        <v>18.1165588813559</v>
      </c>
      <c r="Y7" s="167">
        <v>17.609056203389802</v>
      </c>
      <c r="Z7" s="167">
        <v>18.092947881355901</v>
      </c>
      <c r="AA7" s="167"/>
      <c r="AB7" s="167"/>
      <c r="AC7" s="167">
        <v>4.3634120338982996</v>
      </c>
      <c r="AD7" s="167">
        <v>4.9908096949152601</v>
      </c>
      <c r="AE7" s="167">
        <v>4.3698570847457603</v>
      </c>
      <c r="AF7" s="167"/>
      <c r="AG7" s="167"/>
      <c r="AH7" s="167"/>
      <c r="AI7" s="167">
        <v>50.356848457627102</v>
      </c>
      <c r="AJ7" s="167">
        <v>50.389748796610199</v>
      </c>
      <c r="AK7" s="167">
        <v>50.3977581355932</v>
      </c>
      <c r="AL7" s="167"/>
      <c r="AM7" s="167"/>
      <c r="AN7" s="167"/>
      <c r="AO7" s="167">
        <v>1.35463294915254</v>
      </c>
      <c r="AP7" s="167">
        <v>1.8300662033898301</v>
      </c>
      <c r="AQ7" s="167">
        <v>1.3039301186440699</v>
      </c>
      <c r="AR7" s="3"/>
      <c r="AS7" s="3"/>
      <c r="AT7" s="3"/>
      <c r="AU7" s="4">
        <v>31.104267016949098</v>
      </c>
      <c r="AV7" s="4">
        <v>29.477730949152502</v>
      </c>
      <c r="AW7" s="4">
        <v>31.037741525423701</v>
      </c>
      <c r="AX7" s="3"/>
      <c r="AZ7" s="3">
        <f t="shared" si="1"/>
        <v>13.534536457627166</v>
      </c>
      <c r="BA7" s="3">
        <f t="shared" si="1"/>
        <v>14.0911419491526</v>
      </c>
      <c r="BB7" s="3">
        <f t="shared" si="1"/>
        <v>13.68622940677967</v>
      </c>
      <c r="BC7" s="3">
        <f t="shared" ref="BC7:BC10" si="7">AZ7/(AU7+AO7)</f>
        <v>0.41697458853386654</v>
      </c>
      <c r="BD7" s="3">
        <f t="shared" ref="BD7:BE10" si="8">BA7/(AV7+AP7)</f>
        <v>0.45008410781811703</v>
      </c>
      <c r="BE7" s="3">
        <f t="shared" si="8"/>
        <v>0.42317631436623804</v>
      </c>
      <c r="BF7" s="101">
        <f t="shared" si="2"/>
        <v>36.82231199999994</v>
      </c>
      <c r="BG7" s="101">
        <f t="shared" si="2"/>
        <v>36.298606847457592</v>
      </c>
      <c r="BH7" s="101">
        <f t="shared" si="2"/>
        <v>36.711528728813533</v>
      </c>
    </row>
    <row r="8" spans="1:67" x14ac:dyDescent="0.25">
      <c r="A8" s="34"/>
      <c r="B8" s="49"/>
      <c r="C8" s="50"/>
      <c r="D8" s="50"/>
      <c r="E8" s="114">
        <f>'DC-h2-sri-ipb2-27b'!M9*100</f>
        <v>325</v>
      </c>
      <c r="F8" s="116">
        <f>'DC-h2-sri-ipb2-27b'!O9</f>
        <v>0.52307930407047754</v>
      </c>
      <c r="G8" s="117">
        <f>'DC-h2-sri-ipb2-27b'!P9</f>
        <v>0.11610757219407075</v>
      </c>
      <c r="K8" s="3">
        <f t="shared" si="3"/>
        <v>1.7265324372494142</v>
      </c>
      <c r="L8" s="3">
        <f t="shared" si="4"/>
        <v>2.0430323467940092</v>
      </c>
      <c r="M8" s="3">
        <f t="shared" si="5"/>
        <v>1.7890415003519688</v>
      </c>
      <c r="O8" s="52">
        <v>1</v>
      </c>
      <c r="P8" s="10"/>
      <c r="Q8" s="10">
        <f>($F$7*$O8*AC8+$G$7+$V8-X8)/(AC8*$O8)</f>
        <v>1.4179060285770471</v>
      </c>
      <c r="R8" s="10">
        <f t="shared" ref="R8:S8" si="9">($F$7*$O8*AD8+$G$7+$V8-Y8)/(AD8*$O8)</f>
        <v>1.4275810758978558</v>
      </c>
      <c r="S8" s="10">
        <f t="shared" si="9"/>
        <v>1.4314139772889301</v>
      </c>
      <c r="T8" s="10"/>
      <c r="U8" s="19">
        <v>300</v>
      </c>
      <c r="V8" s="167">
        <v>24.7683013728814</v>
      </c>
      <c r="W8" s="167"/>
      <c r="X8" s="167">
        <v>20.705346661017</v>
      </c>
      <c r="Y8" s="167">
        <v>20.031843728813602</v>
      </c>
      <c r="Z8" s="167">
        <v>20.642272288135601</v>
      </c>
      <c r="AA8" s="167"/>
      <c r="AB8" s="167"/>
      <c r="AC8" s="167">
        <v>4.5953785762711901</v>
      </c>
      <c r="AD8" s="167">
        <v>5.2798044067796601</v>
      </c>
      <c r="AE8" s="167">
        <v>4.5964623559322098</v>
      </c>
      <c r="AF8" s="167"/>
      <c r="AG8" s="167"/>
      <c r="AH8" s="167"/>
      <c r="AI8" s="167">
        <v>50.225749830508498</v>
      </c>
      <c r="AJ8" s="167">
        <v>50.259139322033903</v>
      </c>
      <c r="AK8" s="167">
        <v>50.281585813559303</v>
      </c>
      <c r="AL8" s="167"/>
      <c r="AM8" s="167"/>
      <c r="AN8" s="167"/>
      <c r="AO8" s="167">
        <v>1.2940165593220301</v>
      </c>
      <c r="AP8" s="167">
        <v>2.10731818644068</v>
      </c>
      <c r="AQ8" s="167">
        <v>1.5135116101694901</v>
      </c>
      <c r="AR8" s="3"/>
      <c r="AS8" s="3"/>
      <c r="AT8" s="3"/>
      <c r="AU8" s="4">
        <v>30.763240796610201</v>
      </c>
      <c r="AV8" s="4">
        <v>29.153815915254199</v>
      </c>
      <c r="AW8" s="4">
        <v>30.9881976101695</v>
      </c>
      <c r="AX8" s="3"/>
      <c r="AZ8" s="3">
        <f t="shared" si="1"/>
        <v>13.573113898305078</v>
      </c>
      <c r="BA8" s="3">
        <f t="shared" si="1"/>
        <v>13.718200813559363</v>
      </c>
      <c r="BB8" s="3">
        <f t="shared" si="1"/>
        <v>13.183414237288105</v>
      </c>
      <c r="BC8" s="3">
        <f t="shared" si="7"/>
        <v>0.4234022189609854</v>
      </c>
      <c r="BD8" s="3">
        <f t="shared" si="8"/>
        <v>0.4388260761408399</v>
      </c>
      <c r="BE8" s="3">
        <f t="shared" si="8"/>
        <v>0.40562218275702744</v>
      </c>
      <c r="BF8" s="101">
        <f t="shared" si="2"/>
        <v>36.652635932203424</v>
      </c>
      <c r="BG8" s="101">
        <f t="shared" si="2"/>
        <v>36.54093850847454</v>
      </c>
      <c r="BH8" s="101">
        <f t="shared" si="2"/>
        <v>37.098171576271199</v>
      </c>
    </row>
    <row r="9" spans="1:67" x14ac:dyDescent="0.25">
      <c r="A9" s="116">
        <f>'DC-h2-sri-ipb2-27b'!B24</f>
        <v>31.140346000000001</v>
      </c>
      <c r="B9" s="116">
        <f>'DC-h2-sri-ipb2-27b'!G25</f>
        <v>0.55056580753056872</v>
      </c>
      <c r="C9" s="116">
        <f>'DC-h2-sri-ipb2-27b'!G26</f>
        <v>0.55099421286024175</v>
      </c>
      <c r="D9" s="116">
        <f>'DC-h2-sri-ipb2-27b'!G27</f>
        <v>0.54578736006981521</v>
      </c>
      <c r="E9" s="114">
        <f>'DC-h2-sri-ipb2-27b'!M10*100</f>
        <v>350</v>
      </c>
      <c r="F9" s="116">
        <f>'DC-h2-sri-ipb2-27b'!O10</f>
        <v>0.53696652633833164</v>
      </c>
      <c r="G9" s="117">
        <f>'DC-h2-sri-ipb2-27b'!P10</f>
        <v>0</v>
      </c>
      <c r="K9" s="3">
        <f t="shared" si="3"/>
        <v>1.8962437056754413</v>
      </c>
      <c r="L9" s="3">
        <f t="shared" si="4"/>
        <v>2.2403581759017928</v>
      </c>
      <c r="M9" s="3">
        <f t="shared" si="5"/>
        <v>1.9536888778435437</v>
      </c>
      <c r="O9" s="52">
        <v>1</v>
      </c>
      <c r="P9" s="10"/>
      <c r="Q9" s="158">
        <f>($F$8*$O9*AC9+$G$8+$V9-X9)/(AC9*$O9)</f>
        <v>1.4579805199223161</v>
      </c>
      <c r="R9" s="158">
        <f t="shared" ref="R9:S9" si="10">($F$8*$O9*AD9+$G$8+$V9-Y9)/(AD9*$O9)</f>
        <v>1.4661307670502286</v>
      </c>
      <c r="S9" s="158">
        <f t="shared" si="10"/>
        <v>1.4710713025980207</v>
      </c>
      <c r="T9" s="10"/>
      <c r="U9" s="19">
        <v>325</v>
      </c>
      <c r="V9" s="167">
        <v>27.887455661016901</v>
      </c>
      <c r="W9" s="167"/>
      <c r="X9" s="167">
        <v>23.588468932203401</v>
      </c>
      <c r="Y9" s="167">
        <v>22.8660894067797</v>
      </c>
      <c r="Z9" s="167">
        <v>23.5363775423729</v>
      </c>
      <c r="AA9" s="167"/>
      <c r="AB9" s="167"/>
      <c r="AC9" s="167">
        <v>4.72252493220339</v>
      </c>
      <c r="AD9" s="167">
        <v>5.4477131186440699</v>
      </c>
      <c r="AE9" s="167">
        <v>4.7122609661016899</v>
      </c>
      <c r="AF9" s="167"/>
      <c r="AG9" s="167"/>
      <c r="AH9" s="167"/>
      <c r="AI9" s="167">
        <v>50.057052728813602</v>
      </c>
      <c r="AJ9" s="167">
        <v>50.107405016949201</v>
      </c>
      <c r="AK9" s="167">
        <v>50.127957627118597</v>
      </c>
      <c r="AL9" s="167"/>
      <c r="AM9" s="167"/>
      <c r="AN9" s="167"/>
      <c r="AO9" s="167">
        <v>1.5093876440678</v>
      </c>
      <c r="AP9" s="167">
        <v>2.2501638983050798</v>
      </c>
      <c r="AQ9" s="167">
        <v>1.6883221864406801</v>
      </c>
      <c r="AR9" s="3"/>
      <c r="AS9" s="3"/>
      <c r="AT9" s="3"/>
      <c r="AU9" s="4">
        <v>30.911500491525398</v>
      </c>
      <c r="AV9" s="4">
        <v>29.032185593220401</v>
      </c>
      <c r="AW9" s="4">
        <v>31.013633779660999</v>
      </c>
      <c r="AX9" s="3"/>
      <c r="AZ9" s="3">
        <f t="shared" si="1"/>
        <v>12.913639661017012</v>
      </c>
      <c r="BA9" s="3">
        <f t="shared" si="1"/>
        <v>13.37734240677965</v>
      </c>
      <c r="BB9" s="3">
        <f t="shared" si="1"/>
        <v>12.713740694915231</v>
      </c>
      <c r="BC9" s="3">
        <f t="shared" si="7"/>
        <v>0.39831233515283632</v>
      </c>
      <c r="BD9" s="3">
        <f t="shared" si="8"/>
        <v>0.42763227903977064</v>
      </c>
      <c r="BE9" s="3">
        <f t="shared" si="8"/>
        <v>0.38877615479924471</v>
      </c>
      <c r="BF9" s="101">
        <f t="shared" si="2"/>
        <v>37.143413067796587</v>
      </c>
      <c r="BG9" s="101">
        <f t="shared" si="2"/>
        <v>36.730062610169554</v>
      </c>
      <c r="BH9" s="101">
        <f t="shared" si="2"/>
        <v>37.414216932203367</v>
      </c>
    </row>
    <row r="10" spans="1:67" x14ac:dyDescent="0.25">
      <c r="A10" s="34"/>
      <c r="B10" s="48"/>
      <c r="C10" s="3"/>
      <c r="D10" s="3"/>
      <c r="E10" s="114">
        <f>'DC-h2-sri-ipb2-27b'!M11*100</f>
        <v>375</v>
      </c>
      <c r="F10" s="116">
        <f>'DC-h2-sri-ipb2-27b'!O11</f>
        <v>0.54643412044061068</v>
      </c>
      <c r="G10" s="117">
        <f>'DC-h2-sri-ipb2-27b'!P11</f>
        <v>0</v>
      </c>
      <c r="K10" s="3">
        <f t="shared" si="3"/>
        <v>0.96523891585572352</v>
      </c>
      <c r="L10" s="3">
        <f t="shared" si="4"/>
        <v>0.91351011670413573</v>
      </c>
      <c r="M10" s="3">
        <f t="shared" si="5"/>
        <v>1.1375925907636935</v>
      </c>
      <c r="O10" s="52">
        <v>1</v>
      </c>
      <c r="P10" s="10"/>
      <c r="Q10" s="10">
        <f>($F$11*$O10*AC10+$G$11+$V10-X10)/(AC10*$O10)</f>
        <v>1.3264346119231938</v>
      </c>
      <c r="R10" s="10">
        <f t="shared" ref="R10:S10" si="11">($F$11*$O10*AD10+$G$11+$V10-Y10)/(AD10*$O10)</f>
        <v>1.2953912145940083</v>
      </c>
      <c r="S10" s="10">
        <f t="shared" si="11"/>
        <v>1.3686901637276998</v>
      </c>
      <c r="T10" s="10"/>
      <c r="U10" s="19">
        <v>400</v>
      </c>
      <c r="V10" s="167">
        <v>38.154970610169499</v>
      </c>
      <c r="W10" s="167"/>
      <c r="X10" s="167">
        <v>35.132454593220302</v>
      </c>
      <c r="Y10" s="167">
        <v>35.004028847457597</v>
      </c>
      <c r="Z10" s="167">
        <v>34.9586779322034</v>
      </c>
      <c r="AA10" s="167"/>
      <c r="AB10" s="167"/>
      <c r="AC10" s="167">
        <v>4.0602173728813602</v>
      </c>
      <c r="AD10" s="167">
        <v>4.4055993898305097</v>
      </c>
      <c r="AE10" s="167">
        <v>4.0629454406779697</v>
      </c>
      <c r="AF10" s="167"/>
      <c r="AG10" s="167"/>
      <c r="AH10" s="167"/>
      <c r="AI10" s="167">
        <v>49.8757401694915</v>
      </c>
      <c r="AJ10" s="167">
        <v>49.934359915254198</v>
      </c>
      <c r="AK10" s="167">
        <v>49.953620000000001</v>
      </c>
      <c r="AL10" s="167"/>
      <c r="AM10" s="167"/>
      <c r="AN10" s="167"/>
      <c r="AO10" s="167">
        <v>1.52606759322034</v>
      </c>
      <c r="AP10" s="167">
        <v>2.3494772542372901</v>
      </c>
      <c r="AQ10" s="167">
        <v>1.48348488135593</v>
      </c>
      <c r="AR10" s="3"/>
      <c r="AS10" s="3"/>
      <c r="AT10" s="3"/>
      <c r="AU10" s="4">
        <v>31.5552343559322</v>
      </c>
      <c r="AV10" s="4">
        <v>30.3223424067797</v>
      </c>
      <c r="AW10" s="4">
        <v>31.783361372881298</v>
      </c>
      <c r="AX10" s="3"/>
      <c r="AZ10" s="3">
        <f t="shared" si="1"/>
        <v>12.7342208474576</v>
      </c>
      <c r="BA10" s="3">
        <f t="shared" si="1"/>
        <v>12.856940864406699</v>
      </c>
      <c r="BB10" s="3">
        <f t="shared" si="1"/>
        <v>12.623828305084803</v>
      </c>
      <c r="BC10" s="3">
        <f t="shared" si="7"/>
        <v>0.38493711242171408</v>
      </c>
      <c r="BD10" s="3">
        <f t="shared" si="8"/>
        <v>0.39351774703100501</v>
      </c>
      <c r="BE10" s="3">
        <f t="shared" si="8"/>
        <v>0.37947174819665674</v>
      </c>
      <c r="BF10" s="101">
        <f t="shared" si="2"/>
        <v>37.141519322033901</v>
      </c>
      <c r="BG10" s="101">
        <f t="shared" si="2"/>
        <v>37.077419050847503</v>
      </c>
      <c r="BH10" s="101">
        <f t="shared" si="2"/>
        <v>37.329791694915201</v>
      </c>
    </row>
    <row r="11" spans="1:67" x14ac:dyDescent="0.25">
      <c r="A11" s="116">
        <f>'DC-h2-sri-ipb2-27b'!B29</f>
        <v>38.221895000000004</v>
      </c>
      <c r="B11" s="116">
        <f>'DC-h2-sri-ipb2-27b'!G30</f>
        <v>0.59088077772867942</v>
      </c>
      <c r="C11" s="116">
        <f>'DC-h2-sri-ipb2-27b'!G31</f>
        <v>0.57736598675146433</v>
      </c>
      <c r="D11" s="116">
        <f>'DC-h2-sri-ipb2-27b'!G32</f>
        <v>0.57057759369214189</v>
      </c>
      <c r="E11" s="114">
        <f>'DC-h2-sri-ipb2-27b'!M12*100</f>
        <v>400</v>
      </c>
      <c r="F11" s="116">
        <f>'DC-h2-sri-ipb2-27b'!O12</f>
        <v>0.55861664491690266</v>
      </c>
      <c r="G11" s="117">
        <f>'DC-h2-sri-ipb2-27b'!P12</f>
        <v>9.499183190019167E-2</v>
      </c>
      <c r="K11" s="7"/>
      <c r="L11" s="7"/>
      <c r="M11" s="7"/>
      <c r="N11" s="7"/>
      <c r="O11" s="14"/>
      <c r="P11" s="9"/>
      <c r="Q11" s="69"/>
      <c r="R11" s="69"/>
      <c r="S11" s="69"/>
      <c r="T11" s="36"/>
      <c r="U11" s="18" t="s">
        <v>61</v>
      </c>
      <c r="V11" s="167"/>
      <c r="W11" s="167"/>
      <c r="X11" s="167"/>
      <c r="Y11" s="167"/>
      <c r="Z11" s="167"/>
      <c r="AA11" s="167"/>
      <c r="AB11" s="168"/>
      <c r="AC11" s="168"/>
      <c r="AD11" s="168"/>
      <c r="AE11" s="168"/>
      <c r="AF11" s="168"/>
      <c r="AG11" s="168"/>
      <c r="AH11" s="167"/>
      <c r="AI11" s="167"/>
      <c r="AJ11" s="167"/>
      <c r="AK11" s="167"/>
      <c r="AL11" s="167"/>
      <c r="AM11" s="167"/>
      <c r="AN11" s="167"/>
      <c r="AO11" s="167"/>
      <c r="AP11" s="167"/>
      <c r="AQ11" s="167"/>
      <c r="AR11" s="3"/>
      <c r="AS11" s="3"/>
      <c r="AT11" s="3"/>
      <c r="AU11" s="3"/>
      <c r="AV11" s="3"/>
      <c r="AW11" s="3"/>
      <c r="AX11" s="3"/>
      <c r="AY11" s="69"/>
      <c r="AZ11" s="69"/>
      <c r="BA11" s="69"/>
      <c r="BB11" s="69"/>
      <c r="BC11" s="69"/>
      <c r="BD11" s="69"/>
      <c r="BE11" s="69"/>
      <c r="BF11" s="69"/>
      <c r="BG11" s="69"/>
      <c r="BH11" s="69"/>
      <c r="BI11" s="69"/>
      <c r="BJ11" s="69"/>
      <c r="BK11" s="69"/>
      <c r="BL11" s="69"/>
      <c r="BM11" s="69"/>
      <c r="BN11" s="69"/>
      <c r="BO11" s="69"/>
    </row>
    <row r="12" spans="1:67" x14ac:dyDescent="0.25">
      <c r="A12" s="116">
        <f>'DC-h2-sri-ipb2-27b'!B34</f>
        <v>46.020510999999999</v>
      </c>
      <c r="B12" s="116">
        <f>'DC-h2-sri-ipb2-27b'!G35</f>
        <v>0.59465216929972875</v>
      </c>
      <c r="C12" s="116">
        <f>'DC-h2-sri-ipb2-27b'!G36</f>
        <v>0.58886997175414202</v>
      </c>
      <c r="D12" s="116">
        <f>'DC-h2-sri-ipb2-27b'!G37</f>
        <v>0.5835577382502769</v>
      </c>
      <c r="E12" s="114">
        <f>'DC-h2-sri-ipb2-27b'!M13*100</f>
        <v>450</v>
      </c>
      <c r="F12" s="116">
        <f>'DC-h2-sri-ipb2-27b'!O13</f>
        <v>0.57693551723153269</v>
      </c>
      <c r="G12" s="117">
        <f>'DC-h2-sri-ipb2-27b'!P13</f>
        <v>0</v>
      </c>
      <c r="K12" s="7"/>
      <c r="L12" s="7"/>
      <c r="M12" s="7"/>
      <c r="N12" s="7"/>
      <c r="O12" s="14"/>
      <c r="P12" s="9"/>
      <c r="Q12" s="69"/>
      <c r="R12" s="69"/>
      <c r="S12" s="69"/>
      <c r="T12" s="9"/>
      <c r="U12" s="18" t="s">
        <v>62</v>
      </c>
      <c r="V12" s="2" t="s">
        <v>60</v>
      </c>
      <c r="W12" s="167"/>
      <c r="X12" s="167"/>
      <c r="Y12" s="167"/>
      <c r="Z12" s="167"/>
      <c r="AA12" s="167"/>
      <c r="AB12" s="168"/>
      <c r="AC12" s="168"/>
      <c r="AD12" s="168"/>
      <c r="AE12" s="168"/>
      <c r="AF12" s="168"/>
      <c r="AG12" s="168"/>
      <c r="AH12" s="167"/>
      <c r="AI12" s="167"/>
      <c r="AJ12" s="167"/>
      <c r="AK12" s="167"/>
      <c r="AL12" s="167"/>
      <c r="AM12" s="167"/>
      <c r="AN12" s="167"/>
      <c r="AO12" s="167"/>
      <c r="AP12" s="167"/>
      <c r="AQ12" s="167"/>
      <c r="AR12" s="3"/>
      <c r="AS12" s="3"/>
      <c r="AT12" s="3"/>
      <c r="AU12" s="3"/>
      <c r="AV12" s="3"/>
      <c r="AW12" s="3"/>
      <c r="AX12" s="3"/>
      <c r="AY12" s="69"/>
      <c r="AZ12" s="69"/>
      <c r="BA12" s="69"/>
      <c r="BB12" s="69"/>
      <c r="BC12" s="69"/>
      <c r="BD12" s="69"/>
      <c r="BE12" s="69"/>
      <c r="BF12" s="69"/>
      <c r="BG12" s="69"/>
      <c r="BH12" s="69"/>
      <c r="BI12" s="69"/>
      <c r="BJ12" s="69"/>
      <c r="BK12" s="69"/>
      <c r="BL12" s="69"/>
      <c r="BM12" s="69"/>
      <c r="BN12" s="69"/>
      <c r="BO12" s="69"/>
    </row>
    <row r="13" spans="1:67" x14ac:dyDescent="0.25">
      <c r="A13" s="116">
        <f>'DC-h2-sri-ipb2-27b'!B39</f>
        <v>54.551962000000003</v>
      </c>
      <c r="B13" s="116">
        <f>'DC-h2-sri-ipb2-27b'!G40</f>
        <v>0.59955435091916931</v>
      </c>
      <c r="C13" s="116">
        <f>'DC-h2-sri-ipb2-27b'!G41</f>
        <v>0.59019162460848063</v>
      </c>
      <c r="D13" s="116">
        <f>'DC-h2-sri-ipb2-27b'!G42</f>
        <v>0.58762306208397497</v>
      </c>
      <c r="E13" s="114">
        <f>'DC-h2-sri-ipb2-27b'!M14*100</f>
        <v>500</v>
      </c>
      <c r="F13" s="116">
        <f>'DC-h2-sri-ipb2-27b'!O14</f>
        <v>0.58076372300651835</v>
      </c>
      <c r="G13" s="117">
        <f>'DC-h2-sri-ipb2-27b'!P14</f>
        <v>0</v>
      </c>
      <c r="J13" s="69"/>
      <c r="K13" s="7"/>
      <c r="L13" s="7"/>
      <c r="M13" s="7"/>
      <c r="N13" s="7"/>
      <c r="O13" s="14"/>
      <c r="P13" s="9"/>
      <c r="Q13" s="69"/>
      <c r="R13" s="69"/>
      <c r="S13" s="69"/>
      <c r="T13" s="9"/>
      <c r="U13" s="18" t="s">
        <v>11</v>
      </c>
      <c r="V13" s="2" t="s">
        <v>55</v>
      </c>
      <c r="W13" s="168"/>
      <c r="X13" s="168"/>
      <c r="Y13" s="168"/>
      <c r="Z13" s="167"/>
      <c r="AA13" s="167"/>
      <c r="AB13" s="168"/>
      <c r="AC13" s="168"/>
      <c r="AD13" s="168"/>
      <c r="AE13" s="168"/>
      <c r="AF13" s="168"/>
      <c r="AG13" s="168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3"/>
      <c r="AS13" s="3"/>
      <c r="AT13" s="3"/>
      <c r="AU13" s="3"/>
      <c r="AV13" s="3"/>
      <c r="AW13" s="3"/>
      <c r="AX13" s="3"/>
      <c r="AY13" s="69"/>
      <c r="AZ13" s="69"/>
      <c r="BA13" s="69"/>
      <c r="BB13" s="69"/>
      <c r="BC13" s="69"/>
      <c r="BD13" s="69"/>
      <c r="BE13" s="69"/>
      <c r="BF13" s="69"/>
      <c r="BG13" s="69"/>
      <c r="BH13" s="69"/>
      <c r="BI13" s="69"/>
      <c r="BJ13" s="69"/>
      <c r="BK13" s="69"/>
      <c r="BL13" s="69"/>
      <c r="BM13" s="69"/>
      <c r="BN13" s="69"/>
      <c r="BO13" s="69"/>
    </row>
    <row r="14" spans="1:67" x14ac:dyDescent="0.25">
      <c r="B14" s="48"/>
      <c r="C14" s="3"/>
      <c r="D14" s="3"/>
      <c r="E14" s="114">
        <f>'DC-h2-sri-ipb2-27b'!M15*100</f>
        <v>550</v>
      </c>
      <c r="F14" s="116">
        <f>'DC-h2-sri-ipb2-27b'!O15</f>
        <v>0.59234652350947226</v>
      </c>
      <c r="G14" s="117">
        <f>'DC-h2-sri-ipb2-27b'!P15</f>
        <v>0</v>
      </c>
      <c r="J14" s="69"/>
      <c r="K14" s="3">
        <f>$V14-X14-AC14+$F$5*AC14+$G$5</f>
        <v>1.0086120311206841</v>
      </c>
      <c r="L14" s="3">
        <f>$V14-Y14-AD14+$F$5*AD14+$G$5</f>
        <v>1.2810572155524373</v>
      </c>
      <c r="M14" s="3">
        <f>$V14-Z14-AE14+$F$5*AE14+$G$5</f>
        <v>1.2566277258770606</v>
      </c>
      <c r="O14" s="52">
        <v>1</v>
      </c>
      <c r="P14" s="10"/>
      <c r="Q14" s="10">
        <f>($F$5*$O14*AC14+$G$5+$V14-X14)/(AC14*$O14)</f>
        <v>1.2407363515270164</v>
      </c>
      <c r="R14" s="10">
        <f t="shared" ref="R14" si="12">($F$5*$O14*AD14+$G$5+$V14-Y14)/(AD14*$O14)</f>
        <v>1.2675500131384727</v>
      </c>
      <c r="S14" s="10">
        <f t="shared" ref="S14" si="13">($F$5*$O14*AE14+$G$5+$V14-Z14)/(AE14*$O14)</f>
        <v>1.2998191139267385</v>
      </c>
      <c r="U14" s="19">
        <v>250</v>
      </c>
      <c r="V14" s="167">
        <v>19.0193149661017</v>
      </c>
      <c r="W14" s="167"/>
      <c r="X14" s="167">
        <v>15.8858887627119</v>
      </c>
      <c r="Y14" s="167">
        <v>15.3013082033898</v>
      </c>
      <c r="Z14" s="167">
        <v>15.637043372881401</v>
      </c>
      <c r="AA14" s="167"/>
      <c r="AB14" s="167"/>
      <c r="AC14" s="167">
        <v>4.1896955932203399</v>
      </c>
      <c r="AD14" s="167">
        <v>4.7881037288135602</v>
      </c>
      <c r="AE14" s="167">
        <v>4.1912862372881303</v>
      </c>
      <c r="AF14" s="167"/>
      <c r="AG14" s="167"/>
      <c r="AH14" s="167"/>
      <c r="AI14" s="167">
        <v>49.765824966101697</v>
      </c>
      <c r="AJ14" s="167">
        <v>49.524571508474601</v>
      </c>
      <c r="AK14" s="167">
        <v>49.546808661017003</v>
      </c>
      <c r="AL14" s="167"/>
      <c r="AM14" s="167"/>
      <c r="AN14" s="167"/>
      <c r="AO14" s="167">
        <v>1.7075863728813601</v>
      </c>
      <c r="AP14" s="167">
        <v>2.1835795932203399</v>
      </c>
      <c r="AQ14" s="167">
        <v>1.5727515762711901</v>
      </c>
      <c r="AR14" s="3"/>
      <c r="AS14" s="3"/>
      <c r="AT14" s="3"/>
      <c r="AU14" s="4">
        <v>31.791353186440698</v>
      </c>
      <c r="AV14" s="4">
        <v>30.188550457627102</v>
      </c>
      <c r="AW14" s="4">
        <v>31.673475661017001</v>
      </c>
      <c r="AZ14" s="3">
        <f t="shared" ref="AZ14:BB18" si="14">AI14-AC14-AO14-AU14</f>
        <v>12.077189813559297</v>
      </c>
      <c r="BA14" s="3">
        <f t="shared" si="14"/>
        <v>12.364337728813602</v>
      </c>
      <c r="BB14" s="3">
        <f t="shared" si="14"/>
        <v>12.109295186440683</v>
      </c>
      <c r="BC14" s="3">
        <f>AZ14/(AU14+AO14)</f>
        <v>0.36052454114770521</v>
      </c>
      <c r="BD14" s="3">
        <f>BA14/(AV14+AP14)</f>
        <v>0.38194390388870714</v>
      </c>
      <c r="BE14" s="3">
        <f>BB14/(AW14+AQ14)</f>
        <v>0.36423065691072404</v>
      </c>
      <c r="BF14" s="101">
        <f t="shared" ref="BF14:BH18" si="15">AC14+AO14+AU14</f>
        <v>37.688635152542396</v>
      </c>
      <c r="BG14" s="101">
        <f t="shared" si="15"/>
        <v>37.160233779660999</v>
      </c>
      <c r="BH14" s="101">
        <f t="shared" si="15"/>
        <v>37.437513474576321</v>
      </c>
    </row>
    <row r="15" spans="1:67" s="69" customFormat="1" x14ac:dyDescent="0.25">
      <c r="A15" s="34"/>
      <c r="B15" s="34"/>
      <c r="C15" s="34"/>
      <c r="D15" s="34"/>
      <c r="E15" s="114">
        <f>'DC-h2-sri-ipb2-27b'!M16*100</f>
        <v>600</v>
      </c>
      <c r="F15" s="116">
        <f>'DC-h2-sri-ipb2-27b'!O16</f>
        <v>0.59522736603583137</v>
      </c>
      <c r="G15" s="117">
        <f>'DC-h2-sri-ipb2-27b'!P16</f>
        <v>0</v>
      </c>
      <c r="I15" s="7"/>
      <c r="J15" s="7"/>
      <c r="K15" s="3">
        <f t="shared" ref="K15:K18" si="16">$V15-X15-AC15+$F$5*AC15+$G$5</f>
        <v>1.6166458218024116</v>
      </c>
      <c r="L15" s="3">
        <f t="shared" ref="L15:L18" si="17">$V15-Y15-AD15+$F$5*AD15+$G$5</f>
        <v>1.8975343680990511</v>
      </c>
      <c r="M15" s="3">
        <f t="shared" ref="M15:M18" si="18">$V15-Z15-AE15+$F$5*AE15+$G$5</f>
        <v>1.6744719498553167</v>
      </c>
      <c r="N15" s="1"/>
      <c r="O15" s="52">
        <v>1</v>
      </c>
      <c r="P15" s="10"/>
      <c r="Q15" s="10">
        <f>($F$6*$O15*AC15+$G$6+$V15-X15)/(AC15*$O15)</f>
        <v>1.3799696180269652</v>
      </c>
      <c r="R15" s="10">
        <f t="shared" ref="R15" si="19">($F$6*$O15*AD15+$G$6+$V15-Y15)/(AD15*$O15)</f>
        <v>1.3892037558269126</v>
      </c>
      <c r="S15" s="10">
        <f t="shared" ref="S15" si="20">($F$6*$O15*AE15+$G$6+$V15-Z15)/(AE15*$O15)</f>
        <v>1.3927651361266331</v>
      </c>
      <c r="T15" s="8"/>
      <c r="U15" s="19">
        <v>275</v>
      </c>
      <c r="V15" s="167">
        <v>21.894739203389801</v>
      </c>
      <c r="W15" s="167"/>
      <c r="X15" s="167">
        <v>18.016825745762699</v>
      </c>
      <c r="Y15" s="167">
        <v>17.400095627118599</v>
      </c>
      <c r="Z15" s="167">
        <v>17.9577933559322</v>
      </c>
      <c r="AA15" s="167"/>
      <c r="AB15" s="167"/>
      <c r="AC15" s="167">
        <v>4.4512963898305102</v>
      </c>
      <c r="AD15" s="167">
        <v>5.0951526949152504</v>
      </c>
      <c r="AE15" s="167">
        <v>4.4536089661016902</v>
      </c>
      <c r="AF15" s="167"/>
      <c r="AG15" s="167"/>
      <c r="AH15" s="167"/>
      <c r="AI15" s="167">
        <v>50.314390932203402</v>
      </c>
      <c r="AJ15" s="167">
        <v>50.351542474576299</v>
      </c>
      <c r="AK15" s="167">
        <v>50.371367491525397</v>
      </c>
      <c r="AL15" s="167"/>
      <c r="AM15" s="167"/>
      <c r="AN15" s="167"/>
      <c r="AO15" s="167">
        <v>1.32231233898305</v>
      </c>
      <c r="AP15" s="167">
        <v>2.0519396949152502</v>
      </c>
      <c r="AQ15" s="167">
        <v>1.3495886271186399</v>
      </c>
      <c r="AR15" s="3"/>
      <c r="AS15" s="3"/>
      <c r="AT15" s="3"/>
      <c r="AU15" s="4">
        <v>31.375543186440702</v>
      </c>
      <c r="AV15" s="4">
        <v>29.681224542372899</v>
      </c>
      <c r="AW15" s="4">
        <v>31.275937474576299</v>
      </c>
      <c r="AX15" s="1"/>
      <c r="AY15" s="1"/>
      <c r="AZ15" s="3">
        <f t="shared" si="14"/>
        <v>13.165239016949137</v>
      </c>
      <c r="BA15" s="3">
        <f t="shared" si="14"/>
        <v>13.523225542372902</v>
      </c>
      <c r="BB15" s="3">
        <f t="shared" si="14"/>
        <v>13.292232423728766</v>
      </c>
      <c r="BC15" s="3">
        <f t="shared" ref="BC15:BC18" si="21">AZ15/(AU15+AO15)</f>
        <v>0.40263310255049267</v>
      </c>
      <c r="BD15" s="3">
        <f t="shared" ref="BD15:BD18" si="22">BA15/(AV15+AP15)</f>
        <v>0.42615433624114912</v>
      </c>
      <c r="BE15" s="3">
        <f t="shared" ref="BE15:BE18" si="23">BB15/(AW15+AQ15)</f>
        <v>0.4074181787075678</v>
      </c>
      <c r="BF15" s="101">
        <f t="shared" si="15"/>
        <v>37.149151915254265</v>
      </c>
      <c r="BG15" s="101">
        <f t="shared" si="15"/>
        <v>36.8283169322034</v>
      </c>
      <c r="BH15" s="101">
        <f t="shared" si="15"/>
        <v>37.079135067796628</v>
      </c>
      <c r="BI15" s="1"/>
      <c r="BJ15" s="1"/>
      <c r="BK15" s="1"/>
      <c r="BL15" s="1"/>
      <c r="BM15" s="1"/>
      <c r="BN15" s="1"/>
      <c r="BO15" s="1"/>
    </row>
    <row r="16" spans="1:67" s="69" customFormat="1" ht="15" customHeight="1" x14ac:dyDescent="0.25">
      <c r="A16" s="74"/>
      <c r="B16" s="48"/>
      <c r="C16" s="3"/>
      <c r="D16" s="3"/>
      <c r="E16" s="8"/>
      <c r="F16" s="34"/>
      <c r="G16" s="35"/>
      <c r="I16" s="7"/>
      <c r="J16" s="7"/>
      <c r="K16" s="3">
        <f t="shared" si="16"/>
        <v>1.7619888359075309</v>
      </c>
      <c r="L16" s="3">
        <f t="shared" si="17"/>
        <v>2.1619591538927194</v>
      </c>
      <c r="M16" s="3">
        <f t="shared" si="18"/>
        <v>1.8305272552474912</v>
      </c>
      <c r="N16" s="1"/>
      <c r="O16" s="52">
        <v>1</v>
      </c>
      <c r="P16" s="10"/>
      <c r="Q16" s="10">
        <f>($F$7*$O16*AC16+$G$7+$V16-X16)/(AC16*$O16)</f>
        <v>1.4196715187504418</v>
      </c>
      <c r="R16" s="10">
        <f t="shared" ref="R16" si="24">($F$7*$O16*AD16+$G$7+$V16-Y16)/(AD16*$O16)</f>
        <v>1.4430343737355691</v>
      </c>
      <c r="S16" s="10">
        <f t="shared" ref="S16" si="25">($F$7*$O16*AE16+$G$7+$V16-Z16)/(AE16*$O16)</f>
        <v>1.4336178216777389</v>
      </c>
      <c r="T16" s="8"/>
      <c r="U16" s="19">
        <v>300</v>
      </c>
      <c r="V16" s="167">
        <v>24.784996983050899</v>
      </c>
      <c r="W16" s="167"/>
      <c r="X16" s="167">
        <v>20.649974118644099</v>
      </c>
      <c r="Y16" s="167">
        <v>19.882448847457599</v>
      </c>
      <c r="Z16" s="167">
        <v>20.5769487966102</v>
      </c>
      <c r="AA16" s="167"/>
      <c r="AB16" s="167"/>
      <c r="AC16" s="167">
        <v>4.6655685423728803</v>
      </c>
      <c r="AD16" s="167">
        <v>5.3702239322033902</v>
      </c>
      <c r="AE16" s="167">
        <v>4.67417057627119</v>
      </c>
      <c r="AF16" s="167"/>
      <c r="AG16" s="167"/>
      <c r="AH16" s="167"/>
      <c r="AI16" s="167">
        <v>50.177084881355903</v>
      </c>
      <c r="AJ16" s="167">
        <v>50.2239170847458</v>
      </c>
      <c r="AK16" s="167">
        <v>50.245211915254202</v>
      </c>
      <c r="AL16" s="167"/>
      <c r="AM16" s="167"/>
      <c r="AN16" s="167"/>
      <c r="AO16" s="167">
        <v>1.2161563050847499</v>
      </c>
      <c r="AP16" s="167">
        <v>2.1310522542372898</v>
      </c>
      <c r="AQ16" s="167">
        <v>1.09098886440678</v>
      </c>
      <c r="AR16" s="3"/>
      <c r="AS16" s="3"/>
      <c r="AT16" s="3"/>
      <c r="AU16" s="4">
        <v>30.8001514745763</v>
      </c>
      <c r="AV16" s="4">
        <v>29.046831440678002</v>
      </c>
      <c r="AW16" s="4">
        <v>30.944100474576299</v>
      </c>
      <c r="AX16" s="1"/>
      <c r="AY16" s="1"/>
      <c r="AZ16" s="3">
        <f t="shared" si="14"/>
        <v>13.49520855932197</v>
      </c>
      <c r="BA16" s="3">
        <f t="shared" si="14"/>
        <v>13.675809457627121</v>
      </c>
      <c r="BB16" s="3">
        <f t="shared" si="14"/>
        <v>13.535951999999934</v>
      </c>
      <c r="BC16" s="3">
        <f t="shared" si="21"/>
        <v>0.42151045811394439</v>
      </c>
      <c r="BD16" s="3">
        <f t="shared" si="22"/>
        <v>0.43863815746600748</v>
      </c>
      <c r="BE16" s="3">
        <f t="shared" si="23"/>
        <v>0.42253517250311562</v>
      </c>
      <c r="BF16" s="101">
        <f t="shared" si="15"/>
        <v>36.681876322033929</v>
      </c>
      <c r="BG16" s="101">
        <f t="shared" si="15"/>
        <v>36.548107627118682</v>
      </c>
      <c r="BH16" s="101">
        <f t="shared" si="15"/>
        <v>36.709259915254272</v>
      </c>
      <c r="BI16" s="1"/>
      <c r="BJ16" s="1"/>
      <c r="BK16" s="1"/>
      <c r="BL16" s="1"/>
      <c r="BM16" s="1"/>
      <c r="BN16" s="1"/>
      <c r="BO16" s="1"/>
    </row>
    <row r="17" spans="1:67" s="69" customFormat="1" x14ac:dyDescent="0.25">
      <c r="A17" s="74"/>
      <c r="E17" s="8"/>
      <c r="F17" s="34"/>
      <c r="G17" s="35"/>
      <c r="I17" s="7"/>
      <c r="J17" s="7"/>
      <c r="K17" s="3">
        <f t="shared" si="16"/>
        <v>1.9106183382131121</v>
      </c>
      <c r="L17" s="3">
        <f t="shared" si="17"/>
        <v>2.3668605723425302</v>
      </c>
      <c r="M17" s="3">
        <f t="shared" si="18"/>
        <v>1.9952370343048162</v>
      </c>
      <c r="N17" s="7"/>
      <c r="O17" s="52">
        <v>1</v>
      </c>
      <c r="P17" s="10"/>
      <c r="Q17" s="10">
        <f>($F$8*$O17*AC17+$G$8+$V17-X17)/(AC17*$O17)</f>
        <v>1.4566813838529045</v>
      </c>
      <c r="R17" s="10">
        <f t="shared" ref="R17" si="26">($F$8*$O17*AD17+$G$8+$V17-Y17)/(AD17*$O17)</f>
        <v>1.4831625776576591</v>
      </c>
      <c r="S17" s="10">
        <f t="shared" ref="S17" si="27">($F$8*$O17*AE17+$G$8+$V17-Z17)/(AE17*$O17)</f>
        <v>1.4744481095084006</v>
      </c>
      <c r="T17" s="9"/>
      <c r="U17" s="19">
        <v>325</v>
      </c>
      <c r="V17" s="167">
        <v>27.899126898305099</v>
      </c>
      <c r="W17" s="167"/>
      <c r="X17" s="167">
        <v>23.559798745762699</v>
      </c>
      <c r="Y17" s="167">
        <v>22.7111472542373</v>
      </c>
      <c r="Z17" s="167">
        <v>23.4753858644068</v>
      </c>
      <c r="AA17" s="167"/>
      <c r="AB17" s="170"/>
      <c r="AC17" s="167">
        <v>4.77230698305085</v>
      </c>
      <c r="AD17" s="167">
        <v>5.5246116271186398</v>
      </c>
      <c r="AE17" s="167">
        <v>4.7719124067796601</v>
      </c>
      <c r="AF17" s="170"/>
      <c r="AG17" s="170"/>
      <c r="AH17" s="167"/>
      <c r="AI17" s="167">
        <v>50.002893999999998</v>
      </c>
      <c r="AJ17" s="167">
        <v>50.044345322033898</v>
      </c>
      <c r="AK17" s="167">
        <v>50.069921915254199</v>
      </c>
      <c r="AL17" s="167"/>
      <c r="AM17" s="167"/>
      <c r="AN17" s="167"/>
      <c r="AO17" s="167">
        <v>1.43127254237288</v>
      </c>
      <c r="AP17" s="167">
        <v>2.3288359322033898</v>
      </c>
      <c r="AQ17" s="167">
        <v>1.4142213050847501</v>
      </c>
      <c r="AR17" s="3"/>
      <c r="AS17" s="3"/>
      <c r="AT17" s="3"/>
      <c r="AU17" s="4">
        <v>30.765899016949099</v>
      </c>
      <c r="AV17" s="4">
        <v>28.948359</v>
      </c>
      <c r="AW17" s="4">
        <v>30.863497711864401</v>
      </c>
      <c r="AX17" s="3"/>
      <c r="AZ17" s="3">
        <f t="shared" si="14"/>
        <v>13.033415457627164</v>
      </c>
      <c r="BA17" s="3">
        <f t="shared" si="14"/>
        <v>13.24253876271187</v>
      </c>
      <c r="BB17" s="3">
        <f t="shared" si="14"/>
        <v>13.020290491525383</v>
      </c>
      <c r="BC17" s="3">
        <f t="shared" si="21"/>
        <v>0.40480001274688449</v>
      </c>
      <c r="BD17" s="3">
        <f t="shared" si="22"/>
        <v>0.42339278798551039</v>
      </c>
      <c r="BE17" s="3">
        <f t="shared" si="23"/>
        <v>0.4033832280616973</v>
      </c>
      <c r="BF17" s="101">
        <f t="shared" si="15"/>
        <v>36.969478542372826</v>
      </c>
      <c r="BG17" s="101">
        <f t="shared" si="15"/>
        <v>36.801806559322031</v>
      </c>
      <c r="BH17" s="101">
        <f t="shared" si="15"/>
        <v>37.049631423728812</v>
      </c>
    </row>
    <row r="18" spans="1:67" s="69" customFormat="1" ht="15" customHeight="1" x14ac:dyDescent="0.25">
      <c r="A18" s="74"/>
      <c r="B18" s="129"/>
      <c r="C18" s="129"/>
      <c r="D18" s="129"/>
      <c r="E18" s="129"/>
      <c r="F18" s="129"/>
      <c r="G18" s="130"/>
      <c r="I18" s="7"/>
      <c r="J18" s="7"/>
      <c r="K18" s="3">
        <f t="shared" si="16"/>
        <v>0.92922248196479162</v>
      </c>
      <c r="L18" s="3">
        <f t="shared" si="17"/>
        <v>1.0498221004699939</v>
      </c>
      <c r="M18" s="3">
        <f t="shared" si="18"/>
        <v>1.1184360771975157</v>
      </c>
      <c r="N18" s="7"/>
      <c r="O18" s="52">
        <v>1</v>
      </c>
      <c r="P18" s="10"/>
      <c r="Q18" s="10">
        <f>($F$11*$O18*AC18+$G$11+$V18-X18)/(AC18*$O18)</f>
        <v>1.3153189359221356</v>
      </c>
      <c r="R18" s="10">
        <f t="shared" ref="R18" si="28">($F$11*$O18*AD18+$G$11+$V18-Y18)/(AD18*$O18)</f>
        <v>1.3216780276667015</v>
      </c>
      <c r="S18" s="10">
        <f t="shared" ref="S18" si="29">($F$11*$O18*AE18+$G$11+$V18-Z18)/(AE18*$O18)</f>
        <v>1.3611823299173451</v>
      </c>
      <c r="T18" s="9"/>
      <c r="U18" s="19">
        <v>400</v>
      </c>
      <c r="V18" s="167">
        <v>38.1627072033898</v>
      </c>
      <c r="W18" s="167"/>
      <c r="X18" s="167">
        <v>35.155982423728801</v>
      </c>
      <c r="Y18" s="167">
        <v>34.831161135593199</v>
      </c>
      <c r="Z18" s="167">
        <v>34.964503999999998</v>
      </c>
      <c r="AA18" s="167"/>
      <c r="AB18" s="170"/>
      <c r="AC18" s="167">
        <v>4.09899196610169</v>
      </c>
      <c r="AD18" s="167">
        <v>4.4905141016949202</v>
      </c>
      <c r="AE18" s="167">
        <v>4.1033339661017001</v>
      </c>
      <c r="AF18" s="170"/>
      <c r="AG18" s="170"/>
      <c r="AH18" s="167"/>
      <c r="AI18" s="167">
        <v>49.802685152542402</v>
      </c>
      <c r="AJ18" s="167">
        <v>49.872729627118702</v>
      </c>
      <c r="AK18" s="167">
        <v>49.886746254237302</v>
      </c>
      <c r="AL18" s="167"/>
      <c r="AM18" s="167"/>
      <c r="AN18" s="167"/>
      <c r="AO18" s="167">
        <v>1.3413003050847501</v>
      </c>
      <c r="AP18" s="167">
        <v>2.3660325932203401</v>
      </c>
      <c r="AQ18" s="167">
        <v>1.68850330508475</v>
      </c>
      <c r="AR18" s="3"/>
      <c r="AS18" s="3"/>
      <c r="AT18" s="3"/>
      <c r="AU18" s="4">
        <v>31.679527355932201</v>
      </c>
      <c r="AV18" s="4">
        <v>30.586697864406801</v>
      </c>
      <c r="AW18" s="4">
        <v>31.6821223050847</v>
      </c>
      <c r="AX18" s="3"/>
      <c r="AZ18" s="3">
        <f t="shared" si="14"/>
        <v>12.682865525423757</v>
      </c>
      <c r="BA18" s="3">
        <f t="shared" si="14"/>
        <v>12.429485067796641</v>
      </c>
      <c r="BB18" s="3">
        <f t="shared" si="14"/>
        <v>12.41278667796615</v>
      </c>
      <c r="BC18" s="3">
        <f t="shared" si="21"/>
        <v>0.38408684529723747</v>
      </c>
      <c r="BD18" s="3">
        <f t="shared" si="22"/>
        <v>0.37719135547141736</v>
      </c>
      <c r="BE18" s="3">
        <f t="shared" si="23"/>
        <v>0.37196745493987521</v>
      </c>
      <c r="BF18" s="101">
        <f t="shared" si="15"/>
        <v>37.119819627118645</v>
      </c>
      <c r="BG18" s="101">
        <f t="shared" si="15"/>
        <v>37.443244559322061</v>
      </c>
      <c r="BH18" s="101">
        <f t="shared" si="15"/>
        <v>37.473959576271149</v>
      </c>
    </row>
    <row r="19" spans="1:67" s="69" customFormat="1" ht="15" customHeight="1" x14ac:dyDescent="0.25">
      <c r="A19" s="74"/>
      <c r="B19" s="129"/>
      <c r="C19" s="129"/>
      <c r="D19" s="129"/>
      <c r="E19" s="129"/>
      <c r="F19" s="129"/>
      <c r="G19" s="130"/>
      <c r="I19" s="7"/>
      <c r="J19" s="7"/>
      <c r="K19" s="7"/>
      <c r="L19" s="7"/>
      <c r="M19" s="7"/>
      <c r="N19" s="7"/>
      <c r="O19" s="14"/>
      <c r="P19" s="9"/>
      <c r="T19" s="9"/>
      <c r="U19" s="19"/>
      <c r="V19" s="169"/>
      <c r="W19" s="167"/>
      <c r="X19" s="169" t="s">
        <v>27</v>
      </c>
      <c r="Y19" s="169"/>
      <c r="Z19" s="169"/>
      <c r="AA19" s="167"/>
      <c r="AB19" s="168"/>
      <c r="AC19" s="171" t="s">
        <v>25</v>
      </c>
      <c r="AD19" s="168"/>
      <c r="AE19" s="168"/>
      <c r="AF19" s="168"/>
      <c r="AG19" s="168"/>
      <c r="AH19" s="167"/>
      <c r="AI19" s="167"/>
      <c r="AJ19" s="167"/>
      <c r="AK19" s="167"/>
      <c r="AL19" s="167"/>
      <c r="AM19" s="167"/>
      <c r="AN19" s="167"/>
      <c r="AO19" s="167"/>
      <c r="AP19" s="167"/>
      <c r="AQ19" s="167"/>
      <c r="AR19" s="3"/>
      <c r="AS19" s="3"/>
      <c r="AT19" s="3"/>
      <c r="AU19" s="3"/>
      <c r="AV19" s="3"/>
      <c r="AW19" s="3"/>
      <c r="AX19" s="3"/>
    </row>
    <row r="20" spans="1:67" s="69" customFormat="1" ht="15" customHeight="1" x14ac:dyDescent="0.25">
      <c r="A20" s="74"/>
      <c r="B20" s="129"/>
      <c r="C20" s="129"/>
      <c r="D20" s="129"/>
      <c r="E20" s="129"/>
      <c r="F20" s="129"/>
      <c r="G20" s="130"/>
      <c r="I20" s="7"/>
      <c r="J20" s="7"/>
      <c r="K20" s="7"/>
      <c r="L20" s="7"/>
      <c r="M20" s="7"/>
      <c r="N20" s="7"/>
      <c r="O20" s="14"/>
      <c r="P20" s="9"/>
      <c r="T20" s="9"/>
      <c r="U20" s="19"/>
      <c r="V20" s="167"/>
      <c r="W20" s="167"/>
      <c r="X20" s="167">
        <f>$V14-X14</f>
        <v>3.1334262033897993</v>
      </c>
      <c r="Y20" s="167">
        <f t="shared" ref="Y20:Z20" si="30">$V14-Y14</f>
        <v>3.7180067627118998</v>
      </c>
      <c r="Z20" s="167">
        <f t="shared" si="30"/>
        <v>3.3822715932202989</v>
      </c>
      <c r="AA20" s="167"/>
      <c r="AB20" s="168"/>
      <c r="AC20" s="168">
        <f>AC6/($V6-X6)</f>
        <v>1.2674819161975848</v>
      </c>
      <c r="AD20" s="168">
        <f t="shared" ref="AD20:AE24" si="31">AD6/($V6-Y6)</f>
        <v>1.2652843062160126</v>
      </c>
      <c r="AE20" s="168">
        <f t="shared" si="31"/>
        <v>1.2136841604192681</v>
      </c>
      <c r="AF20" s="168"/>
      <c r="AG20" s="168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3"/>
      <c r="AS20" s="3"/>
      <c r="AT20" s="3"/>
      <c r="AU20" s="3"/>
      <c r="AV20" s="3"/>
      <c r="AW20" s="3"/>
      <c r="AX20" s="3"/>
      <c r="BE20" s="1"/>
      <c r="BF20" s="3"/>
    </row>
    <row r="21" spans="1:67" ht="15" customHeight="1" x14ac:dyDescent="0.25">
      <c r="B21" s="47"/>
      <c r="E21" s="9"/>
      <c r="F21" s="9"/>
      <c r="G21" s="36"/>
      <c r="K21" s="7"/>
      <c r="L21" s="7"/>
      <c r="M21" s="7"/>
      <c r="N21" s="7"/>
      <c r="O21" s="14"/>
      <c r="P21" s="9"/>
      <c r="Q21" s="69"/>
      <c r="R21" s="69"/>
      <c r="S21" s="69"/>
      <c r="T21" s="9"/>
      <c r="U21" s="19"/>
      <c r="V21" s="167"/>
      <c r="W21" s="167"/>
      <c r="X21" s="167">
        <f t="shared" ref="X21:Z24" si="32">$V15-X15</f>
        <v>3.8779134576271019</v>
      </c>
      <c r="Y21" s="167">
        <f t="shared" si="32"/>
        <v>4.4946435762712014</v>
      </c>
      <c r="Z21" s="167">
        <f t="shared" si="32"/>
        <v>3.9369458474576007</v>
      </c>
      <c r="AA21" s="167"/>
      <c r="AB21" s="168"/>
      <c r="AC21" s="168">
        <f t="shared" ref="AC21:AC24" si="33">AC7/($V7-X7)</f>
        <v>1.1579587128737308</v>
      </c>
      <c r="AD21" s="168">
        <f t="shared" si="31"/>
        <v>1.1672508878335022</v>
      </c>
      <c r="AE21" s="168">
        <f t="shared" si="31"/>
        <v>1.1524480082693289</v>
      </c>
      <c r="AF21" s="168"/>
      <c r="AG21" s="168"/>
      <c r="AH21" s="167"/>
      <c r="AI21" s="167"/>
      <c r="AJ21" s="167"/>
      <c r="AK21" s="167"/>
      <c r="AL21" s="167"/>
      <c r="AM21" s="167"/>
      <c r="AN21" s="167"/>
      <c r="AO21" s="167"/>
      <c r="AP21" s="167"/>
      <c r="AQ21" s="167"/>
      <c r="AR21" s="3"/>
      <c r="AS21" s="3"/>
      <c r="AT21" s="3"/>
      <c r="AU21" s="3"/>
      <c r="AV21" s="3"/>
      <c r="AW21" s="3"/>
      <c r="AX21" s="3"/>
      <c r="AY21" s="69"/>
      <c r="AZ21" s="69"/>
      <c r="BA21" s="69"/>
      <c r="BB21" s="69"/>
      <c r="BC21" s="69"/>
      <c r="BD21" s="69"/>
      <c r="BG21" s="69"/>
      <c r="BH21" s="69"/>
      <c r="BI21" s="69"/>
      <c r="BJ21" s="69"/>
      <c r="BK21" s="69"/>
      <c r="BL21" s="69"/>
      <c r="BM21" s="69"/>
      <c r="BN21" s="69"/>
      <c r="BO21" s="69"/>
    </row>
    <row r="22" spans="1:67" ht="15" customHeight="1" x14ac:dyDescent="0.25">
      <c r="B22" s="47"/>
      <c r="E22" s="9"/>
      <c r="F22" s="9"/>
      <c r="G22" s="36"/>
      <c r="K22" s="7"/>
      <c r="L22" s="7"/>
      <c r="M22" s="7"/>
      <c r="N22" s="7"/>
      <c r="O22" s="14"/>
      <c r="P22" s="9"/>
      <c r="Q22" s="69"/>
      <c r="R22" s="69"/>
      <c r="S22" s="69"/>
      <c r="T22" s="9"/>
      <c r="U22" s="19"/>
      <c r="V22" s="167"/>
      <c r="W22" s="167"/>
      <c r="X22" s="167">
        <f t="shared" si="32"/>
        <v>4.1350228644067997</v>
      </c>
      <c r="Y22" s="167">
        <f t="shared" si="32"/>
        <v>4.9025481355932996</v>
      </c>
      <c r="Z22" s="167">
        <f t="shared" si="32"/>
        <v>4.2080481864406991</v>
      </c>
      <c r="AA22" s="167"/>
      <c r="AB22" s="168"/>
      <c r="AC22" s="168">
        <f t="shared" si="33"/>
        <v>1.1310435144285604</v>
      </c>
      <c r="AD22" s="168">
        <f t="shared" si="31"/>
        <v>1.1147158495953995</v>
      </c>
      <c r="AE22" s="168">
        <f t="shared" si="31"/>
        <v>1.1140159852303595</v>
      </c>
      <c r="AF22" s="168"/>
      <c r="AG22" s="168"/>
      <c r="AH22" s="167"/>
      <c r="AI22" s="167"/>
      <c r="AJ22" s="167"/>
      <c r="AK22" s="167"/>
      <c r="AL22" s="167"/>
      <c r="AM22" s="167"/>
      <c r="AN22" s="167"/>
      <c r="AO22" s="167"/>
      <c r="AP22" s="167"/>
      <c r="AQ22" s="167"/>
      <c r="AR22" s="3"/>
      <c r="AS22" s="3"/>
      <c r="AT22" s="3"/>
      <c r="AU22" s="3"/>
      <c r="AV22" s="3"/>
      <c r="AW22" s="3"/>
      <c r="AX22" s="3"/>
      <c r="AY22" s="69"/>
      <c r="AZ22" s="69"/>
      <c r="BA22" s="69"/>
      <c r="BB22" s="69"/>
      <c r="BC22" s="69"/>
      <c r="BD22" s="69"/>
      <c r="BG22" s="69"/>
      <c r="BH22" s="69"/>
      <c r="BI22" s="69"/>
      <c r="BJ22" s="69"/>
      <c r="BK22" s="69"/>
      <c r="BL22" s="69"/>
      <c r="BM22" s="69"/>
      <c r="BN22" s="69"/>
      <c r="BO22" s="69"/>
    </row>
    <row r="23" spans="1:67" ht="15" customHeight="1" x14ac:dyDescent="0.25">
      <c r="B23" s="47"/>
      <c r="E23" s="9"/>
      <c r="F23" s="9"/>
      <c r="G23" s="36"/>
      <c r="U23" s="18"/>
      <c r="V23" s="169"/>
      <c r="W23" s="167"/>
      <c r="X23" s="167">
        <f t="shared" si="32"/>
        <v>4.3393281525424001</v>
      </c>
      <c r="Y23" s="167">
        <f t="shared" si="32"/>
        <v>5.1879796440677985</v>
      </c>
      <c r="Z23" s="167">
        <f t="shared" si="32"/>
        <v>4.423741033898299</v>
      </c>
      <c r="AA23" s="167"/>
      <c r="AB23" s="169"/>
      <c r="AC23" s="168">
        <f t="shared" si="33"/>
        <v>1.098520472406014</v>
      </c>
      <c r="AD23" s="168">
        <f t="shared" si="31"/>
        <v>1.0849065459121017</v>
      </c>
      <c r="AE23" s="168">
        <f t="shared" si="31"/>
        <v>1.0830099661759809</v>
      </c>
      <c r="AF23" s="169"/>
      <c r="AG23" s="169"/>
      <c r="AH23" s="169"/>
      <c r="AI23" s="169"/>
      <c r="AJ23" s="169"/>
      <c r="AK23" s="169"/>
      <c r="AL23" s="169"/>
      <c r="AM23" s="169"/>
      <c r="AN23" s="169"/>
      <c r="AO23" s="169"/>
      <c r="AP23" s="169"/>
      <c r="AQ23" s="169"/>
    </row>
    <row r="24" spans="1:67" s="69" customFormat="1" ht="15" customHeight="1" x14ac:dyDescent="0.25">
      <c r="A24" s="74"/>
      <c r="B24" s="47"/>
      <c r="C24" s="156"/>
      <c r="D24" s="156"/>
      <c r="E24" s="9"/>
      <c r="F24" s="9"/>
      <c r="G24" s="36"/>
      <c r="H24" s="1"/>
      <c r="I24" s="7"/>
      <c r="J24" s="7"/>
      <c r="K24" s="1"/>
      <c r="L24" s="1"/>
      <c r="M24" s="1"/>
      <c r="N24" s="1"/>
      <c r="O24" s="15"/>
      <c r="P24" s="8"/>
      <c r="Q24" s="3"/>
      <c r="R24" s="1"/>
      <c r="S24" s="1"/>
      <c r="T24" s="8"/>
      <c r="U24" s="42"/>
      <c r="V24" s="169"/>
      <c r="W24" s="167"/>
      <c r="X24" s="167">
        <f t="shared" si="32"/>
        <v>3.006724779660999</v>
      </c>
      <c r="Y24" s="167">
        <f t="shared" si="32"/>
        <v>3.3315460677966016</v>
      </c>
      <c r="Z24" s="167">
        <f t="shared" si="32"/>
        <v>3.1982032033898022</v>
      </c>
      <c r="AA24" s="167"/>
      <c r="AB24" s="169"/>
      <c r="AC24" s="168">
        <f t="shared" si="33"/>
        <v>1.343323691293314</v>
      </c>
      <c r="AD24" s="168">
        <f t="shared" si="31"/>
        <v>1.3981849623392497</v>
      </c>
      <c r="AE24" s="168">
        <f t="shared" si="31"/>
        <v>1.2711431179898547</v>
      </c>
      <c r="AF24" s="169"/>
      <c r="AG24" s="169"/>
      <c r="AH24" s="169"/>
      <c r="AI24" s="169"/>
      <c r="AJ24" s="169"/>
      <c r="AK24" s="169"/>
      <c r="AL24" s="169"/>
      <c r="AM24" s="169"/>
      <c r="AN24" s="169"/>
      <c r="AO24" s="169"/>
      <c r="AP24" s="169"/>
      <c r="AQ24" s="169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s="69" customFormat="1" x14ac:dyDescent="0.25">
      <c r="A25" s="74"/>
      <c r="B25" s="47"/>
      <c r="C25" s="156"/>
      <c r="D25" s="156"/>
      <c r="E25" s="9"/>
      <c r="F25" s="9"/>
      <c r="G25" s="36"/>
      <c r="H25" s="1"/>
      <c r="I25" s="7"/>
      <c r="J25" s="7"/>
      <c r="K25" s="1"/>
      <c r="L25" s="1"/>
      <c r="M25" s="1"/>
      <c r="N25" s="1"/>
      <c r="O25" s="15"/>
      <c r="P25" s="8"/>
      <c r="Q25" s="1"/>
      <c r="R25" s="1"/>
      <c r="S25" s="1"/>
      <c r="T25" s="8"/>
      <c r="U25" s="18" t="s">
        <v>103</v>
      </c>
      <c r="V25" s="169"/>
      <c r="W25" s="167"/>
      <c r="X25" s="167"/>
      <c r="Y25" s="169"/>
      <c r="Z25" s="169"/>
      <c r="AA25" s="167"/>
      <c r="AB25" s="169"/>
      <c r="AC25" s="168"/>
      <c r="AD25" s="169"/>
      <c r="AE25" s="169"/>
      <c r="AF25" s="169"/>
      <c r="AG25" s="169"/>
      <c r="AH25" s="169"/>
      <c r="AI25" s="169"/>
      <c r="AJ25" s="169"/>
      <c r="AK25" s="169"/>
      <c r="AL25" s="169"/>
      <c r="AM25" s="169"/>
      <c r="AN25" s="169"/>
      <c r="AO25" s="169"/>
      <c r="AP25" s="169"/>
      <c r="AQ25" s="169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s="69" customFormat="1" x14ac:dyDescent="0.25">
      <c r="A26" s="74"/>
      <c r="B26" s="47"/>
      <c r="E26" s="10"/>
      <c r="F26" s="10"/>
      <c r="G26" s="37"/>
      <c r="I26" s="7"/>
      <c r="J26" s="7"/>
      <c r="K26" s="7"/>
      <c r="L26" s="7"/>
      <c r="M26" s="7"/>
      <c r="N26" s="7"/>
      <c r="O26" s="14"/>
      <c r="P26" s="8"/>
      <c r="Q26" s="10"/>
      <c r="R26" s="10"/>
      <c r="S26" s="10"/>
      <c r="T26" s="8"/>
      <c r="U26" s="18" t="s">
        <v>62</v>
      </c>
      <c r="V26" s="2" t="s">
        <v>97</v>
      </c>
      <c r="W26" s="167"/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7"/>
      <c r="AI26" s="167"/>
      <c r="AJ26" s="167"/>
      <c r="AK26" s="167"/>
      <c r="AL26" s="167"/>
      <c r="AM26" s="167"/>
      <c r="AN26" s="167"/>
      <c r="AO26" s="167"/>
      <c r="AP26" s="167"/>
      <c r="AQ26" s="167"/>
      <c r="AR26" s="23"/>
      <c r="AS26" s="23"/>
      <c r="AT26" s="23"/>
      <c r="AU26" s="3"/>
      <c r="AV26" s="3"/>
      <c r="AW26" s="3"/>
      <c r="AX26" s="4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s="69" customFormat="1" x14ac:dyDescent="0.25">
      <c r="A27" s="74"/>
      <c r="B27" s="47"/>
      <c r="E27" s="10"/>
      <c r="F27" s="10"/>
      <c r="G27" s="37"/>
      <c r="I27" s="7"/>
      <c r="J27" s="7"/>
      <c r="K27" s="7"/>
      <c r="L27" s="7"/>
      <c r="M27" s="7"/>
      <c r="N27" s="7"/>
      <c r="O27" s="14"/>
      <c r="P27" s="8"/>
      <c r="Q27" s="10"/>
      <c r="R27" s="10"/>
      <c r="S27" s="10"/>
      <c r="T27" s="8"/>
      <c r="U27" s="18" t="s">
        <v>11</v>
      </c>
      <c r="V27" s="2" t="s">
        <v>102</v>
      </c>
      <c r="W27" s="167"/>
      <c r="X27" s="167"/>
      <c r="Y27" s="167"/>
      <c r="Z27" s="167"/>
      <c r="AA27" s="167"/>
      <c r="AB27" s="167"/>
      <c r="AC27" s="167"/>
      <c r="AD27" s="167"/>
      <c r="AE27" s="167"/>
      <c r="AF27" s="167"/>
      <c r="AG27" s="167"/>
      <c r="AH27" s="167"/>
      <c r="AI27" s="167"/>
      <c r="AJ27" s="167"/>
      <c r="AK27" s="167"/>
      <c r="AL27" s="167"/>
      <c r="AM27" s="167"/>
      <c r="AN27" s="167"/>
      <c r="AO27" s="167"/>
      <c r="AP27" s="167"/>
      <c r="AQ27" s="167"/>
      <c r="AR27" s="23"/>
      <c r="AS27" s="23"/>
      <c r="AT27" s="23"/>
      <c r="AU27" s="3"/>
      <c r="AV27" s="3"/>
      <c r="AW27" s="3"/>
      <c r="AX27" s="4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s="69" customFormat="1" x14ac:dyDescent="0.25">
      <c r="A28" s="74"/>
      <c r="E28" s="9"/>
      <c r="F28" s="9"/>
      <c r="G28" s="36"/>
      <c r="I28" s="7"/>
      <c r="J28" s="7"/>
      <c r="K28" s="3"/>
      <c r="L28" s="3"/>
      <c r="M28" s="3"/>
      <c r="N28" s="7"/>
      <c r="O28" s="52">
        <v>1</v>
      </c>
      <c r="P28" s="10"/>
      <c r="Q28" s="10">
        <f>($F$3*$O28*AC28+$G$3+$V28-X28)/(AC28*$O28)</f>
        <v>0.99144581599116655</v>
      </c>
      <c r="R28" s="10">
        <f>($F$3*$O28*AD28+$G$3+$V28-Y28)/(AD28*$O28)</f>
        <v>0.98459811266875452</v>
      </c>
      <c r="S28" s="10">
        <f>($F$3*$O28*AE28+$G$3+$V28-Z28)/(AE28*$O28)</f>
        <v>0.99930511827310076</v>
      </c>
      <c r="T28" s="8"/>
      <c r="U28" s="166">
        <v>150</v>
      </c>
      <c r="V28" s="167">
        <v>9.3700990344827595</v>
      </c>
      <c r="W28" s="167"/>
      <c r="X28" s="167">
        <v>8.2174168275862094</v>
      </c>
      <c r="Y28" s="167">
        <v>8.0710591724137899</v>
      </c>
      <c r="Z28" s="167">
        <v>8.20183120689655</v>
      </c>
      <c r="AA28" s="167"/>
      <c r="AB28" s="167"/>
      <c r="AC28" s="167">
        <v>2.0398785172413798</v>
      </c>
      <c r="AD28" s="167">
        <v>2.31931031034483</v>
      </c>
      <c r="AE28" s="167">
        <v>2.0391199310344801</v>
      </c>
      <c r="AF28" s="167"/>
      <c r="AG28" s="167"/>
      <c r="AH28" s="167">
        <v>1.5877118275862101</v>
      </c>
      <c r="AI28" s="167">
        <v>29.8871708275862</v>
      </c>
      <c r="AJ28" s="167">
        <v>29.9145390344828</v>
      </c>
      <c r="AK28" s="167">
        <v>29.930208620689701</v>
      </c>
      <c r="AL28" s="167"/>
      <c r="AM28" s="167"/>
      <c r="AN28" s="167">
        <v>-2.21029996551724</v>
      </c>
      <c r="AO28" s="167">
        <v>0.27968668965517202</v>
      </c>
      <c r="AP28" s="167">
        <v>0.94139203448275899</v>
      </c>
      <c r="AQ28" s="167">
        <v>0.39802075862068997</v>
      </c>
      <c r="AR28" s="23"/>
      <c r="AS28" s="23"/>
      <c r="AT28" s="4">
        <v>-1.4604038965517201</v>
      </c>
      <c r="AU28" s="4">
        <v>19.236872620689699</v>
      </c>
      <c r="AV28" s="4">
        <v>18.383329034482799</v>
      </c>
      <c r="AW28" s="4">
        <v>19.2275113793104</v>
      </c>
      <c r="AX28" s="23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s="69" customFormat="1" x14ac:dyDescent="0.25">
      <c r="A29" s="74"/>
      <c r="E29" s="9"/>
      <c r="F29" s="9"/>
      <c r="G29" s="36"/>
      <c r="I29" s="7"/>
      <c r="J29" s="7"/>
      <c r="K29" s="3"/>
      <c r="L29" s="3"/>
      <c r="M29" s="3"/>
      <c r="N29" s="7"/>
      <c r="O29" s="52">
        <v>1</v>
      </c>
      <c r="P29" s="10"/>
      <c r="Q29" s="10">
        <f>($F$4*$O29*AC29+$G$4+$V29-X29)/(AC29*$O29)</f>
        <v>1.1454041554133836</v>
      </c>
      <c r="R29" s="10">
        <f t="shared" ref="R29:S29" si="34">($F$4*$O29*AD29+$G$4+$V29-Y29)/(AD29*$O29)</f>
        <v>1.1570434988795066</v>
      </c>
      <c r="S29" s="10">
        <f t="shared" si="34"/>
        <v>1.18705516345823</v>
      </c>
      <c r="T29" s="8"/>
      <c r="U29" s="166">
        <v>200</v>
      </c>
      <c r="V29" s="167">
        <v>14.0166137586207</v>
      </c>
      <c r="W29" s="167"/>
      <c r="X29" s="167">
        <v>12.570225000000001</v>
      </c>
      <c r="Y29" s="167">
        <v>12.3340933103448</v>
      </c>
      <c r="Z29" s="167">
        <v>12.4800013103448</v>
      </c>
      <c r="AA29" s="167"/>
      <c r="AB29" s="167"/>
      <c r="AC29" s="167">
        <v>2.2522077241379299</v>
      </c>
      <c r="AD29" s="167">
        <v>2.5441855862069001</v>
      </c>
      <c r="AE29" s="167">
        <v>2.24742372413793</v>
      </c>
      <c r="AF29" s="167"/>
      <c r="AG29" s="167"/>
      <c r="AH29" s="167">
        <v>1.5916189655172399</v>
      </c>
      <c r="AI29" s="167">
        <v>29.7277502758621</v>
      </c>
      <c r="AJ29" s="167">
        <v>29.7716216551724</v>
      </c>
      <c r="AK29" s="167">
        <v>29.787226103448301</v>
      </c>
      <c r="AL29" s="167"/>
      <c r="AM29" s="167"/>
      <c r="AN29" s="167">
        <v>-2.0723292758620699</v>
      </c>
      <c r="AO29" s="167">
        <v>9.4443965517241393E-2</v>
      </c>
      <c r="AP29" s="167">
        <v>0.62915975862068996</v>
      </c>
      <c r="AQ29" s="167">
        <v>0.27174531034482802</v>
      </c>
      <c r="AR29" s="23"/>
      <c r="AS29" s="23"/>
      <c r="AT29" s="4">
        <v>-1.5332685862069</v>
      </c>
      <c r="AU29" s="4">
        <v>19.015920275862101</v>
      </c>
      <c r="AV29" s="4">
        <v>18.127225586206901</v>
      </c>
      <c r="AW29" s="4">
        <v>18.873600724137901</v>
      </c>
      <c r="AX29" s="23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25">
      <c r="D30" s="69"/>
      <c r="E30" s="9"/>
      <c r="F30" s="9"/>
      <c r="G30" s="36"/>
      <c r="K30" s="3"/>
      <c r="L30" s="3"/>
      <c r="M30" s="3"/>
      <c r="N30" s="7"/>
      <c r="O30" s="52">
        <v>1</v>
      </c>
      <c r="P30" s="10"/>
      <c r="Q30" s="10">
        <f>($F$5*$O30*AC30+$G$5+$V30-X30)/(AC30*$O30)</f>
        <v>1.2658758263476526</v>
      </c>
      <c r="R30" s="10">
        <f t="shared" ref="R30:S30" si="35">($F$5*$O30*AD30+$G$5+$V30-Y30)/(AD30*$O30)</f>
        <v>1.2674916772985036</v>
      </c>
      <c r="S30" s="10">
        <f t="shared" si="35"/>
        <v>1.2491484969220064</v>
      </c>
      <c r="U30" s="166">
        <v>250</v>
      </c>
      <c r="V30" s="167">
        <v>19.108345482758601</v>
      </c>
      <c r="W30" s="167"/>
      <c r="X30" s="167">
        <v>17.170609310344801</v>
      </c>
      <c r="Y30" s="167">
        <v>16.904796448275899</v>
      </c>
      <c r="Z30" s="167">
        <v>17.212950068965501</v>
      </c>
      <c r="AA30" s="167"/>
      <c r="AB30" s="167"/>
      <c r="AC30" s="167">
        <v>2.5375800344827599</v>
      </c>
      <c r="AD30" s="167">
        <v>2.8692390344827601</v>
      </c>
      <c r="AE30" s="167">
        <v>2.5377177931034498</v>
      </c>
      <c r="AF30" s="167"/>
      <c r="AG30" s="167"/>
      <c r="AH30" s="167">
        <v>1.59208706896552</v>
      </c>
      <c r="AI30" s="167">
        <v>30.2282000344828</v>
      </c>
      <c r="AJ30" s="167">
        <v>30.242486275862099</v>
      </c>
      <c r="AK30" s="167">
        <v>30.181536655172401</v>
      </c>
      <c r="AL30" s="167"/>
      <c r="AM30" s="167"/>
      <c r="AN30" s="167">
        <v>-2.10338634482759</v>
      </c>
      <c r="AO30" s="167">
        <v>7.3167517241379307E-2</v>
      </c>
      <c r="AP30" s="167">
        <v>0.48117279310344802</v>
      </c>
      <c r="AQ30" s="167">
        <v>0.191156517241379</v>
      </c>
      <c r="AR30" s="23"/>
      <c r="AS30" s="23"/>
      <c r="AT30" s="4">
        <v>-1.6472964482758601</v>
      </c>
      <c r="AU30" s="4">
        <v>18.601232413793099</v>
      </c>
      <c r="AV30" s="4">
        <v>17.632015275862098</v>
      </c>
      <c r="AW30" s="4">
        <v>18.6070495172414</v>
      </c>
      <c r="AX30" s="23"/>
    </row>
    <row r="31" spans="1:67" x14ac:dyDescent="0.25">
      <c r="D31" s="69"/>
      <c r="E31" s="9"/>
      <c r="F31" s="9"/>
      <c r="G31" s="36"/>
      <c r="K31" s="3"/>
      <c r="L31" s="3"/>
      <c r="M31" s="3"/>
      <c r="N31" s="7"/>
      <c r="O31" s="52">
        <v>1</v>
      </c>
      <c r="P31" s="10"/>
      <c r="Q31" s="158">
        <f>($F$7*$O31*AC31+$G$7+$V31-X31)/(AC31*$O31)</f>
        <v>1.4232767771482497</v>
      </c>
      <c r="R31" s="158">
        <f t="shared" ref="R31:S31" si="36">($F$7*$O31*AD31+$G$7+$V31-Y31)/(AD31*$O31)</f>
        <v>1.4101892638370455</v>
      </c>
      <c r="S31" s="158">
        <f t="shared" si="36"/>
        <v>1.4307870488178549</v>
      </c>
      <c r="U31" s="15">
        <v>300</v>
      </c>
      <c r="V31" s="167">
        <v>24.802022517241401</v>
      </c>
      <c r="W31" s="167"/>
      <c r="X31" s="167">
        <v>22.298963310344799</v>
      </c>
      <c r="Y31" s="167">
        <v>21.955714896551701</v>
      </c>
      <c r="Z31" s="167">
        <v>22.2685178965517</v>
      </c>
      <c r="AA31" s="167"/>
      <c r="AB31" s="167"/>
      <c r="AC31" s="167">
        <v>2.8631776896551702</v>
      </c>
      <c r="AD31" s="167">
        <v>3.2854079999999999</v>
      </c>
      <c r="AE31" s="167">
        <v>2.8728733448275898</v>
      </c>
      <c r="AF31" s="167"/>
      <c r="AG31" s="167"/>
      <c r="AH31" s="167">
        <v>1.59274475862069</v>
      </c>
      <c r="AI31" s="167">
        <v>30.136915931034501</v>
      </c>
      <c r="AJ31" s="167">
        <v>30.160943827586198</v>
      </c>
      <c r="AK31" s="167">
        <v>30.173861310344801</v>
      </c>
      <c r="AL31" s="167"/>
      <c r="AM31" s="167"/>
      <c r="AN31" s="167">
        <v>-2.34190862068965</v>
      </c>
      <c r="AO31" s="167">
        <v>0.17390341379310301</v>
      </c>
      <c r="AP31" s="167">
        <v>0.68757710344827605</v>
      </c>
      <c r="AQ31" s="167">
        <v>0.30001234482758599</v>
      </c>
      <c r="AR31" s="3"/>
      <c r="AS31" s="3"/>
      <c r="AT31" s="4">
        <v>-1.51812824137931</v>
      </c>
      <c r="AU31" s="4">
        <v>18.179876310344799</v>
      </c>
      <c r="AV31" s="4">
        <v>17.102711068965501</v>
      </c>
      <c r="AW31" s="4">
        <v>18.119124275862099</v>
      </c>
      <c r="AX31" s="3"/>
    </row>
    <row r="32" spans="1:67" x14ac:dyDescent="0.25">
      <c r="D32" s="69"/>
      <c r="E32" s="9"/>
      <c r="F32" s="9"/>
      <c r="G32" s="36"/>
      <c r="K32" s="3"/>
      <c r="L32" s="3"/>
      <c r="M32" s="3"/>
      <c r="O32" s="52">
        <v>1</v>
      </c>
      <c r="P32" s="10"/>
      <c r="Q32" s="10">
        <f>($F$9*$O32*AC32+$G$9+$V32-X32)/(AC32*$O32)</f>
        <v>1.3431936793015113</v>
      </c>
      <c r="R32" s="10">
        <f t="shared" ref="R32:S32" si="37">($F$9*$O32*AD32+$G$9+$V32-Y32)/(AD32*$O32)</f>
        <v>1.3720208645703318</v>
      </c>
      <c r="S32" s="10">
        <f t="shared" si="37"/>
        <v>1.3809420928185485</v>
      </c>
      <c r="U32" s="15">
        <v>350</v>
      </c>
      <c r="V32" s="167">
        <v>31.143316137930999</v>
      </c>
      <c r="W32" s="167"/>
      <c r="X32" s="167">
        <v>29.1622273103448</v>
      </c>
      <c r="Y32" s="167">
        <v>28.805871137931</v>
      </c>
      <c r="Z32" s="167">
        <v>29.068536137931002</v>
      </c>
      <c r="AA32" s="167"/>
      <c r="AB32" s="167"/>
      <c r="AC32" s="167">
        <v>2.4572340689655201</v>
      </c>
      <c r="AD32" s="167">
        <v>2.7991531724137899</v>
      </c>
      <c r="AE32" s="167">
        <v>2.4583413103448302</v>
      </c>
      <c r="AF32" s="167"/>
      <c r="AG32" s="167"/>
      <c r="AH32" s="167">
        <v>1.5928979999999999</v>
      </c>
      <c r="AI32" s="167">
        <v>30.043519206896601</v>
      </c>
      <c r="AJ32" s="167">
        <v>30.067273241379301</v>
      </c>
      <c r="AK32" s="167">
        <v>30.089533137930999</v>
      </c>
      <c r="AL32" s="167"/>
      <c r="AM32" s="167"/>
      <c r="AN32" s="167">
        <v>-1.8875967241379299</v>
      </c>
      <c r="AO32" s="167">
        <v>0.431516655172414</v>
      </c>
      <c r="AP32" s="167">
        <v>0.69130537931034497</v>
      </c>
      <c r="AQ32" s="167">
        <v>0.142087931034483</v>
      </c>
      <c r="AR32" s="3"/>
      <c r="AS32" s="3"/>
      <c r="AT32" s="4">
        <v>-1.3864939999999999</v>
      </c>
      <c r="AU32" s="4">
        <v>18.4963646551724</v>
      </c>
      <c r="AV32" s="4">
        <v>17.495989999999999</v>
      </c>
      <c r="AW32" s="4">
        <v>18.4481133448276</v>
      </c>
      <c r="AX32" s="3"/>
    </row>
    <row r="33" spans="8:55" x14ac:dyDescent="0.25">
      <c r="H33" s="69"/>
      <c r="I33" s="7"/>
      <c r="J33" s="7"/>
      <c r="K33" s="22"/>
      <c r="L33" s="22"/>
      <c r="M33" s="22"/>
      <c r="O33" s="52">
        <v>1</v>
      </c>
      <c r="P33" s="10"/>
      <c r="Q33" s="10">
        <f>($F$11*$O33*AC33+$G$11+$V33-X33)/(AC33*$O33)</f>
        <v>1.3657012795868353</v>
      </c>
      <c r="R33" s="10">
        <f t="shared" ref="R33:S33" si="38">($F$11*$O33*AD33+$G$11+$V33-Y33)/(AD33*$O33)</f>
        <v>1.3497437900593661</v>
      </c>
      <c r="S33" s="10">
        <f t="shared" si="38"/>
        <v>1.4119806858093606</v>
      </c>
      <c r="U33" s="17">
        <v>400</v>
      </c>
      <c r="V33" s="167">
        <v>38.164278586206898</v>
      </c>
      <c r="W33" s="167"/>
      <c r="X33" s="167">
        <v>36.384661310344796</v>
      </c>
      <c r="Y33" s="167">
        <v>36.237231275862101</v>
      </c>
      <c r="Z33" s="167">
        <v>36.279350344827598</v>
      </c>
      <c r="AA33" s="167"/>
      <c r="AB33" s="167"/>
      <c r="AC33" s="167">
        <v>2.3226921034482801</v>
      </c>
      <c r="AD33" s="167">
        <v>2.5558965517241399</v>
      </c>
      <c r="AE33" s="167">
        <v>2.3201353448275901</v>
      </c>
      <c r="AF33" s="167"/>
      <c r="AG33" s="167"/>
      <c r="AH33" s="167">
        <v>1.5919876896551699</v>
      </c>
      <c r="AI33" s="167">
        <v>29.926352793103401</v>
      </c>
      <c r="AJ33" s="167">
        <v>29.962999068965502</v>
      </c>
      <c r="AK33" s="167">
        <v>29.9802235862069</v>
      </c>
      <c r="AL33" s="167"/>
      <c r="AM33" s="167"/>
      <c r="AN33" s="167">
        <v>-1.82246206896552</v>
      </c>
      <c r="AO33" s="167">
        <v>0.320097034482759</v>
      </c>
      <c r="AP33" s="167">
        <v>0.71394224137930995</v>
      </c>
      <c r="AQ33" s="167">
        <v>0.195535931034483</v>
      </c>
      <c r="AR33" s="3"/>
      <c r="AS33" s="3"/>
      <c r="AT33" s="4">
        <v>-1.4428386551724099</v>
      </c>
      <c r="AU33" s="4">
        <v>18.717230689655199</v>
      </c>
      <c r="AV33" s="4">
        <v>17.753692586206899</v>
      </c>
      <c r="AW33" s="75">
        <v>18.319360034482798</v>
      </c>
      <c r="AX33" s="3"/>
    </row>
    <row r="34" spans="8:55" x14ac:dyDescent="0.25">
      <c r="H34" s="69"/>
      <c r="I34" s="7"/>
      <c r="J34" s="7"/>
      <c r="U34" s="18" t="s">
        <v>104</v>
      </c>
      <c r="V34" s="2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</row>
    <row r="35" spans="8:55" x14ac:dyDescent="0.25">
      <c r="H35" s="69"/>
      <c r="I35" s="7"/>
      <c r="J35" s="7"/>
      <c r="U35" s="18" t="s">
        <v>62</v>
      </c>
      <c r="V35" s="2" t="s">
        <v>105</v>
      </c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</row>
    <row r="36" spans="8:55" x14ac:dyDescent="0.25">
      <c r="H36" s="69"/>
      <c r="I36" s="7"/>
      <c r="J36" s="7"/>
      <c r="U36" s="18" t="s">
        <v>11</v>
      </c>
      <c r="V36" s="2" t="s">
        <v>102</v>
      </c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</row>
    <row r="37" spans="8:55" x14ac:dyDescent="0.25">
      <c r="H37" s="69"/>
      <c r="I37" s="7"/>
      <c r="J37" s="7"/>
      <c r="R37" s="1">
        <v>83.33</v>
      </c>
      <c r="V37" s="3"/>
      <c r="W37" s="3"/>
      <c r="Y37" s="104">
        <v>83.33</v>
      </c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</row>
    <row r="38" spans="8:55" x14ac:dyDescent="0.25">
      <c r="H38" s="69"/>
      <c r="I38" s="7"/>
      <c r="J38" s="7"/>
      <c r="O38" s="52">
        <v>1</v>
      </c>
      <c r="P38" s="10">
        <f>($F$5*$O38*AB38+$G$5+$V38-W38)/(AB38*$O38)</f>
        <v>1.3201048743489119</v>
      </c>
      <c r="R38" s="10">
        <f t="shared" ref="R38" si="39">($F$5*$O38*AD38+$G$5+$V38-Y38)/(AD38*$O38)</f>
        <v>1.3867309953099383</v>
      </c>
      <c r="T38" s="10">
        <f>($F$5*$O38*AF38+$G$5+$V38-AA38)/(AF38*$O38)</f>
        <v>1.3028271374098785</v>
      </c>
      <c r="U38" s="17">
        <v>250</v>
      </c>
      <c r="V38" s="4">
        <v>19.1303013793103</v>
      </c>
      <c r="W38" s="4">
        <v>16.775846724137899</v>
      </c>
      <c r="Y38" s="4">
        <v>17.443089862069002</v>
      </c>
      <c r="AA38" s="4">
        <v>16.808479413793101</v>
      </c>
      <c r="AB38" s="4">
        <v>2.86917462068965</v>
      </c>
      <c r="AD38" s="4">
        <v>1.9241489310344799</v>
      </c>
      <c r="AF38" s="4">
        <v>2.8897221724137898</v>
      </c>
      <c r="AG38" s="4">
        <v>1.60334117241379</v>
      </c>
      <c r="AH38" s="4">
        <v>30.171798310344801</v>
      </c>
      <c r="AJ38" s="4">
        <v>30.227188103448299</v>
      </c>
      <c r="AL38" s="4">
        <v>29.722301000000002</v>
      </c>
      <c r="AM38" s="4">
        <v>-2.5175942413793102</v>
      </c>
      <c r="AN38" s="4">
        <v>0.34947965517241403</v>
      </c>
      <c r="AP38" s="4">
        <v>-0.71188286206896501</v>
      </c>
      <c r="AR38" s="4">
        <v>0.25340486206896601</v>
      </c>
      <c r="AS38" s="4">
        <v>-2.0346594827586202</v>
      </c>
      <c r="AT38" s="4">
        <v>16.998370103448298</v>
      </c>
      <c r="AV38" s="4">
        <v>18.757085551724099</v>
      </c>
      <c r="AX38" s="4">
        <v>16.818392862069</v>
      </c>
    </row>
    <row r="39" spans="8:55" x14ac:dyDescent="0.25">
      <c r="O39" s="52">
        <v>1</v>
      </c>
      <c r="P39" s="10">
        <f>($F$6*$O39*AB39+$G$6+$V39-W39)/(AB39*$O39)</f>
        <v>1.4048951218442445</v>
      </c>
      <c r="R39" s="10">
        <f t="shared" ref="R39" si="40">($F$6*$O39*AD39+$G$6+$V39-Y39)/(AD39*$O39)</f>
        <v>1.4064711115551005</v>
      </c>
      <c r="T39" s="10">
        <f>($F$6*$O39*AF39+$G$6+$V39-AA39)/(AF39*$O39)</f>
        <v>1.4528559277037043</v>
      </c>
      <c r="U39" s="17">
        <v>275</v>
      </c>
      <c r="V39" s="4">
        <v>21.924213551724101</v>
      </c>
      <c r="W39" s="4">
        <v>19.129892999999999</v>
      </c>
      <c r="Y39" s="4">
        <v>20.1231874482759</v>
      </c>
      <c r="AA39" s="4">
        <v>18.976039068965498</v>
      </c>
      <c r="AB39" s="4">
        <v>3.1382075517241401</v>
      </c>
      <c r="AD39" s="4">
        <v>2.0428007931034502</v>
      </c>
      <c r="AF39" s="4">
        <v>3.1416982413793102</v>
      </c>
      <c r="AG39" s="4">
        <v>1.60150075862069</v>
      </c>
      <c r="AH39" s="4">
        <v>30.207474517241401</v>
      </c>
      <c r="AJ39" s="4">
        <v>29.893838965517201</v>
      </c>
      <c r="AL39" s="4">
        <v>29.7941265862069</v>
      </c>
      <c r="AM39" s="4">
        <v>-2.8097782758620702</v>
      </c>
      <c r="AN39" s="4">
        <v>0.245752103448276</v>
      </c>
      <c r="AP39" s="4">
        <v>-0.81661086206896605</v>
      </c>
      <c r="AR39" s="4">
        <v>0.39602558620689698</v>
      </c>
      <c r="AS39" s="4">
        <v>-2.0234074137931</v>
      </c>
      <c r="AT39" s="4">
        <v>16.473617724137899</v>
      </c>
      <c r="AV39" s="4">
        <v>18.529293068965501</v>
      </c>
      <c r="AX39" s="4">
        <v>16.3855614827586</v>
      </c>
    </row>
    <row r="40" spans="8:55" x14ac:dyDescent="0.25">
      <c r="O40" s="52">
        <v>1</v>
      </c>
      <c r="P40" s="10">
        <f>($F$7*$O40*AB40+$G$7+$V40-W40)/(AB40*$O40)</f>
        <v>1.4797147619328379</v>
      </c>
      <c r="R40" s="10">
        <f t="shared" ref="R40" si="41">($F$7*$O40*AD40+$G$7+$V40-Y40)/(AD40*$O40)</f>
        <v>1.5052210456110588</v>
      </c>
      <c r="T40" s="10">
        <f>($F$7*$O40*AF40+$G$7+$V40-AA40)/(AF40*$O40)</f>
        <v>1.5033965029293828</v>
      </c>
      <c r="U40" s="17">
        <v>300</v>
      </c>
      <c r="V40" s="4">
        <v>24.807777413793101</v>
      </c>
      <c r="W40" s="4">
        <v>21.653304137930999</v>
      </c>
      <c r="Y40" s="4">
        <v>22.796781689655202</v>
      </c>
      <c r="AA40" s="4">
        <v>21.559791827586199</v>
      </c>
      <c r="AB40" s="4">
        <v>3.36751762068966</v>
      </c>
      <c r="AD40" s="4">
        <v>2.1341021724137899</v>
      </c>
      <c r="AF40" s="4">
        <v>3.3813518620689602</v>
      </c>
      <c r="AG40" s="4">
        <v>1.6027216551724099</v>
      </c>
      <c r="AH40" s="4">
        <v>30.248206689655198</v>
      </c>
      <c r="AJ40" s="4">
        <v>29.756120551724099</v>
      </c>
      <c r="AL40" s="4">
        <v>29.8657979310345</v>
      </c>
      <c r="AM40" s="4">
        <v>-2.7560901724137898</v>
      </c>
      <c r="AN40" s="4">
        <v>0.35332251724137897</v>
      </c>
      <c r="AP40" s="4">
        <v>-0.71870551724137899</v>
      </c>
      <c r="AR40" s="4">
        <v>9.7461448275862103E-2</v>
      </c>
      <c r="AS40" s="4">
        <v>-2.0295671034482798</v>
      </c>
      <c r="AT40" s="4">
        <v>16.219626206896599</v>
      </c>
      <c r="AV40" s="4">
        <v>18.326678896551702</v>
      </c>
      <c r="AX40" s="4">
        <v>16.062465517241399</v>
      </c>
    </row>
    <row r="41" spans="8:55" x14ac:dyDescent="0.25">
      <c r="O41" s="52">
        <v>1</v>
      </c>
      <c r="P41" s="158">
        <f>($F$8*$O41*AB41+$G$8+$V41-W41)/(AB41*$O41)</f>
        <v>1.5292706288445339</v>
      </c>
      <c r="R41" s="158">
        <f>($F$8*$O41*AD41+$G$8+$V41-Y41)/(AD41*$O41)</f>
        <v>1.538476909467074</v>
      </c>
      <c r="T41" s="158">
        <f>($F$8*$O41*AF41+$G$8+$V41-AA41)/(AF41*$O41)</f>
        <v>1.5596317128786423</v>
      </c>
      <c r="U41" s="17">
        <v>325</v>
      </c>
      <c r="V41" s="4">
        <v>27.9349163103448</v>
      </c>
      <c r="W41" s="4">
        <v>24.5267252413793</v>
      </c>
      <c r="Y41" s="4">
        <v>25.829050275862102</v>
      </c>
      <c r="AA41" s="4">
        <v>24.4107262758621</v>
      </c>
      <c r="AB41" s="4">
        <v>3.5026128275862098</v>
      </c>
      <c r="AD41" s="4">
        <v>2.1882793448275901</v>
      </c>
      <c r="AF41" s="4">
        <v>3.5119281724137901</v>
      </c>
      <c r="AG41" s="4">
        <v>1.59865268965517</v>
      </c>
      <c r="AH41" s="4">
        <v>29.718366586206901</v>
      </c>
      <c r="AJ41" s="4">
        <v>29.845772206896498</v>
      </c>
      <c r="AL41" s="4">
        <v>29.948434931034502</v>
      </c>
      <c r="AM41" s="4">
        <v>-2.5578975862069</v>
      </c>
      <c r="AN41" s="4">
        <v>0.35751406896551702</v>
      </c>
      <c r="AP41" s="4">
        <v>-0.60897275862069</v>
      </c>
      <c r="AR41" s="4">
        <v>0.42107741379310298</v>
      </c>
      <c r="AS41" s="4">
        <v>-2.02662055172414</v>
      </c>
      <c r="AT41" s="4">
        <v>15.729588931034501</v>
      </c>
      <c r="AV41" s="4">
        <v>18.463274793103398</v>
      </c>
      <c r="AX41" s="4">
        <v>16.0311798275862</v>
      </c>
    </row>
    <row r="42" spans="8:55" x14ac:dyDescent="0.25">
      <c r="O42" s="52">
        <v>1</v>
      </c>
      <c r="P42" s="158">
        <f>($F$9*$O42*AB42+$G$9+$V42-W42)/(AB42*$O42)</f>
        <v>1.4157930634054863</v>
      </c>
      <c r="R42" s="158">
        <f t="shared" ref="R42" si="42">($F$9*$O42*AD42+$G$9+$V42-Y42)/(AD42*$O42)</f>
        <v>1.4169502323629042</v>
      </c>
      <c r="T42" s="158">
        <f>($F$9*$O42*AF42+$G$9+$V42-AA42)/(AF42*$O42)</f>
        <v>1.3804692444742459</v>
      </c>
      <c r="U42" s="17">
        <v>350</v>
      </c>
      <c r="V42" s="4">
        <v>31.161893137930999</v>
      </c>
      <c r="W42" s="4">
        <v>28.545032965517201</v>
      </c>
      <c r="Y42" s="4">
        <v>29.364326965517201</v>
      </c>
      <c r="AA42" s="4">
        <v>28.647744689655202</v>
      </c>
      <c r="AB42" s="4">
        <v>2.9776754137930999</v>
      </c>
      <c r="AD42" s="4">
        <v>2.0427266551724101</v>
      </c>
      <c r="AF42" s="4">
        <v>2.9806050344827599</v>
      </c>
      <c r="AG42" s="4">
        <v>1.60251782758621</v>
      </c>
      <c r="AH42" s="4">
        <v>29.801083965517201</v>
      </c>
      <c r="AJ42" s="4">
        <v>29.921360827586199</v>
      </c>
      <c r="AL42" s="4">
        <v>30.007450379310299</v>
      </c>
      <c r="AM42">
        <v>-2.6800216896551698</v>
      </c>
      <c r="AN42">
        <v>0.13901168965517199</v>
      </c>
      <c r="AP42">
        <v>-0.68133117241379304</v>
      </c>
      <c r="AR42">
        <v>0.206459586206897</v>
      </c>
      <c r="AS42">
        <v>-1.8874214137931</v>
      </c>
      <c r="AT42" s="4">
        <v>16.695812758620701</v>
      </c>
      <c r="AU42" s="3"/>
      <c r="AV42" s="4">
        <v>18.4482197241379</v>
      </c>
      <c r="AW42" s="3"/>
      <c r="AX42" s="4">
        <v>16.567302517241401</v>
      </c>
    </row>
    <row r="43" spans="8:55" x14ac:dyDescent="0.25"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</row>
    <row r="44" spans="8:55" x14ac:dyDescent="0.25">
      <c r="U44" s="18" t="s">
        <v>112</v>
      </c>
      <c r="V44" s="2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</row>
    <row r="45" spans="8:55" x14ac:dyDescent="0.25">
      <c r="U45" s="18" t="s">
        <v>62</v>
      </c>
      <c r="V45" s="2" t="s">
        <v>113</v>
      </c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</row>
    <row r="46" spans="8:55" x14ac:dyDescent="0.25">
      <c r="U46" s="18" t="s">
        <v>11</v>
      </c>
      <c r="V46" s="2" t="s">
        <v>114</v>
      </c>
      <c r="W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</row>
    <row r="47" spans="8:55" x14ac:dyDescent="0.25">
      <c r="O47" s="52">
        <v>1</v>
      </c>
      <c r="P47" s="10">
        <f>($F$5*$O47*AB47+$G$5+$V47-W47)/(AB47*$O47)</f>
        <v>1.210285474507399</v>
      </c>
      <c r="R47" s="10">
        <f>($F$5*$O47*AD47+$G$5+$V47-Y47)/(AD47*$O47)</f>
        <v>1.2363884855275631</v>
      </c>
      <c r="S47" s="10"/>
      <c r="U47" s="17">
        <v>250</v>
      </c>
      <c r="V47" s="4">
        <v>19.071227448275899</v>
      </c>
      <c r="W47" s="4">
        <v>16.643691965517199</v>
      </c>
      <c r="X47"/>
      <c r="Y47">
        <v>16.607358655172401</v>
      </c>
      <c r="Z47" s="3"/>
      <c r="AA47" s="3"/>
      <c r="AB47" s="4">
        <v>3.3995401379310302</v>
      </c>
      <c r="AC47" s="4"/>
      <c r="AD47" s="4">
        <v>3.3304041724137901</v>
      </c>
      <c r="AE47" s="3"/>
      <c r="AG47" s="4">
        <v>2.1548158620689701</v>
      </c>
      <c r="AH47" s="4">
        <v>50.226276172413797</v>
      </c>
      <c r="AI47" s="3"/>
      <c r="AJ47" s="4">
        <v>35.895030241379303</v>
      </c>
      <c r="AK47" s="3"/>
      <c r="AL47" s="3"/>
      <c r="AM47" s="4">
        <v>-2.1668996896551702</v>
      </c>
      <c r="AN47" s="4">
        <v>1.3222010344827599</v>
      </c>
      <c r="AO47" s="3"/>
      <c r="AP47" s="4">
        <v>1.0563686206896601</v>
      </c>
      <c r="AQ47" s="3"/>
      <c r="AR47" s="3"/>
      <c r="AS47" s="4">
        <v>-1.7165291379310299</v>
      </c>
      <c r="AT47" s="4">
        <v>33.132179310344803</v>
      </c>
      <c r="AU47" s="3"/>
      <c r="AV47" s="4">
        <v>20.990474620689699</v>
      </c>
      <c r="AW47" s="3"/>
      <c r="AX47" s="3"/>
      <c r="AZ47" s="3">
        <f>AB47+AN47+AT47</f>
        <v>37.853920482758596</v>
      </c>
      <c r="BA47" s="3">
        <f>AH47-AZ47</f>
        <v>12.372355689655201</v>
      </c>
      <c r="BB47" s="3">
        <f>AD47+AP47+AV47</f>
        <v>25.37724741379315</v>
      </c>
      <c r="BC47" s="3">
        <f>AJ47-BB47</f>
        <v>10.517782827586153</v>
      </c>
    </row>
    <row r="48" spans="8:55" x14ac:dyDescent="0.25">
      <c r="O48" s="52">
        <v>1</v>
      </c>
      <c r="P48" s="10">
        <f>($F$5*$O48*AB48+$G$5+$V48-W48)/(AB48*$O48)</f>
        <v>1.3133867293965322</v>
      </c>
      <c r="R48" s="10">
        <f t="shared" ref="R48" si="43">($F$6*$O48*AD48+$G$6+$V48-Y48)/(AD48*$O48)</f>
        <v>1.3544215198139651</v>
      </c>
      <c r="S48" s="10"/>
      <c r="U48" s="17">
        <v>275</v>
      </c>
      <c r="V48" s="4">
        <v>21.926691758620699</v>
      </c>
      <c r="W48" s="4">
        <v>19.001938172413801</v>
      </c>
      <c r="X48"/>
      <c r="Y48">
        <v>18.921900896551701</v>
      </c>
      <c r="Z48" s="3"/>
      <c r="AA48" s="3"/>
      <c r="AB48" s="4">
        <v>3.5752549999999998</v>
      </c>
      <c r="AC48" s="4"/>
      <c r="AD48" s="4">
        <v>3.5674985862069</v>
      </c>
      <c r="AE48" s="3"/>
      <c r="AG48" s="4">
        <v>2.1539064827586198</v>
      </c>
      <c r="AH48" s="4">
        <v>50.107818999999999</v>
      </c>
      <c r="AI48" s="3"/>
      <c r="AJ48" s="4">
        <v>36.090831655172401</v>
      </c>
      <c r="AK48" s="3"/>
      <c r="AL48" s="3"/>
      <c r="AM48" s="4">
        <v>-1.9453192758620701</v>
      </c>
      <c r="AN48" s="4">
        <v>1.35525265517241</v>
      </c>
      <c r="AO48" s="3"/>
      <c r="AP48" s="4">
        <v>1.45328437931034</v>
      </c>
      <c r="AQ48" s="3"/>
      <c r="AR48" s="3"/>
      <c r="AS48" s="4">
        <v>-1.3972601034482801</v>
      </c>
      <c r="AT48" s="4">
        <v>32.922053551724098</v>
      </c>
      <c r="AU48" s="3"/>
      <c r="AV48" s="4">
        <v>20.8017332068966</v>
      </c>
      <c r="AW48" s="3"/>
      <c r="AX48" s="3"/>
      <c r="AZ48" s="3">
        <f t="shared" ref="AZ48:BB51" si="44">AB48+AN48+AT48</f>
        <v>37.85256120689651</v>
      </c>
      <c r="BA48" s="3">
        <f t="shared" ref="BA48:BA51" si="45">AH48-AZ48</f>
        <v>12.255257793103489</v>
      </c>
      <c r="BB48" s="3">
        <f t="shared" si="44"/>
        <v>25.822516172413842</v>
      </c>
      <c r="BC48" s="3">
        <f t="shared" ref="BC48:BC51" si="46">AJ48-BB48</f>
        <v>10.26831548275856</v>
      </c>
    </row>
    <row r="49" spans="15:55" x14ac:dyDescent="0.25">
      <c r="O49" s="52">
        <v>1</v>
      </c>
      <c r="P49" s="10">
        <f t="shared" ref="P49:P51" si="47">($F$5*$O49*AB49+$G$5+$V49-W49)/(AB49*$O49)</f>
        <v>1.3551200908778169</v>
      </c>
      <c r="R49" s="10">
        <f t="shared" ref="R49" si="48">($F$7*$O49*AD49+$G$7+$V49-Y49)/(AD49*$O49)</f>
        <v>1.4573487834587564</v>
      </c>
      <c r="S49" s="10"/>
      <c r="U49" s="17">
        <v>300</v>
      </c>
      <c r="V49" s="4">
        <v>24.979932275862101</v>
      </c>
      <c r="W49" s="4">
        <v>21.770494275862099</v>
      </c>
      <c r="X49"/>
      <c r="Y49">
        <v>21.539705896551698</v>
      </c>
      <c r="AB49" s="4">
        <v>3.7297804137931001</v>
      </c>
      <c r="AC49" s="4"/>
      <c r="AD49" s="4">
        <v>3.7480536551724102</v>
      </c>
      <c r="AE49" s="3"/>
      <c r="AG49" s="4">
        <v>2.1551120344827601</v>
      </c>
      <c r="AH49" s="4">
        <v>49.635628034482799</v>
      </c>
      <c r="AI49" s="3"/>
      <c r="AJ49" s="4">
        <v>35.760212448275901</v>
      </c>
      <c r="AK49" s="3"/>
      <c r="AL49" s="3"/>
      <c r="AM49" s="4">
        <v>-1.8180940689655201</v>
      </c>
      <c r="AN49" s="4">
        <v>1.36612175862069</v>
      </c>
      <c r="AO49" s="3"/>
      <c r="AP49" s="4">
        <v>1.1991561034482801</v>
      </c>
      <c r="AQ49" s="3"/>
      <c r="AR49" s="3"/>
      <c r="AS49" s="4">
        <v>-1.3886611379310401</v>
      </c>
      <c r="AT49" s="4">
        <v>32.744292965517197</v>
      </c>
      <c r="AU49" s="3"/>
      <c r="AV49" s="4">
        <v>20.538391689655199</v>
      </c>
      <c r="AZ49" s="3">
        <f t="shared" si="44"/>
        <v>37.840195137930991</v>
      </c>
      <c r="BA49" s="3">
        <f t="shared" si="45"/>
        <v>11.795432896551809</v>
      </c>
      <c r="BB49" s="3">
        <f t="shared" si="44"/>
        <v>25.48560144827589</v>
      </c>
      <c r="BC49" s="3">
        <f t="shared" si="46"/>
        <v>10.274611000000011</v>
      </c>
    </row>
    <row r="50" spans="15:55" x14ac:dyDescent="0.25">
      <c r="O50" s="52">
        <v>1</v>
      </c>
      <c r="P50" s="10">
        <f t="shared" si="47"/>
        <v>1.3753950899044645</v>
      </c>
      <c r="R50" s="158">
        <f>($F$8*$O50*AD50+$G$8+$V50-Y50)/(AD50*$O50)</f>
        <v>1.4812456093296333</v>
      </c>
      <c r="S50" s="158"/>
      <c r="U50" s="17">
        <v>325</v>
      </c>
      <c r="V50" s="4">
        <v>28.083635586206899</v>
      </c>
      <c r="W50" s="4">
        <v>24.7244914137931</v>
      </c>
      <c r="X50"/>
      <c r="Y50">
        <v>24.493854275862098</v>
      </c>
      <c r="AB50" s="4">
        <v>3.81237182758621</v>
      </c>
      <c r="AC50" s="4"/>
      <c r="AD50" s="4">
        <v>3.8676885862069001</v>
      </c>
      <c r="AE50" s="3"/>
      <c r="AG50" s="4">
        <v>2.1567974137930999</v>
      </c>
      <c r="AH50" s="4">
        <v>50.237741206896501</v>
      </c>
      <c r="AI50" s="3"/>
      <c r="AJ50" s="4">
        <v>36.179334275862097</v>
      </c>
      <c r="AK50" s="3"/>
      <c r="AL50" s="3"/>
      <c r="AM50" s="4">
        <v>-1.88876724137931</v>
      </c>
      <c r="AN50" s="4">
        <v>1.2931739310344801</v>
      </c>
      <c r="AO50" s="3"/>
      <c r="AP50" s="4">
        <v>1.150101</v>
      </c>
      <c r="AQ50" s="3"/>
      <c r="AR50" s="3"/>
      <c r="AS50" s="4">
        <v>-1.54793972413793</v>
      </c>
      <c r="AT50" s="4">
        <v>32.573873586206901</v>
      </c>
      <c r="AU50" s="3"/>
      <c r="AV50" s="4">
        <v>20.358255068965502</v>
      </c>
      <c r="AZ50" s="3">
        <f t="shared" si="44"/>
        <v>37.679419344827593</v>
      </c>
      <c r="BA50" s="3">
        <f t="shared" si="45"/>
        <v>12.558321862068908</v>
      </c>
      <c r="BB50" s="3">
        <f t="shared" si="44"/>
        <v>25.3760446551724</v>
      </c>
      <c r="BC50" s="3">
        <f t="shared" si="46"/>
        <v>10.803289620689696</v>
      </c>
    </row>
    <row r="51" spans="15:55" x14ac:dyDescent="0.25">
      <c r="O51" s="52">
        <v>1</v>
      </c>
      <c r="P51" s="10">
        <f t="shared" si="47"/>
        <v>1.2851626884635152</v>
      </c>
      <c r="R51" s="158">
        <f t="shared" ref="R51" si="49">($F$9*$O51*AD51+$G$9+$V51-Y51)/(AD51*$O51)</f>
        <v>1.3077533711137257</v>
      </c>
      <c r="S51" s="158"/>
      <c r="U51" s="17">
        <v>350</v>
      </c>
      <c r="V51" s="4">
        <v>31.318662689655199</v>
      </c>
      <c r="W51" s="4">
        <v>28.461645862068998</v>
      </c>
      <c r="X51"/>
      <c r="Y51">
        <v>28.710411172413799</v>
      </c>
      <c r="AB51" s="4">
        <v>3.6163711724137899</v>
      </c>
      <c r="AC51" s="4"/>
      <c r="AD51" s="4">
        <v>3.3838817241379302</v>
      </c>
      <c r="AE51" s="3"/>
      <c r="AG51" s="4">
        <v>2.15898482758621</v>
      </c>
      <c r="AH51" s="4">
        <v>49.837496586206903</v>
      </c>
      <c r="AI51" s="3"/>
      <c r="AJ51" s="4">
        <v>35.902327517241403</v>
      </c>
      <c r="AK51" s="3"/>
      <c r="AL51" s="3"/>
      <c r="AM51" s="4">
        <v>-2.0432043448275898</v>
      </c>
      <c r="AN51" s="4">
        <v>1.09326448275862</v>
      </c>
      <c r="AO51" s="3"/>
      <c r="AP51" s="4">
        <v>0.97799368965517297</v>
      </c>
      <c r="AQ51" s="3"/>
      <c r="AR51" s="3"/>
      <c r="AS51" s="4">
        <v>-1.53048393103448</v>
      </c>
      <c r="AT51" s="4">
        <v>32.774921931034498</v>
      </c>
      <c r="AU51" s="3"/>
      <c r="AV51" s="4">
        <v>20.820962620689698</v>
      </c>
      <c r="AZ51" s="3">
        <f t="shared" si="44"/>
        <v>37.484557586206911</v>
      </c>
      <c r="BA51" s="3">
        <f t="shared" si="45"/>
        <v>12.352938999999992</v>
      </c>
      <c r="BB51" s="3">
        <f t="shared" si="44"/>
        <v>25.182838034482803</v>
      </c>
      <c r="BC51" s="3">
        <f t="shared" si="46"/>
        <v>10.7194894827586</v>
      </c>
    </row>
    <row r="52" spans="15:55" x14ac:dyDescent="0.25">
      <c r="AN52"/>
    </row>
  </sheetData>
  <mergeCells count="8">
    <mergeCell ref="AM1:AR1"/>
    <mergeCell ref="AS1:AX1"/>
    <mergeCell ref="AB1:AF1"/>
    <mergeCell ref="O3:O5"/>
    <mergeCell ref="J1:N1"/>
    <mergeCell ref="P1:T1"/>
    <mergeCell ref="V1:AA1"/>
    <mergeCell ref="AG1:AL1"/>
  </mergeCells>
  <conditionalFormatting sqref="J37:J38 N29:N31">
    <cfRule type="cellIs" dxfId="4" priority="7" operator="greaterThan">
      <formula>0</formula>
    </cfRule>
  </conditionalFormatting>
  <conditionalFormatting sqref="Q26:S27">
    <cfRule type="cellIs" dxfId="3" priority="6" operator="greaterThan">
      <formula>1.3</formula>
    </cfRule>
  </conditionalFormatting>
  <conditionalFormatting sqref="J36">
    <cfRule type="cellIs" dxfId="2" priority="4" operator="greaterThan">
      <formula>0</formula>
    </cfRule>
    <cfRule type="cellIs" dxfId="1" priority="5" operator="greaterThan">
      <formula>3.19</formula>
    </cfRule>
  </conditionalFormatting>
  <conditionalFormatting sqref="P26:T27 T28:T29">
    <cfRule type="cellIs" dxfId="0" priority="1" operator="greaterThan">
      <formula>1.3</formula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0"/>
  <sheetViews>
    <sheetView zoomScale="85" zoomScaleNormal="85" workbookViewId="0">
      <pane xSplit="3" ySplit="2" topLeftCell="D15" activePane="bottomRight" state="frozen"/>
      <selection activeCell="K30" sqref="K30"/>
      <selection pane="topRight" activeCell="K30" sqref="K30"/>
      <selection pane="bottomLeft" activeCell="K30" sqref="K30"/>
      <selection pane="bottomRight" activeCell="W35" sqref="W35"/>
    </sheetView>
  </sheetViews>
  <sheetFormatPr defaultColWidth="9.140625" defaultRowHeight="15" x14ac:dyDescent="0.25"/>
  <cols>
    <col min="1" max="2" width="5.5703125" style="8" customWidth="1"/>
    <col min="3" max="3" width="5.5703125" style="33" customWidth="1"/>
    <col min="4" max="4" width="5.5703125" style="15" customWidth="1"/>
    <col min="5" max="5" width="5.5703125" style="8" customWidth="1"/>
    <col min="6" max="8" width="5.5703125" style="1" customWidth="1"/>
    <col min="9" max="9" width="5.5703125" style="8" customWidth="1"/>
    <col min="10" max="10" width="5.5703125" style="17" customWidth="1"/>
    <col min="11" max="36" width="5.5703125" style="1" customWidth="1"/>
    <col min="37" max="41" width="9.28515625" style="1" bestFit="1" customWidth="1"/>
    <col min="42" max="16384" width="9.140625" style="1"/>
  </cols>
  <sheetData>
    <row r="1" spans="1:36" ht="15" customHeight="1" x14ac:dyDescent="0.25">
      <c r="A1" s="111" t="str">
        <f ca="1">'DC-h2-sri-ipb2-27b'!A1</f>
        <v>DC-h2-sri-ipb2-27b</v>
      </c>
      <c r="B1" s="112"/>
      <c r="C1" s="113"/>
      <c r="D1" s="13"/>
      <c r="E1" s="201" t="s">
        <v>54</v>
      </c>
      <c r="F1" s="201"/>
      <c r="G1" s="201"/>
      <c r="H1" s="201"/>
      <c r="I1" s="202"/>
      <c r="K1" s="199" t="s">
        <v>4</v>
      </c>
      <c r="L1" s="199"/>
      <c r="M1" s="199"/>
      <c r="N1" s="199"/>
      <c r="O1" s="199"/>
      <c r="P1" s="199"/>
      <c r="Q1" s="5" t="s">
        <v>10</v>
      </c>
      <c r="R1" s="5"/>
      <c r="S1" s="5"/>
      <c r="T1" s="5"/>
      <c r="U1" s="5"/>
      <c r="V1" s="199" t="s">
        <v>7</v>
      </c>
      <c r="W1" s="199"/>
      <c r="X1" s="199"/>
      <c r="Y1" s="199"/>
      <c r="Z1" s="199"/>
      <c r="AA1" s="199" t="s">
        <v>2</v>
      </c>
      <c r="AB1" s="199"/>
      <c r="AC1" s="199"/>
      <c r="AD1" s="199"/>
      <c r="AE1" s="199"/>
      <c r="AF1" s="199" t="s">
        <v>3</v>
      </c>
      <c r="AG1" s="199"/>
      <c r="AH1" s="199"/>
      <c r="AI1" s="199"/>
      <c r="AJ1" s="199"/>
    </row>
    <row r="2" spans="1:36" ht="15" customHeight="1" x14ac:dyDescent="0.25">
      <c r="A2" s="114" t="s">
        <v>1</v>
      </c>
      <c r="B2" s="114" t="s">
        <v>15</v>
      </c>
      <c r="C2" s="115" t="s">
        <v>17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Q2" s="5">
        <f>V2</f>
        <v>300</v>
      </c>
      <c r="R2" s="5">
        <f>W2</f>
        <v>150</v>
      </c>
      <c r="S2" s="5">
        <f>X2</f>
        <v>100</v>
      </c>
      <c r="T2" s="5">
        <f>Y2</f>
        <v>150</v>
      </c>
      <c r="U2" s="5">
        <f>Z2</f>
        <v>300</v>
      </c>
      <c r="V2" s="1">
        <f>AF2</f>
        <v>300</v>
      </c>
      <c r="W2" s="1">
        <f>AG2</f>
        <v>150</v>
      </c>
      <c r="X2" s="1">
        <f>AH2</f>
        <v>100</v>
      </c>
      <c r="Y2" s="1">
        <f>AI2</f>
        <v>150</v>
      </c>
      <c r="Z2" s="1">
        <f>AJ2</f>
        <v>300</v>
      </c>
      <c r="AA2" s="1">
        <f>L2</f>
        <v>300</v>
      </c>
      <c r="AB2" s="1">
        <f>M2</f>
        <v>150</v>
      </c>
      <c r="AC2" s="1">
        <f>N2</f>
        <v>100</v>
      </c>
      <c r="AD2" s="1">
        <f>O2</f>
        <v>150</v>
      </c>
      <c r="AE2" s="1">
        <f>P2</f>
        <v>300</v>
      </c>
      <c r="AF2" s="1">
        <f>AA2</f>
        <v>300</v>
      </c>
      <c r="AG2" s="1">
        <f t="shared" ref="AG2:AJ2" si="0">AB2</f>
        <v>150</v>
      </c>
      <c r="AH2" s="1">
        <f t="shared" si="0"/>
        <v>100</v>
      </c>
      <c r="AI2" s="1">
        <f t="shared" si="0"/>
        <v>150</v>
      </c>
      <c r="AJ2" s="1">
        <f t="shared" si="0"/>
        <v>300</v>
      </c>
    </row>
    <row r="3" spans="1:36" ht="15" customHeight="1" x14ac:dyDescent="0.25">
      <c r="A3" s="114">
        <f>'DC-h2-sri-ipb2-27b'!M4*100</f>
        <v>150</v>
      </c>
      <c r="B3" s="116">
        <f>'DC-h2-sri-ipb2-27b'!O4</f>
        <v>0.41084043000987536</v>
      </c>
      <c r="C3" s="117">
        <f>'DC-h2-sri-ipb2-27b'!P4</f>
        <v>3.16822469613256E-2</v>
      </c>
      <c r="D3" s="200" t="s">
        <v>5</v>
      </c>
      <c r="E3" s="9"/>
      <c r="F3" s="12"/>
      <c r="G3" s="12"/>
      <c r="H3" s="32"/>
      <c r="I3" s="32"/>
      <c r="J3" s="18" t="s">
        <v>39</v>
      </c>
      <c r="K3" s="81"/>
      <c r="L3" s="82"/>
      <c r="M3" s="82"/>
      <c r="N3" s="82"/>
      <c r="O3" s="82"/>
      <c r="P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</row>
    <row r="4" spans="1:36" x14ac:dyDescent="0.25">
      <c r="A4" s="114">
        <f>'DC-h2-sri-ipb2-27b'!M5*100</f>
        <v>200</v>
      </c>
      <c r="B4" s="116">
        <f>'DC-h2-sri-ipb2-27b'!O5</f>
        <v>0.4380935452446082</v>
      </c>
      <c r="C4" s="117">
        <f>'DC-h2-sri-ipb2-27b'!P5</f>
        <v>0.14662166096612816</v>
      </c>
      <c r="D4" s="200"/>
      <c r="E4" s="9"/>
      <c r="F4" s="12"/>
      <c r="G4" s="12"/>
      <c r="H4" s="32"/>
      <c r="I4" s="32"/>
      <c r="J4" s="18"/>
      <c r="K4" s="81"/>
      <c r="L4" s="82"/>
      <c r="M4" s="82"/>
      <c r="N4" s="82"/>
      <c r="O4" s="82"/>
      <c r="P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</row>
    <row r="5" spans="1:36" x14ac:dyDescent="0.25">
      <c r="A5" s="114">
        <f>'DC-h2-sri-ipb2-27b'!M6*100</f>
        <v>250</v>
      </c>
      <c r="B5" s="116">
        <f>'DC-h2-sri-ipb2-27b'!O6</f>
        <v>0.47839048915851073</v>
      </c>
      <c r="C5" s="117">
        <f>'DC-h2-sri-ipb2-27b'!P6</f>
        <v>6.0570896685289366E-2</v>
      </c>
      <c r="D5" s="200"/>
      <c r="E5" s="9"/>
      <c r="F5" s="12"/>
      <c r="G5" s="12"/>
      <c r="H5" s="32"/>
      <c r="I5" s="32"/>
      <c r="J5" s="18" t="s">
        <v>11</v>
      </c>
      <c r="K5" s="2" t="s">
        <v>40</v>
      </c>
      <c r="L5" s="82"/>
      <c r="M5" s="82"/>
      <c r="N5" s="82"/>
      <c r="O5" s="82"/>
      <c r="P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</row>
    <row r="6" spans="1:36" x14ac:dyDescent="0.25">
      <c r="A6" s="114">
        <f>'DC-h2-sri-ipb2-27b'!M7*100</f>
        <v>275</v>
      </c>
      <c r="B6" s="116">
        <f>'DC-h2-sri-ipb2-27b'!O7</f>
        <v>0.49517471573506122</v>
      </c>
      <c r="C6" s="117">
        <f>'DC-h2-sri-ipb2-27b'!P7</f>
        <v>6.0570896685289366E-2</v>
      </c>
      <c r="D6" s="52">
        <v>1</v>
      </c>
      <c r="E6" s="10">
        <f>($B$7*$D6*Q6+$C$7+$K6-L6)/(Q6*$D6)</f>
        <v>1.3869364908441821</v>
      </c>
      <c r="F6" s="10">
        <f>($B$7*$D6*R6+$C$7+$K6-M6)/(R6*$D6)</f>
        <v>1.3955578593310256</v>
      </c>
      <c r="G6" s="10">
        <f>($B$7*$D6*S6+$C$7+$K6-N6)/(S6*$D6)</f>
        <v>1.3838637532392815</v>
      </c>
      <c r="H6" s="10">
        <f>($B$7*$D6*T6+$C$7+$K6-O6)/(T6*$D6)</f>
        <v>1.3942195148034469</v>
      </c>
      <c r="I6" s="10">
        <f>($B$7*$D6*U6+$C$7+$K6-P6)/(U6*$D6)</f>
        <v>1.3796123609604372</v>
      </c>
      <c r="J6" s="80">
        <v>300</v>
      </c>
      <c r="K6" s="83">
        <v>24.600345000000001</v>
      </c>
      <c r="L6" s="84">
        <v>21.781759000000001</v>
      </c>
      <c r="M6" s="84">
        <v>21.22176</v>
      </c>
      <c r="N6" s="84">
        <v>20.634664000000001</v>
      </c>
      <c r="O6" s="84">
        <v>21.185558</v>
      </c>
      <c r="P6" s="84">
        <v>21.772659999999998</v>
      </c>
      <c r="Q6" s="76">
        <v>3.3408169666666669</v>
      </c>
      <c r="R6" s="76">
        <v>3.9396470561797745</v>
      </c>
      <c r="S6" s="76">
        <v>4.6629658739573676</v>
      </c>
      <c r="T6" s="76">
        <v>3.9864729777777774</v>
      </c>
      <c r="U6" s="76">
        <v>3.3793511460674144</v>
      </c>
      <c r="V6" s="84">
        <v>50.213429766666678</v>
      </c>
      <c r="W6" s="84">
        <v>50.219729600000001</v>
      </c>
      <c r="X6" s="84">
        <v>50.327576287037097</v>
      </c>
      <c r="Y6" s="84">
        <v>50.420485388888885</v>
      </c>
      <c r="Z6" s="84">
        <v>50.425923699999998</v>
      </c>
      <c r="AA6" s="85">
        <v>-0.14740822222222219</v>
      </c>
      <c r="AB6" s="85">
        <v>0.19618720000000001</v>
      </c>
      <c r="AC6" s="85">
        <v>1.1275081509259253</v>
      </c>
      <c r="AD6" s="85">
        <v>0.42963937777777794</v>
      </c>
      <c r="AE6" s="85">
        <v>0.16849598888888889</v>
      </c>
      <c r="AF6" s="84">
        <v>31.313106399999995</v>
      </c>
      <c r="AG6" s="84">
        <v>28.679193811111109</v>
      </c>
      <c r="AH6" s="84">
        <v>28.13941986944447</v>
      </c>
      <c r="AI6" s="84">
        <v>28.81640967777777</v>
      </c>
      <c r="AJ6" s="84">
        <v>31.855918822222218</v>
      </c>
    </row>
    <row r="7" spans="1:36" x14ac:dyDescent="0.25">
      <c r="A7" s="114">
        <f>'DC-h2-sri-ipb2-27b'!M8*100</f>
        <v>300</v>
      </c>
      <c r="B7" s="116">
        <f>'DC-h2-sri-ipb2-27b'!O8</f>
        <v>0.50850058684966015</v>
      </c>
      <c r="C7" s="117">
        <f>'DC-h2-sri-ipb2-27b'!P8</f>
        <v>0.11610757219407075</v>
      </c>
      <c r="D7" s="52">
        <v>1</v>
      </c>
      <c r="E7" s="10">
        <f>($B$15*$D7*Q7+$C$15+$K7-L7)/(Q7*$D7)</f>
        <v>1.4007891556483736</v>
      </c>
      <c r="F7" s="10">
        <f>($B$15*$D7*R7+$C$15+$K7-M7)/(R7*$D7)</f>
        <v>1.334899709006945</v>
      </c>
      <c r="G7" s="10">
        <f>($B$15*$D7*S7+$C$15+$K7-N7)/(S7*$D7)</f>
        <v>1.3370124193796236</v>
      </c>
      <c r="H7" s="10">
        <f>($B$15*$D7*T7+$C$15+$K7-O7)/(T7*$D7)</f>
        <v>1.3715267737584798</v>
      </c>
      <c r="I7" s="10">
        <f>($B$15*$D7*U7+$C$15+$K7-P7)/(U7*$D7)</f>
        <v>1.4114448288210883</v>
      </c>
      <c r="J7" s="80">
        <v>600</v>
      </c>
      <c r="K7" s="83">
        <v>73.938598999999996</v>
      </c>
      <c r="L7" s="84">
        <v>70.882756999999998</v>
      </c>
      <c r="M7" s="84">
        <v>71.125213000000002</v>
      </c>
      <c r="N7" s="84">
        <v>70.928990999999996</v>
      </c>
      <c r="O7" s="84">
        <v>70.981009</v>
      </c>
      <c r="P7" s="84">
        <v>70.826567999999995</v>
      </c>
      <c r="Q7" s="76">
        <v>3.7934296777777776</v>
      </c>
      <c r="R7" s="76">
        <v>3.8035571111111115</v>
      </c>
      <c r="S7" s="76">
        <v>4.0572507985074626</v>
      </c>
      <c r="T7" s="76">
        <v>3.8098573444444432</v>
      </c>
      <c r="U7" s="76">
        <v>3.8127473888888881</v>
      </c>
      <c r="V7" s="84">
        <v>50.149274399999996</v>
      </c>
      <c r="W7" s="84">
        <v>50.131166233333339</v>
      </c>
      <c r="X7" s="84">
        <v>50.182322594795501</v>
      </c>
      <c r="Y7" s="84">
        <v>50.232939277777767</v>
      </c>
      <c r="Z7" s="84">
        <v>50.249159133333329</v>
      </c>
      <c r="AA7" s="85">
        <v>0.55690597777777784</v>
      </c>
      <c r="AB7" s="85">
        <v>0.79732055555555548</v>
      </c>
      <c r="AC7" s="85">
        <v>1.5783238513011155</v>
      </c>
      <c r="AD7" s="85">
        <v>0.64480167777777775</v>
      </c>
      <c r="AE7" s="85">
        <v>0.40356326666666664</v>
      </c>
      <c r="AF7" s="84">
        <v>31.170113433333331</v>
      </c>
      <c r="AG7" s="84">
        <v>28.871359088888902</v>
      </c>
      <c r="AH7" s="84">
        <v>28.765051338289958</v>
      </c>
      <c r="AI7" s="84">
        <v>29.088624822222229</v>
      </c>
      <c r="AJ7" s="84">
        <v>31.39084246666668</v>
      </c>
    </row>
    <row r="8" spans="1:36" x14ac:dyDescent="0.25">
      <c r="A8" s="114">
        <f>'DC-h2-sri-ipb2-27b'!M9*100</f>
        <v>325</v>
      </c>
      <c r="B8" s="116">
        <f>'DC-h2-sri-ipb2-27b'!O9</f>
        <v>0.52307930407047754</v>
      </c>
      <c r="C8" s="117">
        <f>'DC-h2-sri-ipb2-27b'!P9</f>
        <v>0.11610757219407075</v>
      </c>
      <c r="D8" s="14"/>
      <c r="E8" s="10"/>
      <c r="F8" s="10"/>
      <c r="G8" s="10"/>
      <c r="H8" s="10"/>
      <c r="I8" s="10"/>
      <c r="J8" s="18" t="s">
        <v>41</v>
      </c>
      <c r="K8" s="2"/>
      <c r="L8"/>
      <c r="M8"/>
      <c r="N8"/>
      <c r="O8"/>
      <c r="P8"/>
    </row>
    <row r="9" spans="1:36" x14ac:dyDescent="0.25">
      <c r="A9" s="114">
        <f>'DC-h2-sri-ipb2-27b'!M10*100</f>
        <v>350</v>
      </c>
      <c r="B9" s="116">
        <f>'DC-h2-sri-ipb2-27b'!O10</f>
        <v>0.53696652633833164</v>
      </c>
      <c r="C9" s="117">
        <f>'DC-h2-sri-ipb2-27b'!P10</f>
        <v>0</v>
      </c>
      <c r="D9" s="14"/>
      <c r="E9" s="10"/>
      <c r="F9" s="10"/>
      <c r="G9" s="10"/>
      <c r="H9" s="10"/>
      <c r="I9" s="10"/>
      <c r="J9" s="18"/>
      <c r="K9" s="2"/>
      <c r="L9"/>
      <c r="M9"/>
      <c r="N9"/>
      <c r="O9"/>
      <c r="P9"/>
    </row>
    <row r="10" spans="1:36" x14ac:dyDescent="0.25">
      <c r="A10" s="114">
        <f>'DC-h2-sri-ipb2-27b'!M11*100</f>
        <v>375</v>
      </c>
      <c r="B10" s="116">
        <f>'DC-h2-sri-ipb2-27b'!O11</f>
        <v>0.54643412044061068</v>
      </c>
      <c r="C10" s="117">
        <f>'DC-h2-sri-ipb2-27b'!P11</f>
        <v>0</v>
      </c>
      <c r="D10" s="14"/>
      <c r="E10" s="10"/>
      <c r="F10" s="10"/>
      <c r="G10" s="10"/>
      <c r="H10" s="10"/>
      <c r="I10" s="10"/>
      <c r="J10" s="18" t="s">
        <v>11</v>
      </c>
      <c r="K10" s="2" t="s">
        <v>42</v>
      </c>
      <c r="L10"/>
      <c r="M10"/>
      <c r="N10"/>
      <c r="O10"/>
      <c r="P10"/>
    </row>
    <row r="11" spans="1:36" x14ac:dyDescent="0.25">
      <c r="A11" s="114">
        <f>'DC-h2-sri-ipb2-27b'!M12*100</f>
        <v>400</v>
      </c>
      <c r="B11" s="116">
        <f>'DC-h2-sri-ipb2-27b'!O12</f>
        <v>0.55861664491690266</v>
      </c>
      <c r="C11" s="117">
        <f>'DC-h2-sri-ipb2-27b'!P12</f>
        <v>9.499183190019167E-2</v>
      </c>
      <c r="D11" s="52">
        <v>1</v>
      </c>
      <c r="E11" s="10">
        <f t="shared" ref="E11:I16" si="1">($B$11*$D11*Q11+$C$11+$K11-L11)/(Q11*$D11)</f>
        <v>1.1819921927150909</v>
      </c>
      <c r="F11" s="10">
        <f t="shared" si="1"/>
        <v>1.200248830727827</v>
      </c>
      <c r="G11" s="10">
        <f t="shared" si="1"/>
        <v>1.1680965388285083</v>
      </c>
      <c r="H11" s="10">
        <f t="shared" si="1"/>
        <v>1.2067286831844051</v>
      </c>
      <c r="I11" s="10">
        <f t="shared" si="1"/>
        <v>1.2290100952055274</v>
      </c>
      <c r="J11" s="78">
        <v>150</v>
      </c>
      <c r="K11" s="71">
        <v>9.3652949999999997</v>
      </c>
      <c r="L11" s="71">
        <v>7.7525440000000003</v>
      </c>
      <c r="M11" s="71">
        <v>7.405424</v>
      </c>
      <c r="N11" s="71">
        <v>7.1758920000000002</v>
      </c>
      <c r="O11" s="71">
        <v>7.3874490000000002</v>
      </c>
      <c r="P11" s="71">
        <v>7.615405</v>
      </c>
      <c r="Q11" s="76">
        <v>2.7395088529411749</v>
      </c>
      <c r="R11" s="76">
        <v>3.2025557279411752</v>
      </c>
      <c r="S11" s="76">
        <v>3.7481053185185194</v>
      </c>
      <c r="T11" s="76">
        <v>3.1982708382352949</v>
      </c>
      <c r="U11" s="76">
        <v>2.7519389264705874</v>
      </c>
      <c r="V11" s="71">
        <v>50.317934757352951</v>
      </c>
      <c r="W11" s="71">
        <v>50.302059941176459</v>
      </c>
      <c r="X11" s="71">
        <v>50.35826907777777</v>
      </c>
      <c r="Y11" s="71">
        <v>50.394934102941207</v>
      </c>
      <c r="Z11" s="71">
        <v>50.409839176470577</v>
      </c>
      <c r="AA11" s="76">
        <v>1.8484300661764697</v>
      </c>
      <c r="AB11" s="76">
        <v>2.2953237058823528</v>
      </c>
      <c r="AC11" s="76">
        <v>3.0723731259259282</v>
      </c>
      <c r="AD11" s="76">
        <v>2.4716707794117632</v>
      </c>
      <c r="AE11" s="76">
        <v>1.970071448529412</v>
      </c>
      <c r="AF11" s="71">
        <v>33.613603654411754</v>
      </c>
      <c r="AG11" s="71">
        <v>31.191722772058817</v>
      </c>
      <c r="AH11" s="71">
        <v>30.588618685185175</v>
      </c>
      <c r="AI11" s="71">
        <v>31.377444279411769</v>
      </c>
      <c r="AJ11" s="71">
        <v>33.866071014705881</v>
      </c>
    </row>
    <row r="12" spans="1:36" x14ac:dyDescent="0.25">
      <c r="A12" s="114">
        <f>'DC-h2-sri-ipb2-27b'!M13*100</f>
        <v>450</v>
      </c>
      <c r="B12" s="116">
        <f>'DC-h2-sri-ipb2-27b'!O13</f>
        <v>0.57693551723153269</v>
      </c>
      <c r="C12" s="117">
        <f>'DC-h2-sri-ipb2-27b'!P13</f>
        <v>0</v>
      </c>
      <c r="D12" s="52">
        <v>1</v>
      </c>
      <c r="E12" s="10">
        <f t="shared" si="1"/>
        <v>1.2243313458527358</v>
      </c>
      <c r="F12" s="10">
        <f t="shared" si="1"/>
        <v>1.221058288375356</v>
      </c>
      <c r="G12" s="10">
        <f t="shared" si="1"/>
        <v>1.2126090391928122</v>
      </c>
      <c r="H12" s="10">
        <f t="shared" si="1"/>
        <v>1.264617068572113</v>
      </c>
      <c r="I12" s="10">
        <f t="shared" si="1"/>
        <v>1.2889238438067667</v>
      </c>
      <c r="J12" s="78">
        <v>200</v>
      </c>
      <c r="K12" s="71">
        <v>13.854497</v>
      </c>
      <c r="L12" s="71">
        <v>11.869459000000001</v>
      </c>
      <c r="M12" s="71">
        <v>11.513961</v>
      </c>
      <c r="N12" s="71">
        <v>11.135256</v>
      </c>
      <c r="O12" s="71">
        <v>11.350262000000001</v>
      </c>
      <c r="P12" s="71">
        <v>11.662312</v>
      </c>
      <c r="Q12" s="76">
        <v>3.124506382352942</v>
      </c>
      <c r="R12" s="76">
        <v>3.6765922794117656</v>
      </c>
      <c r="S12" s="76">
        <v>4.3031583494423797</v>
      </c>
      <c r="T12" s="76">
        <v>3.681622198529412</v>
      </c>
      <c r="U12" s="76">
        <v>3.131801022058823</v>
      </c>
      <c r="V12" s="71">
        <v>50.210233124999995</v>
      </c>
      <c r="W12" s="71">
        <v>50.223610286764696</v>
      </c>
      <c r="X12" s="71">
        <v>50.260238092592623</v>
      </c>
      <c r="Y12" s="71">
        <v>50.299182404411759</v>
      </c>
      <c r="Z12" s="71">
        <v>50.3096066985294</v>
      </c>
      <c r="AA12" s="76">
        <v>1.572048323529412</v>
      </c>
      <c r="AB12" s="76">
        <v>1.9265483455882355</v>
      </c>
      <c r="AC12" s="76">
        <v>2.472327722222222</v>
      </c>
      <c r="AD12" s="76">
        <v>1.6559127941176472</v>
      </c>
      <c r="AE12" s="76">
        <v>1.2450806176470586</v>
      </c>
      <c r="AF12" s="71">
        <v>33.001755257352954</v>
      </c>
      <c r="AG12" s="71">
        <v>30.469244544117633</v>
      </c>
      <c r="AH12" s="71">
        <v>29.611553648148139</v>
      </c>
      <c r="AI12" s="71">
        <v>30.354952426470589</v>
      </c>
      <c r="AJ12" s="71">
        <v>32.936806169117631</v>
      </c>
    </row>
    <row r="13" spans="1:36" x14ac:dyDescent="0.25">
      <c r="A13" s="114">
        <f>'DC-h2-sri-ipb2-27b'!M14*100</f>
        <v>500</v>
      </c>
      <c r="B13" s="116">
        <f>'DC-h2-sri-ipb2-27b'!O14</f>
        <v>0.58076372300651835</v>
      </c>
      <c r="C13" s="117">
        <f>'DC-h2-sri-ipb2-27b'!P14</f>
        <v>0</v>
      </c>
      <c r="D13" s="52">
        <v>1</v>
      </c>
      <c r="E13" s="10">
        <f t="shared" si="1"/>
        <v>1.3195542239522773</v>
      </c>
      <c r="F13" s="10">
        <f t="shared" si="1"/>
        <v>1.3036486085332004</v>
      </c>
      <c r="G13" s="10">
        <f t="shared" si="1"/>
        <v>1.2879170346322992</v>
      </c>
      <c r="H13" s="10">
        <f t="shared" si="1"/>
        <v>1.3054838523195809</v>
      </c>
      <c r="I13" s="10">
        <f t="shared" si="1"/>
        <v>1.3290896692785539</v>
      </c>
      <c r="J13" s="78">
        <v>250</v>
      </c>
      <c r="K13" s="71">
        <v>18.948601</v>
      </c>
      <c r="L13" s="71">
        <v>16.339908999999999</v>
      </c>
      <c r="M13" s="71">
        <v>15.886266000000001</v>
      </c>
      <c r="N13" s="71">
        <v>15.400482</v>
      </c>
      <c r="O13" s="71">
        <v>15.872680000000001</v>
      </c>
      <c r="P13" s="71">
        <v>16.297443999999999</v>
      </c>
      <c r="Q13" s="76">
        <v>3.5530954264705885</v>
      </c>
      <c r="R13" s="76">
        <v>4.2378407720588243</v>
      </c>
      <c r="S13" s="76">
        <v>4.9953501784386614</v>
      </c>
      <c r="T13" s="76">
        <v>4.2456179632352944</v>
      </c>
      <c r="U13" s="76">
        <v>3.5642374814814812</v>
      </c>
      <c r="V13" s="71">
        <v>50.083218058823526</v>
      </c>
      <c r="W13" s="71">
        <v>50.102803632352945</v>
      </c>
      <c r="X13" s="71">
        <v>50.145700074074071</v>
      </c>
      <c r="Y13" s="71">
        <v>50.189539772058815</v>
      </c>
      <c r="Z13" s="71">
        <v>50.196468733333354</v>
      </c>
      <c r="AA13" s="76">
        <v>0.7696370735294118</v>
      </c>
      <c r="AB13" s="76">
        <v>1.1010494558823527</v>
      </c>
      <c r="AC13" s="76">
        <v>1.7526941259259261</v>
      </c>
      <c r="AD13" s="76">
        <v>1.1609854705882352</v>
      </c>
      <c r="AE13" s="76">
        <v>0.67208695555555553</v>
      </c>
      <c r="AF13" s="71">
        <v>32.043459750000011</v>
      </c>
      <c r="AG13" s="71">
        <v>29.448269117647047</v>
      </c>
      <c r="AH13" s="71">
        <v>28.484480296296283</v>
      </c>
      <c r="AI13" s="71">
        <v>29.468997272058825</v>
      </c>
      <c r="AJ13" s="71">
        <v>32.166191133333314</v>
      </c>
    </row>
    <row r="14" spans="1:36" x14ac:dyDescent="0.25">
      <c r="A14" s="114">
        <f>'DC-h2-sri-ipb2-27b'!M15*100</f>
        <v>550</v>
      </c>
      <c r="B14" s="116">
        <f>'DC-h2-sri-ipb2-27b'!O15</f>
        <v>0.59234652350947226</v>
      </c>
      <c r="C14" s="117">
        <f>'DC-h2-sri-ipb2-27b'!P15</f>
        <v>0</v>
      </c>
      <c r="D14" s="52">
        <v>1</v>
      </c>
      <c r="E14" s="87">
        <f t="shared" si="1"/>
        <v>1.4314507608986693</v>
      </c>
      <c r="F14" s="87">
        <f t="shared" si="1"/>
        <v>1.3442510136968575</v>
      </c>
      <c r="G14" s="87">
        <f t="shared" si="1"/>
        <v>1.3429021072406717</v>
      </c>
      <c r="H14" s="87">
        <f t="shared" si="1"/>
        <v>1.3753115390818114</v>
      </c>
      <c r="I14" s="87">
        <f t="shared" si="1"/>
        <v>1.3732633193489892</v>
      </c>
      <c r="J14" s="78">
        <v>300</v>
      </c>
      <c r="K14" s="71">
        <v>24.584489000000001</v>
      </c>
      <c r="L14" s="71">
        <v>21.267337999999999</v>
      </c>
      <c r="M14" s="71">
        <v>20.948191000000001</v>
      </c>
      <c r="N14" s="71">
        <v>20.243701000000001</v>
      </c>
      <c r="O14" s="71">
        <v>20.788577</v>
      </c>
      <c r="P14" s="71">
        <v>21.490016000000001</v>
      </c>
      <c r="Q14" s="75">
        <v>3.9092684044117654</v>
      </c>
      <c r="R14" s="75">
        <v>4.7493974044117646</v>
      </c>
      <c r="S14" s="75">
        <v>5.6558230962962952</v>
      </c>
      <c r="T14" s="75">
        <v>4.7642073676470602</v>
      </c>
      <c r="U14" s="75">
        <v>3.9151511102941159</v>
      </c>
      <c r="V14" s="71">
        <v>49.926560110294126</v>
      </c>
      <c r="W14" s="71">
        <v>49.929095757352961</v>
      </c>
      <c r="X14" s="71">
        <v>49.990274825925958</v>
      </c>
      <c r="Y14" s="71">
        <v>50.040242374999991</v>
      </c>
      <c r="Z14" s="71">
        <v>50.065050161764667</v>
      </c>
      <c r="AA14" s="76">
        <v>0.2820431911764707</v>
      </c>
      <c r="AB14" s="76">
        <v>0.53424416911764705</v>
      </c>
      <c r="AC14" s="76">
        <v>1.2621952481481482</v>
      </c>
      <c r="AD14" s="76">
        <v>0.63496296323529411</v>
      </c>
      <c r="AE14" s="76">
        <v>0.45394387499999983</v>
      </c>
      <c r="AF14" s="71">
        <v>31.329671051470587</v>
      </c>
      <c r="AG14" s="71">
        <v>28.521643242647059</v>
      </c>
      <c r="AH14" s="71">
        <v>27.431618037037062</v>
      </c>
      <c r="AI14" s="71">
        <v>28.634437683823521</v>
      </c>
      <c r="AJ14" s="71">
        <v>31.563732904411754</v>
      </c>
    </row>
    <row r="15" spans="1:36" s="73" customFormat="1" x14ac:dyDescent="0.25">
      <c r="A15" s="114">
        <f>'DC-h2-sri-ipb2-27b'!M16*100</f>
        <v>600</v>
      </c>
      <c r="B15" s="116">
        <f>'DC-h2-sri-ipb2-27b'!O16</f>
        <v>0.59522736603583137</v>
      </c>
      <c r="C15" s="117">
        <f>'DC-h2-sri-ipb2-27b'!P16</f>
        <v>0</v>
      </c>
      <c r="D15" s="52">
        <v>1</v>
      </c>
      <c r="E15" s="10">
        <f t="shared" si="1"/>
        <v>1.2739252971433734</v>
      </c>
      <c r="F15" s="10">
        <f t="shared" si="1"/>
        <v>1.2772865691516173</v>
      </c>
      <c r="G15" s="10">
        <f t="shared" si="1"/>
        <v>1.2442170457314674</v>
      </c>
      <c r="H15" s="10">
        <f t="shared" si="1"/>
        <v>1.2601886746618687</v>
      </c>
      <c r="I15" s="10">
        <f t="shared" si="1"/>
        <v>1.2788929654921448</v>
      </c>
      <c r="J15" s="78">
        <v>350</v>
      </c>
      <c r="K15" s="71">
        <v>30.748023</v>
      </c>
      <c r="L15" s="71">
        <v>28.138611999999998</v>
      </c>
      <c r="M15" s="71">
        <v>27.770403999999999</v>
      </c>
      <c r="N15" s="71">
        <v>27.460035000000001</v>
      </c>
      <c r="O15" s="71">
        <v>27.838999000000001</v>
      </c>
      <c r="P15" s="71">
        <v>28.107513000000001</v>
      </c>
      <c r="Q15" s="76">
        <v>3.7807495037037047</v>
      </c>
      <c r="R15" s="76">
        <v>4.2754131323529414</v>
      </c>
      <c r="S15" s="76">
        <v>4.9343317592592619</v>
      </c>
      <c r="T15" s="76">
        <v>4.2818352279411753</v>
      </c>
      <c r="U15" s="76">
        <v>3.7978505661764692</v>
      </c>
      <c r="V15" s="71">
        <v>49.766055492647041</v>
      </c>
      <c r="W15" s="71">
        <v>49.793189647058824</v>
      </c>
      <c r="X15" s="71">
        <v>49.838368492592615</v>
      </c>
      <c r="Y15" s="71">
        <v>49.887185448529401</v>
      </c>
      <c r="Z15" s="71">
        <v>49.912033220588235</v>
      </c>
      <c r="AA15" s="76">
        <v>1.3925241985294112</v>
      </c>
      <c r="AB15" s="76">
        <v>1.9651612132352942</v>
      </c>
      <c r="AC15" s="76">
        <v>2.8977689555555548</v>
      </c>
      <c r="AD15" s="76">
        <v>2.245346205882353</v>
      </c>
      <c r="AE15" s="76">
        <v>1.8961428676470584</v>
      </c>
      <c r="AF15" s="71">
        <v>32.352111426470579</v>
      </c>
      <c r="AG15" s="71">
        <v>30.042719264705887</v>
      </c>
      <c r="AH15" s="71">
        <v>29.20733226296295</v>
      </c>
      <c r="AI15" s="71">
        <v>30.148019007352932</v>
      </c>
      <c r="AJ15" s="71">
        <v>32.669558124999995</v>
      </c>
    </row>
    <row r="16" spans="1:36" s="73" customFormat="1" ht="15" customHeight="1" x14ac:dyDescent="0.25">
      <c r="A16" s="8"/>
      <c r="B16" s="34"/>
      <c r="C16" s="35"/>
      <c r="D16" s="52">
        <v>1</v>
      </c>
      <c r="E16" s="10">
        <f t="shared" si="1"/>
        <v>1.2968741434878959</v>
      </c>
      <c r="F16" s="10">
        <f t="shared" si="1"/>
        <v>1.268433099974686</v>
      </c>
      <c r="G16" s="10">
        <f t="shared" si="1"/>
        <v>1.188771131937419</v>
      </c>
      <c r="H16" s="10">
        <f t="shared" si="1"/>
        <v>1.2409093522205528</v>
      </c>
      <c r="I16" s="10">
        <f t="shared" si="1"/>
        <v>1.237315889871611</v>
      </c>
      <c r="J16" s="78">
        <v>400</v>
      </c>
      <c r="K16" s="71">
        <v>37.718347999999999</v>
      </c>
      <c r="L16" s="71">
        <v>35.002822999999999</v>
      </c>
      <c r="M16" s="71">
        <v>34.929299</v>
      </c>
      <c r="N16" s="71">
        <v>34.972788000000001</v>
      </c>
      <c r="O16" s="71">
        <v>35.036107000000001</v>
      </c>
      <c r="P16" s="71">
        <v>35.217022999999998</v>
      </c>
      <c r="Q16" s="76">
        <v>3.8069600882352916</v>
      </c>
      <c r="R16" s="76">
        <v>4.0630797037037061</v>
      </c>
      <c r="S16" s="76">
        <v>4.5077070629629663</v>
      </c>
      <c r="T16" s="76">
        <v>4.0704419117647062</v>
      </c>
      <c r="U16" s="76">
        <v>3.8254305588235269</v>
      </c>
      <c r="V16" s="71">
        <v>49.568976426470584</v>
      </c>
      <c r="W16" s="71">
        <v>49.601936251851832</v>
      </c>
      <c r="X16" s="71">
        <v>49.655772359259231</v>
      </c>
      <c r="Y16" s="71">
        <v>49.719976308823519</v>
      </c>
      <c r="Z16" s="71">
        <v>49.736532705882361</v>
      </c>
      <c r="AA16" s="76">
        <v>1.5327790735294118</v>
      </c>
      <c r="AB16" s="76">
        <v>1.905926474074074</v>
      </c>
      <c r="AC16" s="76">
        <v>2.6742972148148159</v>
      </c>
      <c r="AD16" s="76">
        <v>1.9964650588235295</v>
      </c>
      <c r="AE16" s="76">
        <v>1.564611117647059</v>
      </c>
      <c r="AF16" s="71">
        <v>32.307303323529425</v>
      </c>
      <c r="AG16" s="71">
        <v>30.113826266666674</v>
      </c>
      <c r="AH16" s="71">
        <v>29.463074388888899</v>
      </c>
      <c r="AI16" s="71">
        <v>30.189149382352952</v>
      </c>
      <c r="AJ16" s="71">
        <v>32.525560580882356</v>
      </c>
    </row>
    <row r="17" spans="1:36" s="178" customFormat="1" ht="15" customHeight="1" x14ac:dyDescent="0.25">
      <c r="A17" s="8"/>
      <c r="B17" s="34"/>
      <c r="C17" s="35"/>
      <c r="D17" s="52"/>
      <c r="E17" s="10"/>
      <c r="F17" s="10"/>
      <c r="G17" s="10"/>
      <c r="H17" s="10"/>
      <c r="I17" s="10"/>
      <c r="J17" s="78"/>
      <c r="K17" s="71"/>
      <c r="L17" s="71"/>
      <c r="M17" s="71"/>
      <c r="N17" s="71"/>
      <c r="O17" s="71"/>
      <c r="P17" s="71"/>
      <c r="Q17" s="76"/>
      <c r="R17" s="76"/>
      <c r="S17" s="76"/>
      <c r="T17" s="76"/>
      <c r="U17" s="76"/>
      <c r="V17" s="71"/>
      <c r="W17" s="71"/>
      <c r="X17" s="71"/>
      <c r="Y17" s="71"/>
      <c r="Z17" s="71"/>
      <c r="AA17" s="76"/>
      <c r="AB17" s="76"/>
      <c r="AC17" s="76"/>
      <c r="AD17" s="76"/>
      <c r="AE17" s="76"/>
      <c r="AF17" s="71"/>
      <c r="AG17" s="71"/>
      <c r="AH17" s="71"/>
      <c r="AI17" s="71"/>
      <c r="AJ17" s="71"/>
    </row>
    <row r="18" spans="1:36" s="178" customFormat="1" ht="15" customHeight="1" x14ac:dyDescent="0.25">
      <c r="A18" s="8"/>
      <c r="B18" s="34"/>
      <c r="C18" s="35"/>
      <c r="D18" s="52"/>
      <c r="E18" s="186" t="s">
        <v>126</v>
      </c>
      <c r="I18" s="9"/>
      <c r="J18" s="18"/>
      <c r="K18" s="1"/>
      <c r="L18" s="178" t="s">
        <v>101</v>
      </c>
      <c r="O18" s="48"/>
      <c r="P18" s="3"/>
      <c r="Q18" s="76"/>
      <c r="R18" s="76"/>
      <c r="S18" s="76"/>
      <c r="T18" s="76"/>
      <c r="U18" s="76"/>
      <c r="V18" s="71"/>
      <c r="W18" s="71"/>
      <c r="X18" s="71"/>
      <c r="Y18" s="71"/>
      <c r="Z18" s="71"/>
      <c r="AA18" s="76"/>
      <c r="AB18" s="76"/>
      <c r="AC18" s="76"/>
      <c r="AD18" s="76"/>
      <c r="AE18" s="76"/>
      <c r="AF18" s="71"/>
      <c r="AG18" s="71"/>
      <c r="AH18" s="71"/>
      <c r="AI18" s="71"/>
      <c r="AJ18" s="71"/>
    </row>
    <row r="19" spans="1:36" s="178" customFormat="1" ht="15" customHeight="1" x14ac:dyDescent="0.25">
      <c r="A19" s="8"/>
      <c r="B19" s="34"/>
      <c r="C19" s="35"/>
      <c r="D19" s="52"/>
      <c r="E19" s="10">
        <f>(L19-(Q11*$B$3+$C$3))/(Q11)+1</f>
        <v>1.1662954136437111</v>
      </c>
      <c r="F19" s="10">
        <f>(M19-(R11*$B$3+$C$3))/(R11)+1</f>
        <v>1.1912376965987903</v>
      </c>
      <c r="G19" s="10">
        <f>(N19-(S11*$B$3+$C$3))/(S11)+1</f>
        <v>1.1648426337444637</v>
      </c>
      <c r="H19" s="10">
        <f>(O19-(T11*$B$3+$C$3))/(T11)+1</f>
        <v>1.1976645564260158</v>
      </c>
      <c r="I19" s="10">
        <f>(P19-(U11*$B$3+$C$3))/(U11)+1</f>
        <v>1.2135221735753385</v>
      </c>
      <c r="J19" s="78">
        <v>150</v>
      </c>
      <c r="K19" s="2"/>
      <c r="L19" s="3">
        <f>$K11-L11</f>
        <v>1.6127509999999994</v>
      </c>
      <c r="M19" s="3">
        <f>$K11-M11</f>
        <v>1.9598709999999997</v>
      </c>
      <c r="N19" s="3">
        <f>$K11-N11</f>
        <v>2.1894029999999995</v>
      </c>
      <c r="O19" s="3">
        <f>$K11-O11</f>
        <v>1.9778459999999995</v>
      </c>
      <c r="P19" s="3">
        <f>$K11-P11</f>
        <v>1.7498899999999997</v>
      </c>
      <c r="Q19" s="76"/>
      <c r="R19" s="76"/>
      <c r="S19" s="76"/>
      <c r="T19" s="76"/>
      <c r="U19" s="76"/>
      <c r="V19" s="71"/>
      <c r="W19" s="71"/>
      <c r="X19" s="71"/>
      <c r="Y19" s="71"/>
      <c r="Z19" s="71"/>
      <c r="AA19" s="76"/>
      <c r="AB19" s="76"/>
      <c r="AC19" s="76"/>
      <c r="AD19" s="76"/>
      <c r="AE19" s="76"/>
      <c r="AF19" s="71"/>
      <c r="AG19" s="71"/>
      <c r="AH19" s="71"/>
      <c r="AI19" s="71"/>
      <c r="AJ19" s="71"/>
    </row>
    <row r="20" spans="1:36" s="178" customFormat="1" ht="15" customHeight="1" x14ac:dyDescent="0.25">
      <c r="A20" s="8"/>
      <c r="B20" s="34"/>
      <c r="C20" s="35"/>
      <c r="D20" s="52"/>
      <c r="E20" s="10">
        <f>(L20-(Q12*$B$4+$C$4))/(Q12)+1</f>
        <v>1.1502926233409823</v>
      </c>
      <c r="F20" s="10">
        <f t="shared" ref="F20:I20" si="2">(M20-(R12*$B$4+$C$4))/(R12)+1</f>
        <v>1.1586314033768055</v>
      </c>
      <c r="G20" s="10">
        <f t="shared" si="2"/>
        <v>1.1597509053011734</v>
      </c>
      <c r="H20" s="10">
        <f t="shared" si="2"/>
        <v>1.2022799672726721</v>
      </c>
      <c r="I20" s="10">
        <f t="shared" si="2"/>
        <v>1.2150652361166463</v>
      </c>
      <c r="J20" s="78">
        <v>200</v>
      </c>
      <c r="K20" s="1"/>
      <c r="L20" s="3">
        <f t="shared" ref="L20:P24" si="3">$K12-L12</f>
        <v>1.9850379999999994</v>
      </c>
      <c r="M20" s="3">
        <f t="shared" si="3"/>
        <v>2.3405360000000002</v>
      </c>
      <c r="N20" s="3">
        <f t="shared" si="3"/>
        <v>2.7192410000000002</v>
      </c>
      <c r="O20" s="3">
        <f t="shared" si="3"/>
        <v>2.5042349999999995</v>
      </c>
      <c r="P20" s="3">
        <f t="shared" si="3"/>
        <v>2.1921850000000003</v>
      </c>
      <c r="Q20" s="76"/>
      <c r="R20" s="76"/>
      <c r="S20" s="76"/>
      <c r="T20" s="76"/>
      <c r="U20" s="76"/>
      <c r="V20" s="71"/>
      <c r="W20" s="71"/>
      <c r="X20" s="71"/>
      <c r="Y20" s="71"/>
      <c r="Z20" s="71"/>
      <c r="AA20" s="76"/>
      <c r="AB20" s="76"/>
      <c r="AC20" s="76"/>
      <c r="AD20" s="76"/>
      <c r="AE20" s="76"/>
      <c r="AF20" s="71"/>
      <c r="AG20" s="71"/>
      <c r="AH20" s="71"/>
      <c r="AI20" s="71"/>
      <c r="AJ20" s="71"/>
    </row>
    <row r="21" spans="1:36" s="178" customFormat="1" ht="15" customHeight="1" x14ac:dyDescent="0.25">
      <c r="A21" s="8"/>
      <c r="B21" s="34"/>
      <c r="C21" s="35"/>
      <c r="D21" s="52"/>
      <c r="E21" s="10">
        <f>(L21-(Q13*$B$5+$C$5))/(Q13)+1</f>
        <v>1.2387647789863272</v>
      </c>
      <c r="F21" s="10">
        <f t="shared" ref="F21:I21" si="4">(M21-(R13*$B$5+$C$5))/(R13)+1</f>
        <v>1.2299334580520862</v>
      </c>
      <c r="G21" s="10">
        <f t="shared" si="4"/>
        <v>1.2197683943503874</v>
      </c>
      <c r="H21" s="10">
        <f t="shared" si="4"/>
        <v>1.2318359441725086</v>
      </c>
      <c r="I21" s="10">
        <f t="shared" si="4"/>
        <v>1.2484370908707332</v>
      </c>
      <c r="J21" s="78">
        <v>250</v>
      </c>
      <c r="K21" s="1"/>
      <c r="L21" s="3">
        <f t="shared" si="3"/>
        <v>2.6086920000000013</v>
      </c>
      <c r="M21" s="3">
        <f t="shared" si="3"/>
        <v>3.0623349999999991</v>
      </c>
      <c r="N21" s="3">
        <f t="shared" si="3"/>
        <v>3.5481189999999998</v>
      </c>
      <c r="O21" s="3">
        <f t="shared" si="3"/>
        <v>3.0759209999999992</v>
      </c>
      <c r="P21" s="3">
        <f t="shared" si="3"/>
        <v>2.6511570000000013</v>
      </c>
      <c r="Q21" s="76"/>
      <c r="R21" s="76"/>
      <c r="S21" s="76"/>
      <c r="T21" s="76"/>
      <c r="U21" s="76"/>
      <c r="V21" s="71"/>
      <c r="W21" s="71"/>
      <c r="X21" s="71"/>
      <c r="Y21" s="71"/>
      <c r="Z21" s="71"/>
      <c r="AA21" s="76"/>
      <c r="AB21" s="76"/>
      <c r="AC21" s="76"/>
      <c r="AD21" s="76"/>
      <c r="AE21" s="76"/>
      <c r="AF21" s="71"/>
      <c r="AG21" s="71"/>
      <c r="AH21" s="71"/>
      <c r="AI21" s="71"/>
      <c r="AJ21" s="71"/>
    </row>
    <row r="22" spans="1:36" s="178" customFormat="1" ht="15" customHeight="1" x14ac:dyDescent="0.25">
      <c r="A22" s="8"/>
      <c r="B22" s="34"/>
      <c r="C22" s="35"/>
      <c r="D22" s="52"/>
      <c r="E22" s="158">
        <f>(L22-(Q14*$B$7+$C$7))/(Q14)+1</f>
        <v>1.310333807891163</v>
      </c>
      <c r="F22" s="158">
        <f t="shared" ref="F22:I22" si="5">(M22-(R14*$B$7+$C$7))/(R14)+1</f>
        <v>1.2326861633970108</v>
      </c>
      <c r="G22" s="158">
        <f t="shared" si="5"/>
        <v>1.2384606168295096</v>
      </c>
      <c r="H22" s="158">
        <f t="shared" si="5"/>
        <v>1.2638848581657838</v>
      </c>
      <c r="I22" s="158">
        <f t="shared" si="5"/>
        <v>1.2522275035616925</v>
      </c>
      <c r="J22" s="78">
        <v>300</v>
      </c>
      <c r="L22" s="3">
        <f t="shared" si="3"/>
        <v>3.3171510000000026</v>
      </c>
      <c r="M22" s="3">
        <f t="shared" si="3"/>
        <v>3.636298</v>
      </c>
      <c r="N22" s="3">
        <f t="shared" si="3"/>
        <v>4.3407879999999999</v>
      </c>
      <c r="O22" s="3">
        <f t="shared" si="3"/>
        <v>3.7959120000000013</v>
      </c>
      <c r="P22" s="3">
        <f t="shared" si="3"/>
        <v>3.0944730000000007</v>
      </c>
      <c r="Q22" s="76"/>
      <c r="R22" s="76"/>
      <c r="S22" s="76"/>
      <c r="T22" s="76"/>
      <c r="U22" s="76"/>
      <c r="V22" s="71"/>
      <c r="W22" s="71"/>
      <c r="X22" s="71"/>
      <c r="Y22" s="71"/>
      <c r="Z22" s="71"/>
      <c r="AA22" s="76"/>
      <c r="AB22" s="76"/>
      <c r="AC22" s="76"/>
      <c r="AD22" s="76"/>
      <c r="AE22" s="76"/>
      <c r="AF22" s="71"/>
      <c r="AG22" s="71"/>
      <c r="AH22" s="71"/>
      <c r="AI22" s="71"/>
      <c r="AJ22" s="71"/>
    </row>
    <row r="23" spans="1:36" s="178" customFormat="1" ht="15" customHeight="1" x14ac:dyDescent="0.25">
      <c r="A23" s="8"/>
      <c r="B23" s="34"/>
      <c r="C23" s="35"/>
      <c r="D23" s="52"/>
      <c r="E23" s="10">
        <f>(L23-(Q15*$B$9+$C$9))/(Q15)+1</f>
        <v>1.1532169934753365</v>
      </c>
      <c r="F23" s="10">
        <f t="shared" ref="F23:I23" si="6">(M23-(R15*$B$9+$C$9))/(R15)+1</f>
        <v>1.1594852334852366</v>
      </c>
      <c r="G23" s="10">
        <f t="shared" si="6"/>
        <v>1.1293826695441902</v>
      </c>
      <c r="H23" s="10">
        <f t="shared" si="6"/>
        <v>1.1424206628316584</v>
      </c>
      <c r="I23" s="10">
        <f t="shared" si="6"/>
        <v>1.1582977959381406</v>
      </c>
      <c r="J23" s="78">
        <v>350</v>
      </c>
      <c r="L23" s="3">
        <f t="shared" si="3"/>
        <v>2.6094110000000015</v>
      </c>
      <c r="M23" s="3">
        <f t="shared" si="3"/>
        <v>2.9776190000000007</v>
      </c>
      <c r="N23" s="3">
        <f t="shared" si="3"/>
        <v>3.2879879999999986</v>
      </c>
      <c r="O23" s="3">
        <f t="shared" si="3"/>
        <v>2.9090239999999987</v>
      </c>
      <c r="P23" s="3">
        <f t="shared" si="3"/>
        <v>2.640509999999999</v>
      </c>
      <c r="Q23" s="76"/>
      <c r="R23" s="76"/>
      <c r="S23" s="76"/>
      <c r="T23" s="76"/>
      <c r="U23" s="76"/>
      <c r="V23" s="71"/>
      <c r="W23" s="71"/>
      <c r="X23" s="71"/>
      <c r="Y23" s="71"/>
      <c r="Z23" s="71"/>
      <c r="AA23" s="76"/>
      <c r="AB23" s="76"/>
      <c r="AC23" s="76"/>
      <c r="AD23" s="76"/>
      <c r="AE23" s="76"/>
      <c r="AF23" s="71"/>
      <c r="AG23" s="71"/>
      <c r="AH23" s="71"/>
      <c r="AI23" s="71"/>
      <c r="AJ23" s="71"/>
    </row>
    <row r="24" spans="1:36" s="178" customFormat="1" ht="15" customHeight="1" x14ac:dyDescent="0.25">
      <c r="A24" s="8"/>
      <c r="B24" s="34"/>
      <c r="C24" s="35"/>
      <c r="D24" s="52"/>
      <c r="E24" s="10">
        <f>(L24-(Q16*$B$11+$C$11))/(Q16)+1</f>
        <v>1.1297365574710294</v>
      </c>
      <c r="F24" s="10">
        <f t="shared" ref="F24:I24" si="7">(M24-(R16*$B$11+$C$11))/(R16)+1</f>
        <v>1.1044412728601065</v>
      </c>
      <c r="G24" s="10">
        <f t="shared" si="7"/>
        <v>1.0293914334868342</v>
      </c>
      <c r="H24" s="10">
        <f t="shared" si="7"/>
        <v>1.077002097269772</v>
      </c>
      <c r="I24" s="10">
        <f t="shared" si="7"/>
        <v>1.0704192586494279</v>
      </c>
      <c r="J24" s="78">
        <v>400</v>
      </c>
      <c r="K24" s="3"/>
      <c r="L24" s="3">
        <f t="shared" si="3"/>
        <v>2.7155249999999995</v>
      </c>
      <c r="M24" s="3">
        <f t="shared" si="3"/>
        <v>2.7890489999999986</v>
      </c>
      <c r="N24" s="3">
        <f t="shared" si="3"/>
        <v>2.7455599999999976</v>
      </c>
      <c r="O24" s="3">
        <f t="shared" si="3"/>
        <v>2.6822409999999977</v>
      </c>
      <c r="P24" s="3">
        <f t="shared" si="3"/>
        <v>2.5013250000000014</v>
      </c>
      <c r="Q24" s="76"/>
      <c r="R24" s="76"/>
      <c r="S24" s="76"/>
      <c r="T24" s="76"/>
      <c r="U24" s="76"/>
      <c r="V24" s="71"/>
      <c r="W24" s="71"/>
      <c r="X24" s="71"/>
      <c r="Y24" s="71"/>
      <c r="Z24" s="71"/>
      <c r="AA24" s="76"/>
      <c r="AB24" s="76"/>
      <c r="AC24" s="76"/>
      <c r="AD24" s="76"/>
      <c r="AE24" s="76"/>
      <c r="AF24" s="71"/>
      <c r="AG24" s="71"/>
      <c r="AH24" s="71"/>
      <c r="AI24" s="71"/>
      <c r="AJ24" s="71"/>
    </row>
    <row r="25" spans="1:36" s="178" customFormat="1" ht="15" customHeight="1" x14ac:dyDescent="0.25">
      <c r="A25" s="8"/>
      <c r="B25" s="34"/>
      <c r="C25" s="35"/>
      <c r="D25" s="52"/>
      <c r="E25" s="10"/>
      <c r="F25" s="10"/>
      <c r="G25" s="10"/>
      <c r="H25" s="10"/>
      <c r="I25" s="10"/>
      <c r="J25" s="78"/>
      <c r="K25" s="71"/>
      <c r="L25" s="71"/>
      <c r="M25" s="71"/>
      <c r="N25" s="71"/>
      <c r="O25" s="71"/>
      <c r="P25" s="71"/>
      <c r="Q25" s="76"/>
      <c r="R25" s="76"/>
      <c r="S25" s="76"/>
      <c r="T25" s="76"/>
      <c r="U25" s="76"/>
      <c r="V25" s="71"/>
      <c r="W25" s="71"/>
      <c r="X25" s="71"/>
      <c r="Y25" s="71"/>
      <c r="Z25" s="71"/>
      <c r="AA25" s="76"/>
      <c r="AB25" s="76"/>
      <c r="AC25" s="76"/>
      <c r="AD25" s="76"/>
      <c r="AE25" s="76"/>
      <c r="AF25" s="71"/>
      <c r="AG25" s="71"/>
      <c r="AH25" s="71"/>
      <c r="AI25" s="71"/>
      <c r="AJ25" s="71"/>
    </row>
    <row r="26" spans="1:36" s="178" customFormat="1" ht="15" customHeight="1" x14ac:dyDescent="0.25">
      <c r="A26" s="8"/>
      <c r="B26" s="34"/>
      <c r="C26" s="35"/>
      <c r="D26" s="52"/>
      <c r="E26" s="10"/>
      <c r="F26" s="10"/>
      <c r="G26" s="10"/>
      <c r="H26" s="10"/>
      <c r="I26" s="10"/>
      <c r="J26" s="78"/>
      <c r="K26" s="71"/>
      <c r="L26" s="71"/>
      <c r="M26" s="71"/>
      <c r="N26" s="71"/>
      <c r="O26" s="71"/>
      <c r="P26" s="71"/>
      <c r="Q26" s="76"/>
      <c r="R26" s="76"/>
      <c r="S26" s="76"/>
      <c r="T26" s="76"/>
      <c r="U26" s="76"/>
      <c r="V26" s="71"/>
      <c r="W26" s="71"/>
      <c r="X26" s="71"/>
      <c r="Y26" s="71"/>
      <c r="Z26" s="71"/>
      <c r="AA26" s="76"/>
      <c r="AB26" s="76"/>
      <c r="AC26" s="76"/>
      <c r="AD26" s="76"/>
      <c r="AE26" s="76"/>
      <c r="AF26" s="71"/>
      <c r="AG26" s="71"/>
      <c r="AH26" s="71"/>
      <c r="AI26" s="71"/>
      <c r="AJ26" s="71"/>
    </row>
    <row r="27" spans="1:36" s="73" customFormat="1" x14ac:dyDescent="0.25">
      <c r="A27" s="8"/>
      <c r="B27" s="34"/>
      <c r="C27" s="35"/>
      <c r="D27" s="14"/>
      <c r="E27" s="9"/>
      <c r="I27" s="36"/>
      <c r="J27" s="18" t="s">
        <v>43</v>
      </c>
      <c r="K27"/>
      <c r="L27" s="4"/>
      <c r="M27" s="4"/>
      <c r="N27" s="4"/>
      <c r="O27" s="4"/>
      <c r="P27" s="4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s="73" customFormat="1" ht="15" customHeight="1" x14ac:dyDescent="0.25">
      <c r="A28" s="129"/>
      <c r="B28" s="129"/>
      <c r="C28" s="130"/>
      <c r="D28" s="14"/>
      <c r="E28" s="9"/>
      <c r="I28" s="36"/>
      <c r="J28" s="86"/>
      <c r="K28"/>
      <c r="L28" s="4"/>
      <c r="M28" s="4"/>
      <c r="N28" s="4"/>
      <c r="O28" s="4"/>
      <c r="P28" s="4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s="73" customFormat="1" ht="15" customHeight="1" x14ac:dyDescent="0.25">
      <c r="A29" s="129"/>
      <c r="B29" s="129"/>
      <c r="C29" s="130"/>
      <c r="D29" s="14"/>
      <c r="E29" s="9"/>
      <c r="I29" s="9"/>
      <c r="J29" s="18" t="s">
        <v>11</v>
      </c>
      <c r="K29" s="2" t="s">
        <v>44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s="73" customFormat="1" ht="15" customHeight="1" x14ac:dyDescent="0.25">
      <c r="A30" s="129"/>
      <c r="B30" s="129"/>
      <c r="C30" s="130"/>
      <c r="D30" s="52">
        <v>1</v>
      </c>
      <c r="E30" s="9"/>
      <c r="F30" s="10">
        <f>($B$5*$D30*R30+$C$5+$K30-M30)/(R30*$D30)</f>
        <v>1.3487804106597157</v>
      </c>
      <c r="G30" s="10">
        <f>($B$5*$D30*S30+$C$5+$K30-N30)/(S30*$D30)</f>
        <v>1.3274533580546504</v>
      </c>
      <c r="H30" s="10">
        <f>($B$5*$D30*T30+$C$5+$K30-O30)/(T30*$D30)</f>
        <v>1.3398018247938883</v>
      </c>
      <c r="I30" s="9"/>
      <c r="J30" s="17">
        <v>250</v>
      </c>
      <c r="K30" s="71">
        <v>18.228331000000001</v>
      </c>
      <c r="L30" s="71"/>
      <c r="M30" s="71">
        <v>14.562976870967701</v>
      </c>
      <c r="N30" s="71">
        <v>13.9780723548387</v>
      </c>
      <c r="O30" s="71">
        <v>14.6181962258065</v>
      </c>
      <c r="P30" s="71"/>
      <c r="Q30" s="76"/>
      <c r="R30" s="76">
        <v>4.2807538709677404</v>
      </c>
      <c r="S30" s="76">
        <v>5.0771617741935504</v>
      </c>
      <c r="T30" s="76">
        <v>4.2612692903225797</v>
      </c>
      <c r="U30" s="76"/>
      <c r="V30" s="71"/>
      <c r="W30" s="71">
        <v>50.269216096774201</v>
      </c>
      <c r="X30" s="71">
        <v>50.300657967741898</v>
      </c>
      <c r="Y30" s="71">
        <v>50.310792612903199</v>
      </c>
      <c r="Z30" s="71"/>
      <c r="AA30" s="76"/>
      <c r="AB30" s="76">
        <v>3.2489842580645201</v>
      </c>
      <c r="AC30" s="76">
        <v>3.6162459354838701</v>
      </c>
      <c r="AD30" s="76">
        <v>2.77801980645161</v>
      </c>
      <c r="AE30" s="76"/>
      <c r="AF30" s="71"/>
      <c r="AG30" s="71">
        <v>34.781154774193503</v>
      </c>
      <c r="AH30" s="71">
        <v>32.837031838709699</v>
      </c>
      <c r="AI30" s="71">
        <v>34.403320451612899</v>
      </c>
      <c r="AJ30" s="71"/>
    </row>
    <row r="31" spans="1:36" ht="15" customHeight="1" x14ac:dyDescent="0.25">
      <c r="A31" s="9"/>
      <c r="B31" s="9"/>
      <c r="C31" s="36"/>
      <c r="D31" s="52">
        <v>1</v>
      </c>
      <c r="F31" s="10">
        <f>($B$6*$D31*R31+$C$6+$K31-M31)/(R31*$D31)</f>
        <v>1.409095579250097</v>
      </c>
      <c r="G31" s="10">
        <f>($B$6*$D31*S31+$C$6+$K31-N31)/(S31*$D31)</f>
        <v>1.3622794782502228</v>
      </c>
      <c r="H31" s="10">
        <f>($B$6*$D31*T31+$C$6+$K31-O31)/(T31*$D31)</f>
        <v>1.3776529569720055</v>
      </c>
      <c r="J31" s="17">
        <v>275</v>
      </c>
      <c r="K31" s="71">
        <v>20.84873</v>
      </c>
      <c r="L31" s="71"/>
      <c r="M31" s="71">
        <v>16.720784096774199</v>
      </c>
      <c r="N31" s="71">
        <v>16.165159838709702</v>
      </c>
      <c r="O31" s="71">
        <v>16.8826011612903</v>
      </c>
      <c r="P31" s="71"/>
      <c r="Q31" s="76"/>
      <c r="R31" s="76">
        <v>4.5830191290322597</v>
      </c>
      <c r="S31" s="76">
        <v>5.4712432258064503</v>
      </c>
      <c r="T31" s="76">
        <v>4.5629450645161302</v>
      </c>
      <c r="U31" s="76"/>
      <c r="V31" s="71"/>
      <c r="W31" s="71">
        <v>50.086105032258097</v>
      </c>
      <c r="X31" s="71">
        <v>50.136324354838699</v>
      </c>
      <c r="Y31" s="71">
        <v>50.154668354838698</v>
      </c>
      <c r="Z31" s="71"/>
      <c r="AA31" s="76"/>
      <c r="AB31" s="76">
        <v>2.5931445161290299</v>
      </c>
      <c r="AC31" s="76">
        <v>3.1163965161290301</v>
      </c>
      <c r="AD31" s="76">
        <v>2.5255309677419402</v>
      </c>
      <c r="AE31" s="76"/>
      <c r="AF31" s="71"/>
      <c r="AG31" s="71">
        <v>33.880331677419399</v>
      </c>
      <c r="AH31" s="71">
        <v>32.070700483871001</v>
      </c>
      <c r="AI31" s="71">
        <v>33.673540258064499</v>
      </c>
      <c r="AJ31" s="71"/>
    </row>
    <row r="32" spans="1:36" ht="15" customHeight="1" x14ac:dyDescent="0.25">
      <c r="A32" s="9"/>
      <c r="B32" s="9"/>
      <c r="C32" s="36"/>
      <c r="D32" s="52">
        <v>1</v>
      </c>
      <c r="E32" s="10"/>
      <c r="F32" s="87">
        <f>($B$7*$D32*R32+$C$7+$K32-M32)/(R32*$D32)</f>
        <v>1.4701637819630042</v>
      </c>
      <c r="G32" s="87">
        <f>($B$7*$D32*S32+$C$7+$K32-N32)/(S32*$D32)</f>
        <v>1.4374377485254233</v>
      </c>
      <c r="H32" s="87">
        <f>($B$7*$D32*T32+$C$7+$K32-O32)/(T32*$D32)</f>
        <v>1.4380486628332736</v>
      </c>
      <c r="I32" s="10"/>
      <c r="J32" s="17">
        <v>300</v>
      </c>
      <c r="K32" s="71">
        <v>23.758679000000001</v>
      </c>
      <c r="L32" s="71"/>
      <c r="M32" s="71">
        <v>19.245192258064499</v>
      </c>
      <c r="N32" s="71">
        <v>18.4833052258065</v>
      </c>
      <c r="O32" s="71">
        <v>19.404092806451601</v>
      </c>
      <c r="P32" s="71"/>
      <c r="Q32" s="76"/>
      <c r="R32" s="76">
        <v>4.8141535806451596</v>
      </c>
      <c r="S32" s="76">
        <v>5.8039247096774202</v>
      </c>
      <c r="T32" s="76">
        <v>4.8095347419354804</v>
      </c>
      <c r="U32" s="76"/>
      <c r="V32" s="71"/>
      <c r="W32" s="71">
        <v>49.887546516128999</v>
      </c>
      <c r="X32" s="71">
        <v>49.931536322580598</v>
      </c>
      <c r="Y32" s="71">
        <v>49.955233387096797</v>
      </c>
      <c r="Z32" s="71"/>
      <c r="AA32" s="76"/>
      <c r="AB32" s="76">
        <v>2.3391682903225801</v>
      </c>
      <c r="AC32" s="76">
        <v>2.7492468387096798</v>
      </c>
      <c r="AD32" s="76">
        <v>2.1072768387096801</v>
      </c>
      <c r="AE32" s="76"/>
      <c r="AF32" s="71"/>
      <c r="AG32" s="71">
        <v>33.354199903225798</v>
      </c>
      <c r="AH32" s="71">
        <v>31.4189674516129</v>
      </c>
      <c r="AI32" s="71">
        <v>33.253998548387102</v>
      </c>
      <c r="AJ32" s="71"/>
    </row>
    <row r="33" spans="1:36" ht="15" customHeight="1" x14ac:dyDescent="0.25">
      <c r="A33" s="9"/>
      <c r="B33" s="9"/>
      <c r="C33" s="36"/>
      <c r="D33" s="52">
        <v>1</v>
      </c>
      <c r="E33" s="10"/>
      <c r="F33" s="87">
        <f>($B$8*$D33*R33+$C$8+$K33-M33)/(R33*$D33)</f>
        <v>1.4599963406441809</v>
      </c>
      <c r="G33" s="87">
        <f>($B$8*$D33*S33+$C$8+$K33-N33)/(S33*$D33)</f>
        <v>1.4552257771001242</v>
      </c>
      <c r="H33" s="87">
        <f>($B$8*$D33*T33+$C$8+$K33-O33)/(T33*$D33)</f>
        <v>1.45516382546231</v>
      </c>
      <c r="I33" s="10"/>
      <c r="J33" s="17">
        <v>325</v>
      </c>
      <c r="K33" s="71">
        <v>26.714182000000001</v>
      </c>
      <c r="L33" s="71"/>
      <c r="M33" s="71">
        <v>22.238615580645199</v>
      </c>
      <c r="N33" s="71">
        <v>21.284031258064498</v>
      </c>
      <c r="O33" s="71">
        <v>22.263480032258101</v>
      </c>
      <c r="P33" s="71"/>
      <c r="Q33" s="76"/>
      <c r="R33" s="76">
        <v>4.9008330645161298</v>
      </c>
      <c r="S33" s="76">
        <v>5.9499858387096802</v>
      </c>
      <c r="T33" s="76">
        <v>4.8995659032258096</v>
      </c>
      <c r="U33" s="76"/>
      <c r="V33" s="71"/>
      <c r="W33" s="71">
        <v>49.632656096774198</v>
      </c>
      <c r="X33" s="71">
        <v>49.700629967741897</v>
      </c>
      <c r="Y33" s="71">
        <v>49.734550645161299</v>
      </c>
      <c r="Z33" s="71"/>
      <c r="AA33" s="76"/>
      <c r="AB33" s="76">
        <v>2.4207534838709699</v>
      </c>
      <c r="AC33" s="76">
        <v>4.0216372580645201</v>
      </c>
      <c r="AD33" s="76">
        <v>3.6216999677419399</v>
      </c>
      <c r="AE33" s="76"/>
      <c r="AF33" s="71"/>
      <c r="AG33" s="71">
        <v>33.475266741935499</v>
      </c>
      <c r="AH33" s="71">
        <v>32.1663261935484</v>
      </c>
      <c r="AI33" s="71">
        <v>34.252079000000002</v>
      </c>
      <c r="AJ33" s="71"/>
    </row>
    <row r="34" spans="1:36" s="73" customFormat="1" ht="15" customHeight="1" x14ac:dyDescent="0.25">
      <c r="A34" s="9"/>
      <c r="B34" s="9"/>
      <c r="C34" s="36"/>
      <c r="D34" s="52">
        <v>1</v>
      </c>
      <c r="E34" s="10"/>
      <c r="F34" s="10">
        <f>($B$11*$D34*R34+$C$11+$K34-M34)/(R34*$D34)</f>
        <v>1.2098524117653924</v>
      </c>
      <c r="G34" s="10">
        <f>($B$11*$D34*S34+$C$11+$K34-N34)/(S34*$D34)</f>
        <v>1.1693224422244279</v>
      </c>
      <c r="H34" s="10">
        <f>($B$11*$D34*T34+$C$11+$K34-O34)/(T34*$D34)</f>
        <v>1.2498551690432285</v>
      </c>
      <c r="I34" s="10"/>
      <c r="J34" s="17">
        <v>400</v>
      </c>
      <c r="K34" s="71">
        <v>36.130347999999998</v>
      </c>
      <c r="L34" s="71"/>
      <c r="M34" s="71">
        <v>33.610354225806503</v>
      </c>
      <c r="N34" s="71">
        <v>33.476327096774199</v>
      </c>
      <c r="O34" s="71">
        <v>33.439099290322602</v>
      </c>
      <c r="P34" s="71"/>
      <c r="Q34" s="76"/>
      <c r="R34" s="76">
        <v>4.0154207419354799</v>
      </c>
      <c r="S34" s="76">
        <v>4.5013699677419403</v>
      </c>
      <c r="T34" s="76">
        <v>4.0307946451612899</v>
      </c>
      <c r="U34" s="76"/>
      <c r="V34" s="71"/>
      <c r="W34" s="71">
        <v>50.4111786774194</v>
      </c>
      <c r="X34" s="71">
        <v>49.813302774193602</v>
      </c>
      <c r="Y34" s="71">
        <v>49.478309000000003</v>
      </c>
      <c r="Z34" s="71"/>
      <c r="AA34" s="76"/>
      <c r="AB34" s="76">
        <v>5.2934330645161296</v>
      </c>
      <c r="AC34" s="76">
        <v>6.0988026129032296</v>
      </c>
      <c r="AD34" s="76">
        <v>5.5709035806451599</v>
      </c>
      <c r="AE34" s="76"/>
      <c r="AF34" s="71"/>
      <c r="AG34" s="71">
        <v>36.272245677419399</v>
      </c>
      <c r="AH34" s="71">
        <v>35.2183322580645</v>
      </c>
      <c r="AI34" s="71">
        <v>36.6170531290323</v>
      </c>
      <c r="AJ34" s="71"/>
    </row>
    <row r="35" spans="1:36" s="73" customFormat="1" x14ac:dyDescent="0.25">
      <c r="A35" s="9"/>
      <c r="B35" s="9"/>
      <c r="C35" s="36"/>
      <c r="D35" s="14"/>
      <c r="E35" s="10"/>
      <c r="F35" s="10"/>
      <c r="G35" s="10"/>
      <c r="H35" s="10"/>
      <c r="I35" s="10"/>
      <c r="J35" s="19"/>
      <c r="K35" s="23"/>
      <c r="L35" s="41"/>
      <c r="M35" s="41"/>
      <c r="N35" s="41"/>
      <c r="O35" s="41"/>
      <c r="P35" s="41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3"/>
      <c r="AB35" s="3"/>
      <c r="AC35" s="3"/>
      <c r="AD35" s="3"/>
      <c r="AE35" s="3"/>
      <c r="AF35" s="7"/>
      <c r="AG35" s="7"/>
      <c r="AH35" s="7"/>
      <c r="AI35" s="7"/>
      <c r="AJ35" s="7"/>
    </row>
    <row r="36" spans="1:36" s="73" customFormat="1" x14ac:dyDescent="0.25">
      <c r="A36" s="10"/>
      <c r="B36" s="10"/>
      <c r="C36" s="37"/>
      <c r="D36" s="14"/>
      <c r="E36" s="10"/>
      <c r="F36" s="10"/>
      <c r="G36" s="10"/>
      <c r="H36" s="10"/>
      <c r="I36" s="10"/>
      <c r="J36" s="19"/>
      <c r="K36" s="23"/>
      <c r="L36" s="41"/>
      <c r="M36" s="23">
        <f>$K30-M30</f>
        <v>3.6653541290323002</v>
      </c>
      <c r="N36" s="23">
        <f t="shared" ref="N36:O36" si="8">$K30-N30</f>
        <v>4.2502586451613009</v>
      </c>
      <c r="O36" s="23">
        <f t="shared" si="8"/>
        <v>3.6101347741935008</v>
      </c>
      <c r="P36" s="41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3"/>
      <c r="AB36" s="3"/>
      <c r="AC36" s="3"/>
      <c r="AD36" s="3"/>
      <c r="AE36" s="3"/>
      <c r="AF36" s="7">
        <f>AF11/V11</f>
        <v>0.66802431014917207</v>
      </c>
      <c r="AG36" s="7">
        <f>AG11/W11</f>
        <v>0.62008837825994823</v>
      </c>
      <c r="AH36" s="7">
        <f>AH11/X11</f>
        <v>0.60741997779831158</v>
      </c>
      <c r="AI36" s="7">
        <f>AI11/Y11</f>
        <v>0.62263092189618485</v>
      </c>
      <c r="AJ36" s="7">
        <f>AJ11/Z11</f>
        <v>0.67181470062124882</v>
      </c>
    </row>
    <row r="37" spans="1:36" s="73" customFormat="1" x14ac:dyDescent="0.25">
      <c r="A37" s="10"/>
      <c r="B37" s="10"/>
      <c r="C37" s="37"/>
      <c r="D37" s="14"/>
      <c r="E37" s="10"/>
      <c r="F37" s="10"/>
      <c r="G37" s="10"/>
      <c r="H37" s="10"/>
      <c r="I37" s="10"/>
      <c r="J37" s="19"/>
      <c r="K37" s="23"/>
      <c r="L37" s="41"/>
      <c r="M37" s="23">
        <f t="shared" ref="M37:O40" si="9">$K31-M31</f>
        <v>4.1279459032258004</v>
      </c>
      <c r="N37" s="23">
        <f t="shared" si="9"/>
        <v>4.683570161290298</v>
      </c>
      <c r="O37" s="23">
        <f t="shared" si="9"/>
        <v>3.9661288387097002</v>
      </c>
      <c r="P37" s="41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3"/>
      <c r="AB37" s="3"/>
      <c r="AC37" s="3"/>
      <c r="AD37" s="3"/>
      <c r="AE37" s="3"/>
      <c r="AF37" s="7">
        <f t="shared" ref="AF37:AF41" si="10">AF12/V12</f>
        <v>0.65727150031735604</v>
      </c>
      <c r="AG37" s="7">
        <f t="shared" ref="AG37:AJ41" si="11">AG12/W12</f>
        <v>0.60667173009159636</v>
      </c>
      <c r="AH37" s="7">
        <f t="shared" si="11"/>
        <v>0.58916461146872889</v>
      </c>
      <c r="AI37" s="7">
        <f t="shared" si="11"/>
        <v>0.60348798877908094</v>
      </c>
      <c r="AJ37" s="7">
        <f t="shared" si="11"/>
        <v>0.65468224322414359</v>
      </c>
    </row>
    <row r="38" spans="1:36" s="73" customFormat="1" x14ac:dyDescent="0.25">
      <c r="A38" s="9"/>
      <c r="B38" s="9"/>
      <c r="C38" s="36"/>
      <c r="D38" s="14"/>
      <c r="E38" s="9"/>
      <c r="I38" s="9"/>
      <c r="J38" s="18"/>
      <c r="K38" s="2"/>
      <c r="L38" s="1"/>
      <c r="M38" s="23">
        <f t="shared" si="9"/>
        <v>4.5134867419355018</v>
      </c>
      <c r="N38" s="23">
        <f t="shared" si="9"/>
        <v>5.2753737741935005</v>
      </c>
      <c r="O38" s="23">
        <f t="shared" si="9"/>
        <v>4.3545861935483998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7">
        <f t="shared" si="10"/>
        <v>0.63980432951342037</v>
      </c>
      <c r="AG38" s="7">
        <f t="shared" si="11"/>
        <v>0.58775691144420072</v>
      </c>
      <c r="AH38" s="7">
        <f t="shared" si="11"/>
        <v>0.5680343529798102</v>
      </c>
      <c r="AI38" s="7">
        <f t="shared" si="11"/>
        <v>0.5871541641125908</v>
      </c>
      <c r="AJ38" s="7">
        <f t="shared" si="11"/>
        <v>0.64080585636840037</v>
      </c>
    </row>
    <row r="39" spans="1:36" s="73" customFormat="1" x14ac:dyDescent="0.25">
      <c r="A39" s="9"/>
      <c r="B39" s="9"/>
      <c r="C39" s="36"/>
      <c r="D39" s="14"/>
      <c r="E39" s="9"/>
      <c r="I39" s="9"/>
      <c r="J39" s="18"/>
      <c r="K39" s="2"/>
      <c r="L39" s="1"/>
      <c r="M39" s="23">
        <f t="shared" si="9"/>
        <v>4.4755664193548022</v>
      </c>
      <c r="N39" s="75">
        <f t="shared" si="9"/>
        <v>5.4301507419355026</v>
      </c>
      <c r="O39" s="23">
        <f t="shared" si="9"/>
        <v>4.4507019677418995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7">
        <f t="shared" si="10"/>
        <v>0.62751511384440173</v>
      </c>
      <c r="AG39" s="7">
        <f t="shared" si="11"/>
        <v>0.57124293580755925</v>
      </c>
      <c r="AH39" s="7">
        <f t="shared" si="11"/>
        <v>0.54873909240463858</v>
      </c>
      <c r="AI39" s="7">
        <f t="shared" si="11"/>
        <v>0.57222819724249041</v>
      </c>
      <c r="AJ39" s="7">
        <f t="shared" si="11"/>
        <v>0.6304544348288178</v>
      </c>
    </row>
    <row r="40" spans="1:36" x14ac:dyDescent="0.25">
      <c r="A40" s="9"/>
      <c r="B40" s="9"/>
      <c r="C40" s="36"/>
      <c r="J40" s="18"/>
      <c r="K40" s="2"/>
      <c r="M40" s="23">
        <f t="shared" si="9"/>
        <v>2.5199937741934946</v>
      </c>
      <c r="N40" s="23">
        <f t="shared" si="9"/>
        <v>2.6540209032257991</v>
      </c>
      <c r="O40" s="23">
        <f t="shared" si="9"/>
        <v>2.6912487096773958</v>
      </c>
      <c r="AF40" s="7">
        <f t="shared" si="10"/>
        <v>0.65008389968239733</v>
      </c>
      <c r="AG40" s="7">
        <f t="shared" si="11"/>
        <v>0.60334996568110888</v>
      </c>
      <c r="AH40" s="7">
        <f t="shared" si="11"/>
        <v>0.58604109938518523</v>
      </c>
      <c r="AI40" s="7">
        <f t="shared" si="11"/>
        <v>0.60432391076577863</v>
      </c>
      <c r="AJ40" s="7">
        <f t="shared" si="11"/>
        <v>0.65454272280625336</v>
      </c>
    </row>
    <row r="41" spans="1:36" x14ac:dyDescent="0.25">
      <c r="A41" s="9"/>
      <c r="B41" s="9"/>
      <c r="C41" s="36"/>
      <c r="D41" s="14"/>
      <c r="E41" s="10"/>
      <c r="F41" s="10"/>
      <c r="G41" s="10"/>
      <c r="H41" s="10"/>
      <c r="I41" s="10"/>
      <c r="J41" s="19"/>
      <c r="K41" s="7"/>
      <c r="L41" s="7"/>
      <c r="M41" s="7"/>
      <c r="N41" s="7"/>
      <c r="O41" s="7"/>
      <c r="P41" s="7"/>
      <c r="Q41" s="23"/>
      <c r="R41" s="23"/>
      <c r="S41" s="23"/>
      <c r="T41" s="23"/>
      <c r="U41" s="23"/>
      <c r="V41" s="7"/>
      <c r="W41" s="7"/>
      <c r="X41" s="7"/>
      <c r="Y41" s="7"/>
      <c r="Z41" s="7"/>
      <c r="AA41" s="3"/>
      <c r="AB41" s="3"/>
      <c r="AC41" s="3"/>
      <c r="AD41" s="3"/>
      <c r="AE41" s="3"/>
      <c r="AF41" s="7">
        <f t="shared" si="10"/>
        <v>0.6517645844766089</v>
      </c>
      <c r="AG41" s="7">
        <f t="shared" si="11"/>
        <v>0.60710989413326399</v>
      </c>
      <c r="AH41" s="7">
        <f t="shared" si="11"/>
        <v>0.59334641249206077</v>
      </c>
      <c r="AI41" s="7">
        <f t="shared" si="11"/>
        <v>0.60718350296147383</v>
      </c>
      <c r="AJ41" s="7">
        <f t="shared" si="11"/>
        <v>0.65395713796984367</v>
      </c>
    </row>
    <row r="42" spans="1:36" x14ac:dyDescent="0.25">
      <c r="A42" s="9"/>
      <c r="B42" s="9"/>
      <c r="C42" s="36"/>
      <c r="D42" s="14"/>
      <c r="E42" s="10"/>
      <c r="F42" s="10"/>
      <c r="G42" s="10"/>
      <c r="H42" s="10"/>
      <c r="I42" s="10"/>
      <c r="J42" s="19"/>
      <c r="K42" s="7"/>
      <c r="L42" s="7"/>
      <c r="M42" s="7"/>
      <c r="N42" s="7"/>
      <c r="O42" s="7"/>
      <c r="P42" s="7"/>
      <c r="Q42" s="23"/>
      <c r="R42" s="23"/>
      <c r="S42" s="23"/>
      <c r="T42" s="23"/>
      <c r="U42" s="23"/>
      <c r="V42" s="7"/>
      <c r="W42" s="7"/>
      <c r="X42" s="7"/>
      <c r="Y42" s="7"/>
      <c r="Z42" s="7"/>
      <c r="AA42" s="3"/>
      <c r="AB42" s="3"/>
      <c r="AC42" s="3"/>
      <c r="AD42" s="3"/>
      <c r="AE42" s="3"/>
      <c r="AF42" s="7"/>
      <c r="AG42" s="7"/>
      <c r="AH42" s="7"/>
      <c r="AI42" s="7"/>
      <c r="AJ42" s="7"/>
    </row>
    <row r="43" spans="1:36" x14ac:dyDescent="0.25">
      <c r="D43" s="14"/>
      <c r="E43" s="10"/>
      <c r="F43" s="10"/>
      <c r="G43" s="10"/>
      <c r="H43" s="10"/>
      <c r="I43" s="10"/>
      <c r="J43" s="19"/>
      <c r="K43" s="7"/>
      <c r="L43" s="7"/>
      <c r="M43" s="7"/>
      <c r="N43" s="7"/>
      <c r="O43" s="7"/>
      <c r="P43" s="7"/>
      <c r="Q43" s="23"/>
      <c r="R43" s="23"/>
      <c r="S43" s="23"/>
      <c r="T43" s="23"/>
      <c r="U43" s="23"/>
      <c r="V43" s="7"/>
      <c r="W43" s="7"/>
      <c r="X43" s="7"/>
      <c r="Y43" s="7"/>
      <c r="Z43" s="7"/>
      <c r="AA43" s="3"/>
      <c r="AB43" s="3"/>
      <c r="AC43" s="3"/>
      <c r="AD43" s="3"/>
      <c r="AE43" s="3"/>
      <c r="AF43" s="7"/>
      <c r="AG43" s="7"/>
      <c r="AH43" s="7"/>
      <c r="AI43" s="7"/>
      <c r="AJ43" s="7"/>
    </row>
    <row r="44" spans="1:36" x14ac:dyDescent="0.25">
      <c r="D44" s="14"/>
      <c r="E44" s="10"/>
      <c r="F44" s="10"/>
      <c r="G44" s="10"/>
      <c r="H44" s="10"/>
      <c r="I44" s="10"/>
      <c r="J44" s="19"/>
      <c r="K44" s="7"/>
      <c r="L44" s="7"/>
      <c r="M44" s="7"/>
      <c r="N44" s="7"/>
      <c r="O44" s="7"/>
      <c r="P44" s="7"/>
      <c r="Q44" s="23"/>
      <c r="R44" s="23"/>
      <c r="S44" s="23"/>
      <c r="T44" s="23"/>
      <c r="U44" s="23"/>
      <c r="V44" s="7"/>
      <c r="W44" s="7"/>
      <c r="X44" s="7"/>
      <c r="Y44" s="7"/>
      <c r="Z44" s="7"/>
      <c r="AA44" s="3"/>
      <c r="AB44" s="3"/>
      <c r="AC44" s="3"/>
      <c r="AD44" s="3"/>
      <c r="AE44" s="3"/>
      <c r="AF44" s="7"/>
      <c r="AG44" s="7"/>
      <c r="AH44" s="7"/>
      <c r="AI44" s="7"/>
      <c r="AJ44" s="7"/>
    </row>
    <row r="45" spans="1:36" x14ac:dyDescent="0.25">
      <c r="D45" s="14"/>
      <c r="E45" s="10"/>
      <c r="F45" s="10"/>
      <c r="G45" s="10"/>
      <c r="H45" s="10"/>
      <c r="I45" s="10"/>
      <c r="J45" s="19"/>
      <c r="K45" s="7"/>
      <c r="L45" s="7"/>
      <c r="M45" s="7"/>
      <c r="N45" s="7"/>
      <c r="O45" s="7"/>
      <c r="P45" s="7"/>
      <c r="Q45" s="23"/>
      <c r="R45" s="23"/>
      <c r="S45" s="23"/>
      <c r="T45" s="23"/>
      <c r="U45" s="23"/>
      <c r="V45" s="7"/>
      <c r="W45" s="7"/>
      <c r="X45" s="7"/>
      <c r="Y45" s="7"/>
      <c r="Z45" s="7"/>
      <c r="AA45" s="3"/>
      <c r="AB45" s="3"/>
      <c r="AC45" s="3"/>
      <c r="AD45" s="3"/>
      <c r="AE45" s="3"/>
      <c r="AF45" s="7"/>
      <c r="AG45" s="7"/>
      <c r="AH45" s="7"/>
      <c r="AI45" s="7"/>
      <c r="AJ45" s="7"/>
    </row>
    <row r="46" spans="1:36" x14ac:dyDescent="0.25">
      <c r="D46" s="14"/>
      <c r="E46" s="10"/>
      <c r="F46" s="10"/>
      <c r="G46" s="10"/>
      <c r="H46" s="10"/>
      <c r="I46" s="10"/>
      <c r="J46" s="19"/>
      <c r="K46" s="7"/>
      <c r="L46" s="7"/>
      <c r="M46" s="7"/>
      <c r="N46" s="7"/>
      <c r="O46" s="7"/>
      <c r="P46" s="7"/>
      <c r="Q46" s="23"/>
      <c r="R46" s="23"/>
      <c r="S46" s="23"/>
      <c r="T46" s="23"/>
      <c r="U46" s="23"/>
      <c r="V46" s="7"/>
      <c r="W46" s="7"/>
      <c r="X46" s="7"/>
      <c r="Y46" s="7"/>
      <c r="Z46" s="7"/>
      <c r="AA46" s="3"/>
      <c r="AB46" s="3"/>
      <c r="AC46" s="3"/>
      <c r="AD46" s="3"/>
      <c r="AE46" s="3"/>
      <c r="AF46" s="7"/>
      <c r="AG46" s="7"/>
      <c r="AH46" s="7"/>
      <c r="AI46" s="7"/>
      <c r="AJ46" s="7"/>
    </row>
    <row r="47" spans="1:36" x14ac:dyDescent="0.25">
      <c r="D47" s="14"/>
      <c r="F47" s="10"/>
      <c r="G47" s="10"/>
      <c r="H47" s="10"/>
      <c r="J47" s="18"/>
      <c r="K47" s="79"/>
      <c r="L47" s="7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</row>
    <row r="48" spans="1:36" x14ac:dyDescent="0.25">
      <c r="D48" s="16"/>
      <c r="J48" s="21"/>
      <c r="K48" s="79"/>
      <c r="L48" s="7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</row>
    <row r="49" spans="4:36" x14ac:dyDescent="0.25">
      <c r="J49" s="21"/>
      <c r="K49" s="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</row>
    <row r="50" spans="4:36" x14ac:dyDescent="0.25">
      <c r="D50" s="14"/>
      <c r="E50" s="10"/>
      <c r="F50" s="10"/>
      <c r="G50" s="10"/>
      <c r="H50" s="10"/>
      <c r="I50" s="10"/>
      <c r="J50" s="21"/>
      <c r="K50" s="7"/>
      <c r="L50" s="7"/>
      <c r="M50" s="7"/>
      <c r="N50" s="7"/>
      <c r="O50" s="7"/>
      <c r="P50" s="7"/>
      <c r="Q50" s="23"/>
      <c r="R50" s="23"/>
      <c r="S50" s="23"/>
      <c r="T50" s="23"/>
      <c r="U50" s="23"/>
      <c r="V50" s="7"/>
      <c r="W50" s="7"/>
      <c r="X50" s="7"/>
      <c r="Y50" s="7"/>
      <c r="Z50" s="7"/>
      <c r="AA50" s="3"/>
      <c r="AB50" s="3"/>
      <c r="AC50" s="3"/>
      <c r="AD50" s="3"/>
      <c r="AE50" s="3"/>
      <c r="AF50" s="7"/>
      <c r="AG50" s="7"/>
      <c r="AH50" s="7"/>
      <c r="AI50" s="7"/>
      <c r="AJ50" s="7"/>
    </row>
    <row r="51" spans="4:36" x14ac:dyDescent="0.25">
      <c r="D51" s="14"/>
      <c r="E51" s="10"/>
      <c r="F51" s="10"/>
      <c r="G51" s="10"/>
      <c r="H51" s="10"/>
      <c r="I51" s="10"/>
      <c r="J51" s="21"/>
      <c r="K51" s="7"/>
      <c r="L51" s="7"/>
      <c r="M51" s="7"/>
      <c r="N51" s="7"/>
      <c r="O51" s="7"/>
      <c r="P51" s="7"/>
      <c r="Q51" s="23"/>
      <c r="R51" s="23"/>
      <c r="S51" s="23"/>
      <c r="T51" s="23"/>
      <c r="U51" s="23"/>
      <c r="V51" s="7"/>
      <c r="W51" s="7"/>
      <c r="X51" s="7"/>
      <c r="Y51" s="7"/>
      <c r="Z51" s="7"/>
      <c r="AA51" s="3"/>
      <c r="AB51" s="3"/>
      <c r="AC51" s="3"/>
      <c r="AD51" s="3"/>
      <c r="AE51" s="3"/>
      <c r="AF51" s="7"/>
      <c r="AG51" s="7"/>
      <c r="AH51" s="7"/>
      <c r="AI51" s="7"/>
      <c r="AJ51" s="7"/>
    </row>
    <row r="52" spans="4:36" x14ac:dyDescent="0.25">
      <c r="D52" s="14"/>
      <c r="E52" s="10"/>
      <c r="F52" s="10"/>
      <c r="G52" s="10"/>
      <c r="H52" s="10"/>
      <c r="I52" s="10"/>
      <c r="J52" s="21"/>
      <c r="K52" s="7"/>
      <c r="L52" s="7"/>
      <c r="M52" s="7"/>
      <c r="N52" s="7"/>
      <c r="O52" s="7"/>
      <c r="P52" s="7"/>
      <c r="Q52" s="23"/>
      <c r="R52" s="23"/>
      <c r="S52" s="23"/>
      <c r="T52" s="23"/>
      <c r="U52" s="23"/>
      <c r="V52" s="7"/>
      <c r="W52" s="7"/>
      <c r="X52" s="7"/>
      <c r="Y52" s="7"/>
      <c r="Z52" s="7"/>
      <c r="AA52" s="3"/>
      <c r="AB52" s="3"/>
      <c r="AC52" s="3"/>
      <c r="AD52" s="3"/>
      <c r="AE52" s="3"/>
      <c r="AF52" s="7"/>
      <c r="AG52" s="7"/>
      <c r="AH52" s="7"/>
      <c r="AI52" s="7"/>
      <c r="AJ52" s="7"/>
    </row>
    <row r="53" spans="4:36" x14ac:dyDescent="0.25">
      <c r="D53" s="14"/>
      <c r="E53" s="10"/>
      <c r="F53" s="10"/>
      <c r="G53" s="10"/>
      <c r="H53" s="10"/>
      <c r="I53" s="10"/>
      <c r="J53" s="21"/>
      <c r="K53" s="7"/>
      <c r="L53" s="7"/>
      <c r="M53" s="7"/>
      <c r="N53" s="7"/>
      <c r="O53" s="7"/>
      <c r="P53" s="7"/>
      <c r="Q53" s="23"/>
      <c r="R53" s="23"/>
      <c r="S53" s="23"/>
      <c r="T53" s="23"/>
      <c r="U53" s="23"/>
      <c r="V53" s="7"/>
      <c r="W53" s="7"/>
      <c r="X53" s="7"/>
      <c r="Y53" s="7"/>
      <c r="Z53" s="7"/>
      <c r="AA53" s="3"/>
      <c r="AB53" s="3"/>
      <c r="AC53" s="3"/>
      <c r="AD53" s="3"/>
      <c r="AE53" s="3"/>
      <c r="AF53" s="7"/>
      <c r="AG53" s="7"/>
      <c r="AH53" s="7"/>
      <c r="AI53" s="7"/>
      <c r="AJ53" s="7"/>
    </row>
    <row r="54" spans="4:36" x14ac:dyDescent="0.25">
      <c r="J54" s="2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</row>
    <row r="55" spans="4:36" x14ac:dyDescent="0.25">
      <c r="J55" s="18"/>
      <c r="K55" s="79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</row>
    <row r="56" spans="4:36" x14ac:dyDescent="0.25">
      <c r="J56" s="21"/>
      <c r="K56" s="79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4:36" x14ac:dyDescent="0.25">
      <c r="J57" s="21"/>
      <c r="K57" s="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</row>
    <row r="58" spans="4:36" x14ac:dyDescent="0.25">
      <c r="D58" s="14"/>
      <c r="E58" s="10"/>
      <c r="F58" s="10"/>
      <c r="G58" s="10"/>
      <c r="H58" s="10"/>
      <c r="J58" s="21"/>
      <c r="K58" s="7"/>
      <c r="L58" s="7"/>
      <c r="M58" s="7"/>
      <c r="N58" s="7"/>
      <c r="O58" s="7"/>
      <c r="P58" s="7"/>
      <c r="Q58" s="23"/>
      <c r="R58" s="23"/>
      <c r="S58" s="23"/>
      <c r="T58" s="23"/>
      <c r="U58" s="23"/>
      <c r="V58" s="7"/>
      <c r="W58" s="7"/>
      <c r="X58" s="7"/>
      <c r="Y58" s="7"/>
      <c r="Z58" s="7"/>
      <c r="AA58" s="3"/>
      <c r="AB58" s="3"/>
      <c r="AC58" s="3"/>
      <c r="AD58" s="3"/>
      <c r="AE58" s="3"/>
      <c r="AF58" s="7"/>
      <c r="AG58" s="7"/>
      <c r="AH58" s="7"/>
      <c r="AI58" s="7"/>
      <c r="AJ58" s="7"/>
    </row>
    <row r="59" spans="4:36" x14ac:dyDescent="0.25">
      <c r="D59" s="14"/>
      <c r="E59" s="10"/>
      <c r="F59" s="10"/>
      <c r="G59" s="10"/>
      <c r="H59" s="10"/>
      <c r="J59" s="21"/>
      <c r="K59" s="7"/>
      <c r="L59" s="7"/>
      <c r="M59" s="7"/>
      <c r="N59" s="7"/>
      <c r="O59" s="7"/>
      <c r="P59" s="7"/>
      <c r="Q59" s="23"/>
      <c r="R59" s="23"/>
      <c r="S59" s="23"/>
      <c r="T59" s="23"/>
      <c r="U59" s="23"/>
      <c r="V59" s="7"/>
      <c r="W59" s="7"/>
      <c r="X59" s="7"/>
      <c r="Y59" s="7"/>
      <c r="Z59" s="7"/>
      <c r="AA59" s="3"/>
      <c r="AB59" s="3"/>
      <c r="AC59" s="3"/>
      <c r="AD59" s="3"/>
      <c r="AE59" s="3"/>
      <c r="AF59" s="7"/>
      <c r="AG59" s="7"/>
      <c r="AH59" s="7"/>
      <c r="AI59" s="7"/>
      <c r="AJ59" s="7"/>
    </row>
    <row r="60" spans="4:36" x14ac:dyDescent="0.25">
      <c r="D60" s="14"/>
      <c r="E60" s="10"/>
      <c r="F60" s="10"/>
      <c r="G60" s="10"/>
      <c r="H60" s="10"/>
      <c r="J60" s="21"/>
      <c r="K60" s="7"/>
      <c r="L60" s="7"/>
      <c r="M60" s="7"/>
      <c r="N60" s="7"/>
      <c r="O60" s="7"/>
      <c r="P60" s="7"/>
      <c r="Q60" s="23"/>
      <c r="R60" s="23"/>
      <c r="S60" s="23"/>
      <c r="T60" s="23"/>
      <c r="U60" s="23"/>
      <c r="V60" s="7"/>
      <c r="W60" s="7"/>
      <c r="X60" s="7"/>
      <c r="Y60" s="7"/>
      <c r="Z60" s="7"/>
      <c r="AA60" s="3"/>
      <c r="AB60" s="3"/>
      <c r="AC60" s="3"/>
      <c r="AD60" s="3"/>
      <c r="AE60" s="3"/>
      <c r="AF60" s="7"/>
      <c r="AG60" s="7"/>
      <c r="AH60" s="7"/>
      <c r="AI60" s="7"/>
      <c r="AJ60" s="7"/>
    </row>
  </sheetData>
  <mergeCells count="6">
    <mergeCell ref="V1:Z1"/>
    <mergeCell ref="AA1:AE1"/>
    <mergeCell ref="AF1:AJ1"/>
    <mergeCell ref="D3:D5"/>
    <mergeCell ref="E1:I1"/>
    <mergeCell ref="K1:P1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2"/>
  <sheetViews>
    <sheetView zoomScale="85" zoomScaleNormal="85" workbookViewId="0">
      <pane xSplit="3" ySplit="2" topLeftCell="D3" activePane="bottomRight" state="frozen"/>
      <selection activeCell="P1" sqref="P1:T1"/>
      <selection pane="topRight" activeCell="P1" sqref="P1:T1"/>
      <selection pane="bottomLeft" activeCell="P1" sqref="P1:T1"/>
      <selection pane="bottomRight" activeCell="H20" sqref="H20"/>
    </sheetView>
  </sheetViews>
  <sheetFormatPr defaultColWidth="9.140625" defaultRowHeight="15" x14ac:dyDescent="0.25"/>
  <cols>
    <col min="1" max="2" width="5.5703125" style="8" customWidth="1"/>
    <col min="3" max="3" width="5.5703125" style="33" customWidth="1"/>
    <col min="4" max="10" width="5.5703125" style="1" customWidth="1"/>
    <col min="11" max="11" width="5.5703125" style="15" customWidth="1"/>
    <col min="12" max="12" width="5.5703125" style="8" customWidth="1"/>
    <col min="13" max="15" width="5.5703125" style="1" customWidth="1"/>
    <col min="16" max="16" width="5.5703125" style="8" customWidth="1"/>
    <col min="17" max="17" width="5.5703125" style="17" customWidth="1"/>
    <col min="18" max="43" width="5.5703125" style="1" customWidth="1"/>
    <col min="44" max="48" width="9.28515625" style="1" bestFit="1" customWidth="1"/>
    <col min="49" max="16384" width="9.140625" style="1"/>
  </cols>
  <sheetData>
    <row r="1" spans="1:43" ht="15" customHeight="1" x14ac:dyDescent="0.25">
      <c r="A1" s="62" t="str">
        <f ca="1">'DC-he-ipb1-29b-10122016'!A1</f>
        <v>DC-he-ipb1-29b-10122016</v>
      </c>
      <c r="B1" s="63"/>
      <c r="C1" s="64"/>
      <c r="D1" s="38"/>
      <c r="E1" s="11"/>
      <c r="F1" s="203" t="s">
        <v>53</v>
      </c>
      <c r="G1" s="203"/>
      <c r="H1" s="203"/>
      <c r="I1" s="203"/>
      <c r="J1" s="204"/>
      <c r="K1" s="13"/>
      <c r="L1" s="201" t="s">
        <v>54</v>
      </c>
      <c r="M1" s="201"/>
      <c r="N1" s="201"/>
      <c r="O1" s="201"/>
      <c r="P1" s="202"/>
      <c r="R1" s="199" t="s">
        <v>4</v>
      </c>
      <c r="S1" s="199"/>
      <c r="T1" s="199"/>
      <c r="U1" s="199"/>
      <c r="V1" s="199"/>
      <c r="W1" s="199"/>
      <c r="X1" s="5" t="s">
        <v>10</v>
      </c>
      <c r="Y1" s="5"/>
      <c r="Z1" s="5"/>
      <c r="AA1" s="5"/>
      <c r="AB1" s="5"/>
      <c r="AC1" s="199" t="s">
        <v>7</v>
      </c>
      <c r="AD1" s="199"/>
      <c r="AE1" s="199"/>
      <c r="AF1" s="199"/>
      <c r="AG1" s="199"/>
      <c r="AH1" s="199" t="s">
        <v>2</v>
      </c>
      <c r="AI1" s="199"/>
      <c r="AJ1" s="199"/>
      <c r="AK1" s="199"/>
      <c r="AL1" s="199"/>
      <c r="AM1" s="199" t="s">
        <v>3</v>
      </c>
      <c r="AN1" s="199"/>
      <c r="AO1" s="199"/>
      <c r="AP1" s="199"/>
      <c r="AQ1" s="199"/>
    </row>
    <row r="2" spans="1:43" ht="15" customHeight="1" x14ac:dyDescent="0.25">
      <c r="A2" s="65" t="s">
        <v>1</v>
      </c>
      <c r="B2" s="65" t="s">
        <v>15</v>
      </c>
      <c r="C2" s="66" t="s">
        <v>17</v>
      </c>
      <c r="D2" s="1" t="s">
        <v>1</v>
      </c>
      <c r="E2" s="1" t="s">
        <v>0</v>
      </c>
      <c r="F2" s="73">
        <v>300</v>
      </c>
      <c r="G2" s="73">
        <v>150</v>
      </c>
      <c r="H2" s="73">
        <v>100</v>
      </c>
      <c r="I2" s="73">
        <v>150</v>
      </c>
      <c r="J2" s="73">
        <v>300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R2" s="1" t="s">
        <v>0</v>
      </c>
      <c r="S2" s="1">
        <v>300</v>
      </c>
      <c r="T2" s="1">
        <v>150</v>
      </c>
      <c r="U2" s="1">
        <v>100</v>
      </c>
      <c r="V2" s="1">
        <v>150</v>
      </c>
      <c r="W2" s="1">
        <v>300</v>
      </c>
      <c r="X2" s="5">
        <f>AC2</f>
        <v>300</v>
      </c>
      <c r="Y2" s="5">
        <f>AD2</f>
        <v>150</v>
      </c>
      <c r="Z2" s="5">
        <f>AE2</f>
        <v>100</v>
      </c>
      <c r="AA2" s="5">
        <f>AF2</f>
        <v>150</v>
      </c>
      <c r="AB2" s="5">
        <f>AG2</f>
        <v>300</v>
      </c>
      <c r="AC2" s="1">
        <f>AM2</f>
        <v>300</v>
      </c>
      <c r="AD2" s="1">
        <f>AN2</f>
        <v>150</v>
      </c>
      <c r="AE2" s="1">
        <f>AO2</f>
        <v>100</v>
      </c>
      <c r="AF2" s="1">
        <f>AP2</f>
        <v>150</v>
      </c>
      <c r="AG2" s="1">
        <f>AQ2</f>
        <v>300</v>
      </c>
      <c r="AH2" s="1">
        <f>S2</f>
        <v>300</v>
      </c>
      <c r="AI2" s="1">
        <f>T2</f>
        <v>150</v>
      </c>
      <c r="AJ2" s="1">
        <f>U2</f>
        <v>100</v>
      </c>
      <c r="AK2" s="1">
        <f>V2</f>
        <v>150</v>
      </c>
      <c r="AL2" s="1">
        <f>W2</f>
        <v>300</v>
      </c>
      <c r="AM2" s="1">
        <f>AH2</f>
        <v>300</v>
      </c>
      <c r="AN2" s="1">
        <f t="shared" ref="AN2:AQ2" si="0">AI2</f>
        <v>150</v>
      </c>
      <c r="AO2" s="1">
        <f t="shared" si="0"/>
        <v>100</v>
      </c>
      <c r="AP2" s="1">
        <f t="shared" si="0"/>
        <v>150</v>
      </c>
      <c r="AQ2" s="1">
        <f t="shared" si="0"/>
        <v>300</v>
      </c>
    </row>
    <row r="3" spans="1:43" ht="15" customHeight="1" x14ac:dyDescent="0.25">
      <c r="A3" s="65">
        <f>'DC-he-ipb1-29b-10122016'!M4*100</f>
        <v>150</v>
      </c>
      <c r="B3" s="67">
        <f>'DC-he-ipb1-29b-10122016'!O4</f>
        <v>0.49163676459044392</v>
      </c>
      <c r="C3" s="68">
        <f>'DC-he-ipb1-29b-10122016'!P4</f>
        <v>-1.3749534725519208E-2</v>
      </c>
      <c r="I3" s="7"/>
      <c r="J3" s="7"/>
      <c r="K3" s="200" t="s">
        <v>5</v>
      </c>
      <c r="L3" s="9"/>
      <c r="M3" s="12"/>
      <c r="N3" s="12"/>
      <c r="O3" s="32"/>
      <c r="P3" s="32"/>
      <c r="Q3" s="18" t="s">
        <v>45</v>
      </c>
    </row>
    <row r="4" spans="1:43" x14ac:dyDescent="0.25">
      <c r="A4" s="65">
        <f>'DC-he-ipb1-29b-10122016'!M5*100</f>
        <v>200</v>
      </c>
      <c r="B4" s="67">
        <f>'DC-he-ipb1-29b-10122016'!O5</f>
        <v>0.51685078285366837</v>
      </c>
      <c r="C4" s="68">
        <f>'DC-he-ipb1-29b-10122016'!P5</f>
        <v>3.9619084191122145E-2</v>
      </c>
      <c r="I4" s="7"/>
      <c r="J4" s="7"/>
      <c r="K4" s="200"/>
      <c r="L4" s="9"/>
      <c r="M4" s="12"/>
      <c r="N4" s="12"/>
      <c r="O4" s="32"/>
      <c r="P4" s="32"/>
      <c r="Q4" s="18"/>
    </row>
    <row r="5" spans="1:43" x14ac:dyDescent="0.25">
      <c r="A5" s="65">
        <f>'DC-he-ipb1-29b-10122016'!M6*100</f>
        <v>250</v>
      </c>
      <c r="B5" s="67">
        <f>'DC-he-ipb1-29b-10122016'!O6</f>
        <v>0.54381480016859618</v>
      </c>
      <c r="C5" s="68">
        <f>'DC-he-ipb1-29b-10122016'!P6</f>
        <v>-2.0752079767311304E-2</v>
      </c>
      <c r="I5" s="7"/>
      <c r="J5" s="7"/>
      <c r="K5" s="200"/>
      <c r="L5" s="9"/>
      <c r="M5" s="12"/>
      <c r="N5" s="12"/>
      <c r="O5" s="32"/>
      <c r="P5" s="32"/>
      <c r="Q5" s="18"/>
      <c r="R5" s="2" t="s">
        <v>46</v>
      </c>
    </row>
    <row r="6" spans="1:43" x14ac:dyDescent="0.25">
      <c r="A6" s="65">
        <f>'DC-he-ipb1-29b-10122016'!M7*100</f>
        <v>275</v>
      </c>
      <c r="B6" s="67">
        <f>'DC-he-ipb1-29b-10122016'!O7</f>
        <v>0.55066944396118356</v>
      </c>
      <c r="C6" s="68">
        <f>'DC-he-ipb1-29b-10122016'!P7</f>
        <v>-2.0752079767311304E-2</v>
      </c>
      <c r="K6" s="14"/>
      <c r="L6" s="10"/>
      <c r="M6" s="10"/>
      <c r="N6" s="10"/>
      <c r="O6" s="10"/>
      <c r="P6" s="10"/>
      <c r="Q6" s="19">
        <v>150</v>
      </c>
      <c r="R6" s="101">
        <v>8.9180700000000002</v>
      </c>
      <c r="S6" s="88">
        <v>5.4262379999999997</v>
      </c>
      <c r="T6" s="88">
        <v>5.4935309999999999</v>
      </c>
      <c r="U6" s="88">
        <v>5.5473429999999997</v>
      </c>
      <c r="V6" s="88">
        <v>5.4790089999999996</v>
      </c>
      <c r="W6" s="88">
        <v>5.4093410000000004</v>
      </c>
      <c r="X6" s="88">
        <f>STDEV(S6:W6)</f>
        <v>5.5239184297018552E-2</v>
      </c>
      <c r="AC6" s="88">
        <v>49.996998061728384</v>
      </c>
      <c r="AD6" s="88">
        <v>49.938225888888894</v>
      </c>
      <c r="AE6" s="88">
        <v>49.993942972222221</v>
      </c>
      <c r="AF6" s="88">
        <v>50.067949833333337</v>
      </c>
      <c r="AG6" s="88">
        <v>50.072437932098786</v>
      </c>
      <c r="AH6" s="77">
        <v>3.27263129012346</v>
      </c>
      <c r="AI6" s="77">
        <v>3.9427232407407415</v>
      </c>
      <c r="AJ6" s="77">
        <v>4.8135699660493811</v>
      </c>
      <c r="AK6" s="77">
        <v>4.1546981975308661</v>
      </c>
      <c r="AL6" s="77">
        <v>3.5954853950617274</v>
      </c>
      <c r="AM6" s="88">
        <v>33.611567944444445</v>
      </c>
      <c r="AN6" s="88">
        <v>32.048536024691344</v>
      </c>
      <c r="AO6" s="88">
        <v>30.984909796296286</v>
      </c>
      <c r="AP6" s="88">
        <v>32.195741481481477</v>
      </c>
      <c r="AQ6" s="88">
        <v>33.752376203703705</v>
      </c>
    </row>
    <row r="7" spans="1:43" x14ac:dyDescent="0.25">
      <c r="A7" s="65">
        <f>'DC-he-ipb1-29b-10122016'!M8*100</f>
        <v>300</v>
      </c>
      <c r="B7" s="67">
        <f>'DC-he-ipb1-29b-10122016'!O8</f>
        <v>0.55575524747672289</v>
      </c>
      <c r="C7" s="68">
        <f>'DC-he-ipb1-29b-10122016'!P8</f>
        <v>9.8122734486107532E-2</v>
      </c>
      <c r="K7" s="14"/>
      <c r="L7" s="10"/>
      <c r="M7" s="10"/>
      <c r="N7" s="10"/>
      <c r="O7" s="10"/>
      <c r="P7" s="10"/>
      <c r="Q7" s="19">
        <v>200</v>
      </c>
      <c r="R7" s="101">
        <v>13.273251999999999</v>
      </c>
      <c r="S7" s="88">
        <v>9.3258510000000001</v>
      </c>
      <c r="T7" s="88">
        <v>9.2953869999999998</v>
      </c>
      <c r="U7" s="88">
        <v>9.2374600000000004</v>
      </c>
      <c r="V7" s="88">
        <v>9.355677</v>
      </c>
      <c r="W7" s="88">
        <v>9.2227820000000005</v>
      </c>
      <c r="X7" s="88">
        <f t="shared" ref="X7:X11" si="1">STDEV(S7:W7)</f>
        <v>5.6730734380051662E-2</v>
      </c>
      <c r="AC7" s="88">
        <v>49.92861556790124</v>
      </c>
      <c r="AD7" s="88">
        <v>49.925299981481508</v>
      </c>
      <c r="AE7" s="88">
        <v>49.989906882716035</v>
      </c>
      <c r="AF7" s="88">
        <v>50.06519868518518</v>
      </c>
      <c r="AG7" s="88">
        <v>50.086877944099378</v>
      </c>
      <c r="AH7" s="77">
        <v>3.0403385185185186</v>
      </c>
      <c r="AI7" s="77">
        <v>3.6773760000000006</v>
      </c>
      <c r="AJ7" s="77">
        <v>4.3833083487654294</v>
      </c>
      <c r="AK7" s="77">
        <v>3.5751608086419742</v>
      </c>
      <c r="AL7" s="77">
        <v>2.9865180248447194</v>
      </c>
      <c r="AM7" s="88">
        <v>32.609255030864205</v>
      </c>
      <c r="AN7" s="88">
        <v>31.841448141975317</v>
      </c>
      <c r="AO7" s="88">
        <v>30.632458487654304</v>
      </c>
      <c r="AP7" s="88">
        <v>31.814957067901219</v>
      </c>
      <c r="AQ7" s="88">
        <v>32.94452804968946</v>
      </c>
    </row>
    <row r="8" spans="1:43" x14ac:dyDescent="0.25">
      <c r="A8" s="65">
        <f>'DC-he-ipb1-29b-10122016'!M9*100</f>
        <v>325</v>
      </c>
      <c r="B8" s="67">
        <f>'DC-he-ipb1-29b-10122016'!O9</f>
        <v>0.56703828665435096</v>
      </c>
      <c r="C8" s="68">
        <f>'DC-he-ipb1-29b-10122016'!P9</f>
        <v>9.8122734486107532E-2</v>
      </c>
      <c r="K8" s="14"/>
      <c r="L8" s="10"/>
      <c r="M8" s="10"/>
      <c r="N8" s="10"/>
      <c r="O8" s="10"/>
      <c r="P8" s="10"/>
      <c r="Q8" s="19">
        <v>250</v>
      </c>
      <c r="R8" s="101">
        <v>18.265249000000001</v>
      </c>
      <c r="S8" s="88">
        <v>13.586672</v>
      </c>
      <c r="T8" s="88">
        <v>13.525496</v>
      </c>
      <c r="U8" s="88">
        <v>13.666596</v>
      </c>
      <c r="V8" s="88">
        <v>13.562815000000001</v>
      </c>
      <c r="W8" s="88">
        <v>13.602408</v>
      </c>
      <c r="X8" s="88">
        <f t="shared" si="1"/>
        <v>5.2260262798803366E-2</v>
      </c>
      <c r="AC8" s="88">
        <v>49.834108925925932</v>
      </c>
      <c r="AD8" s="88">
        <v>49.933329067901226</v>
      </c>
      <c r="AE8" s="88">
        <v>49.997880595679</v>
      </c>
      <c r="AF8" s="88">
        <v>50.076735450617278</v>
      </c>
      <c r="AG8" s="88">
        <v>50.084928061728419</v>
      </c>
      <c r="AH8" s="77">
        <v>2.6196035555555555</v>
      </c>
      <c r="AI8" s="77">
        <v>3.2903774506172843</v>
      </c>
      <c r="AJ8" s="77">
        <v>4.0947669629629644</v>
      </c>
      <c r="AK8" s="77">
        <v>3.3170399753086421</v>
      </c>
      <c r="AL8" s="77">
        <v>2.7435086419753101</v>
      </c>
      <c r="AM8" s="88">
        <v>32.33430043827159</v>
      </c>
      <c r="AN8" s="88">
        <v>30.644681240740731</v>
      </c>
      <c r="AO8" s="88">
        <v>29.984076179012352</v>
      </c>
      <c r="AP8" s="88">
        <v>31.089094277777775</v>
      </c>
      <c r="AQ8" s="88">
        <v>32.506843820987648</v>
      </c>
    </row>
    <row r="9" spans="1:43" ht="15.75" x14ac:dyDescent="0.25">
      <c r="A9" s="65">
        <f>'DC-he-ipb1-29b-10122016'!M10*100</f>
        <v>350</v>
      </c>
      <c r="B9" s="67">
        <f>'DC-he-ipb1-29b-10122016'!O10</f>
        <v>0.57418539473575259</v>
      </c>
      <c r="C9" s="68">
        <f>'DC-he-ipb1-29b-10122016'!P10</f>
        <v>0</v>
      </c>
      <c r="D9" s="6"/>
      <c r="K9" s="14"/>
      <c r="L9" s="10"/>
      <c r="M9" s="10"/>
      <c r="N9" s="10"/>
      <c r="O9" s="10"/>
      <c r="P9" s="10"/>
      <c r="Q9" s="19">
        <v>300</v>
      </c>
      <c r="R9" s="101">
        <v>23.693577000000001</v>
      </c>
      <c r="S9" s="88">
        <v>19.023921999999999</v>
      </c>
      <c r="T9" s="88">
        <v>19.015668999999999</v>
      </c>
      <c r="U9" s="88">
        <v>19.004594999999998</v>
      </c>
      <c r="V9" s="88">
        <v>19.102720000000001</v>
      </c>
      <c r="W9" s="88">
        <v>19.153010999999999</v>
      </c>
      <c r="X9" s="88">
        <f t="shared" si="1"/>
        <v>6.4831737623636837E-2</v>
      </c>
      <c r="AC9" s="88">
        <v>49.930126888888886</v>
      </c>
      <c r="AD9" s="88">
        <v>49.936878314814791</v>
      </c>
      <c r="AE9" s="88">
        <v>49.987397904320986</v>
      </c>
      <c r="AF9" s="88">
        <v>50.062526123456777</v>
      </c>
      <c r="AG9" s="88">
        <v>50.08164004320988</v>
      </c>
      <c r="AH9" s="77">
        <v>2.4736759012345688</v>
      </c>
      <c r="AI9" s="77">
        <v>3.1883146975308643</v>
      </c>
      <c r="AJ9" s="77">
        <v>3.9129726358024679</v>
      </c>
      <c r="AK9" s="77">
        <v>3.1997114135802485</v>
      </c>
      <c r="AL9" s="77">
        <v>2.392227185185186</v>
      </c>
      <c r="AM9" s="88">
        <v>32.339665104938263</v>
      </c>
      <c r="AN9" s="88">
        <v>30.703420888888896</v>
      </c>
      <c r="AO9" s="88">
        <v>29.777109382716041</v>
      </c>
      <c r="AP9" s="88">
        <v>31.115032765432105</v>
      </c>
      <c r="AQ9" s="88">
        <v>32.581176246913557</v>
      </c>
    </row>
    <row r="10" spans="1:43" x14ac:dyDescent="0.25">
      <c r="A10" s="65">
        <f>'DC-he-ipb1-29b-10122016'!M11*100</f>
        <v>375</v>
      </c>
      <c r="B10" s="67">
        <f>'DC-he-ipb1-29b-10122016'!O11</f>
        <v>0.5792096730333085</v>
      </c>
      <c r="C10" s="68">
        <f>'DC-he-ipb1-29b-10122016'!P11</f>
        <v>0</v>
      </c>
      <c r="K10" s="14"/>
      <c r="L10" s="10"/>
      <c r="M10" s="10"/>
      <c r="N10" s="10"/>
      <c r="O10" s="10"/>
      <c r="P10" s="10"/>
      <c r="Q10" s="19">
        <v>350</v>
      </c>
      <c r="R10" s="3">
        <v>29.612943999999999</v>
      </c>
      <c r="S10" s="88">
        <v>24.914384999999999</v>
      </c>
      <c r="T10" s="88">
        <v>24.965805</v>
      </c>
      <c r="U10" s="88">
        <v>24.894425999999999</v>
      </c>
      <c r="V10" s="88">
        <v>25.060068000000001</v>
      </c>
      <c r="W10" s="88">
        <v>25.017149</v>
      </c>
      <c r="X10" s="88">
        <f t="shared" si="1"/>
        <v>6.92037870589471E-2</v>
      </c>
      <c r="AC10" s="88">
        <v>49.913349267080747</v>
      </c>
      <c r="AD10" s="88">
        <v>49.933260796296274</v>
      </c>
      <c r="AE10" s="88">
        <v>49.997846941358006</v>
      </c>
      <c r="AF10" s="88">
        <v>50.080968487654324</v>
      </c>
      <c r="AG10" s="88">
        <v>50.098024530864187</v>
      </c>
      <c r="AH10" s="77">
        <v>2.8912298881987568</v>
      </c>
      <c r="AI10" s="77">
        <v>3.6792089876543206</v>
      </c>
      <c r="AJ10" s="77">
        <v>4.5851313703703749</v>
      </c>
      <c r="AK10" s="77">
        <v>3.9877238148148155</v>
      </c>
      <c r="AL10" s="77">
        <v>3.4671029938271607</v>
      </c>
      <c r="AM10" s="88">
        <v>32.024189627329193</v>
      </c>
      <c r="AN10" s="88">
        <v>30.960887617283952</v>
      </c>
      <c r="AO10" s="88">
        <v>29.814448543209874</v>
      </c>
      <c r="AP10" s="88">
        <v>31.167781296296283</v>
      </c>
      <c r="AQ10" s="88">
        <v>32.476611253086418</v>
      </c>
    </row>
    <row r="11" spans="1:43" x14ac:dyDescent="0.25">
      <c r="A11" s="65">
        <f>'DC-he-ipb1-29b-10122016'!M12*100</f>
        <v>400</v>
      </c>
      <c r="B11" s="67">
        <f>'DC-he-ipb1-29b-10122016'!O12</f>
        <v>0.59043911356022083</v>
      </c>
      <c r="C11" s="68">
        <f>'DC-he-ipb1-29b-10122016'!P12</f>
        <v>0.15376608084083587</v>
      </c>
      <c r="K11" s="14"/>
      <c r="L11" s="10"/>
      <c r="M11" s="10"/>
      <c r="N11" s="10"/>
      <c r="O11" s="10"/>
      <c r="P11" s="10"/>
      <c r="Q11" s="19">
        <v>400</v>
      </c>
      <c r="R11" s="101">
        <v>36.543987000000001</v>
      </c>
      <c r="S11" s="88">
        <v>31.543453</v>
      </c>
      <c r="T11" s="88">
        <v>31.710046999999999</v>
      </c>
      <c r="U11" s="88">
        <v>31.693518000000001</v>
      </c>
      <c r="V11" s="88">
        <v>31.933805</v>
      </c>
      <c r="W11" s="88">
        <v>31.712610000000002</v>
      </c>
      <c r="X11" s="88">
        <f t="shared" si="1"/>
        <v>0.13939849960562697</v>
      </c>
      <c r="AC11" s="88">
        <v>49.92362783950616</v>
      </c>
      <c r="AD11" s="88">
        <v>49.945865098765445</v>
      </c>
      <c r="AE11" s="88">
        <v>49.990235030864234</v>
      </c>
      <c r="AF11" s="88">
        <v>50.057905123456798</v>
      </c>
      <c r="AG11" s="88">
        <v>50.076174234567894</v>
      </c>
      <c r="AH11" s="77">
        <v>3.3873508641975318</v>
      </c>
      <c r="AI11" s="77">
        <v>4.0015538765432099</v>
      </c>
      <c r="AJ11" s="77">
        <v>4.5875790246913581</v>
      </c>
      <c r="AK11" s="77">
        <v>3.6855379691358046</v>
      </c>
      <c r="AL11" s="77">
        <v>3.0654871975308646</v>
      </c>
      <c r="AM11" s="88">
        <v>32.257416845679018</v>
      </c>
      <c r="AN11" s="88">
        <v>30.984706728395039</v>
      </c>
      <c r="AO11" s="88">
        <v>29.854097447530869</v>
      </c>
      <c r="AP11" s="88">
        <v>31.019612808641963</v>
      </c>
      <c r="AQ11" s="88">
        <v>32.343242672839494</v>
      </c>
    </row>
    <row r="12" spans="1:43" x14ac:dyDescent="0.25">
      <c r="A12" s="65">
        <f>'DC-he-ipb1-29b-10122016'!M13*100</f>
        <v>450</v>
      </c>
      <c r="B12" s="67">
        <f>'DC-he-ipb1-29b-10122016'!O13</f>
        <v>0.58536410306123443</v>
      </c>
      <c r="C12" s="68">
        <f>'DC-he-ipb1-29b-10122016'!P13</f>
        <v>0</v>
      </c>
      <c r="L12" s="39"/>
      <c r="M12" s="39"/>
      <c r="N12" s="39"/>
      <c r="O12" s="39"/>
      <c r="P12" s="40"/>
      <c r="Q12" s="20" t="s">
        <v>38</v>
      </c>
      <c r="R12" s="3"/>
      <c r="S12" s="3"/>
      <c r="T12" s="3"/>
      <c r="U12" s="3"/>
      <c r="V12" s="3"/>
      <c r="W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</row>
    <row r="13" spans="1:43" x14ac:dyDescent="0.25">
      <c r="A13" s="65">
        <f>'DC-he-ipb1-29b-10122016'!M14*100</f>
        <v>500</v>
      </c>
      <c r="B13" s="67">
        <f>'DC-he-ipb1-29b-10122016'!O14</f>
        <v>0.59434790825157446</v>
      </c>
      <c r="C13" s="68">
        <f>'DC-he-ipb1-29b-10122016'!P14</f>
        <v>0</v>
      </c>
      <c r="F13" s="73"/>
      <c r="G13" s="73"/>
      <c r="H13" s="73"/>
      <c r="I13" s="73"/>
      <c r="J13" s="73"/>
      <c r="L13" s="9"/>
      <c r="M13" s="73"/>
      <c r="N13" s="73"/>
      <c r="O13" s="73"/>
      <c r="P13" s="36"/>
      <c r="Q13" s="19"/>
    </row>
    <row r="14" spans="1:43" x14ac:dyDescent="0.25">
      <c r="A14" s="65">
        <f>'DC-he-ipb1-29b-10122016'!M15*100</f>
        <v>550</v>
      </c>
      <c r="B14" s="67">
        <f>'DC-he-ipb1-29b-10122016'!O15</f>
        <v>0.58875455688525746</v>
      </c>
      <c r="C14" s="68">
        <f>'DC-he-ipb1-29b-10122016'!P15</f>
        <v>0</v>
      </c>
      <c r="F14" s="73"/>
      <c r="G14" s="73"/>
      <c r="H14" s="73"/>
      <c r="I14" s="73"/>
      <c r="J14" s="73"/>
      <c r="L14" s="9"/>
      <c r="M14" s="73"/>
      <c r="N14" s="73"/>
      <c r="O14" s="73"/>
      <c r="P14" s="36"/>
      <c r="Q14" s="89"/>
      <c r="R14" s="2" t="s">
        <v>47</v>
      </c>
    </row>
    <row r="15" spans="1:43" s="73" customFormat="1" x14ac:dyDescent="0.25">
      <c r="A15" s="65">
        <f>'DC-he-ipb1-29b-10122016'!M16*100</f>
        <v>600</v>
      </c>
      <c r="B15" s="67">
        <f>'DC-he-ipb1-29b-10122016'!O16</f>
        <v>0.58203738985027065</v>
      </c>
      <c r="C15" s="68">
        <f>'DC-he-ipb1-29b-10122016'!P16</f>
        <v>0</v>
      </c>
      <c r="E15" s="7"/>
      <c r="F15" s="7"/>
      <c r="G15" s="7"/>
      <c r="H15" s="7"/>
      <c r="I15" s="7"/>
      <c r="J15" s="7"/>
      <c r="K15" s="14"/>
      <c r="L15" s="9"/>
      <c r="P15" s="36"/>
      <c r="Q15" s="19">
        <v>150</v>
      </c>
      <c r="R15" s="88">
        <v>8.8026429999999998</v>
      </c>
      <c r="S15" s="88">
        <v>7.045725</v>
      </c>
      <c r="T15" s="88">
        <v>6.9331889999999996</v>
      </c>
      <c r="U15" s="88">
        <v>7.0020899999999999</v>
      </c>
      <c r="V15" s="88">
        <v>7.0564179999999999</v>
      </c>
      <c r="W15" s="88">
        <v>7.0070779999999999</v>
      </c>
      <c r="X15" s="88">
        <f>STDEV(S15:W15)</f>
        <v>4.8466205375498624E-2</v>
      </c>
      <c r="AC15" s="88">
        <v>49.993204598765416</v>
      </c>
      <c r="AD15" s="88">
        <v>49.926076104938268</v>
      </c>
      <c r="AE15" s="88">
        <v>49.994328321981435</v>
      </c>
      <c r="AF15" s="88">
        <v>50.074057475308649</v>
      </c>
      <c r="AG15" s="88">
        <v>50.09597184567901</v>
      </c>
      <c r="AH15" s="77">
        <v>2.8700672160493843</v>
      </c>
      <c r="AI15" s="77">
        <v>3.262260246913582</v>
      </c>
      <c r="AJ15" s="77">
        <v>3.8876251114551073</v>
      </c>
      <c r="AK15" s="77">
        <v>3.1019912160493823</v>
      </c>
      <c r="AL15" s="77">
        <v>2.5221211111111117</v>
      </c>
      <c r="AM15" s="88">
        <v>34.921268475308615</v>
      </c>
      <c r="AN15" s="88">
        <v>33.497307364197503</v>
      </c>
      <c r="AO15" s="88">
        <v>32.113262417956676</v>
      </c>
      <c r="AP15" s="88">
        <v>33.491444277777745</v>
      </c>
      <c r="AQ15" s="88">
        <v>35.143151129629629</v>
      </c>
    </row>
    <row r="16" spans="1:43" s="73" customFormat="1" ht="15" customHeight="1" x14ac:dyDescent="0.25">
      <c r="A16" s="8"/>
      <c r="B16" s="34"/>
      <c r="C16" s="35"/>
      <c r="E16" s="7"/>
      <c r="F16" s="7"/>
      <c r="G16" s="7"/>
      <c r="H16" s="7"/>
      <c r="I16" s="7"/>
      <c r="J16" s="7"/>
      <c r="K16" s="14"/>
      <c r="L16" s="9"/>
      <c r="P16" s="36"/>
      <c r="Q16" s="19">
        <v>200</v>
      </c>
      <c r="R16" s="88">
        <v>13.461486000000001</v>
      </c>
      <c r="S16" s="88">
        <v>11.369478000000001</v>
      </c>
      <c r="T16" s="88">
        <v>11.287477000000001</v>
      </c>
      <c r="U16" s="88">
        <v>11.221705999999999</v>
      </c>
      <c r="V16" s="88">
        <v>11.243112999999999</v>
      </c>
      <c r="W16" s="88">
        <v>11.226502999999999</v>
      </c>
      <c r="X16" s="88">
        <f t="shared" ref="X16:X20" si="2">STDEV(S16:W16)</f>
        <v>6.1538472684168032E-2</v>
      </c>
      <c r="AC16" s="88">
        <v>49.91530525925927</v>
      </c>
      <c r="AD16" s="88">
        <v>49.937639506172864</v>
      </c>
      <c r="AE16" s="88">
        <v>49.995923287036995</v>
      </c>
      <c r="AF16" s="88">
        <v>50.068812246913573</v>
      </c>
      <c r="AG16" s="88">
        <v>50.072777753086442</v>
      </c>
      <c r="AH16" s="77">
        <v>2.114969382716049</v>
      </c>
      <c r="AI16" s="77">
        <v>2.4957375308641976</v>
      </c>
      <c r="AJ16" s="77">
        <v>3.0457129166666674</v>
      </c>
      <c r="AK16" s="77">
        <v>2.5306928641975306</v>
      </c>
      <c r="AL16" s="77">
        <v>2.0697430864197526</v>
      </c>
      <c r="AM16" s="88">
        <v>34.766453179012331</v>
      </c>
      <c r="AN16" s="88">
        <v>33.414979314814808</v>
      </c>
      <c r="AO16" s="88">
        <v>32.120681910493829</v>
      </c>
      <c r="AP16" s="88">
        <v>33.308983018518532</v>
      </c>
      <c r="AQ16" s="88">
        <v>35.1268800925926</v>
      </c>
    </row>
    <row r="17" spans="1:43" s="73" customFormat="1" x14ac:dyDescent="0.25">
      <c r="A17" s="8"/>
      <c r="B17" s="34"/>
      <c r="C17" s="35"/>
      <c r="E17" s="7"/>
      <c r="F17" s="7"/>
      <c r="G17" s="7"/>
      <c r="H17" s="7"/>
      <c r="I17" s="7"/>
      <c r="J17" s="7"/>
      <c r="K17" s="14"/>
      <c r="L17" s="9"/>
      <c r="P17" s="36"/>
      <c r="Q17" s="19">
        <v>250</v>
      </c>
      <c r="R17" s="88">
        <v>18.687576</v>
      </c>
      <c r="S17" s="88">
        <v>16.081963999999999</v>
      </c>
      <c r="T17" s="88">
        <v>15.936415</v>
      </c>
      <c r="U17" s="88">
        <v>15.803201</v>
      </c>
      <c r="V17" s="88">
        <v>15.916271</v>
      </c>
      <c r="W17" s="88">
        <v>16.005016000000001</v>
      </c>
      <c r="X17" s="88">
        <f t="shared" si="2"/>
        <v>0.10404713556989453</v>
      </c>
      <c r="AC17" s="88">
        <v>49.928429870370394</v>
      </c>
      <c r="AD17" s="88">
        <v>49.932719888888897</v>
      </c>
      <c r="AE17" s="88">
        <v>49.99042741666667</v>
      </c>
      <c r="AF17" s="88">
        <v>50.065802395061723</v>
      </c>
      <c r="AG17" s="88">
        <v>50.086544944099394</v>
      </c>
      <c r="AH17" s="77">
        <v>1.8769242777777788</v>
      </c>
      <c r="AI17" s="77">
        <v>2.3531432469135818</v>
      </c>
      <c r="AJ17" s="77">
        <v>2.9528756851851856</v>
      </c>
      <c r="AK17" s="77">
        <v>2.3497997160493829</v>
      </c>
      <c r="AL17" s="77">
        <v>1.8343148385093149</v>
      </c>
      <c r="AM17" s="88">
        <v>34.620687604938261</v>
      </c>
      <c r="AN17" s="88">
        <v>33.174356746913581</v>
      </c>
      <c r="AO17" s="88">
        <v>31.746714246913591</v>
      </c>
      <c r="AP17" s="88">
        <v>32.93860865432098</v>
      </c>
      <c r="AQ17" s="88">
        <v>34.58269564596273</v>
      </c>
    </row>
    <row r="18" spans="1:43" s="73" customFormat="1" ht="15" customHeight="1" x14ac:dyDescent="0.25">
      <c r="A18" s="129"/>
      <c r="B18" s="129"/>
      <c r="C18" s="130"/>
      <c r="E18" s="7"/>
      <c r="F18" s="7"/>
      <c r="G18" s="7"/>
      <c r="H18" s="7"/>
      <c r="I18" s="7"/>
      <c r="J18" s="7"/>
      <c r="K18" s="14"/>
      <c r="L18" s="9"/>
      <c r="P18" s="36"/>
      <c r="Q18" s="19">
        <v>300</v>
      </c>
      <c r="R18" s="88">
        <v>24.128959999999999</v>
      </c>
      <c r="S18" s="88">
        <v>21.270212000000001</v>
      </c>
      <c r="T18" s="88">
        <v>20.803585000000002</v>
      </c>
      <c r="U18" s="88">
        <v>20.521249999999998</v>
      </c>
      <c r="V18" s="88">
        <v>20.779335</v>
      </c>
      <c r="W18" s="88">
        <v>21.144955</v>
      </c>
      <c r="X18" s="104">
        <f t="shared" si="2"/>
        <v>0.30178326246049553</v>
      </c>
      <c r="AC18" s="88">
        <v>49.90762632098766</v>
      </c>
      <c r="AD18" s="88">
        <v>49.932165703703689</v>
      </c>
      <c r="AE18" s="88">
        <v>49.998066009259233</v>
      </c>
      <c r="AF18" s="88">
        <v>50.074490296296318</v>
      </c>
      <c r="AG18" s="88">
        <v>50.086832172839536</v>
      </c>
      <c r="AH18" s="77">
        <v>1.7709642839506166</v>
      </c>
      <c r="AI18" s="77">
        <v>2.4323309074074069</v>
      </c>
      <c r="AJ18" s="77">
        <v>3.3441614043209889</v>
      </c>
      <c r="AK18" s="77">
        <v>3.1154799691358015</v>
      </c>
      <c r="AL18" s="77">
        <v>2.7155250740740731</v>
      </c>
      <c r="AM18" s="88">
        <v>34.235320592592601</v>
      </c>
      <c r="AN18" s="88">
        <v>32.500168006172835</v>
      </c>
      <c r="AO18" s="88">
        <v>31.355378089506178</v>
      </c>
      <c r="AP18" s="88">
        <v>32.609133913580258</v>
      </c>
      <c r="AQ18" s="88">
        <v>34.294474876543212</v>
      </c>
    </row>
    <row r="19" spans="1:43" s="73" customFormat="1" ht="15" customHeight="1" x14ac:dyDescent="0.25">
      <c r="A19" s="129"/>
      <c r="B19" s="129"/>
      <c r="C19" s="130"/>
      <c r="E19" s="7"/>
      <c r="F19" s="7"/>
      <c r="G19" s="7"/>
      <c r="H19" s="7"/>
      <c r="I19" s="7"/>
      <c r="J19" s="7"/>
      <c r="K19" s="14"/>
      <c r="L19" s="9"/>
      <c r="P19" s="9"/>
      <c r="Q19" s="19">
        <v>350</v>
      </c>
      <c r="R19" s="88">
        <v>30.293479999999999</v>
      </c>
      <c r="S19" s="88">
        <v>27.153500000000001</v>
      </c>
      <c r="T19" s="88">
        <v>26.964275000000001</v>
      </c>
      <c r="U19" s="88">
        <v>26.965031</v>
      </c>
      <c r="V19" s="88">
        <v>26.955840999999999</v>
      </c>
      <c r="W19" s="88">
        <v>27.099815</v>
      </c>
      <c r="X19" s="88">
        <f t="shared" si="2"/>
        <v>9.2385148973198383E-2</v>
      </c>
      <c r="AC19" s="88">
        <v>49.936939820987661</v>
      </c>
      <c r="AD19" s="88">
        <v>49.894158617283964</v>
      </c>
      <c r="AE19" s="88">
        <v>49.985727000000033</v>
      </c>
      <c r="AF19" s="88">
        <v>50.061307487654325</v>
      </c>
      <c r="AG19" s="88">
        <v>50.081609691358032</v>
      </c>
      <c r="AH19" s="77">
        <v>2.8835791111111102</v>
      </c>
      <c r="AI19" s="77">
        <v>3.0718063024691369</v>
      </c>
      <c r="AJ19" s="77">
        <v>3.642816728395061</v>
      </c>
      <c r="AK19" s="77">
        <v>3.2277432037037044</v>
      </c>
      <c r="AL19" s="77">
        <v>2.7185180987654318</v>
      </c>
      <c r="AM19" s="88">
        <v>34.130926932098767</v>
      </c>
      <c r="AN19" s="88">
        <v>32.404862030864194</v>
      </c>
      <c r="AO19" s="88">
        <v>30.855427648148186</v>
      </c>
      <c r="AP19" s="88">
        <v>32.650930327160488</v>
      </c>
      <c r="AQ19" s="88">
        <v>34.138055320987668</v>
      </c>
    </row>
    <row r="20" spans="1:43" s="73" customFormat="1" ht="15" customHeight="1" x14ac:dyDescent="0.25">
      <c r="A20" s="129"/>
      <c r="B20" s="129"/>
      <c r="C20" s="130"/>
      <c r="E20" s="7"/>
      <c r="F20" s="7"/>
      <c r="G20" s="7"/>
      <c r="H20" s="7"/>
      <c r="I20" s="7"/>
      <c r="J20" s="7"/>
      <c r="K20" s="14"/>
      <c r="L20" s="9"/>
      <c r="P20" s="9"/>
      <c r="Q20" s="19">
        <v>400</v>
      </c>
      <c r="R20" s="88">
        <v>37.036468999999997</v>
      </c>
      <c r="S20" s="88">
        <v>34.039959000000003</v>
      </c>
      <c r="T20" s="88">
        <v>34.245021999999999</v>
      </c>
      <c r="U20" s="88">
        <v>34.067104</v>
      </c>
      <c r="V20" s="88">
        <v>34.102668999999999</v>
      </c>
      <c r="W20" s="88">
        <v>34.115603999999998</v>
      </c>
      <c r="X20" s="88">
        <f t="shared" si="2"/>
        <v>7.9023742832770152E-2</v>
      </c>
      <c r="AC20" s="88">
        <v>49.894706216049372</v>
      </c>
      <c r="AD20" s="88">
        <v>49.930534166666661</v>
      </c>
      <c r="AE20" s="88">
        <v>49.998455709876488</v>
      </c>
      <c r="AF20" s="88">
        <v>50.084178864197533</v>
      </c>
      <c r="AG20" s="88">
        <v>50.095374296296292</v>
      </c>
      <c r="AH20" s="77">
        <v>2.5047198456790118</v>
      </c>
      <c r="AI20" s="77">
        <v>2.9039897962962971</v>
      </c>
      <c r="AJ20" s="77">
        <v>3.4283123611111117</v>
      </c>
      <c r="AK20" s="77">
        <v>0.45547443827160489</v>
      </c>
      <c r="AL20" s="77">
        <v>-3.5875938271604922E-2</v>
      </c>
      <c r="AM20" s="88">
        <v>34.099638851851857</v>
      </c>
      <c r="AN20" s="88">
        <v>32.650329728395057</v>
      </c>
      <c r="AO20" s="88">
        <v>31.421038058641965</v>
      </c>
      <c r="AP20" s="88">
        <v>32.740541944444445</v>
      </c>
      <c r="AQ20" s="88">
        <v>34.372394765432098</v>
      </c>
    </row>
    <row r="21" spans="1:43" ht="15" customHeight="1" x14ac:dyDescent="0.25">
      <c r="A21" s="9"/>
      <c r="B21" s="9"/>
      <c r="C21" s="36"/>
      <c r="Q21" s="20" t="s">
        <v>48</v>
      </c>
    </row>
    <row r="22" spans="1:43" ht="15" customHeight="1" x14ac:dyDescent="0.25">
      <c r="A22" s="9"/>
      <c r="B22" s="9"/>
      <c r="C22" s="36"/>
      <c r="Q22" s="89"/>
    </row>
    <row r="23" spans="1:43" ht="15" customHeight="1" x14ac:dyDescent="0.25">
      <c r="A23" s="9"/>
      <c r="B23" s="9"/>
      <c r="C23" s="36"/>
      <c r="Q23" s="89"/>
      <c r="R23" s="2" t="s">
        <v>49</v>
      </c>
    </row>
    <row r="24" spans="1:43" s="73" customFormat="1" ht="15" customHeight="1" x14ac:dyDescent="0.25">
      <c r="A24" s="9"/>
      <c r="B24" s="9"/>
      <c r="C24" s="36"/>
      <c r="E24" s="7"/>
      <c r="F24" s="7"/>
      <c r="G24" s="7"/>
      <c r="H24" s="7"/>
      <c r="I24" s="7"/>
      <c r="J24" s="7"/>
      <c r="K24" s="14"/>
      <c r="L24" s="9"/>
      <c r="P24" s="9"/>
      <c r="Q24" s="78">
        <v>150</v>
      </c>
      <c r="R24" s="88">
        <v>9.0986019999999996</v>
      </c>
      <c r="S24" s="88">
        <v>7.4825350000000004</v>
      </c>
      <c r="T24" s="88">
        <v>7.329752</v>
      </c>
      <c r="U24" s="88">
        <v>6.9686199999999996</v>
      </c>
      <c r="V24" s="88">
        <v>7.1070469999999997</v>
      </c>
      <c r="W24" s="88">
        <v>7.2940860000000001</v>
      </c>
      <c r="X24" s="88">
        <f>STDEV(S24:W24)</f>
        <v>0.20066329722572618</v>
      </c>
      <c r="AC24" s="88">
        <v>49.88952205555556</v>
      </c>
      <c r="AD24" s="88">
        <v>49.927419518518519</v>
      </c>
      <c r="AE24" s="88">
        <v>49.997108271604937</v>
      </c>
      <c r="AF24" s="88">
        <v>50.067104524691374</v>
      </c>
      <c r="AG24" s="88">
        <v>50.095843438271601</v>
      </c>
      <c r="AH24" s="77">
        <v>3.7203720617283937</v>
      </c>
      <c r="AI24" s="77">
        <v>3.8776830864197538</v>
      </c>
      <c r="AJ24" s="77">
        <v>4.273699401234567</v>
      </c>
      <c r="AK24" s="77">
        <v>3.4449455308641963</v>
      </c>
      <c r="AL24" s="77">
        <v>2.660526333333332</v>
      </c>
      <c r="AM24" s="88">
        <v>34.797305814814813</v>
      </c>
      <c r="AN24" s="88">
        <v>33.241577796296312</v>
      </c>
      <c r="AO24" s="88">
        <v>31.643081836419729</v>
      </c>
      <c r="AP24" s="88">
        <v>33.344252549382709</v>
      </c>
      <c r="AQ24" s="88">
        <v>34.385703679012352</v>
      </c>
    </row>
    <row r="25" spans="1:43" s="73" customFormat="1" x14ac:dyDescent="0.25">
      <c r="A25" s="9"/>
      <c r="B25" s="9"/>
      <c r="C25" s="36"/>
      <c r="E25" s="7"/>
      <c r="F25" s="7"/>
      <c r="G25" s="7"/>
      <c r="H25" s="7"/>
      <c r="I25" s="7"/>
      <c r="J25" s="7"/>
      <c r="K25" s="14"/>
      <c r="L25" s="9"/>
      <c r="P25" s="9"/>
      <c r="Q25" s="78">
        <v>200</v>
      </c>
      <c r="R25" s="88">
        <v>13.590184000000001</v>
      </c>
      <c r="S25" s="88">
        <v>11.793597</v>
      </c>
      <c r="T25" s="88">
        <v>11.273851000000001</v>
      </c>
      <c r="U25" s="88">
        <v>10.977026</v>
      </c>
      <c r="V25" s="88">
        <v>11.299547</v>
      </c>
      <c r="W25" s="88">
        <v>11.867723</v>
      </c>
      <c r="X25" s="88">
        <f t="shared" ref="X25:X29" si="3">STDEV(S25:W25)</f>
        <v>0.37736841379373526</v>
      </c>
      <c r="AC25" s="88">
        <v>49.931345308641966</v>
      </c>
      <c r="AD25" s="88">
        <v>49.942616549382727</v>
      </c>
      <c r="AE25" s="88">
        <v>49.987717043209869</v>
      </c>
      <c r="AF25" s="88">
        <v>50.058169376543241</v>
      </c>
      <c r="AG25" s="88">
        <v>50.075440524691338</v>
      </c>
      <c r="AH25" s="77">
        <v>3.0219582716049396</v>
      </c>
      <c r="AI25" s="77">
        <v>3.1907898395061745</v>
      </c>
      <c r="AJ25" s="77">
        <v>3.692759342592594</v>
      </c>
      <c r="AK25" s="77">
        <v>3.0659784012345677</v>
      </c>
      <c r="AL25" s="77">
        <v>2.5970509506172839</v>
      </c>
      <c r="AM25" s="88">
        <v>33.935630283950637</v>
      </c>
      <c r="AN25" s="88">
        <v>32.094284469135815</v>
      </c>
      <c r="AO25" s="88">
        <v>30.882291163580238</v>
      </c>
      <c r="AP25" s="88">
        <v>32.445531944444426</v>
      </c>
      <c r="AQ25" s="88">
        <v>34.026612882716044</v>
      </c>
    </row>
    <row r="26" spans="1:43" s="73" customFormat="1" x14ac:dyDescent="0.25">
      <c r="A26" s="10"/>
      <c r="B26" s="10"/>
      <c r="C26" s="37"/>
      <c r="E26" s="7"/>
      <c r="F26" s="7"/>
      <c r="G26" s="7"/>
      <c r="H26" s="7"/>
      <c r="I26" s="7"/>
      <c r="J26" s="7"/>
      <c r="K26" s="14"/>
      <c r="L26" s="9"/>
      <c r="P26" s="9"/>
      <c r="Q26" s="78">
        <v>250</v>
      </c>
      <c r="R26" s="88">
        <v>18.923658</v>
      </c>
      <c r="S26" s="88">
        <v>16.259616999999999</v>
      </c>
      <c r="T26" s="88">
        <v>15.735161</v>
      </c>
      <c r="U26" s="88">
        <v>15.140243</v>
      </c>
      <c r="V26" s="88">
        <v>16.117944999999999</v>
      </c>
      <c r="W26" s="88">
        <v>16.015419000000001</v>
      </c>
      <c r="X26" s="88">
        <f t="shared" si="3"/>
        <v>0.44266789148299396</v>
      </c>
      <c r="AC26" s="88">
        <v>49.904147901234552</v>
      </c>
      <c r="AD26" s="88">
        <v>49.921147530864218</v>
      </c>
      <c r="AE26" s="88">
        <v>49.994450175925898</v>
      </c>
      <c r="AF26" s="88">
        <v>50.076492672839514</v>
      </c>
      <c r="AG26" s="88">
        <v>50.097016074074055</v>
      </c>
      <c r="AH26" s="77">
        <v>2.3183314753086419</v>
      </c>
      <c r="AI26" s="77">
        <v>2.8158696419753078</v>
      </c>
      <c r="AJ26" s="77">
        <v>3.47233272839506</v>
      </c>
      <c r="AK26" s="77">
        <v>2.8314430061728397</v>
      </c>
      <c r="AL26" s="77">
        <v>2.2767383395061729</v>
      </c>
      <c r="AM26" s="88">
        <v>33.408196728395055</v>
      </c>
      <c r="AN26" s="88">
        <v>31.614476302469125</v>
      </c>
      <c r="AO26" s="88">
        <v>30.561628734567904</v>
      </c>
      <c r="AP26" s="88">
        <v>31.949309765432094</v>
      </c>
      <c r="AQ26" s="88">
        <v>33.56573959876544</v>
      </c>
    </row>
    <row r="27" spans="1:43" s="73" customFormat="1" x14ac:dyDescent="0.25">
      <c r="A27" s="10"/>
      <c r="B27" s="10"/>
      <c r="C27" s="37"/>
      <c r="E27" s="7"/>
      <c r="F27" s="7"/>
      <c r="G27" s="7"/>
      <c r="H27" s="7"/>
      <c r="I27" s="7"/>
      <c r="J27" s="7"/>
      <c r="K27" s="14"/>
      <c r="L27" s="9"/>
      <c r="P27" s="9"/>
      <c r="Q27" s="78">
        <v>300</v>
      </c>
      <c r="R27" s="88">
        <v>24.087731999999999</v>
      </c>
      <c r="S27" s="88">
        <v>21.174274</v>
      </c>
      <c r="T27" s="88">
        <v>20.46245</v>
      </c>
      <c r="U27" s="88">
        <v>19.914248000000001</v>
      </c>
      <c r="V27" s="88">
        <v>20.486279</v>
      </c>
      <c r="W27" s="88">
        <v>21.114424</v>
      </c>
      <c r="X27" s="104">
        <f t="shared" si="3"/>
        <v>0.52247724629212311</v>
      </c>
      <c r="AC27" s="88">
        <v>49.92146671604938</v>
      </c>
      <c r="AD27" s="88">
        <v>49.910631339506168</v>
      </c>
      <c r="AE27" s="88">
        <v>49.983082117449669</v>
      </c>
      <c r="AF27" s="88">
        <v>50.063373876543231</v>
      </c>
      <c r="AG27" s="88">
        <v>50.087717271604909</v>
      </c>
      <c r="AH27" s="77">
        <v>1.9818883641975318</v>
      </c>
      <c r="AI27" s="77">
        <v>2.2500453703703718</v>
      </c>
      <c r="AJ27" s="77">
        <v>2.9340744328859083</v>
      </c>
      <c r="AK27" s="77">
        <v>3.32527974691358</v>
      </c>
      <c r="AL27" s="77">
        <v>3.0101399197530854</v>
      </c>
      <c r="AM27" s="88">
        <v>33.161336327160498</v>
      </c>
      <c r="AN27" s="88">
        <v>30.802333734567895</v>
      </c>
      <c r="AO27" s="88">
        <v>29.480774073825508</v>
      </c>
      <c r="AP27" s="88">
        <v>31.45081485185186</v>
      </c>
      <c r="AQ27" s="88">
        <v>33.176765561728388</v>
      </c>
    </row>
    <row r="28" spans="1:43" s="73" customFormat="1" x14ac:dyDescent="0.25">
      <c r="A28" s="9"/>
      <c r="B28" s="9"/>
      <c r="C28" s="36"/>
      <c r="E28" s="7"/>
      <c r="F28" s="7"/>
      <c r="G28" s="7"/>
      <c r="H28" s="7"/>
      <c r="I28" s="7"/>
      <c r="J28" s="7"/>
      <c r="K28" s="14"/>
      <c r="L28" s="9"/>
      <c r="P28" s="9"/>
      <c r="Q28" s="78">
        <v>350</v>
      </c>
      <c r="R28" s="88">
        <v>30.427534000000001</v>
      </c>
      <c r="S28" s="88">
        <v>27.434702000000001</v>
      </c>
      <c r="T28" s="88">
        <v>27.290230000000001</v>
      </c>
      <c r="U28" s="88">
        <v>27.004328000000001</v>
      </c>
      <c r="V28" s="88">
        <v>27.374511999999999</v>
      </c>
      <c r="W28" s="88">
        <v>27.312335999999998</v>
      </c>
      <c r="X28" s="88">
        <f t="shared" si="3"/>
        <v>0.16580007146801815</v>
      </c>
      <c r="AC28" s="88">
        <v>49.914122919753076</v>
      </c>
      <c r="AD28" s="88">
        <v>49.931631672839501</v>
      </c>
      <c r="AE28" s="88">
        <v>50.004792895061719</v>
      </c>
      <c r="AF28" s="88">
        <v>50.072817827160513</v>
      </c>
      <c r="AG28" s="88">
        <v>50.085240580246911</v>
      </c>
      <c r="AH28" s="77">
        <v>3.6562756543209889</v>
      </c>
      <c r="AI28" s="77">
        <v>4.1590771358024696</v>
      </c>
      <c r="AJ28" s="77">
        <v>4.7278702037037057</v>
      </c>
      <c r="AK28" s="77">
        <v>3.6991524814814851</v>
      </c>
      <c r="AL28" s="77">
        <v>3.094561308641977</v>
      </c>
      <c r="AM28" s="88">
        <v>33.184143117283959</v>
      </c>
      <c r="AN28" s="88">
        <v>31.235164734567896</v>
      </c>
      <c r="AO28" s="88">
        <v>30.060650660493817</v>
      </c>
      <c r="AP28" s="88">
        <v>31.311799814814822</v>
      </c>
      <c r="AQ28" s="88">
        <v>32.892562074074078</v>
      </c>
    </row>
    <row r="29" spans="1:43" s="73" customFormat="1" x14ac:dyDescent="0.25">
      <c r="A29" s="9"/>
      <c r="B29" s="9"/>
      <c r="C29" s="36"/>
      <c r="E29" s="7"/>
      <c r="F29" s="7"/>
      <c r="G29" s="7"/>
      <c r="H29" s="7"/>
      <c r="I29" s="7"/>
      <c r="J29" s="7"/>
      <c r="K29" s="14"/>
      <c r="L29" s="9"/>
      <c r="P29" s="9"/>
      <c r="Q29" s="78">
        <v>400</v>
      </c>
      <c r="R29" s="88">
        <v>37.035767</v>
      </c>
      <c r="S29" s="88">
        <v>34.226531999999999</v>
      </c>
      <c r="T29" s="88">
        <v>34.192931999999999</v>
      </c>
      <c r="U29" s="88">
        <v>34.028441999999998</v>
      </c>
      <c r="V29" s="88">
        <v>34.030838000000003</v>
      </c>
      <c r="W29" s="88">
        <v>33.902495999999999</v>
      </c>
      <c r="X29" s="88">
        <f t="shared" si="3"/>
        <v>0.13298277684722895</v>
      </c>
      <c r="AC29" s="88">
        <v>49.939761695652166</v>
      </c>
      <c r="AD29" s="88">
        <v>49.942858179012376</v>
      </c>
      <c r="AE29" s="88">
        <v>49.984282959876552</v>
      </c>
      <c r="AF29" s="88">
        <v>50.06296026543211</v>
      </c>
      <c r="AG29" s="88">
        <v>50.089534549382719</v>
      </c>
      <c r="AH29" s="77">
        <v>2.4437251055900617</v>
      </c>
      <c r="AI29" s="77">
        <v>2.879436561728395</v>
      </c>
      <c r="AJ29" s="77">
        <v>3.3266373518518519</v>
      </c>
      <c r="AK29" s="77">
        <v>2.576504858024693</v>
      </c>
      <c r="AL29" s="77">
        <v>2.0553924135802477</v>
      </c>
      <c r="AM29" s="88">
        <v>32.50894655279501</v>
      </c>
      <c r="AN29" s="88">
        <v>31.101424827160496</v>
      </c>
      <c r="AO29" s="88">
        <v>29.891666679012349</v>
      </c>
      <c r="AP29" s="88">
        <v>31.165710864197553</v>
      </c>
      <c r="AQ29" s="88">
        <v>32.577517018518513</v>
      </c>
    </row>
    <row r="30" spans="1:43" x14ac:dyDescent="0.25">
      <c r="A30" s="9"/>
      <c r="B30" s="9"/>
      <c r="C30" s="36"/>
      <c r="Q30" s="18" t="s">
        <v>50</v>
      </c>
      <c r="R30"/>
      <c r="S30" s="4"/>
      <c r="T30" s="4"/>
      <c r="U30" s="4"/>
      <c r="V30" s="4"/>
      <c r="W30" s="4"/>
    </row>
    <row r="31" spans="1:43" x14ac:dyDescent="0.25">
      <c r="A31" s="9"/>
      <c r="B31" s="9"/>
      <c r="C31" s="36"/>
      <c r="M31" s="3"/>
      <c r="Q31" s="86"/>
      <c r="R31"/>
      <c r="S31" s="4"/>
      <c r="T31" s="4"/>
      <c r="U31" s="4"/>
      <c r="V31" s="4"/>
      <c r="W31" s="4"/>
    </row>
    <row r="32" spans="1:43" x14ac:dyDescent="0.25">
      <c r="A32" s="9"/>
      <c r="B32" s="9"/>
      <c r="C32" s="36"/>
      <c r="R32" s="2" t="s">
        <v>51</v>
      </c>
      <c r="S32" s="4"/>
      <c r="T32" s="4"/>
      <c r="U32" s="4"/>
      <c r="V32" s="4"/>
      <c r="W32" s="4"/>
    </row>
    <row r="33" spans="4:43" x14ac:dyDescent="0.25">
      <c r="D33" s="73">
        <f>Q33</f>
        <v>250</v>
      </c>
      <c r="E33" s="7"/>
      <c r="F33" s="7"/>
      <c r="G33" s="3">
        <f>$R33-T33-Y33+$B$5*Y33+$C$5</f>
        <v>1.5045726931573018</v>
      </c>
      <c r="H33" s="3">
        <f t="shared" ref="H33:I33" si="4">$R33-U33-Z33+$B$5*Z33+$C$5</f>
        <v>1.8938693019166046</v>
      </c>
      <c r="I33" s="3">
        <f t="shared" si="4"/>
        <v>1.585798719551847</v>
      </c>
      <c r="J33" s="7"/>
      <c r="K33" s="52">
        <v>1</v>
      </c>
      <c r="L33" s="10"/>
      <c r="M33" s="10">
        <f>($B$5*$K33*Y33+$C$5+$R33-T33)/(Y33*$K33)</f>
        <v>1.2763530628880819</v>
      </c>
      <c r="N33" s="10">
        <f t="shared" ref="N33:O33" si="5">($B$5*$K33*Z33+$C$5+$R33-U33)/(Z33*$K33)</f>
        <v>1.3165129339876882</v>
      </c>
      <c r="O33" s="10">
        <f t="shared" si="5"/>
        <v>1.2905897833093891</v>
      </c>
      <c r="P33" s="10"/>
      <c r="Q33" s="80">
        <v>250</v>
      </c>
      <c r="R33" s="71">
        <v>18.927040999999999</v>
      </c>
      <c r="S33" s="71"/>
      <c r="T33" s="71">
        <v>14.918068</v>
      </c>
      <c r="U33" s="71">
        <v>14.2828150645161</v>
      </c>
      <c r="V33" s="71">
        <v>14.831008645161299</v>
      </c>
      <c r="W33" s="88"/>
      <c r="X33" s="88">
        <f>STDEV(T33:V33)</f>
        <v>0.34439362778813781</v>
      </c>
      <c r="Y33" s="77">
        <v>5.44438580645161</v>
      </c>
      <c r="Z33" s="77">
        <v>5.9835447419354804</v>
      </c>
      <c r="AA33" s="77">
        <v>5.4571730000000001</v>
      </c>
      <c r="AB33" s="77"/>
      <c r="AC33" s="88"/>
      <c r="AD33" s="88">
        <v>50.331510096774203</v>
      </c>
      <c r="AE33" s="88">
        <v>50.375313806451601</v>
      </c>
      <c r="AF33" s="88">
        <v>50.387860612903197</v>
      </c>
      <c r="AG33" s="88"/>
      <c r="AH33" s="77"/>
      <c r="AI33" s="77">
        <v>4.0863799677419399</v>
      </c>
      <c r="AJ33" s="77">
        <v>4.2526120967741896</v>
      </c>
      <c r="AK33" s="77">
        <v>3.5585037419354801</v>
      </c>
      <c r="AL33" s="76"/>
      <c r="AM33" s="71"/>
      <c r="AN33" s="88">
        <v>31.890590903225799</v>
      </c>
      <c r="AO33" s="88">
        <v>30.089362258064501</v>
      </c>
      <c r="AP33" s="88">
        <v>31.5633013548387</v>
      </c>
      <c r="AQ33" s="72"/>
    </row>
    <row r="34" spans="4:43" x14ac:dyDescent="0.25">
      <c r="D34" s="73">
        <f t="shared" ref="D34:D36" si="6">Q34</f>
        <v>275</v>
      </c>
      <c r="E34" s="7"/>
      <c r="F34" s="7"/>
      <c r="G34" s="3">
        <f>$R34-T34-Y34+$B$6*Y34+$C$6</f>
        <v>1.8881825239352796</v>
      </c>
      <c r="H34" s="3">
        <f t="shared" ref="H34:I34" si="7">$R34-U34-Z34+$B$6*Z34+$C$6</f>
        <v>2.3936522160665832</v>
      </c>
      <c r="I34" s="3">
        <f t="shared" si="7"/>
        <v>2.0101932952791479</v>
      </c>
      <c r="J34" s="7"/>
      <c r="K34" s="52">
        <v>1</v>
      </c>
      <c r="L34" s="10"/>
      <c r="M34" s="10">
        <f>($B$6*$K34*Y34+$C$6+$R34-T34)/(Y34*$K34)</f>
        <v>1.3319905933482767</v>
      </c>
      <c r="N34" s="10">
        <f t="shared" ref="N34:O34" si="8">($B$6*$K34*Z34+$C$6+$R34-U34)/(Z34*$K34)</f>
        <v>1.3824219367439612</v>
      </c>
      <c r="O34" s="10">
        <f t="shared" si="8"/>
        <v>1.3540025200536472</v>
      </c>
      <c r="P34" s="10"/>
      <c r="Q34" s="80">
        <v>275</v>
      </c>
      <c r="R34" s="71">
        <v>21.983578000000001</v>
      </c>
      <c r="S34" s="71"/>
      <c r="T34" s="71">
        <v>17.519094774193601</v>
      </c>
      <c r="U34" s="71">
        <v>16.756727612903202</v>
      </c>
      <c r="V34" s="71">
        <v>17.401121774193498</v>
      </c>
      <c r="W34" s="88"/>
      <c r="X34" s="88">
        <f t="shared" ref="X34:X36" si="9">STDEV(T34:V34)</f>
        <v>0.41035861398863283</v>
      </c>
      <c r="Y34" s="77">
        <v>5.6874579032258001</v>
      </c>
      <c r="Z34" s="77">
        <v>6.2591917096774203</v>
      </c>
      <c r="AA34" s="77">
        <v>5.67847170967742</v>
      </c>
      <c r="AB34" s="77"/>
      <c r="AC34" s="88"/>
      <c r="AD34" s="88">
        <v>50.173652483871003</v>
      </c>
      <c r="AE34" s="88">
        <v>50.215118967742001</v>
      </c>
      <c r="AF34" s="88">
        <v>50.237115709677397</v>
      </c>
      <c r="AG34" s="88"/>
      <c r="AH34" s="77"/>
      <c r="AI34" s="77">
        <v>4.1904614838709699</v>
      </c>
      <c r="AJ34" s="77">
        <v>4.51899658064516</v>
      </c>
      <c r="AK34" s="77">
        <v>3.911251</v>
      </c>
      <c r="AL34" s="76"/>
      <c r="AM34" s="71"/>
      <c r="AN34" s="88">
        <v>31.6971204193548</v>
      </c>
      <c r="AO34" s="88">
        <v>30.299837741935502</v>
      </c>
      <c r="AP34" s="88">
        <v>31.607053193548399</v>
      </c>
      <c r="AQ34" s="72"/>
    </row>
    <row r="35" spans="4:43" x14ac:dyDescent="0.25">
      <c r="D35" s="73">
        <f t="shared" si="6"/>
        <v>300</v>
      </c>
      <c r="E35" s="7"/>
      <c r="F35" s="7"/>
      <c r="G35" s="3">
        <f>$R35-T35-Y35+$B$7*Y35+$C$7</f>
        <v>2.1209435344376719</v>
      </c>
      <c r="H35" s="3">
        <f t="shared" ref="H35:I35" si="10">$R35-U35-Z35+$B$7*Z35+$C$7</f>
        <v>2.6941363111581609</v>
      </c>
      <c r="I35" s="3">
        <f t="shared" si="10"/>
        <v>2.2259727780416956</v>
      </c>
      <c r="J35" s="7"/>
      <c r="K35" s="52">
        <v>1</v>
      </c>
      <c r="L35" s="10"/>
      <c r="M35" s="10">
        <f>($B$7*$K35*Y35+$C$7+$R35-T35)/(Y35*$K35)</f>
        <v>1.3627180244596757</v>
      </c>
      <c r="N35" s="10">
        <f t="shared" ref="N35:O35" si="11">($B$7*$K35*Z35+$C$7+$R35-U35)/(Z35*$K35)</f>
        <v>1.4166332093209759</v>
      </c>
      <c r="O35" s="10">
        <f t="shared" si="11"/>
        <v>1.3809031996160286</v>
      </c>
      <c r="P35" s="10"/>
      <c r="Q35" s="80">
        <v>300</v>
      </c>
      <c r="R35" s="71">
        <v>24.920960000000001</v>
      </c>
      <c r="S35" s="71"/>
      <c r="T35" s="71">
        <v>20.3004793870968</v>
      </c>
      <c r="U35" s="71">
        <v>19.452261548387099</v>
      </c>
      <c r="V35" s="71">
        <v>20.196973387096801</v>
      </c>
      <c r="W35" s="88"/>
      <c r="X35" s="88">
        <f t="shared" si="9"/>
        <v>0.46274231790053166</v>
      </c>
      <c r="Y35" s="77">
        <v>5.8473618387096797</v>
      </c>
      <c r="Z35" s="77">
        <v>6.4664463870967799</v>
      </c>
      <c r="AA35" s="77">
        <v>5.8439329999999998</v>
      </c>
      <c r="AB35" s="77"/>
      <c r="AC35" s="88"/>
      <c r="AD35" s="88">
        <v>49.976521225806501</v>
      </c>
      <c r="AE35" s="88">
        <v>50.033181193548401</v>
      </c>
      <c r="AF35" s="88">
        <v>50.060249548387098</v>
      </c>
      <c r="AG35" s="88"/>
      <c r="AH35" s="77"/>
      <c r="AI35" s="77">
        <v>4.2872647419354797</v>
      </c>
      <c r="AJ35" s="77">
        <v>4.4528793225806496</v>
      </c>
      <c r="AK35" s="77">
        <v>3.8643969999999999</v>
      </c>
      <c r="AL35" s="76"/>
      <c r="AM35" s="71"/>
      <c r="AN35" s="88">
        <v>31.550425129032298</v>
      </c>
      <c r="AO35" s="88">
        <v>29.690229548387101</v>
      </c>
      <c r="AP35" s="88">
        <v>31.482260967741901</v>
      </c>
      <c r="AQ35" s="72"/>
    </row>
    <row r="36" spans="4:43" x14ac:dyDescent="0.25">
      <c r="D36" s="73">
        <f t="shared" si="6"/>
        <v>325</v>
      </c>
      <c r="E36" s="7"/>
      <c r="F36" s="7"/>
      <c r="G36" s="3">
        <f>$R36-T36-Y36+$B$8*Y36+$C$8</f>
        <v>1.9824391632905165</v>
      </c>
      <c r="H36" s="3">
        <f t="shared" ref="H36:I36" si="12">$R36-U36-Z36+$B$8*Z36+$C$8</f>
        <v>2.6914524180491632</v>
      </c>
      <c r="I36" s="3">
        <f t="shared" si="12"/>
        <v>2.2660771369400363</v>
      </c>
      <c r="J36" s="7"/>
      <c r="K36" s="52">
        <v>1</v>
      </c>
      <c r="L36" s="10"/>
      <c r="M36" s="10">
        <f>($B$8*$K36*Y36+$C$8+$R36-T36)/(Y36*$K36)</f>
        <v>1.3359732040115895</v>
      </c>
      <c r="N36" s="10">
        <f t="shared" ref="N36:O36" si="13">($B$8*$K36*Z36+$C$8+$R36-U36)/(Z36*$K36)</f>
        <v>1.4124286790342382</v>
      </c>
      <c r="O36" s="10">
        <f t="shared" si="13"/>
        <v>1.3850224473783175</v>
      </c>
      <c r="P36" s="10"/>
      <c r="Q36" s="80">
        <v>325</v>
      </c>
      <c r="R36" s="71">
        <v>27.850171</v>
      </c>
      <c r="S36" s="71"/>
      <c r="T36" s="71">
        <v>23.411126258064499</v>
      </c>
      <c r="U36" s="71">
        <v>22.431393161290298</v>
      </c>
      <c r="V36" s="71">
        <v>23.133989483871002</v>
      </c>
      <c r="W36" s="88"/>
      <c r="X36" s="88">
        <f t="shared" si="9"/>
        <v>0.50502860068004563</v>
      </c>
      <c r="Y36" s="77">
        <v>5.9005871290322602</v>
      </c>
      <c r="Z36" s="77">
        <v>6.5258614516128999</v>
      </c>
      <c r="AA36" s="77">
        <v>5.8855714838709696</v>
      </c>
      <c r="AB36" s="77"/>
      <c r="AC36" s="88"/>
      <c r="AD36" s="88">
        <v>49.726380354838703</v>
      </c>
      <c r="AE36" s="88">
        <v>49.792946451612899</v>
      </c>
      <c r="AF36" s="88">
        <v>49.824431032258097</v>
      </c>
      <c r="AG36" s="88"/>
      <c r="AH36" s="77"/>
      <c r="AI36" s="77">
        <v>4.3546762580645204</v>
      </c>
      <c r="AJ36" s="77">
        <v>4.8017808064516103</v>
      </c>
      <c r="AK36" s="77">
        <v>3.8857570322580601</v>
      </c>
      <c r="AL36" s="76"/>
      <c r="AM36" s="71"/>
      <c r="AN36" s="88">
        <v>31.751134</v>
      </c>
      <c r="AO36" s="88">
        <v>29.890893870967702</v>
      </c>
      <c r="AP36" s="88">
        <v>31.460822387096801</v>
      </c>
      <c r="AQ36" s="72"/>
    </row>
    <row r="37" spans="4:43" x14ac:dyDescent="0.25">
      <c r="D37" s="73"/>
      <c r="E37" s="7"/>
      <c r="F37" s="7"/>
      <c r="G37" s="7"/>
      <c r="H37" s="7"/>
      <c r="I37" s="7"/>
      <c r="J37" s="7"/>
      <c r="K37" s="14"/>
      <c r="L37" s="10"/>
      <c r="M37" s="10"/>
      <c r="N37" s="10"/>
      <c r="O37" s="10"/>
      <c r="P37" s="10"/>
      <c r="Q37" s="21"/>
      <c r="R37" s="23"/>
      <c r="S37" s="23"/>
      <c r="T37" s="23"/>
      <c r="U37" s="23"/>
      <c r="V37" s="23"/>
      <c r="W37" s="3"/>
      <c r="X37" s="3"/>
      <c r="Y37" s="23"/>
      <c r="Z37" s="23"/>
      <c r="AA37" s="23"/>
      <c r="AB37" s="3"/>
      <c r="AC37" s="3"/>
      <c r="AD37" s="23"/>
      <c r="AE37" s="23"/>
      <c r="AF37" s="23"/>
      <c r="AG37" s="3"/>
      <c r="AH37" s="3"/>
      <c r="AI37" s="23"/>
      <c r="AJ37" s="23"/>
      <c r="AK37" s="23"/>
      <c r="AL37" s="23"/>
      <c r="AM37" s="23"/>
      <c r="AN37" s="23"/>
      <c r="AO37" s="23"/>
      <c r="AP37" s="23"/>
      <c r="AQ37" s="41"/>
    </row>
    <row r="38" spans="4:43" x14ac:dyDescent="0.25">
      <c r="D38" s="73"/>
      <c r="E38" s="7"/>
      <c r="F38" s="7"/>
      <c r="G38" s="7"/>
      <c r="H38" s="7"/>
      <c r="I38" s="7"/>
      <c r="J38" s="7"/>
      <c r="K38" s="14"/>
      <c r="L38" s="10"/>
      <c r="M38" s="10"/>
      <c r="N38" s="10"/>
      <c r="O38" s="10"/>
      <c r="P38" s="10"/>
    </row>
    <row r="39" spans="4:43" x14ac:dyDescent="0.25">
      <c r="G39" s="22"/>
      <c r="H39" s="22"/>
      <c r="I39" s="22"/>
      <c r="R39" s="3"/>
      <c r="T39" s="3"/>
      <c r="U39" s="3"/>
      <c r="V39" s="3"/>
      <c r="AI39" s="3"/>
      <c r="AJ39" s="3"/>
      <c r="AK39" s="3"/>
      <c r="AN39" s="3"/>
      <c r="AO39" s="3"/>
      <c r="AP39" s="3"/>
    </row>
    <row r="40" spans="4:43" x14ac:dyDescent="0.25">
      <c r="G40" s="22"/>
      <c r="H40" s="22"/>
      <c r="I40" s="22"/>
      <c r="R40" s="3"/>
      <c r="T40" s="3"/>
      <c r="U40" s="3"/>
      <c r="V40" s="3"/>
      <c r="AI40" s="3"/>
      <c r="AJ40" s="3"/>
      <c r="AK40" s="3"/>
      <c r="AN40" s="3"/>
      <c r="AO40" s="3"/>
      <c r="AP40" s="3"/>
    </row>
    <row r="41" spans="4:43" x14ac:dyDescent="0.25">
      <c r="R41" s="3"/>
    </row>
    <row r="42" spans="4:43" x14ac:dyDescent="0.25">
      <c r="R42" s="3"/>
    </row>
  </sheetData>
  <mergeCells count="7">
    <mergeCell ref="AC1:AG1"/>
    <mergeCell ref="AH1:AL1"/>
    <mergeCell ref="AM1:AQ1"/>
    <mergeCell ref="K3:K5"/>
    <mergeCell ref="F1:J1"/>
    <mergeCell ref="L1:P1"/>
    <mergeCell ref="R1:W1"/>
  </mergeCells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tabSelected="1" topLeftCell="A13" zoomScaleNormal="100" workbookViewId="0">
      <selection activeCell="B9" sqref="B9:I12"/>
    </sheetView>
  </sheetViews>
  <sheetFormatPr defaultColWidth="9" defaultRowHeight="15" x14ac:dyDescent="0.25"/>
  <cols>
    <col min="1" max="1" width="15.7109375" style="28" bestFit="1" customWidth="1"/>
    <col min="2" max="2" width="10.5703125" style="27" bestFit="1" customWidth="1"/>
    <col min="3" max="3" width="9.42578125" style="27" customWidth="1"/>
    <col min="4" max="4" width="10.42578125" style="27" bestFit="1" customWidth="1"/>
    <col min="5" max="6" width="10.42578125" style="27" customWidth="1"/>
    <col min="7" max="7" width="12.140625" style="27" bestFit="1" customWidth="1"/>
    <col min="8" max="9" width="10.7109375" style="27" bestFit="1" customWidth="1"/>
    <col min="10" max="16384" width="9" style="27"/>
  </cols>
  <sheetData>
    <row r="1" spans="1:9" x14ac:dyDescent="0.25">
      <c r="A1" s="118" t="str">
        <f ca="1">MID(CELL("filename",A1),FIND("]",CELL("filename",A1))+1,255)</f>
        <v>AllDC</v>
      </c>
      <c r="B1" s="141" t="s">
        <v>88</v>
      </c>
      <c r="C1" s="142">
        <v>42646</v>
      </c>
      <c r="D1" s="142">
        <v>42655</v>
      </c>
      <c r="E1" s="143">
        <v>42684</v>
      </c>
      <c r="F1" s="193">
        <v>42713</v>
      </c>
      <c r="G1" s="142">
        <v>42611</v>
      </c>
      <c r="H1" s="142">
        <v>42658</v>
      </c>
      <c r="I1" s="143">
        <v>42669</v>
      </c>
    </row>
    <row r="2" spans="1:9" x14ac:dyDescent="0.25">
      <c r="A2" s="118"/>
      <c r="B2" s="144" t="s">
        <v>89</v>
      </c>
      <c r="C2" s="136" t="s">
        <v>122</v>
      </c>
      <c r="D2" s="136" t="s">
        <v>122</v>
      </c>
      <c r="E2" s="145" t="s">
        <v>123</v>
      </c>
      <c r="F2" s="194" t="s">
        <v>151</v>
      </c>
      <c r="G2" s="136" t="s">
        <v>85</v>
      </c>
      <c r="H2" s="136" t="s">
        <v>124</v>
      </c>
      <c r="I2" s="145" t="s">
        <v>122</v>
      </c>
    </row>
    <row r="3" spans="1:9" ht="14.25" customHeight="1" x14ac:dyDescent="0.25">
      <c r="A3" s="90"/>
      <c r="B3" s="146" t="s">
        <v>90</v>
      </c>
      <c r="C3" s="137" t="s">
        <v>87</v>
      </c>
      <c r="D3" s="137" t="s">
        <v>87</v>
      </c>
      <c r="E3" s="147" t="s">
        <v>87</v>
      </c>
      <c r="F3" s="195" t="s">
        <v>87</v>
      </c>
      <c r="G3" s="137" t="s">
        <v>86</v>
      </c>
      <c r="H3" s="137" t="s">
        <v>86</v>
      </c>
      <c r="I3" s="147" t="s">
        <v>86</v>
      </c>
    </row>
    <row r="4" spans="1:9" ht="14.25" customHeight="1" x14ac:dyDescent="0.25">
      <c r="A4" s="90"/>
      <c r="B4" s="146" t="s">
        <v>1</v>
      </c>
      <c r="C4" s="190" t="s">
        <v>125</v>
      </c>
      <c r="D4" s="191"/>
      <c r="E4" s="191"/>
      <c r="F4" s="191"/>
      <c r="G4" s="191"/>
      <c r="H4" s="191"/>
      <c r="I4" s="192"/>
    </row>
    <row r="5" spans="1:9" x14ac:dyDescent="0.25">
      <c r="A5" s="43"/>
      <c r="B5" s="148">
        <v>150</v>
      </c>
      <c r="C5" s="139">
        <f>'DC-he-ipb1-29b-10032016'!O4</f>
        <v>0.48992593852420191</v>
      </c>
      <c r="D5" s="139">
        <f>'DC-he-ipb1-29b-10122016'!O4</f>
        <v>0.49163676459044392</v>
      </c>
      <c r="E5" s="149">
        <f>'DC-he-ipb1-30b'!O4</f>
        <v>0.49603321159819147</v>
      </c>
      <c r="F5" s="196">
        <f>'ipb3-12092016'!O4</f>
        <v>0.54159884375284739</v>
      </c>
      <c r="G5" s="138">
        <f>'DC-h2-ipb2-28b'!O4</f>
        <v>0.41335216422290755</v>
      </c>
      <c r="H5" s="139">
        <f>'DC-h2-sri-ipb2-27b'!O4</f>
        <v>0.41084043000987536</v>
      </c>
      <c r="I5" s="149">
        <f>'DC-h2-ipb1-29b'!O4</f>
        <v>0.4478814859572835</v>
      </c>
    </row>
    <row r="6" spans="1:9" x14ac:dyDescent="0.25">
      <c r="A6" s="43"/>
      <c r="B6" s="148">
        <v>200</v>
      </c>
      <c r="C6" s="139">
        <f>'DC-he-ipb1-29b-10032016'!O5</f>
        <v>0.52865169696076963</v>
      </c>
      <c r="D6" s="139">
        <f>'DC-he-ipb1-29b-10122016'!O5</f>
        <v>0.51685078285366837</v>
      </c>
      <c r="E6" s="149">
        <f>'DC-he-ipb1-30b'!O5</f>
        <v>0.52500813892426879</v>
      </c>
      <c r="F6" s="196">
        <f>'ipb3-12092016'!O5</f>
        <v>0.57843864475324569</v>
      </c>
      <c r="G6" s="140">
        <f>'DC-h2-ipb2-28b'!O5</f>
        <v>0.45225118158322425</v>
      </c>
      <c r="H6" s="139">
        <f>'DC-h2-sri-ipb2-27b'!O5</f>
        <v>0.4380935452446082</v>
      </c>
      <c r="I6" s="149">
        <f>'DC-h2-ipb1-29b'!O5</f>
        <v>0.46795946724441367</v>
      </c>
    </row>
    <row r="7" spans="1:9" x14ac:dyDescent="0.25">
      <c r="A7" s="43"/>
      <c r="B7" s="148">
        <v>250</v>
      </c>
      <c r="C7" s="139">
        <f>'DC-he-ipb1-29b-10032016'!O6</f>
        <v>0.55191786485706484</v>
      </c>
      <c r="D7" s="139">
        <f>'DC-he-ipb1-29b-10122016'!O6</f>
        <v>0.54381480016859618</v>
      </c>
      <c r="E7" s="149">
        <f>'DC-he-ipb1-30b'!O6</f>
        <v>0.54521967225945245</v>
      </c>
      <c r="F7" s="196">
        <f>'ipb3-12092016'!O6</f>
        <v>0.60588725841490987</v>
      </c>
      <c r="G7" s="138">
        <f>'DC-h2-ipb2-28b'!O6</f>
        <v>0.48108908038893228</v>
      </c>
      <c r="H7" s="139">
        <f>'DC-h2-sri-ipb2-27b'!O6</f>
        <v>0.47839048915851073</v>
      </c>
      <c r="I7" s="149">
        <f>'DC-h2-ipb1-29b'!O6</f>
        <v>0.49616245375907758</v>
      </c>
    </row>
    <row r="8" spans="1:9" x14ac:dyDescent="0.25">
      <c r="A8" s="43"/>
      <c r="B8" s="148">
        <v>275</v>
      </c>
      <c r="C8" s="138">
        <f>'DC-he-ipb1-29b-10032016'!O7</f>
        <v>0.56484073480777552</v>
      </c>
      <c r="D8" s="138">
        <f>'DC-he-ipb1-29b-10122016'!O7</f>
        <v>0.55066944396118356</v>
      </c>
      <c r="E8" s="150">
        <f>'DC-he-ipb1-30b'!O7</f>
        <v>0.56417706451324845</v>
      </c>
      <c r="F8" s="197">
        <f>'ipb3-12092016'!O7</f>
        <v>0.62124323164804962</v>
      </c>
      <c r="G8" s="138">
        <f>'DC-h2-ipb2-28b'!O7</f>
        <v>0.49486046276504769</v>
      </c>
      <c r="H8" s="138">
        <f>'DC-h2-sri-ipb2-27b'!O7</f>
        <v>0.49517471573506122</v>
      </c>
      <c r="I8" s="150">
        <f>'DC-h2-ipb1-29b'!O7</f>
        <v>0.51404700802891057</v>
      </c>
    </row>
    <row r="9" spans="1:9" x14ac:dyDescent="0.25">
      <c r="A9" s="43"/>
      <c r="B9" s="148">
        <v>300</v>
      </c>
      <c r="C9" s="139">
        <f>'DC-he-ipb1-29b-10032016'!O8</f>
        <v>0.57415512558633053</v>
      </c>
      <c r="D9" s="139">
        <f>'DC-he-ipb1-29b-10122016'!O8</f>
        <v>0.55575524747672289</v>
      </c>
      <c r="E9" s="149">
        <f>'DC-he-ipb1-30b'!O8</f>
        <v>0.57474390866147029</v>
      </c>
      <c r="F9" s="196">
        <f>'ipb3-12092016'!O8</f>
        <v>0.63184206490466932</v>
      </c>
      <c r="G9" s="140">
        <f>'DC-h2-ipb2-28b'!O8</f>
        <v>0.50072551601274784</v>
      </c>
      <c r="H9" s="139">
        <f>'DC-h2-sri-ipb2-27b'!O8</f>
        <v>0.50850058684966015</v>
      </c>
      <c r="I9" s="149">
        <f>'DC-h2-ipb1-29b'!O8</f>
        <v>0.5284040682623824</v>
      </c>
    </row>
    <row r="10" spans="1:9" x14ac:dyDescent="0.25">
      <c r="A10" s="43"/>
      <c r="B10" s="148">
        <v>325</v>
      </c>
      <c r="C10" s="138">
        <f>'DC-he-ipb1-29b-10032016'!O9</f>
        <v>0.58187140223237799</v>
      </c>
      <c r="D10" s="138">
        <f>'DC-he-ipb1-29b-10122016'!O9</f>
        <v>0.56703828665435096</v>
      </c>
      <c r="E10" s="150">
        <f>'DC-he-ipb1-30b'!O9</f>
        <v>0.59253737774070503</v>
      </c>
      <c r="F10" s="196"/>
      <c r="G10" s="138">
        <f>'DC-h2-ipb2-28b'!O9</f>
        <v>0.51860781151880964</v>
      </c>
      <c r="H10" s="138">
        <f>'DC-h2-sri-ipb2-27b'!O9</f>
        <v>0.52307930407047754</v>
      </c>
      <c r="I10" s="150">
        <f>'DC-h2-ipb1-29b'!O9</f>
        <v>0.54825198238411754</v>
      </c>
    </row>
    <row r="11" spans="1:9" x14ac:dyDescent="0.25">
      <c r="A11" s="43"/>
      <c r="B11" s="148">
        <v>350</v>
      </c>
      <c r="C11" s="138">
        <f>'DC-he-ipb1-29b-10032016'!O10</f>
        <v>0.58771038937867526</v>
      </c>
      <c r="D11" s="139">
        <f>'DC-he-ipb1-29b-10122016'!O10</f>
        <v>0.57418539473575259</v>
      </c>
      <c r="E11" s="149">
        <f>'DC-he-ipb1-30b'!O10</f>
        <v>0.61103188648136431</v>
      </c>
      <c r="F11" s="196"/>
      <c r="G11" s="138">
        <f>'DC-h2-ipb2-28b'!O10</f>
        <v>0.52858377789645616</v>
      </c>
      <c r="H11" s="139">
        <f>'DC-h2-sri-ipb2-27b'!O10</f>
        <v>0.53696652633833164</v>
      </c>
      <c r="I11" s="149">
        <f>'DC-h2-ipb1-29b'!O10</f>
        <v>0.57015222925348907</v>
      </c>
    </row>
    <row r="12" spans="1:9" x14ac:dyDescent="0.25">
      <c r="A12" s="43"/>
      <c r="B12" s="148">
        <v>375</v>
      </c>
      <c r="C12" s="138">
        <f>'DC-he-ipb1-29b-10032016'!O11</f>
        <v>0.59176514548096992</v>
      </c>
      <c r="D12" s="138">
        <f>'DC-he-ipb1-29b-10122016'!O11</f>
        <v>0.5792096730333085</v>
      </c>
      <c r="E12" s="150">
        <f>'DC-he-ipb1-30b'!O11</f>
        <v>0.6124098568445987</v>
      </c>
      <c r="F12" s="196"/>
      <c r="G12" s="138">
        <f>'DC-h2-ipb2-28b'!O11</f>
        <v>0.5372946056079464</v>
      </c>
      <c r="H12" s="138">
        <f>'DC-h2-sri-ipb2-27b'!O11</f>
        <v>0.54643412044061068</v>
      </c>
      <c r="I12" s="150">
        <f>'DC-h2-ipb1-29b'!O11</f>
        <v>0.57627492745650033</v>
      </c>
    </row>
    <row r="13" spans="1:9" x14ac:dyDescent="0.25">
      <c r="A13" s="43"/>
      <c r="B13" s="148">
        <v>400</v>
      </c>
      <c r="C13" s="139">
        <f>'DC-he-ipb1-29b-10032016'!O12</f>
        <v>0.59423695498947127</v>
      </c>
      <c r="D13" s="139">
        <f>'DC-he-ipb1-29b-10122016'!O12</f>
        <v>0.59043911356022083</v>
      </c>
      <c r="E13" s="149">
        <f>'DC-he-ipb1-30b'!O12</f>
        <v>0.6136565355469259</v>
      </c>
      <c r="F13" s="196"/>
      <c r="G13" s="140">
        <f>'DC-h2-ipb2-28b'!O12</f>
        <v>0.5497211533591817</v>
      </c>
      <c r="H13" s="139">
        <f>'DC-h2-sri-ipb2-27b'!O12</f>
        <v>0.55861664491690266</v>
      </c>
      <c r="I13" s="149">
        <f>'DC-h2-ipb1-29b'!O12</f>
        <v>0.57986436537355046</v>
      </c>
    </row>
    <row r="14" spans="1:9" x14ac:dyDescent="0.25">
      <c r="A14" s="43"/>
      <c r="B14" s="148">
        <v>450</v>
      </c>
      <c r="C14" s="138">
        <f>'DC-he-ipb1-29b-10032016'!O13</f>
        <v>0.59322402752383829</v>
      </c>
      <c r="D14" s="139">
        <f>'DC-he-ipb1-29b-10122016'!O13</f>
        <v>0.58536410306123443</v>
      </c>
      <c r="E14" s="198">
        <f>'DC-he-ipb1-30b'!O13</f>
        <v>0.61320536208964327</v>
      </c>
      <c r="F14" s="196"/>
      <c r="G14" s="138">
        <f>'DC-h2-ipb2-28b'!O13</f>
        <v>0.55583625674547943</v>
      </c>
      <c r="H14" s="139">
        <f>'DC-h2-sri-ipb2-27b'!O13</f>
        <v>0.57693551723153269</v>
      </c>
      <c r="I14" s="149">
        <f>'DC-h2-ipb1-29b'!O13</f>
        <v>0.59366027001237243</v>
      </c>
    </row>
    <row r="15" spans="1:9" x14ac:dyDescent="0.25">
      <c r="A15" s="43"/>
      <c r="B15" s="148">
        <v>500</v>
      </c>
      <c r="C15" s="138">
        <f>'DC-he-ipb1-29b-10032016'!O14</f>
        <v>0.58527546033240418</v>
      </c>
      <c r="D15" s="139">
        <f>'DC-he-ipb1-29b-10122016'!O14</f>
        <v>0.59434790825157446</v>
      </c>
      <c r="E15" s="198">
        <f>'DC-he-ipb1-30b'!O14</f>
        <v>0.5831561999991336</v>
      </c>
      <c r="F15" s="196"/>
      <c r="G15" s="138">
        <f>'DC-h2-ipb2-28b'!O14</f>
        <v>0.56187166417305323</v>
      </c>
      <c r="H15" s="139">
        <f>'DC-h2-sri-ipb2-27b'!O14</f>
        <v>0.58076372300651835</v>
      </c>
      <c r="I15" s="149">
        <f>'DC-h2-ipb1-29b'!O14</f>
        <v>0.57211056752480094</v>
      </c>
    </row>
    <row r="16" spans="1:9" x14ac:dyDescent="0.25">
      <c r="A16" s="43"/>
      <c r="B16" s="148">
        <v>550</v>
      </c>
      <c r="C16" s="138">
        <f>'DC-he-ipb1-29b-10032016'!O15</f>
        <v>0.57018996896495955</v>
      </c>
      <c r="D16" s="138">
        <f>'DC-he-ipb1-29b-10122016'!O15</f>
        <v>0.58875455688525746</v>
      </c>
      <c r="E16" s="150">
        <f>'DC-he-ipb1-30b'!O15</f>
        <v>0.52345412442339667</v>
      </c>
      <c r="F16" s="196"/>
      <c r="G16" s="138">
        <f>'DC-h2-ipb2-28b'!O15</f>
        <v>0.56284651693600185</v>
      </c>
      <c r="H16" s="138">
        <f>'DC-h2-sri-ipb2-27b'!O15</f>
        <v>0.59234652350947226</v>
      </c>
      <c r="I16" s="150">
        <f>'DC-h2-ipb1-29b'!O15</f>
        <v>0.5228455234141075</v>
      </c>
    </row>
    <row r="17" spans="1:9" ht="15.75" thickBot="1" x14ac:dyDescent="0.3">
      <c r="A17" s="43"/>
      <c r="B17" s="151">
        <v>600</v>
      </c>
      <c r="C17" s="153">
        <f>'DC-he-ipb1-29b-10032016'!O16</f>
        <v>0.54796755342150438</v>
      </c>
      <c r="D17" s="153">
        <f>'DC-he-ipb1-29b-10122016'!O16</f>
        <v>0.58203738985027065</v>
      </c>
      <c r="E17" s="154">
        <f>'DC-he-ipb1-30b'!O16</f>
        <v>0.42655902234688048</v>
      </c>
      <c r="F17" s="196"/>
      <c r="G17" s="152">
        <f>'DC-h2-ipb2-28b'!O16</f>
        <v>0.55793113930373617</v>
      </c>
      <c r="H17" s="153">
        <f>'DC-h2-sri-ipb2-27b'!O16</f>
        <v>0.59522736603583137</v>
      </c>
      <c r="I17" s="154">
        <f>'DC-h2-ipb1-29b'!O16</f>
        <v>0.43491256711935955</v>
      </c>
    </row>
    <row r="18" spans="1:9" x14ac:dyDescent="0.25">
      <c r="A18" s="43"/>
    </row>
    <row r="19" spans="1:9" x14ac:dyDescent="0.25">
      <c r="A19" s="43"/>
    </row>
    <row r="20" spans="1:9" x14ac:dyDescent="0.25">
      <c r="A20" s="43">
        <v>299.99020400000001</v>
      </c>
    </row>
    <row r="21" spans="1:9" x14ac:dyDescent="0.25">
      <c r="A21" s="43">
        <v>299.99661300000002</v>
      </c>
    </row>
    <row r="22" spans="1:9" x14ac:dyDescent="0.25">
      <c r="A22" s="43">
        <v>300.00048800000002</v>
      </c>
    </row>
    <row r="23" spans="1:9" x14ac:dyDescent="0.25">
      <c r="A23" s="43">
        <v>300.00799599999999</v>
      </c>
    </row>
    <row r="24" spans="1:9" x14ac:dyDescent="0.25">
      <c r="A24" s="43">
        <v>300.00244099999998</v>
      </c>
    </row>
    <row r="25" spans="1:9" x14ac:dyDescent="0.25">
      <c r="A25" s="43">
        <v>349.99331699999999</v>
      </c>
    </row>
    <row r="26" spans="1:9" x14ac:dyDescent="0.25">
      <c r="A26" s="43">
        <v>350.00030500000003</v>
      </c>
    </row>
    <row r="27" spans="1:9" x14ac:dyDescent="0.25">
      <c r="A27" s="43">
        <v>349.99060100000003</v>
      </c>
    </row>
    <row r="28" spans="1:9" x14ac:dyDescent="0.25">
      <c r="A28" s="43">
        <v>349.99945100000002</v>
      </c>
    </row>
    <row r="29" spans="1:9" x14ac:dyDescent="0.25">
      <c r="A29" s="43">
        <v>349.99423200000001</v>
      </c>
    </row>
    <row r="30" spans="1:9" x14ac:dyDescent="0.25">
      <c r="A30" s="43">
        <v>399.993561</v>
      </c>
    </row>
    <row r="31" spans="1:9" x14ac:dyDescent="0.25">
      <c r="A31" s="43">
        <v>400.01550300000002</v>
      </c>
    </row>
    <row r="32" spans="1:9" x14ac:dyDescent="0.25">
      <c r="A32" s="43">
        <v>400.00503500000002</v>
      </c>
    </row>
    <row r="33" spans="1:19" x14ac:dyDescent="0.25">
      <c r="A33" s="43">
        <v>399.99740600000001</v>
      </c>
    </row>
    <row r="34" spans="1:19" s="26" customFormat="1" x14ac:dyDescent="0.25">
      <c r="A34" s="43">
        <v>399.99977251612898</v>
      </c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</row>
    <row r="35" spans="1:19" s="26" customFormat="1" x14ac:dyDescent="0.25">
      <c r="A35" s="43">
        <v>450.00015464516099</v>
      </c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</row>
    <row r="36" spans="1:19" s="26" customFormat="1" x14ac:dyDescent="0.25">
      <c r="A36" s="43">
        <v>449.999904419355</v>
      </c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</row>
    <row r="37" spans="1:19" s="26" customFormat="1" x14ac:dyDescent="0.25">
      <c r="A37" s="43">
        <v>449.99994093548401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</row>
    <row r="38" spans="1:19" s="26" customFormat="1" x14ac:dyDescent="0.25">
      <c r="A38" s="43">
        <v>450.00073241935502</v>
      </c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</row>
    <row r="39" spans="1:19" s="26" customFormat="1" x14ac:dyDescent="0.25">
      <c r="A39" s="43">
        <v>449.99888367741897</v>
      </c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</row>
    <row r="40" spans="1:19" s="26" customFormat="1" x14ac:dyDescent="0.25">
      <c r="A40" s="43">
        <v>500.00030522580698</v>
      </c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</row>
    <row r="41" spans="1:19" s="26" customFormat="1" x14ac:dyDescent="0.25">
      <c r="A41" s="43">
        <v>500.00034167741899</v>
      </c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</row>
    <row r="42" spans="1:19" s="26" customFormat="1" x14ac:dyDescent="0.25">
      <c r="A42" s="43">
        <v>500.00071864516099</v>
      </c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</row>
    <row r="43" spans="1:19" s="26" customFormat="1" x14ac:dyDescent="0.25">
      <c r="A43" s="43">
        <v>499.99916032258102</v>
      </c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S43"/>
  <sheetViews>
    <sheetView topLeftCell="A16" zoomScaleNormal="100" workbookViewId="0">
      <selection activeCell="L27" sqref="L27"/>
    </sheetView>
  </sheetViews>
  <sheetFormatPr defaultColWidth="9" defaultRowHeight="15" x14ac:dyDescent="0.25"/>
  <cols>
    <col min="1" max="1" width="13.28515625" style="28" bestFit="1" customWidth="1"/>
    <col min="2" max="8" width="5.5703125" style="26" customWidth="1"/>
    <col min="9" max="9" width="7.28515625" style="27" bestFit="1" customWidth="1"/>
    <col min="10" max="10" width="6.42578125" style="27" bestFit="1" customWidth="1"/>
    <col min="11" max="11" width="7.28515625" style="27" bestFit="1" customWidth="1"/>
    <col min="12" max="12" width="6.42578125" style="27" bestFit="1" customWidth="1"/>
    <col min="13" max="13" width="8.5703125" style="27" bestFit="1" customWidth="1"/>
    <col min="14" max="14" width="10.140625" style="27" bestFit="1" customWidth="1"/>
    <col min="15" max="15" width="12.140625" style="27" bestFit="1" customWidth="1"/>
    <col min="16" max="17" width="5.5703125" style="27" customWidth="1"/>
    <col min="18" max="16384" width="9" style="27"/>
  </cols>
  <sheetData>
    <row r="1" spans="1:19" x14ac:dyDescent="0.25">
      <c r="A1" s="132" t="str">
        <f ca="1">MID(CELL("filename",A1),FIND("]",CELL("filename",A1))+1,255)</f>
        <v>DC-he-ipb1-30b</v>
      </c>
      <c r="B1" s="125" t="s">
        <v>69</v>
      </c>
      <c r="C1" s="25" t="s">
        <v>150</v>
      </c>
      <c r="O1" s="125"/>
    </row>
    <row r="2" spans="1:19" x14ac:dyDescent="0.25">
      <c r="A2" s="133"/>
      <c r="B2" s="125" t="s">
        <v>64</v>
      </c>
      <c r="C2" s="25" t="s">
        <v>80</v>
      </c>
      <c r="O2" s="125"/>
      <c r="P2" s="25"/>
    </row>
    <row r="3" spans="1:19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/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</row>
    <row r="4" spans="1:19" x14ac:dyDescent="0.25">
      <c r="A4" s="43">
        <v>149.98360634482799</v>
      </c>
      <c r="B4" s="4">
        <v>7.6681679999999997</v>
      </c>
      <c r="C4" s="4">
        <v>3.21732575862069</v>
      </c>
      <c r="D4" s="26">
        <f>$B$7-B4</f>
        <v>1.8318320000000003</v>
      </c>
      <c r="I4" s="26">
        <f>A5/100</f>
        <v>1.4999967062069002</v>
      </c>
      <c r="J4" s="26">
        <f>E5</f>
        <v>0.49603321159819147</v>
      </c>
      <c r="K4" s="26">
        <f>F5</f>
        <v>-7.0660625411652411E-2</v>
      </c>
      <c r="M4" s="30">
        <v>1.5</v>
      </c>
      <c r="N4" s="134">
        <f>J4</f>
        <v>0.49603321159819147</v>
      </c>
      <c r="O4" s="94">
        <f>N4</f>
        <v>0.49603321159819147</v>
      </c>
      <c r="P4" s="26">
        <f>K4</f>
        <v>-7.0660625411652411E-2</v>
      </c>
      <c r="Q4" s="30"/>
      <c r="R4" s="26">
        <f>'DC-he-ipb1-29b-10122016'!N4</f>
        <v>0.49163676459044392</v>
      </c>
      <c r="S4" s="26"/>
    </row>
    <row r="5" spans="1:19" x14ac:dyDescent="0.25">
      <c r="A5" s="43">
        <v>149.99967062069001</v>
      </c>
      <c r="B5" s="4">
        <v>6.3808939999999996</v>
      </c>
      <c r="C5" s="4">
        <v>6.4305505172413797</v>
      </c>
      <c r="D5" s="26">
        <f t="shared" ref="D5:D6" si="0">$B$7-B5</f>
        <v>3.1191060000000004</v>
      </c>
      <c r="E5" s="26">
        <f>INDEX(LINEST(D5:D6,C5:C6),1)</f>
        <v>0.49603321159819147</v>
      </c>
      <c r="F5" s="26">
        <f>INDEX(LINEST(D5:D6,C5:C6),2)</f>
        <v>-7.0660625411652411E-2</v>
      </c>
      <c r="G5" s="31"/>
      <c r="H5" s="31"/>
      <c r="I5" s="26">
        <f>A10/100</f>
        <v>1.9999993103448301</v>
      </c>
      <c r="J5" s="26">
        <f>E10</f>
        <v>0.52500813892426879</v>
      </c>
      <c r="K5" s="26">
        <f>F10</f>
        <v>8.3074239797442662E-2</v>
      </c>
      <c r="M5" s="30">
        <v>2</v>
      </c>
      <c r="N5" s="134">
        <f>J5</f>
        <v>0.52500813892426879</v>
      </c>
      <c r="O5" s="94">
        <f t="shared" ref="O5:O6" si="1">N5</f>
        <v>0.52500813892426879</v>
      </c>
      <c r="P5" s="26">
        <f>K5</f>
        <v>8.3074239797442662E-2</v>
      </c>
      <c r="Q5" s="30"/>
      <c r="R5" s="26">
        <f>'DC-he-ipb1-29b-10122016'!N5</f>
        <v>0.51685078285366837</v>
      </c>
      <c r="S5" s="26"/>
    </row>
    <row r="6" spans="1:19" x14ac:dyDescent="0.25">
      <c r="A6" s="43">
        <v>150.00169531034501</v>
      </c>
      <c r="B6" s="4">
        <v>4.3033210000000004</v>
      </c>
      <c r="C6" s="4">
        <v>10.6189253103448</v>
      </c>
      <c r="D6" s="26">
        <f t="shared" si="0"/>
        <v>5.1966789999999996</v>
      </c>
      <c r="G6" s="31"/>
      <c r="I6" s="26">
        <f>A15/100</f>
        <v>2.4999957375862101</v>
      </c>
      <c r="J6" s="26">
        <f>E15</f>
        <v>0.54521967225945245</v>
      </c>
      <c r="K6" s="26">
        <f>F15</f>
        <v>7.3128374254238349E-2</v>
      </c>
      <c r="M6" s="30">
        <v>2.5</v>
      </c>
      <c r="N6" s="134">
        <f>J6</f>
        <v>0.54521967225945245</v>
      </c>
      <c r="O6" s="94">
        <f t="shared" si="1"/>
        <v>0.54521967225945245</v>
      </c>
      <c r="P6" s="26">
        <f>K6</f>
        <v>7.3128374254238349E-2</v>
      </c>
      <c r="Q6" s="30"/>
      <c r="R6" s="26">
        <f>'DC-he-ipb1-29b-10122016'!N6</f>
        <v>0.54381480016859618</v>
      </c>
      <c r="S6" s="26"/>
    </row>
    <row r="7" spans="1:19" x14ac:dyDescent="0.25">
      <c r="A7" s="43">
        <v>149.998746172414</v>
      </c>
      <c r="B7" s="177">
        <v>9.5</v>
      </c>
      <c r="C7" s="4">
        <v>1.7358620689655199E-4</v>
      </c>
      <c r="G7" s="31"/>
      <c r="I7" s="26">
        <f>A20/100</f>
        <v>2.9999927072413799</v>
      </c>
      <c r="J7" s="26">
        <f>E20</f>
        <v>0.57474390866147029</v>
      </c>
      <c r="K7" s="26">
        <f>F20</f>
        <v>1.8901551751913548E-2</v>
      </c>
      <c r="M7" s="30">
        <v>2.75</v>
      </c>
      <c r="N7" s="134"/>
      <c r="O7" s="96">
        <f>M7^3*$I$15+$J$15*M7^2+$K$15*M7+$L$15</f>
        <v>0.56417706451324845</v>
      </c>
      <c r="P7" s="26">
        <f>P6</f>
        <v>7.3128374254238349E-2</v>
      </c>
      <c r="Q7" s="30"/>
      <c r="R7" s="26"/>
      <c r="S7" s="26"/>
    </row>
    <row r="8" spans="1:19" x14ac:dyDescent="0.25">
      <c r="A8" s="43">
        <v>199.99976486206899</v>
      </c>
      <c r="B8" s="4">
        <v>14.400376</v>
      </c>
      <c r="C8" s="4">
        <v>1.7451724137931E-4</v>
      </c>
      <c r="I8" s="26">
        <f>A25/100</f>
        <v>3.5000014103448303</v>
      </c>
      <c r="J8" s="26">
        <f>E25</f>
        <v>0.61103188648136431</v>
      </c>
      <c r="K8" s="26">
        <f>F25</f>
        <v>-7.4078962733472586E-3</v>
      </c>
      <c r="M8" s="30">
        <v>3</v>
      </c>
      <c r="N8" s="134">
        <f>J7</f>
        <v>0.57474390866147029</v>
      </c>
      <c r="O8" s="94">
        <f>N8</f>
        <v>0.57474390866147029</v>
      </c>
      <c r="P8" s="26">
        <f>K7</f>
        <v>1.8901551751913548E-2</v>
      </c>
      <c r="Q8" s="30"/>
      <c r="R8" s="26">
        <f>'DC-he-ipb1-29b-10122016'!N8</f>
        <v>0.55575524747672289</v>
      </c>
      <c r="S8" s="26"/>
    </row>
    <row r="9" spans="1:19" x14ac:dyDescent="0.25">
      <c r="A9" s="43">
        <v>200.00056137931</v>
      </c>
      <c r="B9" s="4">
        <v>12.781288999999999</v>
      </c>
      <c r="C9" s="4">
        <v>2.9261405862069001</v>
      </c>
      <c r="D9" s="26">
        <f>$B$8-B9</f>
        <v>1.6190870000000004</v>
      </c>
      <c r="I9" s="26">
        <f>A30/100</f>
        <v>4.0000112179310294</v>
      </c>
      <c r="J9" s="26">
        <f>E30</f>
        <v>0.6136565355469259</v>
      </c>
      <c r="K9" s="26">
        <f>F30</f>
        <v>5.7592630820866297E-2</v>
      </c>
      <c r="M9" s="30">
        <v>3.25</v>
      </c>
      <c r="N9" s="95"/>
      <c r="O9" s="96">
        <f>M9^3*$I$15+$J$15*M9^2+$K$15*M9+$L$15</f>
        <v>0.59253737774070503</v>
      </c>
      <c r="P9" s="26">
        <f>P8</f>
        <v>1.8901551751913548E-2</v>
      </c>
      <c r="Q9" s="30"/>
      <c r="R9" s="26"/>
      <c r="S9" s="26"/>
    </row>
    <row r="10" spans="1:19" x14ac:dyDescent="0.25">
      <c r="A10" s="43">
        <v>199.99993103448301</v>
      </c>
      <c r="B10" s="4">
        <v>11.238799</v>
      </c>
      <c r="C10" s="4">
        <v>5.8629365862069003</v>
      </c>
      <c r="D10" s="26">
        <f>$B$8-B10</f>
        <v>3.1615769999999994</v>
      </c>
      <c r="E10" s="26">
        <f>INDEX(LINEST(D9:D11,C9:C11),1)</f>
        <v>0.52500813892426879</v>
      </c>
      <c r="F10" s="26">
        <f>INDEX(LINEST(D9:D11,C9:C11),2)</f>
        <v>8.3074239797442662E-2</v>
      </c>
      <c r="G10" s="31"/>
      <c r="H10" s="31"/>
      <c r="I10" s="26">
        <f>A35/100</f>
        <v>4.5000033144827594</v>
      </c>
      <c r="J10" s="26">
        <f>E35</f>
        <v>0.61320536208964327</v>
      </c>
      <c r="K10" s="26">
        <f>F35</f>
        <v>-1.8682406457553924E-2</v>
      </c>
      <c r="M10" s="30">
        <v>3.5</v>
      </c>
      <c r="N10" s="108">
        <f>E25</f>
        <v>0.61103188648136431</v>
      </c>
      <c r="O10" s="109">
        <f>N10</f>
        <v>0.61103188648136431</v>
      </c>
      <c r="P10" s="26">
        <f>L9</f>
        <v>0</v>
      </c>
      <c r="Q10" s="30"/>
      <c r="R10" s="26">
        <f>'DC-he-ipb1-29b-10122016'!N10</f>
        <v>0.57418539473575259</v>
      </c>
      <c r="S10" s="26"/>
    </row>
    <row r="11" spans="1:19" x14ac:dyDescent="0.25">
      <c r="A11" s="43">
        <v>200.00045831034501</v>
      </c>
      <c r="B11" s="4">
        <v>9.2103699999999993</v>
      </c>
      <c r="C11" s="4">
        <v>9.7276782068965506</v>
      </c>
      <c r="D11" s="26">
        <f>$B$8-B11</f>
        <v>5.1900060000000003</v>
      </c>
      <c r="G11" s="31"/>
      <c r="I11" s="26">
        <f>A40/100</f>
        <v>4.9999866244827595</v>
      </c>
      <c r="J11" s="26">
        <f>E40</f>
        <v>0.5831561999991336</v>
      </c>
      <c r="K11" s="26">
        <f>F40</f>
        <v>6.4574768490601731E-2</v>
      </c>
      <c r="M11" s="30">
        <v>3.75</v>
      </c>
      <c r="N11" s="95"/>
      <c r="O11" s="96">
        <f>M11^3*$I$15+$J$15*M11^2+$K$15*M11+$L$15</f>
        <v>0.6124098568445987</v>
      </c>
      <c r="P11" s="26">
        <f>L10</f>
        <v>0</v>
      </c>
      <c r="Q11" s="30"/>
      <c r="R11" s="26"/>
      <c r="S11" s="26"/>
    </row>
    <row r="12" spans="1:19" x14ac:dyDescent="0.25">
      <c r="A12" s="43">
        <v>199.99936603448299</v>
      </c>
      <c r="B12" s="4">
        <v>14.281412</v>
      </c>
      <c r="C12" s="4">
        <v>1.9472413793103399E-4</v>
      </c>
      <c r="G12" s="31"/>
      <c r="I12" s="26"/>
      <c r="J12" s="26"/>
      <c r="K12" s="26"/>
      <c r="M12" s="30">
        <v>4</v>
      </c>
      <c r="N12" s="30">
        <f>E30</f>
        <v>0.6136565355469259</v>
      </c>
      <c r="O12" s="94">
        <f>N12</f>
        <v>0.6136565355469259</v>
      </c>
      <c r="P12" s="26">
        <f>K8</f>
        <v>-7.4078962733472586E-3</v>
      </c>
      <c r="Q12" s="30"/>
      <c r="R12" s="26">
        <f>'DC-he-ipb1-29b-10122016'!N12</f>
        <v>0.59043911356022083</v>
      </c>
      <c r="S12" s="26"/>
    </row>
    <row r="13" spans="1:19" x14ac:dyDescent="0.25">
      <c r="A13" s="43">
        <v>249.99924906896601</v>
      </c>
      <c r="B13" s="4">
        <v>19.598196999999999</v>
      </c>
      <c r="C13" s="4">
        <v>1.8951724137931001E-4</v>
      </c>
      <c r="M13" s="30">
        <v>4.5</v>
      </c>
      <c r="N13" s="108">
        <f>J10</f>
        <v>0.61320536208964327</v>
      </c>
      <c r="O13" s="109">
        <f>E35</f>
        <v>0.61320536208964327</v>
      </c>
      <c r="P13" s="26">
        <f>L9</f>
        <v>0</v>
      </c>
      <c r="Q13" s="30"/>
      <c r="R13" s="26">
        <f>'DC-he-ipb1-29b-10122016'!N13</f>
        <v>0.58536410306123443</v>
      </c>
      <c r="S13" s="26"/>
    </row>
    <row r="14" spans="1:19" x14ac:dyDescent="0.25">
      <c r="A14" s="43">
        <v>249.99980686206899</v>
      </c>
      <c r="B14" s="4">
        <v>18.087679999999999</v>
      </c>
      <c r="C14" s="4">
        <v>2.65104227586207</v>
      </c>
      <c r="D14" s="26">
        <f>$B$13-B14</f>
        <v>1.5105170000000001</v>
      </c>
      <c r="M14" s="30">
        <v>5</v>
      </c>
      <c r="N14" s="108">
        <f>J11</f>
        <v>0.5831561999991336</v>
      </c>
      <c r="O14" s="109">
        <f>E40</f>
        <v>0.5831561999991336</v>
      </c>
      <c r="P14" s="26">
        <f>L10</f>
        <v>0</v>
      </c>
      <c r="Q14" s="30"/>
      <c r="R14" s="26">
        <f>'DC-he-ipb1-29b-10122016'!N14</f>
        <v>0.59434790825157446</v>
      </c>
      <c r="S14" s="26"/>
    </row>
    <row r="15" spans="1:19" x14ac:dyDescent="0.25">
      <c r="A15" s="43">
        <v>249.99957375862101</v>
      </c>
      <c r="B15" s="4">
        <v>16.607481</v>
      </c>
      <c r="C15" s="4">
        <v>5.3254152413793099</v>
      </c>
      <c r="D15" s="26">
        <f>$B$13-B15</f>
        <v>2.990715999999999</v>
      </c>
      <c r="E15" s="26">
        <f>INDEX(LINEST(D14:D16,C14:C16),1)</f>
        <v>0.54521967225945245</v>
      </c>
      <c r="F15" s="26">
        <f>INDEX(LINEST(D14:D16,C14:C16),2)</f>
        <v>7.3128374254238349E-2</v>
      </c>
      <c r="G15" s="31"/>
      <c r="H15" s="31"/>
      <c r="I15" s="107">
        <f>INDEX(LINEST(J4:J11,I4:I11^{1,2,3}),1)</f>
        <v>-8.465705333266323E-3</v>
      </c>
      <c r="J15" s="107">
        <f>INDEX(LINEST(J4:J11,I4:I11^{1,2,3}),2)</f>
        <v>6.5564958752221403E-2</v>
      </c>
      <c r="K15" s="107">
        <f>INDEX(LINEST(J4:J11,I4:I11^{1,2,3}),3)</f>
        <v>-0.10756597547689577</v>
      </c>
      <c r="L15" s="107">
        <f>INDEX(LINEST(J4:J11,I4:I11^{1,2,3}),4)</f>
        <v>0.54020871211381061</v>
      </c>
      <c r="M15" s="30">
        <v>5.5</v>
      </c>
      <c r="N15" s="95"/>
      <c r="O15" s="96">
        <f>M15^3*$I$15+$J$15*M15^2+$K$15*M15+$L$15</f>
        <v>0.52345412442339667</v>
      </c>
      <c r="P15" s="26">
        <f>L11</f>
        <v>0</v>
      </c>
      <c r="Q15" s="30"/>
      <c r="R15" s="26">
        <f>'DC-he-ipb1-29b-10122016'!N15</f>
        <v>0</v>
      </c>
      <c r="S15" s="26"/>
    </row>
    <row r="16" spans="1:19" x14ac:dyDescent="0.25">
      <c r="A16" s="43">
        <v>249.99921175862099</v>
      </c>
      <c r="B16" s="4">
        <v>14.698169</v>
      </c>
      <c r="C16" s="4">
        <v>8.8642332068965501</v>
      </c>
      <c r="D16" s="26">
        <f>$B$13-B16</f>
        <v>4.9000279999999989</v>
      </c>
      <c r="G16" s="31"/>
      <c r="M16" s="30">
        <v>6</v>
      </c>
      <c r="N16" s="95"/>
      <c r="O16" s="96">
        <f>M16^3*$I$15+$J$15*M16^2+$K$15*M16+$L$15</f>
        <v>0.42655902234688048</v>
      </c>
      <c r="P16" s="26">
        <f>L12</f>
        <v>0</v>
      </c>
      <c r="Q16" s="30"/>
      <c r="R16" s="26">
        <f>'DC-he-ipb1-29b-10122016'!N16</f>
        <v>0</v>
      </c>
      <c r="S16" s="26"/>
    </row>
    <row r="17" spans="1:8" x14ac:dyDescent="0.25">
      <c r="A17" s="43">
        <v>249.997916793103</v>
      </c>
      <c r="B17" s="4">
        <v>19.560697000000001</v>
      </c>
      <c r="C17" s="4">
        <v>1.69586206896552E-4</v>
      </c>
      <c r="G17" s="31"/>
    </row>
    <row r="18" spans="1:8" x14ac:dyDescent="0.25">
      <c r="A18" s="43">
        <v>300.002216206897</v>
      </c>
      <c r="B18" s="4">
        <v>25.570302999999999</v>
      </c>
      <c r="C18" s="4">
        <v>1.11344827586207E-4</v>
      </c>
    </row>
    <row r="19" spans="1:8" x14ac:dyDescent="0.25">
      <c r="A19" s="43">
        <v>299.999076</v>
      </c>
      <c r="B19" s="4">
        <v>23.79758</v>
      </c>
      <c r="C19" s="4">
        <v>3.0868235862068998</v>
      </c>
      <c r="D19" s="26">
        <f>$B$18-B19</f>
        <v>1.7727229999999992</v>
      </c>
    </row>
    <row r="20" spans="1:8" x14ac:dyDescent="0.25">
      <c r="A20" s="43">
        <v>299.999270724138</v>
      </c>
      <c r="B20" s="4">
        <v>22.191852000000001</v>
      </c>
      <c r="C20" s="4">
        <v>5.7821881724137896</v>
      </c>
      <c r="D20" s="26">
        <f t="shared" ref="D20:D21" si="2">$B$18-B20</f>
        <v>3.3784509999999983</v>
      </c>
      <c r="E20" s="26">
        <f>INDEX(LINEST(D19:D21,C19:C21),1)</f>
        <v>0.57474390866147029</v>
      </c>
      <c r="F20" s="26">
        <f>INDEX(LINEST(D19:D21,C19:C21),2)</f>
        <v>1.8901551751913548E-2</v>
      </c>
      <c r="G20" s="31"/>
      <c r="H20" s="31"/>
    </row>
    <row r="21" spans="1:8" x14ac:dyDescent="0.25">
      <c r="A21" s="43">
        <v>300.00143951724101</v>
      </c>
      <c r="B21" s="4">
        <v>20.272606</v>
      </c>
      <c r="C21" s="4">
        <v>9.2123740344827603</v>
      </c>
      <c r="D21" s="26">
        <f t="shared" si="2"/>
        <v>5.2976969999999994</v>
      </c>
      <c r="G21" s="31"/>
    </row>
    <row r="22" spans="1:8" x14ac:dyDescent="0.25">
      <c r="A22" s="43">
        <v>299.99950537930999</v>
      </c>
      <c r="B22" s="4">
        <v>25.627821999999998</v>
      </c>
      <c r="C22" s="4">
        <v>6.4241379310344795E-5</v>
      </c>
      <c r="G22" s="31"/>
    </row>
    <row r="23" spans="1:8" x14ac:dyDescent="0.25">
      <c r="A23" s="43">
        <v>349.99945903448298</v>
      </c>
      <c r="B23" s="4">
        <v>32.185910999999997</v>
      </c>
      <c r="C23" s="4">
        <v>5.8068965517241401E-5</v>
      </c>
    </row>
    <row r="24" spans="1:8" x14ac:dyDescent="0.25">
      <c r="A24" s="43">
        <v>349.999568551724</v>
      </c>
      <c r="B24" s="4">
        <v>30.53162</v>
      </c>
      <c r="C24" s="4">
        <v>2.7624051034482799</v>
      </c>
      <c r="D24" s="26">
        <f>$B$23-B24</f>
        <v>1.6542909999999971</v>
      </c>
    </row>
    <row r="25" spans="1:8" x14ac:dyDescent="0.25">
      <c r="A25" s="43">
        <v>350.00014103448302</v>
      </c>
      <c r="B25" s="4">
        <v>28.972787</v>
      </c>
      <c r="C25" s="4">
        <v>5.1942189655172397</v>
      </c>
      <c r="D25" s="26">
        <f t="shared" ref="D25:D26" si="3">$B$23-B25</f>
        <v>3.213123999999997</v>
      </c>
      <c r="E25" s="26">
        <f>INDEX(LINEST(D24:D26,C24:C26),1)</f>
        <v>0.61103188648136431</v>
      </c>
      <c r="F25" s="26">
        <f>INDEX(LINEST(D24:D26,C24:C26),2)</f>
        <v>-7.4078962733472586E-3</v>
      </c>
      <c r="G25" s="31"/>
      <c r="H25" s="31"/>
    </row>
    <row r="26" spans="1:8" x14ac:dyDescent="0.25">
      <c r="A26" s="43">
        <v>349.99999051724097</v>
      </c>
      <c r="B26" s="4">
        <v>27.13766</v>
      </c>
      <c r="C26" s="4">
        <v>8.3074857241379299</v>
      </c>
      <c r="D26" s="26">
        <f t="shared" si="3"/>
        <v>5.0482509999999969</v>
      </c>
      <c r="G26" s="31"/>
    </row>
    <row r="27" spans="1:8" x14ac:dyDescent="0.25">
      <c r="A27" s="43">
        <v>350.00008417241401</v>
      </c>
      <c r="B27" s="4">
        <v>32.106293999999998</v>
      </c>
      <c r="C27" s="4">
        <v>8.5620689655172404E-5</v>
      </c>
      <c r="G27" s="31"/>
    </row>
    <row r="28" spans="1:8" x14ac:dyDescent="0.25">
      <c r="A28" s="43">
        <v>400.00009782758599</v>
      </c>
      <c r="B28" s="4">
        <v>39.426904</v>
      </c>
      <c r="C28" s="4">
        <v>8.2068965517241395E-5</v>
      </c>
    </row>
    <row r="29" spans="1:8" x14ac:dyDescent="0.25">
      <c r="A29" s="43">
        <v>400.00014417241402</v>
      </c>
      <c r="B29" s="4">
        <v>37.379432000000001</v>
      </c>
      <c r="C29" s="4">
        <v>3.25953817241379</v>
      </c>
      <c r="D29" s="26">
        <f>$B$28-B29</f>
        <v>2.0474719999999991</v>
      </c>
    </row>
    <row r="30" spans="1:8" x14ac:dyDescent="0.25">
      <c r="A30" s="43">
        <v>400.00112179310298</v>
      </c>
      <c r="B30" s="4">
        <v>35.827213999999998</v>
      </c>
      <c r="C30" s="4">
        <v>5.7419749310344796</v>
      </c>
      <c r="D30" s="26">
        <f t="shared" ref="D30:D31" si="4">$B$28-B30</f>
        <v>3.5996900000000025</v>
      </c>
      <c r="E30" s="26">
        <f>INDEX(LINEST(D29:D31,C29:C31),1)</f>
        <v>0.6136565355469259</v>
      </c>
      <c r="F30" s="26">
        <f>INDEX(LINEST(D29:D31,C29:C31),2)</f>
        <v>5.7592630820866297E-2</v>
      </c>
      <c r="G30" s="31"/>
    </row>
    <row r="31" spans="1:8" x14ac:dyDescent="0.25">
      <c r="A31" s="43">
        <v>399.99888237930998</v>
      </c>
      <c r="B31" s="4">
        <v>33.915340999999998</v>
      </c>
      <c r="C31" s="4">
        <v>8.9009233103448295</v>
      </c>
      <c r="D31" s="26">
        <f t="shared" si="4"/>
        <v>5.5115630000000024</v>
      </c>
      <c r="G31" s="31"/>
    </row>
    <row r="32" spans="1:8" x14ac:dyDescent="0.25">
      <c r="A32" s="43">
        <v>399.998809827586</v>
      </c>
      <c r="B32">
        <v>39.378346999999998</v>
      </c>
      <c r="C32" s="4">
        <v>1.11E-4</v>
      </c>
      <c r="G32" s="31"/>
    </row>
    <row r="33" spans="1:7" x14ac:dyDescent="0.25">
      <c r="A33" s="43">
        <v>449.99995586206899</v>
      </c>
      <c r="B33">
        <v>47.441574000000003</v>
      </c>
      <c r="C33" s="4">
        <v>9.9068965517241402E-5</v>
      </c>
    </row>
    <row r="34" spans="1:7" x14ac:dyDescent="0.25">
      <c r="A34" s="43">
        <v>450.00004520689703</v>
      </c>
      <c r="B34">
        <v>45.559530000000002</v>
      </c>
      <c r="C34" s="4">
        <v>3.11049665517241</v>
      </c>
      <c r="D34" s="26">
        <f>$B$33-B34</f>
        <v>1.8820440000000005</v>
      </c>
    </row>
    <row r="35" spans="1:7" x14ac:dyDescent="0.25">
      <c r="A35" s="43">
        <v>450.00033144827597</v>
      </c>
      <c r="B35">
        <v>44.085228000000001</v>
      </c>
      <c r="C35" s="4">
        <v>5.4845801034482804</v>
      </c>
      <c r="D35" s="26">
        <f t="shared" ref="D35:D36" si="5">$B$33-B35</f>
        <v>3.3563460000000021</v>
      </c>
      <c r="E35" s="26">
        <f>INDEX(LINEST(D34:D36,C34:C36),1)</f>
        <v>0.61320536208964327</v>
      </c>
      <c r="F35" s="26">
        <f>INDEX(LINEST(D34:D36,C34:C36),2)</f>
        <v>-1.8682406457553924E-2</v>
      </c>
      <c r="G35" s="31"/>
    </row>
    <row r="36" spans="1:7" x14ac:dyDescent="0.25">
      <c r="A36" s="43">
        <v>449.99934344827602</v>
      </c>
      <c r="B36">
        <v>42.244171000000001</v>
      </c>
      <c r="C36" s="4">
        <v>8.5147544137930993</v>
      </c>
      <c r="D36" s="26">
        <f t="shared" si="5"/>
        <v>5.1974030000000013</v>
      </c>
      <c r="G36" s="31"/>
    </row>
    <row r="37" spans="1:7" x14ac:dyDescent="0.25">
      <c r="A37" s="43">
        <v>449.99883286206898</v>
      </c>
      <c r="B37">
        <v>47.490046999999997</v>
      </c>
      <c r="C37" s="4">
        <v>9.8206896551724098E-5</v>
      </c>
      <c r="G37" s="31"/>
    </row>
    <row r="38" spans="1:7" x14ac:dyDescent="0.25">
      <c r="A38" s="43">
        <v>499.99916765517202</v>
      </c>
      <c r="B38">
        <v>56.458967000000001</v>
      </c>
      <c r="C38" s="4">
        <v>7.3793103448275895E-5</v>
      </c>
    </row>
    <row r="39" spans="1:7" x14ac:dyDescent="0.25">
      <c r="A39" s="43">
        <v>500.00090079310399</v>
      </c>
      <c r="B39">
        <v>54.646118000000001</v>
      </c>
      <c r="C39" s="4">
        <v>2.99433906896552</v>
      </c>
      <c r="D39" s="26">
        <f>$B$38-B39</f>
        <v>1.8128489999999999</v>
      </c>
    </row>
    <row r="40" spans="1:7" x14ac:dyDescent="0.25">
      <c r="A40" s="43">
        <v>499.99866244827598</v>
      </c>
      <c r="B40">
        <v>53.315694000000001</v>
      </c>
      <c r="C40" s="4">
        <v>5.2858099655172399</v>
      </c>
      <c r="D40" s="26">
        <f t="shared" ref="D40:D41" si="6">$B$38-B40</f>
        <v>3.1432730000000006</v>
      </c>
      <c r="E40" s="26">
        <f>INDEX(LINEST(D39:D41,C39:C41),1)</f>
        <v>0.5831561999991336</v>
      </c>
      <c r="F40" s="26">
        <f>INDEX(LINEST(D39:D41,C39:C41),2)</f>
        <v>6.4574768490601731E-2</v>
      </c>
      <c r="G40" s="31"/>
    </row>
    <row r="41" spans="1:7" x14ac:dyDescent="0.25">
      <c r="A41" s="43">
        <v>500.00085455172399</v>
      </c>
      <c r="B41">
        <v>51.601731000000001</v>
      </c>
      <c r="C41" s="4">
        <v>8.2156606551724103</v>
      </c>
      <c r="D41" s="26">
        <f t="shared" si="6"/>
        <v>4.8572360000000003</v>
      </c>
      <c r="G41" s="31"/>
    </row>
    <row r="42" spans="1:7" x14ac:dyDescent="0.25">
      <c r="A42" s="4"/>
      <c r="B42" s="4"/>
      <c r="C42" s="4"/>
      <c r="G42" s="31"/>
    </row>
    <row r="43" spans="1:7" x14ac:dyDescent="0.25">
      <c r="A43"/>
      <c r="B43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zoomScaleNormal="100" workbookViewId="0">
      <selection activeCell="G25" sqref="G25:G27"/>
    </sheetView>
  </sheetViews>
  <sheetFormatPr defaultColWidth="9" defaultRowHeight="15" x14ac:dyDescent="0.25"/>
  <cols>
    <col min="1" max="1" width="13.28515625" style="28" bestFit="1" customWidth="1"/>
    <col min="2" max="8" width="5.5703125" style="26" customWidth="1"/>
    <col min="9" max="9" width="7" style="27" bestFit="1" customWidth="1"/>
    <col min="10" max="11" width="6.42578125" style="27" bestFit="1" customWidth="1"/>
    <col min="12" max="12" width="5.5703125" style="27" customWidth="1"/>
    <col min="13" max="13" width="8.5703125" style="27" bestFit="1" customWidth="1"/>
    <col min="14" max="14" width="10.140625" style="27" bestFit="1" customWidth="1"/>
    <col min="15" max="15" width="12.140625" style="27" bestFit="1" customWidth="1"/>
    <col min="16" max="17" width="5.5703125" style="27" customWidth="1"/>
    <col min="18" max="16384" width="9" style="27"/>
  </cols>
  <sheetData>
    <row r="1" spans="1:19" x14ac:dyDescent="0.25">
      <c r="A1" s="54" t="str">
        <f ca="1">MID(CELL("filename",A1),FIND("]",CELL("filename",A1))+1,255)</f>
        <v>DC-he-ipb1-29b-10032016</v>
      </c>
      <c r="B1" s="125" t="s">
        <v>69</v>
      </c>
      <c r="C1" s="25" t="s">
        <v>63</v>
      </c>
      <c r="O1" s="125"/>
    </row>
    <row r="2" spans="1:19" x14ac:dyDescent="0.25">
      <c r="A2" s="54"/>
      <c r="B2" s="125" t="s">
        <v>64</v>
      </c>
      <c r="C2" s="25" t="s">
        <v>70</v>
      </c>
      <c r="O2" s="125"/>
      <c r="P2" s="25"/>
    </row>
    <row r="3" spans="1:19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28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</row>
    <row r="4" spans="1:19" x14ac:dyDescent="0.25">
      <c r="A4" s="43">
        <v>150.00442596551699</v>
      </c>
      <c r="B4" s="4">
        <v>9.8210180000000005</v>
      </c>
      <c r="C4" s="4">
        <v>1.6506896551724099E-4</v>
      </c>
      <c r="I4" s="26">
        <f>A5/100</f>
        <v>1.49999526517241</v>
      </c>
      <c r="J4" s="26">
        <f>E5</f>
        <v>0.48992593852420191</v>
      </c>
      <c r="K4" s="26">
        <f>F5</f>
        <v>0.22273809238701414</v>
      </c>
      <c r="M4" s="30">
        <v>1.5</v>
      </c>
      <c r="N4" s="26">
        <f>J4</f>
        <v>0.48992593852420191</v>
      </c>
      <c r="O4" s="94">
        <f>N4</f>
        <v>0.48992593852420191</v>
      </c>
      <c r="P4" s="26">
        <f>K4</f>
        <v>0.22273809238701414</v>
      </c>
      <c r="Q4" s="30">
        <f>'DC-h2-ipb1-29b'!O4</f>
        <v>0.4478814859572835</v>
      </c>
      <c r="R4" s="26"/>
      <c r="S4" s="26"/>
    </row>
    <row r="5" spans="1:19" x14ac:dyDescent="0.25">
      <c r="A5" s="43">
        <v>149.99952651724101</v>
      </c>
      <c r="B5" s="4">
        <v>8.4429770000000008</v>
      </c>
      <c r="C5" s="4">
        <v>2.2259117586206898</v>
      </c>
      <c r="D5" s="26">
        <f>$B$4-B5</f>
        <v>1.3780409999999996</v>
      </c>
      <c r="E5" s="26">
        <f>INDEX(LINEST(D5:D7,C5:C7),1)</f>
        <v>0.48992593852420191</v>
      </c>
      <c r="F5" s="26">
        <f>INDEX(LINEST(D5:D7,C5:C7),2)</f>
        <v>0.22273809238701414</v>
      </c>
      <c r="G5" s="31">
        <f>D5/C5</f>
        <v>0.61909057924826161</v>
      </c>
      <c r="H5" s="31"/>
      <c r="I5" s="26">
        <f>A10/100</f>
        <v>2.0000178472413799</v>
      </c>
      <c r="J5" s="26">
        <f>E10</f>
        <v>0.52865169696076963</v>
      </c>
      <c r="K5" s="26">
        <f>F10</f>
        <v>2.7766752248928661E-2</v>
      </c>
      <c r="M5" s="30">
        <v>2</v>
      </c>
      <c r="N5" s="26">
        <f>J5</f>
        <v>0.52865169696076963</v>
      </c>
      <c r="O5" s="94">
        <f t="shared" ref="O5:O6" si="0">N5</f>
        <v>0.52865169696076963</v>
      </c>
      <c r="P5" s="26">
        <f>K5</f>
        <v>2.7766752248928661E-2</v>
      </c>
      <c r="Q5" s="30">
        <f>'DC-h2-ipb1-29b'!O5</f>
        <v>0.46795946724441367</v>
      </c>
      <c r="R5" s="26"/>
      <c r="S5" s="26"/>
    </row>
    <row r="6" spans="1:19" x14ac:dyDescent="0.25">
      <c r="A6" s="43">
        <v>150.00305758620701</v>
      </c>
      <c r="B6" s="4">
        <v>7.5310499999999996</v>
      </c>
      <c r="C6" s="4">
        <v>4.45229096551724</v>
      </c>
      <c r="D6" s="26">
        <f t="shared" ref="D6:D7" si="1">$B$4-B6</f>
        <v>2.2899680000000009</v>
      </c>
      <c r="G6" s="31">
        <f t="shared" ref="G6:G7" si="2">D6/C6</f>
        <v>0.51433475883217938</v>
      </c>
      <c r="I6" s="26">
        <f>A15/100</f>
        <v>2.5000045455172399</v>
      </c>
      <c r="J6" s="26">
        <f>E15</f>
        <v>0.55191786485706484</v>
      </c>
      <c r="K6" s="26">
        <f>F15</f>
        <v>-6.4908187322618716E-3</v>
      </c>
      <c r="M6" s="30">
        <v>2.5</v>
      </c>
      <c r="N6" s="26">
        <f>J6</f>
        <v>0.55191786485706484</v>
      </c>
      <c r="O6" s="94">
        <f t="shared" si="0"/>
        <v>0.55191786485706484</v>
      </c>
      <c r="P6" s="26">
        <f>K6</f>
        <v>-6.4908187322618716E-3</v>
      </c>
      <c r="Q6" s="30">
        <f>'DC-h2-ipb1-29b'!O6</f>
        <v>0.49616245375907758</v>
      </c>
      <c r="R6" s="26"/>
      <c r="S6" s="26"/>
    </row>
    <row r="7" spans="1:19" x14ac:dyDescent="0.25">
      <c r="A7" s="43">
        <v>150.00159055172401</v>
      </c>
      <c r="B7" s="4">
        <v>5.9344039999999998</v>
      </c>
      <c r="C7" s="4">
        <v>7.3778171379310296</v>
      </c>
      <c r="D7" s="26">
        <f t="shared" si="1"/>
        <v>3.8866140000000007</v>
      </c>
      <c r="G7" s="31">
        <f t="shared" si="2"/>
        <v>0.52679727991874958</v>
      </c>
      <c r="I7" s="26">
        <f>A20/100</f>
        <v>3.0000187313793099</v>
      </c>
      <c r="J7" s="26">
        <f>E20</f>
        <v>0.57415512558633053</v>
      </c>
      <c r="K7" s="26">
        <f>F20</f>
        <v>-6.2588323129004086E-2</v>
      </c>
      <c r="M7" s="30">
        <v>2.75</v>
      </c>
      <c r="N7" s="95"/>
      <c r="O7" s="96">
        <f>M7^2*$I$15+$J$15*M7+$K$15</f>
        <v>0.56484073480777552</v>
      </c>
      <c r="P7" s="26">
        <f>P6</f>
        <v>-6.4908187322618716E-3</v>
      </c>
      <c r="Q7" s="30">
        <f>'DC-h2-ipb1-29b'!O7</f>
        <v>0.51404700802891057</v>
      </c>
      <c r="R7" s="26"/>
      <c r="S7" s="26"/>
    </row>
    <row r="8" spans="1:19" x14ac:dyDescent="0.25">
      <c r="A8" s="43">
        <v>149.994579965517</v>
      </c>
      <c r="B8" s="4">
        <v>9.2357659999999999</v>
      </c>
      <c r="C8" s="4">
        <v>1.2982758620689699E-4</v>
      </c>
      <c r="I8" s="26">
        <f>A25/100</f>
        <v>4.0000066934482801</v>
      </c>
      <c r="J8" s="26">
        <f>E25</f>
        <v>0.59423695498947127</v>
      </c>
      <c r="K8" s="26">
        <f>F25</f>
        <v>8.1433296417637191E-2</v>
      </c>
      <c r="M8" s="30">
        <v>3</v>
      </c>
      <c r="N8" s="30">
        <f>J7</f>
        <v>0.57415512558633053</v>
      </c>
      <c r="O8" s="94">
        <f>N8</f>
        <v>0.57415512558633053</v>
      </c>
      <c r="P8" s="26">
        <f>K7</f>
        <v>-6.2588323129004086E-2</v>
      </c>
      <c r="Q8" s="30">
        <f>'DC-h2-ipb1-29b'!O8</f>
        <v>0.5284040682623824</v>
      </c>
      <c r="R8" s="26"/>
      <c r="S8" s="26"/>
    </row>
    <row r="9" spans="1:19" x14ac:dyDescent="0.25">
      <c r="A9" s="43">
        <v>200.000883448276</v>
      </c>
      <c r="B9" s="4">
        <v>14.376075</v>
      </c>
      <c r="C9" s="4">
        <v>1.11896551724138E-4</v>
      </c>
      <c r="I9" s="26">
        <f>A30/100</f>
        <v>0</v>
      </c>
      <c r="J9" s="26">
        <f>E30</f>
        <v>0</v>
      </c>
      <c r="K9" s="26">
        <f>F30</f>
        <v>0</v>
      </c>
      <c r="M9" s="30">
        <v>3.25</v>
      </c>
      <c r="N9" s="95"/>
      <c r="O9" s="96">
        <f t="shared" ref="O9:O14" si="3">M9^2*$I$15+$J$15*M9+$K$15</f>
        <v>0.58187140223237799</v>
      </c>
      <c r="P9" s="26">
        <f>P8</f>
        <v>-6.2588323129004086E-2</v>
      </c>
      <c r="Q9" s="30"/>
      <c r="R9" s="26"/>
      <c r="S9" s="26"/>
    </row>
    <row r="10" spans="1:19" x14ac:dyDescent="0.25">
      <c r="A10" s="43">
        <v>200.00178472413799</v>
      </c>
      <c r="B10" s="4">
        <v>13.285486000000001</v>
      </c>
      <c r="C10" s="4">
        <v>2.0060318620689701</v>
      </c>
      <c r="D10" s="26">
        <f>$B$9-B10</f>
        <v>1.0905889999999996</v>
      </c>
      <c r="E10" s="26">
        <f>INDEX(LINEST(D10:D12,C10:C12),1)</f>
        <v>0.52865169696076963</v>
      </c>
      <c r="F10" s="26">
        <f>INDEX(LINEST(D10:D12,C10:C12),2)</f>
        <v>2.7766752248928661E-2</v>
      </c>
      <c r="G10" s="31">
        <f>D10/C10</f>
        <v>0.54365487439227111</v>
      </c>
      <c r="H10" s="31"/>
      <c r="I10" s="26">
        <f>A35/100</f>
        <v>0</v>
      </c>
      <c r="J10" s="26">
        <f>E35</f>
        <v>0</v>
      </c>
      <c r="K10" s="26">
        <f>F35</f>
        <v>0</v>
      </c>
      <c r="M10" s="30">
        <v>3.5</v>
      </c>
      <c r="N10" s="108"/>
      <c r="O10" s="96">
        <f t="shared" si="3"/>
        <v>0.58771038937867526</v>
      </c>
      <c r="P10" s="26">
        <f>L9</f>
        <v>0</v>
      </c>
      <c r="Q10" s="30"/>
      <c r="R10" s="26"/>
      <c r="S10" s="26"/>
    </row>
    <row r="11" spans="1:19" x14ac:dyDescent="0.25">
      <c r="A11" s="43">
        <v>200.00114389655201</v>
      </c>
      <c r="B11" s="4">
        <v>12.222232</v>
      </c>
      <c r="C11" s="4">
        <v>4.0294340689655197</v>
      </c>
      <c r="D11" s="26">
        <f>$B$9-B11</f>
        <v>2.1538430000000002</v>
      </c>
      <c r="G11" s="31">
        <f t="shared" ref="G11:G12" si="4">D11/C11</f>
        <v>0.53452742075835935</v>
      </c>
      <c r="I11" s="26">
        <f>A35/100</f>
        <v>0</v>
      </c>
      <c r="J11" s="26">
        <f>E35</f>
        <v>0</v>
      </c>
      <c r="K11" s="26">
        <f>F35</f>
        <v>0</v>
      </c>
      <c r="M11" s="30">
        <v>3.75</v>
      </c>
      <c r="N11" s="95"/>
      <c r="O11" s="96">
        <f t="shared" si="3"/>
        <v>0.59176514548096992</v>
      </c>
      <c r="P11" s="26">
        <f>L10</f>
        <v>0</v>
      </c>
      <c r="Q11" s="30"/>
      <c r="R11" s="26"/>
      <c r="S11" s="26"/>
    </row>
    <row r="12" spans="1:19" x14ac:dyDescent="0.25">
      <c r="A12" s="43">
        <v>200.002813</v>
      </c>
      <c r="B12" s="4">
        <v>10.800867999999999</v>
      </c>
      <c r="C12" s="4">
        <v>6.7070236551724101</v>
      </c>
      <c r="D12" s="26">
        <f>$B$9-B12</f>
        <v>3.5752070000000007</v>
      </c>
      <c r="G12" s="31">
        <f t="shared" si="4"/>
        <v>0.5330541807829805</v>
      </c>
      <c r="I12" s="26">
        <f>A40/100</f>
        <v>0</v>
      </c>
      <c r="J12" s="26">
        <f>E40</f>
        <v>0</v>
      </c>
      <c r="K12" s="26">
        <f>F40</f>
        <v>0</v>
      </c>
      <c r="M12" s="30">
        <v>4</v>
      </c>
      <c r="N12" s="30">
        <f>E25</f>
        <v>0.59423695498947127</v>
      </c>
      <c r="O12" s="94">
        <f>N12</f>
        <v>0.59423695498947127</v>
      </c>
      <c r="P12" s="26">
        <f>K8</f>
        <v>8.1433296417637191E-2</v>
      </c>
      <c r="Q12" s="30"/>
      <c r="R12" s="26"/>
      <c r="S12" s="26"/>
    </row>
    <row r="13" spans="1:19" x14ac:dyDescent="0.25">
      <c r="A13" s="43">
        <v>199.99430586206901</v>
      </c>
      <c r="B13" s="4">
        <v>13.951836999999999</v>
      </c>
      <c r="C13" s="4">
        <v>6.7352413793103499E-3</v>
      </c>
      <c r="M13" s="30">
        <v>4.5</v>
      </c>
      <c r="N13" s="108"/>
      <c r="O13" s="96">
        <f t="shared" si="3"/>
        <v>0.59322402752383829</v>
      </c>
      <c r="P13" s="26">
        <f>L9</f>
        <v>0</v>
      </c>
      <c r="Q13" s="30"/>
      <c r="R13" s="26"/>
      <c r="S13" s="26"/>
    </row>
    <row r="14" spans="1:19" x14ac:dyDescent="0.25">
      <c r="A14" s="43">
        <v>250.000250931034</v>
      </c>
      <c r="B14" s="4">
        <v>19.615217999999999</v>
      </c>
      <c r="C14" s="4">
        <v>9.2655172413793095E-5</v>
      </c>
      <c r="M14" s="30">
        <v>5</v>
      </c>
      <c r="N14" s="108"/>
      <c r="O14" s="96">
        <f t="shared" si="3"/>
        <v>0.58527546033240418</v>
      </c>
      <c r="P14" s="26">
        <f>L10</f>
        <v>0</v>
      </c>
      <c r="Q14" s="30"/>
      <c r="R14" s="26"/>
      <c r="S14" s="26"/>
    </row>
    <row r="15" spans="1:19" x14ac:dyDescent="0.25">
      <c r="A15" s="43">
        <v>250.000454551724</v>
      </c>
      <c r="B15" s="4">
        <v>18.624599</v>
      </c>
      <c r="C15" s="4">
        <v>1.8097501034482799</v>
      </c>
      <c r="D15" s="26">
        <f>$B$14-B15</f>
        <v>0.99061899999999881</v>
      </c>
      <c r="E15" s="26">
        <f>INDEX(LINEST(D15:D17,C15:C17),1)</f>
        <v>0.55191786485706484</v>
      </c>
      <c r="F15" s="26">
        <f>INDEX(LINEST(D15:D17,C15:C17),2)</f>
        <v>-6.4908187322618716E-3</v>
      </c>
      <c r="G15" s="31">
        <f>D15/C15</f>
        <v>0.5473788884512194</v>
      </c>
      <c r="H15" s="31"/>
      <c r="I15" s="107">
        <f>INDEX(LINEST(J4:J8,I4:I8^{1,2}),1)</f>
        <v>-1.4273848352020916E-2</v>
      </c>
      <c r="J15" s="107">
        <f>INDEX(LINEST(J4:J8,I4:I8^{1,2}),2)</f>
        <v>0.11970442496133035</v>
      </c>
      <c r="K15" s="107">
        <f>INDEX(LINEST(J4:J8,I4:I8^{1,2}),3)</f>
        <v>0.34359954432627526</v>
      </c>
      <c r="M15" s="30">
        <v>5.5</v>
      </c>
      <c r="N15" s="95"/>
      <c r="O15" s="96">
        <f>M15^2*$I$15+$J$15*M15+$K$15</f>
        <v>0.57018996896495955</v>
      </c>
      <c r="P15" s="26">
        <f>L11</f>
        <v>0</v>
      </c>
      <c r="Q15" s="30"/>
      <c r="R15" s="26"/>
      <c r="S15" s="26"/>
    </row>
    <row r="16" spans="1:19" x14ac:dyDescent="0.25">
      <c r="A16" s="43">
        <v>250.001344344828</v>
      </c>
      <c r="B16" s="4">
        <v>17.607405</v>
      </c>
      <c r="C16" s="4">
        <v>3.6441781379310298</v>
      </c>
      <c r="D16" s="26">
        <f>$B$14-B16</f>
        <v>2.0078129999999987</v>
      </c>
      <c r="G16" s="31">
        <f t="shared" ref="G16:G17" si="5">D16/C16</f>
        <v>0.55096455881268414</v>
      </c>
      <c r="M16" s="30">
        <v>6</v>
      </c>
      <c r="N16" s="95"/>
      <c r="O16" s="96">
        <f t="shared" ref="O16" si="6">M16^2*$I$15+$J$15*M16+$K$15</f>
        <v>0.54796755342150438</v>
      </c>
      <c r="P16" s="26">
        <f>L12</f>
        <v>0</v>
      </c>
      <c r="Q16" s="30"/>
      <c r="R16" s="26"/>
      <c r="S16" s="26"/>
    </row>
    <row r="17" spans="1:8" x14ac:dyDescent="0.25">
      <c r="A17" s="43">
        <v>250.001978896552</v>
      </c>
      <c r="B17" s="4">
        <v>16.262311</v>
      </c>
      <c r="C17" s="4">
        <v>6.0891144137930997</v>
      </c>
      <c r="D17" s="26">
        <f>$B$14-B17</f>
        <v>3.3529069999999983</v>
      </c>
      <c r="G17" s="31">
        <f t="shared" si="5"/>
        <v>0.55063951375342413</v>
      </c>
    </row>
    <row r="18" spans="1:8" x14ac:dyDescent="0.25">
      <c r="A18" s="43">
        <v>249.99682365517199</v>
      </c>
      <c r="B18" s="4">
        <v>19.389506000000001</v>
      </c>
      <c r="C18" s="4">
        <v>9.6137931034482804E-5</v>
      </c>
    </row>
    <row r="19" spans="1:8" x14ac:dyDescent="0.25">
      <c r="A19" s="43">
        <v>300.00083141379298</v>
      </c>
      <c r="B19" s="4">
        <v>25.512336000000001</v>
      </c>
      <c r="C19" s="4">
        <v>7.6275862068965499E-5</v>
      </c>
    </row>
    <row r="20" spans="1:8" x14ac:dyDescent="0.25">
      <c r="A20" s="43">
        <v>300.001873137931</v>
      </c>
      <c r="B20" s="4">
        <v>24.641185</v>
      </c>
      <c r="C20" s="4">
        <v>1.62979562068966</v>
      </c>
      <c r="D20" s="26">
        <f>$B$19-B20</f>
        <v>0.87115100000000112</v>
      </c>
      <c r="E20" s="26">
        <f>INDEX(LINEST(D20:D22,C20:C22),1)</f>
        <v>0.57415512558633053</v>
      </c>
      <c r="F20" s="26">
        <f>INDEX(LINEST(D20:D22,C20:C22),2)</f>
        <v>-6.2588323129004086E-2</v>
      </c>
      <c r="G20" s="31">
        <f>D20/C20</f>
        <v>0.53451548705927132</v>
      </c>
      <c r="H20" s="31"/>
    </row>
    <row r="21" spans="1:8" x14ac:dyDescent="0.25">
      <c r="A21" s="43">
        <v>300.00116913793102</v>
      </c>
      <c r="B21" s="4">
        <v>23.683050999999999</v>
      </c>
      <c r="C21" s="4">
        <v>3.28892186206896</v>
      </c>
      <c r="D21" s="26">
        <f>$B$19-B21</f>
        <v>1.8292850000000023</v>
      </c>
      <c r="G21" s="31">
        <f t="shared" ref="G21:G22" si="7">D21/C21</f>
        <v>0.55619594405604245</v>
      </c>
    </row>
    <row r="22" spans="1:8" x14ac:dyDescent="0.25">
      <c r="A22" s="43">
        <v>300.00170689655198</v>
      </c>
      <c r="B22" s="4">
        <v>22.412597000000002</v>
      </c>
      <c r="C22" s="4">
        <v>5.51041517241379</v>
      </c>
      <c r="D22" s="26">
        <f>$B$19-B22</f>
        <v>3.0997389999999996</v>
      </c>
      <c r="G22" s="31">
        <f t="shared" si="7"/>
        <v>0.56252367616833954</v>
      </c>
    </row>
    <row r="23" spans="1:8" x14ac:dyDescent="0.25">
      <c r="A23" s="43">
        <v>299.99604844827599</v>
      </c>
      <c r="B23" s="4">
        <v>25.330371</v>
      </c>
      <c r="C23" s="4">
        <v>7.2206896551724103E-5</v>
      </c>
    </row>
    <row r="24" spans="1:8" x14ac:dyDescent="0.25">
      <c r="A24" s="43">
        <v>400.00053779310298</v>
      </c>
      <c r="B24" s="4">
        <v>39.475676999999997</v>
      </c>
      <c r="C24" s="4">
        <v>5.5482758620689699E-5</v>
      </c>
    </row>
    <row r="25" spans="1:8" x14ac:dyDescent="0.25">
      <c r="A25" s="43">
        <v>400.000669344828</v>
      </c>
      <c r="B25" s="4">
        <v>38.610790999999999</v>
      </c>
      <c r="C25" s="4">
        <v>1.3539984137931</v>
      </c>
      <c r="D25" s="26">
        <f>$B$24-B25</f>
        <v>0.86488599999999849</v>
      </c>
      <c r="E25" s="26">
        <f>INDEX(LINEST(D25:D27,C25:C27),1)</f>
        <v>0.59423695498947127</v>
      </c>
      <c r="F25" s="26">
        <f>INDEX(LINEST(D26:D27,C26:C27),2)</f>
        <v>8.1433296417637191E-2</v>
      </c>
      <c r="G25" s="31">
        <f>D25/C25</f>
        <v>0.63876441153066132</v>
      </c>
      <c r="H25" s="31"/>
    </row>
    <row r="26" spans="1:8" x14ac:dyDescent="0.25">
      <c r="A26" s="43">
        <v>400.00042620689698</v>
      </c>
      <c r="B26" s="4">
        <v>37.776367999999998</v>
      </c>
      <c r="C26" s="4">
        <v>2.7429037586206899</v>
      </c>
      <c r="D26" s="26">
        <f>$B$24-B26</f>
        <v>1.6993089999999995</v>
      </c>
      <c r="G26" s="31">
        <f t="shared" ref="G26:G27" si="8">D26/C26</f>
        <v>0.61952921047967147</v>
      </c>
    </row>
    <row r="27" spans="1:8" x14ac:dyDescent="0.25">
      <c r="A27" s="43">
        <v>400.00218579310302</v>
      </c>
      <c r="B27" s="4">
        <v>36.672291000000001</v>
      </c>
      <c r="C27" s="4">
        <v>4.6147267586206899</v>
      </c>
      <c r="D27" s="26">
        <f>$B$24-B27</f>
        <v>2.8033859999999962</v>
      </c>
      <c r="G27" s="31">
        <f t="shared" si="8"/>
        <v>0.60748688852769883</v>
      </c>
    </row>
    <row r="28" spans="1:8" x14ac:dyDescent="0.25">
      <c r="A28" s="43">
        <v>399.99742282758598</v>
      </c>
      <c r="B28" s="4">
        <v>39.344366000000001</v>
      </c>
      <c r="C28" s="4">
        <v>6.0448275862069002E-5</v>
      </c>
    </row>
    <row r="29" spans="1:8" x14ac:dyDescent="0.25">
      <c r="A29" s="43"/>
      <c r="B29"/>
      <c r="C29" s="4"/>
    </row>
    <row r="30" spans="1:8" x14ac:dyDescent="0.25">
      <c r="A30" s="43"/>
      <c r="B30"/>
      <c r="C30" s="4"/>
      <c r="G30" s="31"/>
    </row>
    <row r="31" spans="1:8" x14ac:dyDescent="0.25">
      <c r="A31" s="43"/>
      <c r="B31"/>
      <c r="C31" s="4"/>
      <c r="G31" s="31"/>
    </row>
    <row r="32" spans="1:8" x14ac:dyDescent="0.25">
      <c r="A32" s="43"/>
      <c r="B32"/>
      <c r="C32" s="4"/>
      <c r="G32" s="31"/>
    </row>
    <row r="33" spans="1:7" x14ac:dyDescent="0.25">
      <c r="A33" s="43"/>
      <c r="B33"/>
      <c r="C33" s="4"/>
    </row>
    <row r="34" spans="1:7" x14ac:dyDescent="0.25">
      <c r="A34" s="43"/>
      <c r="B34"/>
      <c r="C34" s="4"/>
    </row>
    <row r="35" spans="1:7" x14ac:dyDescent="0.25">
      <c r="A35" s="43"/>
      <c r="B35"/>
      <c r="C35" s="4"/>
      <c r="G35" s="31"/>
    </row>
    <row r="36" spans="1:7" x14ac:dyDescent="0.25">
      <c r="A36" s="43"/>
      <c r="B36"/>
      <c r="C36" s="4"/>
      <c r="G36" s="31"/>
    </row>
    <row r="37" spans="1:7" x14ac:dyDescent="0.25">
      <c r="A37" s="43"/>
      <c r="B37"/>
      <c r="C37" s="4"/>
      <c r="G37" s="31"/>
    </row>
    <row r="38" spans="1:7" x14ac:dyDescent="0.25">
      <c r="A38" s="43"/>
      <c r="B38"/>
      <c r="C38" s="4"/>
    </row>
    <row r="39" spans="1:7" x14ac:dyDescent="0.25">
      <c r="A39" s="43"/>
      <c r="B39"/>
      <c r="C39" s="4"/>
    </row>
    <row r="40" spans="1:7" x14ac:dyDescent="0.25">
      <c r="A40" s="43"/>
      <c r="B40"/>
      <c r="C40" s="4"/>
      <c r="G40" s="31"/>
    </row>
    <row r="41" spans="1:7" x14ac:dyDescent="0.25">
      <c r="A41" s="43"/>
      <c r="B41"/>
      <c r="C41" s="4"/>
      <c r="G41" s="31"/>
    </row>
    <row r="42" spans="1:7" x14ac:dyDescent="0.25">
      <c r="A42" s="43"/>
      <c r="B42"/>
      <c r="C42" s="4"/>
      <c r="G42" s="31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topLeftCell="A7" zoomScaleNormal="100" workbookViewId="0">
      <selection activeCell="G40" sqref="G40:G42"/>
    </sheetView>
  </sheetViews>
  <sheetFormatPr defaultColWidth="9" defaultRowHeight="15" x14ac:dyDescent="0.25"/>
  <cols>
    <col min="1" max="1" width="13.28515625" style="28" bestFit="1" customWidth="1"/>
    <col min="2" max="8" width="5.5703125" style="26" customWidth="1"/>
    <col min="9" max="9" width="7" style="27" bestFit="1" customWidth="1"/>
    <col min="10" max="11" width="6.42578125" style="27" bestFit="1" customWidth="1"/>
    <col min="12" max="12" width="5.5703125" style="27" customWidth="1"/>
    <col min="13" max="13" width="8.5703125" style="27" bestFit="1" customWidth="1"/>
    <col min="14" max="14" width="10.140625" style="27" bestFit="1" customWidth="1"/>
    <col min="15" max="15" width="12.140625" style="27" bestFit="1" customWidth="1"/>
    <col min="16" max="17" width="5.5703125" style="27" customWidth="1"/>
    <col min="18" max="16384" width="9" style="27"/>
  </cols>
  <sheetData>
    <row r="1" spans="1:19" x14ac:dyDescent="0.25">
      <c r="A1" s="54" t="str">
        <f ca="1">MID(CELL("filename",A1),FIND("]",CELL("filename",A1))+1,255)</f>
        <v>DC-he-ipb1-29b-10122016</v>
      </c>
      <c r="B1" s="125" t="s">
        <v>69</v>
      </c>
      <c r="C1" s="25" t="s">
        <v>63</v>
      </c>
      <c r="O1" s="125"/>
    </row>
    <row r="2" spans="1:19" x14ac:dyDescent="0.25">
      <c r="A2" s="54"/>
      <c r="B2" s="125" t="s">
        <v>64</v>
      </c>
      <c r="C2" s="25" t="s">
        <v>70</v>
      </c>
      <c r="O2" s="125"/>
      <c r="P2" s="25"/>
    </row>
    <row r="3" spans="1:19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28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</row>
    <row r="4" spans="1:19" x14ac:dyDescent="0.25">
      <c r="A4" s="43">
        <v>149.99549318181801</v>
      </c>
      <c r="B4">
        <v>9.3715469999999996</v>
      </c>
      <c r="C4" s="4">
        <v>1.4390322580645201E-4</v>
      </c>
      <c r="I4" s="26">
        <f>A5/100</f>
        <v>1.49999768363636</v>
      </c>
      <c r="J4" s="26">
        <f>E5</f>
        <v>0.49163676459044392</v>
      </c>
      <c r="K4" s="26">
        <f>F5</f>
        <v>-1.3749534725519208E-2</v>
      </c>
      <c r="M4" s="30">
        <v>1.5</v>
      </c>
      <c r="N4" s="26">
        <f>J4</f>
        <v>0.49163676459044392</v>
      </c>
      <c r="O4" s="94">
        <f>N4</f>
        <v>0.49163676459044392</v>
      </c>
      <c r="P4" s="26">
        <f>K4</f>
        <v>-1.3749534725519208E-2</v>
      </c>
      <c r="Q4" s="30">
        <f>'DC-h2-ipb1-29b'!O4</f>
        <v>0.4478814859572835</v>
      </c>
      <c r="R4" s="26">
        <f>'DC-he-ipb1-29b-10032016'!O4</f>
        <v>0.48992593852420191</v>
      </c>
      <c r="S4" s="26"/>
    </row>
    <row r="5" spans="1:19" x14ac:dyDescent="0.25">
      <c r="A5" s="43">
        <v>149.99976836363601</v>
      </c>
      <c r="B5">
        <v>8.2967230000000001</v>
      </c>
      <c r="C5" s="4">
        <v>2.2694627096774198</v>
      </c>
      <c r="D5" s="26">
        <f>$B$4-B5</f>
        <v>1.0748239999999996</v>
      </c>
      <c r="E5" s="26">
        <f>INDEX(LINEST(D5:D7,C5:C7),1)</f>
        <v>0.49163676459044392</v>
      </c>
      <c r="F5" s="26">
        <f>INDEX(LINEST(D5:D7,C5:C7),2)</f>
        <v>-1.3749534725519208E-2</v>
      </c>
      <c r="G5" s="31">
        <f>D5/C5</f>
        <v>0.47360284679573977</v>
      </c>
      <c r="H5" s="31"/>
      <c r="I5" s="26">
        <f>A10/100</f>
        <v>2.0000159254545498</v>
      </c>
      <c r="J5" s="26">
        <f>E10</f>
        <v>0.51685078285366837</v>
      </c>
      <c r="K5" s="26">
        <f>F10</f>
        <v>3.9619084191122145E-2</v>
      </c>
      <c r="M5" s="30">
        <v>2</v>
      </c>
      <c r="N5" s="26">
        <f>J5</f>
        <v>0.51685078285366837</v>
      </c>
      <c r="O5" s="94">
        <f t="shared" ref="O5:O6" si="0">N5</f>
        <v>0.51685078285366837</v>
      </c>
      <c r="P5" s="26">
        <f>K5</f>
        <v>3.9619084191122145E-2</v>
      </c>
      <c r="Q5" s="30">
        <f>'DC-h2-ipb1-29b'!O5</f>
        <v>0.46795946724441367</v>
      </c>
      <c r="R5" s="26">
        <f>'DC-he-ipb1-29b-10032016'!O5</f>
        <v>0.52865169696076963</v>
      </c>
      <c r="S5" s="26"/>
    </row>
    <row r="6" spans="1:19" x14ac:dyDescent="0.25">
      <c r="A6" s="43">
        <v>150.000136090909</v>
      </c>
      <c r="B6">
        <v>7.105156</v>
      </c>
      <c r="C6" s="4">
        <v>4.5404541935483902</v>
      </c>
      <c r="D6" s="26">
        <f t="shared" ref="D6:D7" si="1">$B$4-B6</f>
        <v>2.2663909999999996</v>
      </c>
      <c r="G6" s="31">
        <f t="shared" ref="G6:G7" si="2">D6/C6</f>
        <v>0.49915512928648276</v>
      </c>
      <c r="I6" s="26">
        <f>A15/100</f>
        <v>2.5000171318181801</v>
      </c>
      <c r="J6" s="26">
        <f>E15</f>
        <v>0.54381480016859618</v>
      </c>
      <c r="K6" s="26">
        <f>F15</f>
        <v>-2.0752079767311304E-2</v>
      </c>
      <c r="M6" s="30">
        <v>2.5</v>
      </c>
      <c r="N6" s="26">
        <f>J6</f>
        <v>0.54381480016859618</v>
      </c>
      <c r="O6" s="94">
        <f t="shared" si="0"/>
        <v>0.54381480016859618</v>
      </c>
      <c r="P6" s="26">
        <f>K6</f>
        <v>-2.0752079767311304E-2</v>
      </c>
      <c r="Q6" s="30">
        <f>'DC-h2-ipb1-29b'!O6</f>
        <v>0.49616245375907758</v>
      </c>
      <c r="R6" s="26">
        <f>'DC-he-ipb1-29b-10032016'!O6</f>
        <v>0.55191786485706484</v>
      </c>
      <c r="S6" s="26"/>
    </row>
    <row r="7" spans="1:19" x14ac:dyDescent="0.25">
      <c r="A7" s="43">
        <v>150.00193363636399</v>
      </c>
      <c r="B7">
        <v>5.7084599999999996</v>
      </c>
      <c r="C7" s="4">
        <v>7.5208880967741898</v>
      </c>
      <c r="D7" s="26">
        <f t="shared" si="1"/>
        <v>3.663087</v>
      </c>
      <c r="G7" s="31">
        <f t="shared" si="2"/>
        <v>0.48705511275605168</v>
      </c>
      <c r="I7" s="26">
        <f>A20/100</f>
        <v>3.0000117054545501</v>
      </c>
      <c r="J7" s="26">
        <f>E20</f>
        <v>0.55575524747672289</v>
      </c>
      <c r="K7" s="26">
        <f>F20</f>
        <v>9.8122734486107532E-2</v>
      </c>
      <c r="M7" s="30">
        <v>2.75</v>
      </c>
      <c r="N7" s="95"/>
      <c r="O7" s="96">
        <f>M7^2*$I$15+$J$15*M7+$K$15</f>
        <v>0.55066944396118356</v>
      </c>
      <c r="P7" s="26">
        <f>P6</f>
        <v>-2.0752079767311304E-2</v>
      </c>
      <c r="Q7" s="30">
        <f>'DC-h2-ipb1-29b'!O7</f>
        <v>0.51404700802891057</v>
      </c>
      <c r="R7" s="26">
        <f>'DC-he-ipb1-29b-10032016'!O7</f>
        <v>0.56484073480777552</v>
      </c>
      <c r="S7" s="26"/>
    </row>
    <row r="8" spans="1:19" x14ac:dyDescent="0.25">
      <c r="A8" s="43">
        <v>150.00026500000001</v>
      </c>
      <c r="B8">
        <v>9.3774599999999992</v>
      </c>
      <c r="C8" s="4">
        <v>1.5787096774193501E-4</v>
      </c>
      <c r="I8" s="26">
        <f>A25/100</f>
        <v>3.4999930645454498</v>
      </c>
      <c r="J8" s="26">
        <f>E25</f>
        <v>0.57418539473575259</v>
      </c>
      <c r="K8" s="26">
        <f>F25</f>
        <v>0.15376608084083587</v>
      </c>
      <c r="M8" s="30">
        <v>3</v>
      </c>
      <c r="N8" s="30">
        <f>J7</f>
        <v>0.55575524747672289</v>
      </c>
      <c r="O8" s="135">
        <f>N8</f>
        <v>0.55575524747672289</v>
      </c>
      <c r="P8" s="135">
        <f>K7</f>
        <v>9.8122734486107532E-2</v>
      </c>
      <c r="Q8" s="135">
        <f>'DC-h2-ipb1-29b'!O8</f>
        <v>0.5284040682623824</v>
      </c>
      <c r="R8" s="135">
        <f>'DC-he-ipb1-29b-10032016'!O8</f>
        <v>0.57415512558633053</v>
      </c>
      <c r="S8" s="26"/>
    </row>
    <row r="9" spans="1:19" x14ac:dyDescent="0.25">
      <c r="A9" s="43">
        <v>199.99915381818201</v>
      </c>
      <c r="B9">
        <v>13.970107</v>
      </c>
      <c r="C9" s="4">
        <v>1.4316129032258099E-4</v>
      </c>
      <c r="I9" s="26">
        <f>A30/100</f>
        <v>4.0000153418181803</v>
      </c>
      <c r="J9" s="26">
        <f>E30</f>
        <v>0.59043911356022083</v>
      </c>
      <c r="K9" s="26">
        <f>F30</f>
        <v>9.1455704637767976E-2</v>
      </c>
      <c r="M9" s="30">
        <v>3.25</v>
      </c>
      <c r="N9" s="95"/>
      <c r="O9" s="96">
        <f t="shared" ref="O9:O11" si="3">M9^2*$I$15+$J$15*M9+$K$15</f>
        <v>0.56703828665435096</v>
      </c>
      <c r="P9" s="26">
        <f>P8</f>
        <v>9.8122734486107532E-2</v>
      </c>
      <c r="Q9" s="30"/>
      <c r="R9" s="26">
        <f>'DC-he-ipb1-29b-10032016'!O9</f>
        <v>0.58187140223237799</v>
      </c>
      <c r="S9" s="26"/>
    </row>
    <row r="10" spans="1:19" x14ac:dyDescent="0.25">
      <c r="A10" s="43">
        <v>200.001592545455</v>
      </c>
      <c r="B10">
        <v>12.868327000000001</v>
      </c>
      <c r="C10" s="4">
        <v>2.0536415483871</v>
      </c>
      <c r="D10" s="26">
        <f>$B$9-B10</f>
        <v>1.1017799999999998</v>
      </c>
      <c r="E10" s="26">
        <f>INDEX(LINEST(D10:D12,C10:C12),1)</f>
        <v>0.51685078285366837</v>
      </c>
      <c r="F10" s="26">
        <f>INDEX(LINEST(D10:D12,C10:C12),2)</f>
        <v>3.9619084191122145E-2</v>
      </c>
      <c r="G10" s="31">
        <f>D10/C10</f>
        <v>0.53650063754569133</v>
      </c>
      <c r="H10" s="31"/>
      <c r="I10" s="26">
        <f>A35/100</f>
        <v>4.5000108481818195</v>
      </c>
      <c r="J10" s="26">
        <f>E35</f>
        <v>0.58536410306123443</v>
      </c>
      <c r="K10" s="26">
        <f>F35</f>
        <v>8.849143267826598E-2</v>
      </c>
      <c r="M10" s="30">
        <v>3.5</v>
      </c>
      <c r="N10" s="108">
        <f>E25</f>
        <v>0.57418539473575259</v>
      </c>
      <c r="O10" s="109">
        <f>N10</f>
        <v>0.57418539473575259</v>
      </c>
      <c r="P10" s="26">
        <f>L9</f>
        <v>0</v>
      </c>
      <c r="Q10" s="30"/>
      <c r="R10" s="26">
        <f>'DC-he-ipb1-29b-10032016'!O10</f>
        <v>0.58771038937867526</v>
      </c>
      <c r="S10" s="26"/>
    </row>
    <row r="11" spans="1:19" x14ac:dyDescent="0.25">
      <c r="A11" s="43">
        <v>199.99970727272699</v>
      </c>
      <c r="B11">
        <v>11.802486999999999</v>
      </c>
      <c r="C11" s="4">
        <v>4.1197422580645204</v>
      </c>
      <c r="D11" s="26">
        <f>$B$9-B11</f>
        <v>2.1676200000000012</v>
      </c>
      <c r="G11" s="31">
        <f t="shared" ref="G11:G12" si="4">D11/C11</f>
        <v>0.5261542747624125</v>
      </c>
      <c r="I11" s="26">
        <f>A35/100</f>
        <v>4.5000108481818195</v>
      </c>
      <c r="J11" s="26">
        <f>E35</f>
        <v>0.58536410306123443</v>
      </c>
      <c r="K11" s="26">
        <f>F35</f>
        <v>8.849143267826598E-2</v>
      </c>
      <c r="M11" s="30">
        <v>3.75</v>
      </c>
      <c r="N11" s="95"/>
      <c r="O11" s="96">
        <f t="shared" si="3"/>
        <v>0.5792096730333085</v>
      </c>
      <c r="P11" s="26">
        <f>L10</f>
        <v>0</v>
      </c>
      <c r="Q11" s="30"/>
      <c r="R11" s="26">
        <f>'DC-he-ipb1-29b-10032016'!O11</f>
        <v>0.59176514548096992</v>
      </c>
      <c r="S11" s="26"/>
    </row>
    <row r="12" spans="1:19" x14ac:dyDescent="0.25">
      <c r="A12" s="43">
        <v>200.002127909091</v>
      </c>
      <c r="B12">
        <v>10.390677999999999</v>
      </c>
      <c r="C12" s="4">
        <v>6.8477278387096803</v>
      </c>
      <c r="D12" s="26">
        <f>$B$9-B12</f>
        <v>3.5794290000000011</v>
      </c>
      <c r="G12" s="31">
        <f t="shared" si="4"/>
        <v>0.52271776628822242</v>
      </c>
      <c r="I12" s="26">
        <f>A40/100</f>
        <v>4.9999965036363605</v>
      </c>
      <c r="J12" s="26">
        <f>E40</f>
        <v>0.59434790825157446</v>
      </c>
      <c r="K12" s="26">
        <f>F40</f>
        <v>-3.659736367797306E-2</v>
      </c>
      <c r="M12" s="30">
        <v>4</v>
      </c>
      <c r="N12" s="30">
        <f>E30</f>
        <v>0.59043911356022083</v>
      </c>
      <c r="O12" s="135">
        <f>N12</f>
        <v>0.59043911356022083</v>
      </c>
      <c r="P12" s="135">
        <f>K8</f>
        <v>0.15376608084083587</v>
      </c>
      <c r="Q12" s="135"/>
      <c r="R12" s="135">
        <f>'DC-he-ipb1-29b-10032016'!O12</f>
        <v>0.59423695498947127</v>
      </c>
      <c r="S12" s="26"/>
    </row>
    <row r="13" spans="1:19" x14ac:dyDescent="0.25">
      <c r="A13" s="43">
        <v>199.99775281818199</v>
      </c>
      <c r="B13">
        <v>13.866393</v>
      </c>
      <c r="C13" s="4">
        <v>1.3964516129032301E-4</v>
      </c>
      <c r="M13" s="30">
        <v>4.5</v>
      </c>
      <c r="N13" s="108">
        <f>J10</f>
        <v>0.58536410306123443</v>
      </c>
      <c r="O13" s="109">
        <f>N13</f>
        <v>0.58536410306123443</v>
      </c>
      <c r="P13" s="26">
        <f>L9</f>
        <v>0</v>
      </c>
      <c r="Q13" s="30"/>
      <c r="R13" s="26">
        <f>'DC-he-ipb1-29b-10032016'!O13</f>
        <v>0.59322402752383829</v>
      </c>
      <c r="S13" s="26"/>
    </row>
    <row r="14" spans="1:19" x14ac:dyDescent="0.25">
      <c r="A14" s="43">
        <v>249.99756845454499</v>
      </c>
      <c r="B14">
        <v>19.009053000000002</v>
      </c>
      <c r="C14" s="4">
        <v>1.15774193548387E-4</v>
      </c>
      <c r="M14" s="30">
        <v>5</v>
      </c>
      <c r="N14" s="108">
        <f>J12</f>
        <v>0.59434790825157446</v>
      </c>
      <c r="O14" s="109">
        <f>N14</f>
        <v>0.59434790825157446</v>
      </c>
      <c r="P14" s="26">
        <f>L10</f>
        <v>0</v>
      </c>
      <c r="Q14" s="30"/>
      <c r="R14" s="26">
        <f>'DC-he-ipb1-29b-10032016'!O14</f>
        <v>0.58527546033240418</v>
      </c>
      <c r="S14" s="26"/>
    </row>
    <row r="15" spans="1:19" x14ac:dyDescent="0.25">
      <c r="A15" s="43">
        <v>250.00171318181799</v>
      </c>
      <c r="B15">
        <v>18.004276000000001</v>
      </c>
      <c r="C15" s="4">
        <v>1.8549501612903201</v>
      </c>
      <c r="D15" s="26">
        <f>$B$14-B15</f>
        <v>1.0047770000000007</v>
      </c>
      <c r="E15" s="26">
        <f>INDEX(LINEST(D15:D17,C15:C17),1)</f>
        <v>0.54381480016859618</v>
      </c>
      <c r="F15" s="26">
        <f>INDEX(LINEST(D15:D17,C15:C17),2)</f>
        <v>-2.0752079767311304E-2</v>
      </c>
      <c r="G15" s="31">
        <f>D15/C15</f>
        <v>0.54167331336873692</v>
      </c>
      <c r="H15" s="31"/>
      <c r="I15" s="107">
        <f>INDEX(LINEST(J4:J12,I4:I12^{1,2}),1)</f>
        <v>-8.3949126284196922E-3</v>
      </c>
      <c r="J15" s="107">
        <f>INDEX(LINEST(J4:J12,I4:I12^{1,2}),2)</f>
        <v>8.3107161156852946E-2</v>
      </c>
      <c r="K15" s="107">
        <f>INDEX(LINEST(J4:J12,I4:I12^{1,2}),3)</f>
        <v>0.38561127753226188</v>
      </c>
      <c r="M15" s="30">
        <v>5.5</v>
      </c>
      <c r="N15" s="95"/>
      <c r="O15" s="96">
        <f>M15^2*$I$15+$J$15*M15+$K$15</f>
        <v>0.58875455688525746</v>
      </c>
      <c r="P15" s="26">
        <f>L11</f>
        <v>0</v>
      </c>
      <c r="Q15" s="30"/>
      <c r="R15" s="26">
        <f>'DC-he-ipb1-29b-10032016'!O15</f>
        <v>0.57018996896495955</v>
      </c>
      <c r="S15" s="26"/>
    </row>
    <row r="16" spans="1:19" x14ac:dyDescent="0.25">
      <c r="A16" s="43">
        <v>250.00000418181801</v>
      </c>
      <c r="B16">
        <v>17.030066999999999</v>
      </c>
      <c r="C16" s="4">
        <v>3.73130564516129</v>
      </c>
      <c r="D16" s="26">
        <f>$B$14-B16</f>
        <v>1.9789860000000026</v>
      </c>
      <c r="G16" s="31">
        <f t="shared" ref="G16:G17" si="5">D16/C16</f>
        <v>0.53037359792980954</v>
      </c>
      <c r="M16" s="30">
        <v>6</v>
      </c>
      <c r="N16" s="95"/>
      <c r="O16" s="96">
        <f t="shared" ref="O16" si="6">M16^2*$I$15+$J$15*M16+$K$15</f>
        <v>0.58203738985027065</v>
      </c>
      <c r="P16" s="26">
        <f>L12</f>
        <v>0</v>
      </c>
      <c r="Q16" s="30"/>
      <c r="R16" s="26">
        <f>'DC-he-ipb1-29b-10032016'!O16</f>
        <v>0.54796755342150438</v>
      </c>
      <c r="S16" s="26"/>
    </row>
    <row r="17" spans="1:8" x14ac:dyDescent="0.25">
      <c r="A17" s="43">
        <v>250.003044545455</v>
      </c>
      <c r="B17">
        <v>15.631473</v>
      </c>
      <c r="C17" s="4">
        <v>6.2258523548387101</v>
      </c>
      <c r="D17" s="26">
        <f>$B$14-B17</f>
        <v>3.3775800000000018</v>
      </c>
      <c r="G17" s="31">
        <f t="shared" si="5"/>
        <v>0.54250884979226321</v>
      </c>
    </row>
    <row r="18" spans="1:8" x14ac:dyDescent="0.25">
      <c r="A18" s="43">
        <v>249.998334090909</v>
      </c>
      <c r="B18">
        <v>19.013494999999999</v>
      </c>
      <c r="C18" s="4">
        <v>1.2393548387096799E-4</v>
      </c>
    </row>
    <row r="19" spans="1:8" x14ac:dyDescent="0.25">
      <c r="A19" s="43">
        <v>300.00094890909099</v>
      </c>
      <c r="B19">
        <v>24.762968000000001</v>
      </c>
      <c r="C19" s="4">
        <v>9.6838709677419393E-5</v>
      </c>
    </row>
    <row r="20" spans="1:8" x14ac:dyDescent="0.25">
      <c r="A20" s="43">
        <v>300.00117054545501</v>
      </c>
      <c r="B20">
        <v>23.473032</v>
      </c>
      <c r="C20" s="4">
        <v>2.1706589354838699</v>
      </c>
      <c r="D20" s="26">
        <f>$B$19-B20</f>
        <v>1.2899360000000009</v>
      </c>
      <c r="E20" s="26">
        <f>INDEX(LINEST(D20:D22,C20:C22),1)</f>
        <v>0.55575524747672289</v>
      </c>
      <c r="F20" s="26">
        <f>INDEX(LINEST(D20:D22,C20:C22),2)</f>
        <v>9.8122734486107532E-2</v>
      </c>
      <c r="G20" s="31">
        <f>D20/C20</f>
        <v>0.59426010181210542</v>
      </c>
      <c r="H20" s="31"/>
    </row>
    <row r="21" spans="1:8" x14ac:dyDescent="0.25">
      <c r="A21" s="43">
        <v>300.00028863636402</v>
      </c>
      <c r="B21">
        <v>22.375907999999999</v>
      </c>
      <c r="C21" s="4">
        <v>4.0719415806451602</v>
      </c>
      <c r="D21" s="26">
        <f>$B$19-B21</f>
        <v>2.3870600000000017</v>
      </c>
      <c r="G21" s="31">
        <f t="shared" ref="G21:G22" si="7">D21/C21</f>
        <v>0.58622157335120584</v>
      </c>
    </row>
    <row r="22" spans="1:8" x14ac:dyDescent="0.25">
      <c r="A22" s="43">
        <v>300.00099318181799</v>
      </c>
      <c r="B22">
        <v>21.064492999999999</v>
      </c>
      <c r="C22" s="4">
        <v>6.4988046774193498</v>
      </c>
      <c r="D22" s="26">
        <f>$B$19-B22</f>
        <v>3.698475000000002</v>
      </c>
      <c r="G22" s="31">
        <f t="shared" si="7"/>
        <v>0.56910080908427185</v>
      </c>
    </row>
    <row r="23" spans="1:8" x14ac:dyDescent="0.25">
      <c r="A23" s="43">
        <v>299.999997272727</v>
      </c>
      <c r="B23">
        <v>24.762647999999999</v>
      </c>
      <c r="C23" s="4">
        <v>8.6967741935483898E-5</v>
      </c>
    </row>
    <row r="24" spans="1:8" x14ac:dyDescent="0.25">
      <c r="A24" s="43">
        <v>350.00090718181798</v>
      </c>
      <c r="B24">
        <v>31.051947999999999</v>
      </c>
      <c r="C24" s="4">
        <v>6.3387096774193498E-5</v>
      </c>
    </row>
    <row r="25" spans="1:8" x14ac:dyDescent="0.25">
      <c r="A25" s="43">
        <v>349.99930645454498</v>
      </c>
      <c r="B25">
        <v>31.082318999999998</v>
      </c>
      <c r="C25" s="121">
        <v>2.52</v>
      </c>
      <c r="D25" s="122">
        <v>1.5</v>
      </c>
      <c r="E25" s="26">
        <f>INDEX(LINEST(D25:D27,C25:C27),1)</f>
        <v>0.57418539473575259</v>
      </c>
      <c r="F25" s="26">
        <f>INDEX(LINEST(D26:D27,C26:C27),2)</f>
        <v>0.15376608084083587</v>
      </c>
      <c r="G25" s="31">
        <f>D25/C25</f>
        <v>0.59523809523809523</v>
      </c>
      <c r="H25" s="31"/>
    </row>
    <row r="26" spans="1:8" x14ac:dyDescent="0.25">
      <c r="A26" s="43">
        <v>350.00150645454602</v>
      </c>
      <c r="B26">
        <v>28.857875</v>
      </c>
      <c r="C26" s="4">
        <v>3.65401529032258</v>
      </c>
      <c r="D26" s="26">
        <f>$B$24-B26</f>
        <v>2.1940729999999995</v>
      </c>
      <c r="G26" s="31">
        <f t="shared" ref="G26:G27" si="8">D26/C26</f>
        <v>0.60045534177452897</v>
      </c>
    </row>
    <row r="27" spans="1:8" x14ac:dyDescent="0.25">
      <c r="A27" s="43">
        <v>350.00024154545503</v>
      </c>
      <c r="B27">
        <v>27.632655</v>
      </c>
      <c r="C27" s="4">
        <v>5.8482795806451602</v>
      </c>
      <c r="D27" s="26">
        <f>$B$24-B27</f>
        <v>3.4192929999999997</v>
      </c>
      <c r="G27" s="31">
        <f t="shared" si="8"/>
        <v>0.58466647376369041</v>
      </c>
    </row>
    <row r="28" spans="1:8" x14ac:dyDescent="0.25">
      <c r="A28" s="43">
        <v>349.99948963636399</v>
      </c>
      <c r="B28">
        <v>31.010795999999999</v>
      </c>
      <c r="C28" s="4">
        <v>5.88709677419355E-5</v>
      </c>
    </row>
    <row r="29" spans="1:8" x14ac:dyDescent="0.25">
      <c r="A29" s="43">
        <v>399.99948945454503</v>
      </c>
      <c r="B29">
        <v>38.091712000000001</v>
      </c>
      <c r="C29" s="4">
        <v>5.4612903225806497E-5</v>
      </c>
    </row>
    <row r="30" spans="1:8" x14ac:dyDescent="0.25">
      <c r="A30" s="43">
        <v>400.00153418181799</v>
      </c>
      <c r="B30">
        <v>36.667316999999997</v>
      </c>
      <c r="C30" s="4">
        <v>2.2782423548387101</v>
      </c>
      <c r="D30" s="26">
        <f>$B$29-B30</f>
        <v>1.4243950000000041</v>
      </c>
      <c r="E30" s="26">
        <f>INDEX(LINEST(D30:D32,C30:C32),1)</f>
        <v>0.59043911356022083</v>
      </c>
      <c r="F30" s="26">
        <f>INDEX(LINEST(D30:D32,C30:C32),2)</f>
        <v>9.1455704637767976E-2</v>
      </c>
      <c r="G30" s="31">
        <f>D30/C30</f>
        <v>0.62521662674507039</v>
      </c>
    </row>
    <row r="31" spans="1:8" x14ac:dyDescent="0.25">
      <c r="A31" s="43">
        <v>400.00072681818199</v>
      </c>
      <c r="B31">
        <v>35.608688999999998</v>
      </c>
      <c r="C31" s="4">
        <v>4.0135423870967699</v>
      </c>
      <c r="D31" s="26">
        <f t="shared" ref="D31:D32" si="9">$B$29-B31</f>
        <v>2.4830230000000029</v>
      </c>
      <c r="G31" s="31">
        <f t="shared" ref="G31:G32" si="10">D31/C31</f>
        <v>0.61866121259432338</v>
      </c>
    </row>
    <row r="32" spans="1:8" x14ac:dyDescent="0.25">
      <c r="A32" s="43">
        <v>400.00069354545502</v>
      </c>
      <c r="B32">
        <v>34.334187</v>
      </c>
      <c r="C32" s="4">
        <v>6.2252990967741901</v>
      </c>
      <c r="D32" s="26">
        <f t="shared" si="9"/>
        <v>3.7575250000000011</v>
      </c>
      <c r="G32" s="31">
        <f t="shared" si="10"/>
        <v>0.60358947282501907</v>
      </c>
    </row>
    <row r="33" spans="1:7" x14ac:dyDescent="0.25">
      <c r="A33" s="43">
        <v>399.998540636364</v>
      </c>
      <c r="B33">
        <v>38.033830000000002</v>
      </c>
      <c r="C33" s="4">
        <v>5.4451612903225803E-5</v>
      </c>
    </row>
    <row r="34" spans="1:7" x14ac:dyDescent="0.25">
      <c r="A34" s="43">
        <v>449.99777509090899</v>
      </c>
      <c r="B34">
        <v>45.879040000000003</v>
      </c>
      <c r="C34" s="4">
        <v>4.9193548387096802E-5</v>
      </c>
    </row>
    <row r="35" spans="1:7" x14ac:dyDescent="0.25">
      <c r="A35" s="43">
        <v>450.00108481818199</v>
      </c>
      <c r="B35">
        <v>44.567543999999998</v>
      </c>
      <c r="C35" s="4">
        <v>2.1471725806451598</v>
      </c>
      <c r="D35" s="26">
        <f>$B$34-B35</f>
        <v>1.3114960000000053</v>
      </c>
      <c r="E35" s="26">
        <f>INDEX(LINEST(D35:D37,C35:C37),1)</f>
        <v>0.58536410306123443</v>
      </c>
      <c r="F35" s="26">
        <f>INDEX(LINEST(D35:D37,C35:C37),2)</f>
        <v>8.849143267826598E-2</v>
      </c>
      <c r="G35" s="31">
        <f>D35/C35</f>
        <v>0.61080139147731705</v>
      </c>
    </row>
    <row r="36" spans="1:7" x14ac:dyDescent="0.25">
      <c r="A36" s="43">
        <v>449.99985863636402</v>
      </c>
      <c r="B36">
        <v>43.511259000000003</v>
      </c>
      <c r="C36" s="4">
        <v>3.7906927419354801</v>
      </c>
      <c r="D36" s="26">
        <f t="shared" ref="D36:D37" si="11">$B$34-B36</f>
        <v>2.3677810000000008</v>
      </c>
      <c r="G36" s="31">
        <f t="shared" ref="G36:G37" si="12">D36/C36</f>
        <v>0.62463015633154206</v>
      </c>
    </row>
    <row r="37" spans="1:7" x14ac:dyDescent="0.25">
      <c r="A37" s="43">
        <v>449.99996390909098</v>
      </c>
      <c r="B37">
        <v>42.367474000000001</v>
      </c>
      <c r="C37" s="4">
        <v>5.89300825806452</v>
      </c>
      <c r="D37" s="26">
        <f t="shared" si="11"/>
        <v>3.511566000000002</v>
      </c>
      <c r="G37" s="31">
        <f t="shared" si="12"/>
        <v>0.59588682829257211</v>
      </c>
    </row>
    <row r="38" spans="1:7" x14ac:dyDescent="0.25">
      <c r="A38" s="43">
        <v>450.00194754545402</v>
      </c>
      <c r="B38">
        <v>45.828107000000003</v>
      </c>
      <c r="C38" s="4">
        <v>4.6419354838709702E-5</v>
      </c>
    </row>
    <row r="39" spans="1:7" x14ac:dyDescent="0.25">
      <c r="A39" s="43">
        <v>499.99910109090899</v>
      </c>
      <c r="B39">
        <v>54.623745</v>
      </c>
      <c r="C39" s="4">
        <v>5.2483870967741897E-5</v>
      </c>
    </row>
    <row r="40" spans="1:7" x14ac:dyDescent="0.25">
      <c r="A40" s="43">
        <v>499.99965036363602</v>
      </c>
      <c r="B40">
        <v>53.442424000000003</v>
      </c>
      <c r="C40" s="4">
        <v>2.0644112258064502</v>
      </c>
      <c r="D40" s="26">
        <f>$B$39-B40</f>
        <v>1.181320999999997</v>
      </c>
      <c r="E40" s="26">
        <f>INDEX(LINEST(D40:D42,C40:C42),1)</f>
        <v>0.59434790825157446</v>
      </c>
      <c r="F40" s="26">
        <f>INDEX(LINEST(D40:D42,C40:C42),2)</f>
        <v>-3.659736367797306E-2</v>
      </c>
      <c r="G40" s="31">
        <f>D40/C40</f>
        <v>0.57223143588483483</v>
      </c>
    </row>
    <row r="41" spans="1:7" x14ac:dyDescent="0.25">
      <c r="A41" s="43">
        <v>500.00157018181801</v>
      </c>
      <c r="B41">
        <v>52.472591000000001</v>
      </c>
      <c r="C41" s="4">
        <v>3.6538195483871001</v>
      </c>
      <c r="D41" s="26">
        <f t="shared" ref="D41:D42" si="13">$B$39-B41</f>
        <v>2.1511539999999982</v>
      </c>
      <c r="G41" s="31">
        <f t="shared" ref="G41:G42" si="14">D41/C41</f>
        <v>0.58874117112586444</v>
      </c>
    </row>
    <row r="42" spans="1:7" x14ac:dyDescent="0.25">
      <c r="A42" s="43">
        <v>500.00082109090903</v>
      </c>
      <c r="B42">
        <v>51.281956999999998</v>
      </c>
      <c r="C42" s="4">
        <v>5.6960519999999999</v>
      </c>
      <c r="D42" s="26">
        <f t="shared" si="13"/>
        <v>3.3417880000000011</v>
      </c>
      <c r="G42" s="31">
        <f t="shared" si="14"/>
        <v>0.58668495301658086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43"/>
  <sheetViews>
    <sheetView zoomScaleNormal="100" workbookViewId="0">
      <selection activeCell="N29" sqref="N29"/>
    </sheetView>
  </sheetViews>
  <sheetFormatPr defaultColWidth="9" defaultRowHeight="15" x14ac:dyDescent="0.25"/>
  <cols>
    <col min="1" max="1" width="13.28515625" style="28" bestFit="1" customWidth="1"/>
    <col min="2" max="8" width="5.5703125" style="26" customWidth="1"/>
    <col min="9" max="9" width="7" style="27" bestFit="1" customWidth="1"/>
    <col min="10" max="10" width="6.42578125" style="27" bestFit="1" customWidth="1"/>
    <col min="11" max="11" width="7" style="27" bestFit="1" customWidth="1"/>
    <col min="12" max="12" width="6.42578125" style="27" bestFit="1" customWidth="1"/>
    <col min="13" max="13" width="8.5703125" style="27" bestFit="1" customWidth="1"/>
    <col min="14" max="14" width="10.140625" style="27" bestFit="1" customWidth="1"/>
    <col min="15" max="15" width="12.140625" style="27" bestFit="1" customWidth="1"/>
    <col min="16" max="17" width="5.5703125" style="27" customWidth="1"/>
    <col min="18" max="16384" width="9" style="27"/>
  </cols>
  <sheetData>
    <row r="1" spans="1:19" x14ac:dyDescent="0.25">
      <c r="A1" s="132" t="str">
        <f ca="1">MID(CELL("filename",A1),FIND("]",CELL("filename",A1))+1,255)</f>
        <v>DC-h2-ipb1-29b</v>
      </c>
      <c r="B1" s="125" t="s">
        <v>69</v>
      </c>
      <c r="C1" s="25" t="s">
        <v>84</v>
      </c>
      <c r="O1" s="125"/>
    </row>
    <row r="2" spans="1:19" x14ac:dyDescent="0.25">
      <c r="A2" s="133"/>
      <c r="B2" s="125" t="s">
        <v>64</v>
      </c>
      <c r="C2" s="25" t="s">
        <v>80</v>
      </c>
      <c r="O2" s="125"/>
      <c r="P2" s="25"/>
    </row>
    <row r="3" spans="1:19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94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</row>
    <row r="4" spans="1:19" x14ac:dyDescent="0.25">
      <c r="A4" s="43">
        <v>149.99987837930999</v>
      </c>
      <c r="B4" s="4">
        <v>9.5504130000000007</v>
      </c>
      <c r="C4" s="4">
        <v>1.6648275862069E-4</v>
      </c>
      <c r="I4" s="26">
        <f>A5/100</f>
        <v>1.5000087655172398</v>
      </c>
      <c r="J4" s="26">
        <f>E5</f>
        <v>0.4478814859572835</v>
      </c>
      <c r="K4" s="26">
        <f>F5</f>
        <v>4.5507160988492945E-2</v>
      </c>
      <c r="M4" s="30">
        <v>1.5</v>
      </c>
      <c r="N4" s="134">
        <f>J4</f>
        <v>0.4478814859572835</v>
      </c>
      <c r="O4" s="94">
        <f>N4</f>
        <v>0.4478814859572835</v>
      </c>
      <c r="P4" s="26">
        <f>K4</f>
        <v>4.5507160988492945E-2</v>
      </c>
      <c r="Q4" s="30"/>
      <c r="R4" s="26">
        <f>'DC-he-ipb1-29b-10122016'!N4</f>
        <v>0.49163676459044392</v>
      </c>
      <c r="S4" s="26"/>
    </row>
    <row r="5" spans="1:19" x14ac:dyDescent="0.25">
      <c r="A5" s="43">
        <v>150.00087655172399</v>
      </c>
      <c r="B5" s="4">
        <v>8.3425899999999995</v>
      </c>
      <c r="C5" s="4">
        <v>2.5951415172413799</v>
      </c>
      <c r="D5" s="26">
        <f>$B$4-B5</f>
        <v>1.2078230000000012</v>
      </c>
      <c r="E5" s="26">
        <f>INDEX(LINEST(D5:D6,C5:C6),1)</f>
        <v>0.4478814859572835</v>
      </c>
      <c r="F5" s="26">
        <f>INDEX(LINEST(D5:D6,C5:C6),2)</f>
        <v>4.5507160988492945E-2</v>
      </c>
      <c r="G5" s="31">
        <f>D5/C5</f>
        <v>0.4654170078878434</v>
      </c>
      <c r="H5" s="31"/>
      <c r="I5" s="26">
        <f>A10/100</f>
        <v>1.9999914662069</v>
      </c>
      <c r="J5" s="26">
        <f>E10</f>
        <v>0.46795946724441367</v>
      </c>
      <c r="K5" s="26">
        <f>F10</f>
        <v>1.5549341072913947E-2</v>
      </c>
      <c r="M5" s="30">
        <v>2</v>
      </c>
      <c r="N5" s="134">
        <f>J5</f>
        <v>0.46795946724441367</v>
      </c>
      <c r="O5" s="94">
        <f t="shared" ref="O5:O6" si="0">N5</f>
        <v>0.46795946724441367</v>
      </c>
      <c r="P5" s="26">
        <f>K5</f>
        <v>1.5549341072913947E-2</v>
      </c>
      <c r="Q5" s="30"/>
      <c r="R5" s="26">
        <f>'DC-he-ipb1-29b-10122016'!N5</f>
        <v>0.51685078285366837</v>
      </c>
      <c r="S5" s="26"/>
    </row>
    <row r="6" spans="1:19" x14ac:dyDescent="0.25">
      <c r="A6" s="43">
        <v>150.00054306896601</v>
      </c>
      <c r="B6" s="4">
        <v>7.1539489999999999</v>
      </c>
      <c r="C6" s="4">
        <v>5.2490601034482802</v>
      </c>
      <c r="D6" s="26">
        <f t="shared" ref="D6" si="1">$B$4-B6</f>
        <v>2.3964640000000008</v>
      </c>
      <c r="G6" s="31">
        <f>D6/C6</f>
        <v>0.45655106871908074</v>
      </c>
      <c r="I6" s="26">
        <f>A15/100</f>
        <v>2.5000090820689702</v>
      </c>
      <c r="J6" s="26">
        <f>E15</f>
        <v>0.49616245375907758</v>
      </c>
      <c r="K6" s="26">
        <f>F15</f>
        <v>4.7050606023473662E-2</v>
      </c>
      <c r="M6" s="30">
        <v>2.5</v>
      </c>
      <c r="N6" s="134">
        <f>J6</f>
        <v>0.49616245375907758</v>
      </c>
      <c r="O6" s="94">
        <f t="shared" si="0"/>
        <v>0.49616245375907758</v>
      </c>
      <c r="P6" s="26">
        <f>K6</f>
        <v>4.7050606023473662E-2</v>
      </c>
      <c r="Q6" s="30"/>
      <c r="R6" s="26">
        <f>'DC-he-ipb1-29b-10122016'!N6</f>
        <v>0.54381480016859618</v>
      </c>
      <c r="S6" s="26"/>
    </row>
    <row r="7" spans="1:19" x14ac:dyDescent="0.25">
      <c r="A7" s="43">
        <v>150.000560275862</v>
      </c>
      <c r="B7" s="4">
        <v>7.1485500000000002</v>
      </c>
      <c r="C7" s="4"/>
      <c r="G7" s="31"/>
      <c r="I7" s="26">
        <f>A20/100</f>
        <v>3.0000115337930997</v>
      </c>
      <c r="J7" s="26">
        <f>E20</f>
        <v>0.5284040682623824</v>
      </c>
      <c r="K7" s="26">
        <f>F20</f>
        <v>2.8609705166789734E-2</v>
      </c>
      <c r="M7" s="30">
        <v>2.75</v>
      </c>
      <c r="N7" s="134"/>
      <c r="O7" s="96">
        <f>M7^3*$I$15+$J$15*M7^2+$K$15*M7+$L$15</f>
        <v>0.51404700802891057</v>
      </c>
      <c r="P7" s="26">
        <f>P6</f>
        <v>4.7050606023473662E-2</v>
      </c>
      <c r="Q7" s="30"/>
      <c r="R7" s="26"/>
      <c r="S7" s="26"/>
    </row>
    <row r="8" spans="1:19" x14ac:dyDescent="0.25">
      <c r="A8" s="43">
        <v>149.99824103448299</v>
      </c>
      <c r="B8" s="4">
        <v>9.5496149999999993</v>
      </c>
      <c r="C8" s="4">
        <v>1.6441379310344799E-4</v>
      </c>
      <c r="I8" s="26">
        <f>A25/100</f>
        <v>3.5000115434482804</v>
      </c>
      <c r="J8" s="26">
        <f>E25</f>
        <v>0.57015222925348907</v>
      </c>
      <c r="K8" s="26">
        <f>F25</f>
        <v>-8.6000454472652699E-2</v>
      </c>
      <c r="M8" s="30">
        <v>3</v>
      </c>
      <c r="N8" s="134">
        <f>J7</f>
        <v>0.5284040682623824</v>
      </c>
      <c r="O8" s="94">
        <f>N8</f>
        <v>0.5284040682623824</v>
      </c>
      <c r="P8" s="26">
        <f>K7</f>
        <v>2.8609705166789734E-2</v>
      </c>
      <c r="Q8" s="30"/>
      <c r="R8" s="26">
        <f>'DC-he-ipb1-29b-10122016'!N8</f>
        <v>0.55575524747672289</v>
      </c>
      <c r="S8" s="26"/>
    </row>
    <row r="9" spans="1:19" x14ac:dyDescent="0.25">
      <c r="A9" s="43">
        <v>199.999722758621</v>
      </c>
      <c r="B9" s="4">
        <v>14.190897</v>
      </c>
      <c r="C9" s="4">
        <v>1.69758620689655E-4</v>
      </c>
      <c r="I9" s="26">
        <f>A30/100</f>
        <v>3.9999901710344803</v>
      </c>
      <c r="J9" s="26">
        <f>E30</f>
        <v>0.57986436537355046</v>
      </c>
      <c r="K9" s="26">
        <f>F30</f>
        <v>-1.4256870418466239E-2</v>
      </c>
      <c r="M9" s="30">
        <v>3.25</v>
      </c>
      <c r="N9" s="95"/>
      <c r="O9" s="96">
        <f>M9^3*$I$15+$J$15*M9^2+$K$15*M9+$L$15</f>
        <v>0.54825198238411754</v>
      </c>
      <c r="P9" s="26">
        <f>P8</f>
        <v>2.8609705166789734E-2</v>
      </c>
      <c r="Q9" s="30"/>
      <c r="R9" s="26"/>
      <c r="S9" s="26"/>
    </row>
    <row r="10" spans="1:19" x14ac:dyDescent="0.25">
      <c r="A10" s="43">
        <v>199.99914662069</v>
      </c>
      <c r="B10" s="4">
        <v>12.988308999999999</v>
      </c>
      <c r="C10" s="4">
        <v>2.5573857241379301</v>
      </c>
      <c r="D10" s="26">
        <f>$B$9-B10</f>
        <v>1.2025880000000004</v>
      </c>
      <c r="E10" s="26">
        <f>INDEX(LINEST(D10:D12,C10:C12),1)</f>
        <v>0.46795946724441367</v>
      </c>
      <c r="F10" s="26">
        <f>INDEX(LINEST(D10:D12,C10:C12),2)</f>
        <v>1.5549341072913947E-2</v>
      </c>
      <c r="G10" s="31">
        <f>D10/C10</f>
        <v>0.47024114847023368</v>
      </c>
      <c r="H10" s="31"/>
      <c r="I10" s="26">
        <f>A35/100</f>
        <v>4.4999918344827599</v>
      </c>
      <c r="J10" s="26">
        <f>E35</f>
        <v>0.59366027001237243</v>
      </c>
      <c r="K10" s="26">
        <f>F35</f>
        <v>4.7230908055052812E-2</v>
      </c>
      <c r="M10" s="30">
        <v>3.5</v>
      </c>
      <c r="N10" s="108">
        <f>E25</f>
        <v>0.57015222925348907</v>
      </c>
      <c r="O10" s="109">
        <f>N10</f>
        <v>0.57015222925348907</v>
      </c>
      <c r="P10" s="26">
        <f>L9</f>
        <v>0</v>
      </c>
      <c r="Q10" s="30"/>
      <c r="R10" s="26">
        <f>'DC-he-ipb1-29b-10122016'!N10</f>
        <v>0.57418539473575259</v>
      </c>
      <c r="S10" s="26"/>
    </row>
    <row r="11" spans="1:19" x14ac:dyDescent="0.25">
      <c r="A11" s="43">
        <v>200.00041103448299</v>
      </c>
      <c r="B11" s="4">
        <v>11.728319000000001</v>
      </c>
      <c r="C11" s="4">
        <v>5.1931251034482804</v>
      </c>
      <c r="D11" s="26">
        <f>$B$9-B11</f>
        <v>2.4625779999999988</v>
      </c>
      <c r="G11" s="31">
        <f>D11/C11</f>
        <v>0.4741996294995523</v>
      </c>
      <c r="I11" s="26">
        <f>A40/100</f>
        <v>4.9999990117241397</v>
      </c>
      <c r="J11" s="26">
        <f>E40</f>
        <v>0.57211056752480094</v>
      </c>
      <c r="K11" s="26">
        <f>F40</f>
        <v>0.10919386398011532</v>
      </c>
      <c r="M11" s="30">
        <v>3.75</v>
      </c>
      <c r="N11" s="95"/>
      <c r="O11" s="96">
        <f>M11^3*$I$15+$J$15*M11^2+$K$15*M11+$L$15</f>
        <v>0.57627492745650033</v>
      </c>
      <c r="P11" s="26">
        <f>L10</f>
        <v>0</v>
      </c>
      <c r="Q11" s="30"/>
      <c r="R11" s="26"/>
      <c r="S11" s="26"/>
    </row>
    <row r="12" spans="1:19" x14ac:dyDescent="0.25">
      <c r="A12" s="43">
        <v>200.00081496551701</v>
      </c>
      <c r="B12" s="4">
        <v>10.074775000000001</v>
      </c>
      <c r="C12" s="4">
        <v>8.7779291724137902</v>
      </c>
      <c r="D12" s="26">
        <f>$B$9-B12</f>
        <v>4.1161219999999989</v>
      </c>
      <c r="G12" s="31">
        <f>D12/C12</f>
        <v>0.46891720349437854</v>
      </c>
      <c r="I12" s="26"/>
      <c r="J12" s="26"/>
      <c r="K12" s="26"/>
      <c r="M12" s="30">
        <v>4</v>
      </c>
      <c r="N12" s="30">
        <f>E30</f>
        <v>0.57986436537355046</v>
      </c>
      <c r="O12" s="94">
        <f>N12</f>
        <v>0.57986436537355046</v>
      </c>
      <c r="P12" s="26">
        <f>K8</f>
        <v>-8.6000454472652699E-2</v>
      </c>
      <c r="Q12" s="30"/>
      <c r="R12" s="26">
        <f>'DC-he-ipb1-29b-10122016'!N12</f>
        <v>0.59043911356022083</v>
      </c>
      <c r="S12" s="26"/>
    </row>
    <row r="13" spans="1:19" x14ac:dyDescent="0.25">
      <c r="A13" s="43">
        <v>199.99812731034501</v>
      </c>
      <c r="B13" s="4">
        <v>14.185586000000001</v>
      </c>
      <c r="C13" s="4">
        <v>1.80896551724138E-4</v>
      </c>
      <c r="M13" s="30">
        <v>4.5</v>
      </c>
      <c r="N13" s="108">
        <f>J10</f>
        <v>0.59366027001237243</v>
      </c>
      <c r="O13" s="109">
        <f>N13</f>
        <v>0.59366027001237243</v>
      </c>
      <c r="P13" s="26">
        <f>L9</f>
        <v>0</v>
      </c>
      <c r="Q13" s="30"/>
      <c r="R13" s="26">
        <f>'DC-he-ipb1-29b-10122016'!N13</f>
        <v>0.58536410306123443</v>
      </c>
      <c r="S13" s="26"/>
    </row>
    <row r="14" spans="1:19" x14ac:dyDescent="0.25">
      <c r="A14" s="43">
        <v>249.99992106896599</v>
      </c>
      <c r="B14" s="4">
        <v>19.394258000000001</v>
      </c>
      <c r="C14" s="4">
        <v>1.65620689655172E-4</v>
      </c>
      <c r="M14" s="30">
        <v>5</v>
      </c>
      <c r="N14" s="108">
        <f>J11</f>
        <v>0.57211056752480094</v>
      </c>
      <c r="O14" s="109">
        <f>N14</f>
        <v>0.57211056752480094</v>
      </c>
      <c r="P14" s="26">
        <f>L10</f>
        <v>0</v>
      </c>
      <c r="Q14" s="30"/>
      <c r="R14" s="26">
        <f>'DC-he-ipb1-29b-10122016'!N14</f>
        <v>0.59434790825157446</v>
      </c>
      <c r="S14" s="26"/>
    </row>
    <row r="15" spans="1:19" x14ac:dyDescent="0.25">
      <c r="A15" s="4">
        <v>250.00090820689701</v>
      </c>
      <c r="B15">
        <v>18.100327</v>
      </c>
      <c r="C15" s="4">
        <v>2.4905435517241399</v>
      </c>
      <c r="D15" s="26">
        <f>$B$14-B15</f>
        <v>1.2939310000000006</v>
      </c>
      <c r="E15" s="26">
        <f>INDEX(LINEST(D15:D17,C15:C17),1)</f>
        <v>0.49616245375907758</v>
      </c>
      <c r="F15" s="26">
        <f>INDEX(LINEST(D15:D17,C15:C17),2)</f>
        <v>4.7050606023473662E-2</v>
      </c>
      <c r="G15" s="31">
        <f>D15/C15</f>
        <v>0.51953759214700146</v>
      </c>
      <c r="H15" s="31"/>
      <c r="I15" s="107">
        <f>INDEX(LINEST(J4:J11,I4:I11^{1,2,3}),1)</f>
        <v>-9.4962175993989779E-3</v>
      </c>
      <c r="J15" s="107">
        <f>INDEX(LINEST(J4:J11,I4:I11^{1,2,3}),2)</f>
        <v>8.0224063028491596E-2</v>
      </c>
      <c r="K15" s="107">
        <f>INDEX(LINEST(J4:J11,I4:I11^{1,2,3}),3)</f>
        <v>-0.1559430406768007</v>
      </c>
      <c r="L15" s="107">
        <f>INDEX(LINEST(J4:J11,I4:I11^{1,2,3}),4)</f>
        <v>0.53368754362464532</v>
      </c>
      <c r="M15" s="30">
        <v>5.5</v>
      </c>
      <c r="N15" s="95"/>
      <c r="O15" s="96">
        <f t="shared" ref="O15:O16" si="2">M15^3*$I$15+$J$15*M15^2+$K$15*M15+$L$15</f>
        <v>0.5228455234141075</v>
      </c>
      <c r="P15" s="26">
        <f>L11</f>
        <v>0</v>
      </c>
      <c r="Q15" s="30"/>
      <c r="R15" s="26">
        <f>'DC-he-ipb1-29b-10122016'!N15</f>
        <v>0</v>
      </c>
      <c r="S15" s="26"/>
    </row>
    <row r="16" spans="1:19" x14ac:dyDescent="0.25">
      <c r="A16" s="4">
        <v>250.00121855172401</v>
      </c>
      <c r="B16">
        <v>16.865660999999999</v>
      </c>
      <c r="C16" s="4">
        <v>5.0406708275862098</v>
      </c>
      <c r="D16" s="26">
        <f>$B$14-B16</f>
        <v>2.5285970000000013</v>
      </c>
      <c r="G16" s="31">
        <f>D16/C16</f>
        <v>0.5016389854623482</v>
      </c>
      <c r="M16" s="30">
        <v>6</v>
      </c>
      <c r="N16" s="95"/>
      <c r="O16" s="96">
        <f t="shared" si="2"/>
        <v>0.43491256711935955</v>
      </c>
      <c r="P16" s="26">
        <f>L12</f>
        <v>0</v>
      </c>
      <c r="Q16" s="30"/>
      <c r="R16" s="26">
        <f>'DC-he-ipb1-29b-10122016'!N16</f>
        <v>0</v>
      </c>
      <c r="S16" s="26"/>
    </row>
    <row r="17" spans="1:8" x14ac:dyDescent="0.25">
      <c r="A17" s="4">
        <v>250.001515965517</v>
      </c>
      <c r="B17">
        <v>15.131413999999999</v>
      </c>
      <c r="C17" s="4">
        <v>8.4801144137931104</v>
      </c>
      <c r="D17" s="26">
        <f>$B$14-B17</f>
        <v>4.2628440000000012</v>
      </c>
      <c r="G17" s="31">
        <f>D17/C17</f>
        <v>0.50268708557356045</v>
      </c>
    </row>
    <row r="18" spans="1:8" x14ac:dyDescent="0.25">
      <c r="A18" s="4">
        <v>249.999840586207</v>
      </c>
      <c r="B18">
        <v>19.299911000000002</v>
      </c>
      <c r="C18" s="4">
        <v>1.8134482758620701E-4</v>
      </c>
    </row>
    <row r="19" spans="1:8" x14ac:dyDescent="0.25">
      <c r="A19" s="4">
        <v>299.99913806896598</v>
      </c>
      <c r="B19">
        <v>25.170261</v>
      </c>
      <c r="C19" s="4">
        <v>1.5493103448275901E-4</v>
      </c>
    </row>
    <row r="20" spans="1:8" x14ac:dyDescent="0.25">
      <c r="A20" s="4">
        <v>300.00115337930998</v>
      </c>
      <c r="B20">
        <v>23.514621000000002</v>
      </c>
      <c r="C20" s="4">
        <v>3.070119</v>
      </c>
      <c r="D20" s="26">
        <f>$B$19-B20</f>
        <v>1.6556399999999982</v>
      </c>
      <c r="E20" s="26">
        <f>INDEX(LINEST(D20:D22,C20:C22),1)</f>
        <v>0.5284040682623824</v>
      </c>
      <c r="F20" s="26">
        <f>INDEX(LINEST(D20:D22,C20:C22),2)</f>
        <v>2.8609705166789734E-2</v>
      </c>
      <c r="G20" s="31">
        <f>D20/C20</f>
        <v>0.53927551342472335</v>
      </c>
      <c r="H20" s="31"/>
    </row>
    <row r="21" spans="1:8" x14ac:dyDescent="0.25">
      <c r="A21" s="4">
        <v>300.00199513793098</v>
      </c>
      <c r="B21">
        <v>22.095331000000002</v>
      </c>
      <c r="C21" s="4">
        <v>5.7811391379310404</v>
      </c>
      <c r="D21" s="26">
        <f>$B$19-B21</f>
        <v>3.0749299999999984</v>
      </c>
      <c r="G21" s="31">
        <f>D21/C21</f>
        <v>0.53188998338145121</v>
      </c>
    </row>
    <row r="22" spans="1:8" x14ac:dyDescent="0.25">
      <c r="A22" s="4">
        <v>300.00173841379302</v>
      </c>
      <c r="B22">
        <v>20.232700999999999</v>
      </c>
      <c r="C22" s="4">
        <v>9.2831610689655193</v>
      </c>
      <c r="D22" s="26">
        <f>$B$19-B22</f>
        <v>4.9375600000000013</v>
      </c>
      <c r="G22" s="31">
        <f>D22/C22</f>
        <v>0.53188347840981975</v>
      </c>
    </row>
    <row r="23" spans="1:8" x14ac:dyDescent="0.25">
      <c r="A23" s="4">
        <v>299.999728482759</v>
      </c>
      <c r="B23">
        <v>25.176113000000001</v>
      </c>
      <c r="C23" s="4">
        <v>8.0805517241379302E-3</v>
      </c>
    </row>
    <row r="24" spans="1:8" x14ac:dyDescent="0.25">
      <c r="A24" s="4">
        <v>350.00064086206902</v>
      </c>
      <c r="B24">
        <v>31.616672000000001</v>
      </c>
      <c r="C24" s="4">
        <v>7.1347586206896496E-3</v>
      </c>
    </row>
    <row r="25" spans="1:8" x14ac:dyDescent="0.25">
      <c r="A25" s="4">
        <v>350.00115434482802</v>
      </c>
      <c r="B25">
        <v>30.021650000000001</v>
      </c>
      <c r="C25" s="4">
        <v>2.86573820689655</v>
      </c>
      <c r="D25" s="122">
        <v>1.5</v>
      </c>
      <c r="E25" s="26">
        <f>INDEX(LINEST(D25:D27,C25:C27),1)</f>
        <v>0.57015222925348907</v>
      </c>
      <c r="F25" s="26">
        <f>INDEX(LINEST(D26:D27,C26:C27),2)</f>
        <v>-8.6000454472652699E-2</v>
      </c>
      <c r="G25" s="31">
        <f>D25/C25</f>
        <v>0.52342534164152577</v>
      </c>
      <c r="H25" s="31"/>
    </row>
    <row r="26" spans="1:8" x14ac:dyDescent="0.25">
      <c r="A26" s="4">
        <v>350.001830965517</v>
      </c>
      <c r="B26">
        <v>28.650169000000002</v>
      </c>
      <c r="C26" s="4">
        <v>5.4044412758620703</v>
      </c>
      <c r="D26" s="26">
        <f>$B$24-B26</f>
        <v>2.9665029999999994</v>
      </c>
      <c r="G26" s="31">
        <f>D26/C26</f>
        <v>0.5489009591517503</v>
      </c>
    </row>
    <row r="27" spans="1:8" x14ac:dyDescent="0.25">
      <c r="A27" s="4">
        <v>349.99984210344797</v>
      </c>
      <c r="B27">
        <v>26.798099000000001</v>
      </c>
      <c r="C27" s="4">
        <v>8.6835214482758598</v>
      </c>
      <c r="D27" s="26">
        <f>$B$24-B27</f>
        <v>4.8185730000000007</v>
      </c>
      <c r="G27" s="31">
        <f>D27/C27</f>
        <v>0.55491001302895882</v>
      </c>
    </row>
    <row r="28" spans="1:8" x14ac:dyDescent="0.25">
      <c r="A28" s="4">
        <v>349.99919068965499</v>
      </c>
      <c r="B28">
        <v>31.680873999999999</v>
      </c>
      <c r="C28" s="4">
        <v>7.4068965517241404E-5</v>
      </c>
    </row>
    <row r="29" spans="1:8" x14ac:dyDescent="0.25">
      <c r="A29" s="4">
        <v>399.99941486206899</v>
      </c>
      <c r="B29">
        <v>38.822989</v>
      </c>
      <c r="C29" s="4">
        <v>7.2517241379310403E-5</v>
      </c>
    </row>
    <row r="30" spans="1:8" x14ac:dyDescent="0.25">
      <c r="A30" s="4">
        <v>399.99901710344801</v>
      </c>
      <c r="B30">
        <v>36.825333000000001</v>
      </c>
      <c r="C30" s="4">
        <v>3.4585332758620702</v>
      </c>
      <c r="D30" s="26">
        <f>$B$29-B30</f>
        <v>1.9976559999999992</v>
      </c>
      <c r="E30" s="26">
        <f>INDEX(LINEST(D31:D32,C31:C32),1)</f>
        <v>0.57986436537355046</v>
      </c>
      <c r="F30" s="26">
        <f>INDEX(LINEST(D31:D32,C31:C32),2)</f>
        <v>-1.4256870418466239E-2</v>
      </c>
      <c r="G30" s="31">
        <f>D30/C30</f>
        <v>0.57760207598467173</v>
      </c>
    </row>
    <row r="31" spans="1:8" x14ac:dyDescent="0.25">
      <c r="A31" s="4">
        <v>399.99935806896599</v>
      </c>
      <c r="B31">
        <v>36.8247</v>
      </c>
      <c r="C31" s="4">
        <v>3.47071831034483</v>
      </c>
      <c r="D31" s="26">
        <f>$B$29-B31</f>
        <v>1.9982889999999998</v>
      </c>
      <c r="G31" s="31">
        <f>D31/C31</f>
        <v>0.57575660751375168</v>
      </c>
    </row>
    <row r="32" spans="1:8" x14ac:dyDescent="0.25">
      <c r="A32" s="4">
        <v>400.00060200000001</v>
      </c>
      <c r="B32">
        <v>33.335030000000003</v>
      </c>
      <c r="C32" s="4">
        <v>9.4887980689655205</v>
      </c>
      <c r="D32" s="26">
        <f t="shared" ref="D32" si="3">$B$29-B32</f>
        <v>5.4879589999999965</v>
      </c>
      <c r="G32" s="31">
        <f>D32/C32</f>
        <v>0.57836187050382659</v>
      </c>
    </row>
    <row r="33" spans="1:7" x14ac:dyDescent="0.25">
      <c r="A33" s="4">
        <v>399.998825482759</v>
      </c>
      <c r="B33">
        <v>38.757446000000002</v>
      </c>
      <c r="C33" s="4">
        <v>8.9793103448275905E-5</v>
      </c>
    </row>
    <row r="34" spans="1:7" x14ac:dyDescent="0.25">
      <c r="A34" s="4">
        <v>450.00048837931001</v>
      </c>
      <c r="B34">
        <v>46.749696999999998</v>
      </c>
      <c r="C34" s="4">
        <v>8.5275862068965501E-5</v>
      </c>
    </row>
    <row r="35" spans="1:7" x14ac:dyDescent="0.25">
      <c r="A35" s="4">
        <v>449.99918344827603</v>
      </c>
      <c r="B35" s="4">
        <v>44.746231999999999</v>
      </c>
      <c r="C35" s="4">
        <v>3.3074489310344801</v>
      </c>
      <c r="D35" s="26">
        <f>$B$34-B35</f>
        <v>2.0034649999999985</v>
      </c>
      <c r="E35" s="26">
        <f>INDEX(LINEST(D35:D37,C35:C37),1)</f>
        <v>0.59366027001237243</v>
      </c>
      <c r="F35" s="26">
        <f>INDEX(LINEST(D35:D37,C35:C37),2)</f>
        <v>4.7230908055052812E-2</v>
      </c>
      <c r="G35" s="31">
        <f>D35/C35</f>
        <v>0.60574329090951951</v>
      </c>
    </row>
    <row r="36" spans="1:7" x14ac:dyDescent="0.25">
      <c r="A36" s="4">
        <v>450.00056934482802</v>
      </c>
      <c r="B36" s="4">
        <v>43.223050000000001</v>
      </c>
      <c r="C36" s="4">
        <v>5.83916241379311</v>
      </c>
      <c r="D36" s="26">
        <f t="shared" ref="D36:D37" si="4">$B$34-B36</f>
        <v>3.526646999999997</v>
      </c>
      <c r="G36" s="31">
        <f>D36/C36</f>
        <v>0.60396453293873931</v>
      </c>
    </row>
    <row r="37" spans="1:7" x14ac:dyDescent="0.25">
      <c r="A37" s="4">
        <v>450.00206572413799</v>
      </c>
      <c r="B37" s="4">
        <v>41.315516000000002</v>
      </c>
      <c r="C37" s="4">
        <v>9.0836810000000003</v>
      </c>
      <c r="D37" s="26">
        <f t="shared" si="4"/>
        <v>5.4341809999999953</v>
      </c>
      <c r="G37" s="31">
        <f>D37/C37</f>
        <v>0.59823556111228426</v>
      </c>
    </row>
    <row r="38" spans="1:7" x14ac:dyDescent="0.25">
      <c r="A38" s="4">
        <v>449.99836034482797</v>
      </c>
      <c r="B38" s="4">
        <v>46.693198000000002</v>
      </c>
      <c r="C38" s="4">
        <v>9.7862068965517195E-5</v>
      </c>
    </row>
    <row r="39" spans="1:7" x14ac:dyDescent="0.25">
      <c r="A39" s="4">
        <v>500.000332551724</v>
      </c>
      <c r="B39" s="4">
        <v>55.503613000000001</v>
      </c>
      <c r="C39" s="4">
        <v>7.7827586206896595E-5</v>
      </c>
    </row>
    <row r="40" spans="1:7" x14ac:dyDescent="0.25">
      <c r="A40" s="4">
        <v>499.99990117241401</v>
      </c>
      <c r="B40" s="4">
        <v>53.576321</v>
      </c>
      <c r="C40" s="4">
        <v>3.1756438275862102</v>
      </c>
      <c r="D40" s="26">
        <f>$B$39-B40</f>
        <v>1.9272920000000013</v>
      </c>
      <c r="E40" s="26">
        <f>INDEX(LINEST(D40:D42,C40:C42),1)</f>
        <v>0.57211056752480094</v>
      </c>
      <c r="F40" s="26">
        <f>INDEX(LINEST(D40:D42,C40:C42),2)</f>
        <v>0.10919386398011532</v>
      </c>
      <c r="G40" s="31">
        <f>D40/C40</f>
        <v>0.60689803537096465</v>
      </c>
    </row>
    <row r="41" spans="1:7" x14ac:dyDescent="0.25">
      <c r="A41" s="4">
        <v>499.99992641379299</v>
      </c>
      <c r="B41" s="4">
        <v>52.184708000000001</v>
      </c>
      <c r="C41" s="4">
        <v>5.6142774827586202</v>
      </c>
      <c r="D41" s="26">
        <f t="shared" ref="D41:D42" si="5">$B$39-B41</f>
        <v>3.3189050000000009</v>
      </c>
      <c r="G41" s="31">
        <f>D41/C41</f>
        <v>0.591154429076995</v>
      </c>
    </row>
    <row r="42" spans="1:7" x14ac:dyDescent="0.25">
      <c r="A42" s="4">
        <v>500.00021679310299</v>
      </c>
      <c r="B42" s="4">
        <v>50.393075000000003</v>
      </c>
      <c r="C42" s="4">
        <v>8.74017510344828</v>
      </c>
      <c r="D42" s="26">
        <f t="shared" si="5"/>
        <v>5.1105379999999982</v>
      </c>
      <c r="G42" s="31">
        <f>D42/C42</f>
        <v>0.5847180336219725</v>
      </c>
    </row>
    <row r="43" spans="1:7" x14ac:dyDescent="0.25">
      <c r="A43"/>
      <c r="B43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28"/>
  <sheetViews>
    <sheetView workbookViewId="0">
      <selection activeCell="M3" sqref="M3:P16"/>
    </sheetView>
  </sheetViews>
  <sheetFormatPr defaultRowHeight="15" x14ac:dyDescent="0.25"/>
  <cols>
    <col min="1" max="1" width="13.42578125" style="43" bestFit="1" customWidth="1"/>
    <col min="2" max="3" width="5.5703125" style="4" customWidth="1"/>
    <col min="4" max="8" width="5.5703125" customWidth="1"/>
    <col min="9" max="9" width="7" bestFit="1" customWidth="1"/>
    <col min="10" max="10" width="8" bestFit="1" customWidth="1"/>
    <col min="11" max="11" width="7.42578125" bestFit="1" customWidth="1"/>
    <col min="12" max="13" width="5.5703125" customWidth="1"/>
    <col min="14" max="16" width="5.5703125" style="4" customWidth="1"/>
  </cols>
  <sheetData>
    <row r="1" spans="1:20" x14ac:dyDescent="0.25">
      <c r="A1" s="53" t="str">
        <f ca="1">MID(CELL("filename",A1),FIND("]",CELL("filename",A1))+1,255)</f>
        <v>DC-h2-ipb2-28b</v>
      </c>
      <c r="B1" s="125" t="s">
        <v>69</v>
      </c>
      <c r="C1" s="25" t="s">
        <v>71</v>
      </c>
    </row>
    <row r="2" spans="1:20" x14ac:dyDescent="0.25">
      <c r="A2" s="53"/>
      <c r="B2" s="125" t="s">
        <v>62</v>
      </c>
      <c r="C2" s="25" t="s">
        <v>72</v>
      </c>
      <c r="R2" s="125"/>
      <c r="S2" s="25"/>
    </row>
    <row r="3" spans="1:20" ht="60" x14ac:dyDescent="0.25">
      <c r="A3" s="97" t="s">
        <v>1</v>
      </c>
      <c r="B3" s="98" t="s">
        <v>12</v>
      </c>
      <c r="C3" s="98" t="s">
        <v>13</v>
      </c>
      <c r="D3" s="91" t="s">
        <v>14</v>
      </c>
      <c r="E3" s="91" t="s">
        <v>15</v>
      </c>
      <c r="F3" s="91" t="s">
        <v>17</v>
      </c>
      <c r="G3" s="91" t="s">
        <v>28</v>
      </c>
      <c r="H3" s="99"/>
      <c r="I3" s="93" t="s">
        <v>16</v>
      </c>
      <c r="J3" s="93" t="s">
        <v>15</v>
      </c>
      <c r="K3" s="93" t="s">
        <v>17</v>
      </c>
      <c r="L3" s="99"/>
      <c r="M3" s="93" t="s">
        <v>18</v>
      </c>
      <c r="N3" s="92" t="s">
        <v>23</v>
      </c>
      <c r="O3" s="92" t="s">
        <v>19</v>
      </c>
      <c r="P3" s="100" t="s">
        <v>24</v>
      </c>
      <c r="Q3" s="44"/>
    </row>
    <row r="4" spans="1:20" x14ac:dyDescent="0.25">
      <c r="A4" s="43">
        <v>200.002840508475</v>
      </c>
      <c r="B4" s="102">
        <v>13.200298999999999</v>
      </c>
      <c r="C4" s="4">
        <v>9.5474576271186397E-5</v>
      </c>
      <c r="D4" s="26"/>
      <c r="E4" s="26"/>
      <c r="F4" s="26"/>
      <c r="G4" s="26"/>
      <c r="I4" s="26">
        <f>A5/100</f>
        <v>2.0001387277966098</v>
      </c>
      <c r="J4" s="26">
        <f>E5</f>
        <v>0.45225118158322425</v>
      </c>
      <c r="K4" s="26">
        <f>F5</f>
        <v>4.6496645773602907E-2</v>
      </c>
      <c r="L4" s="31"/>
      <c r="M4" s="30">
        <v>1.5</v>
      </c>
      <c r="N4" s="95">
        <f>FORECAST(M4,$J$4:$J$5,$I$4:$I$5)</f>
        <v>0.42800425826817323</v>
      </c>
      <c r="O4" s="96">
        <f>M4^2*$I$10+$J$10*M4+$K$10</f>
        <v>0.41335216422290755</v>
      </c>
      <c r="P4" s="95">
        <f>M4^2*$I$11+$J$11*M4+$K$11</f>
        <v>0</v>
      </c>
      <c r="Q4" s="45"/>
    </row>
    <row r="5" spans="1:20" x14ac:dyDescent="0.25">
      <c r="A5" s="43">
        <v>200.013872779661</v>
      </c>
      <c r="B5" s="4">
        <v>12.438718</v>
      </c>
      <c r="C5" s="4">
        <v>1.60926228813559</v>
      </c>
      <c r="D5" s="26">
        <f>$B$4-B5</f>
        <v>0.76158099999999962</v>
      </c>
      <c r="E5" s="31">
        <f t="array" ref="E5:F5">LINEST(D5:D7,C5:C7)</f>
        <v>0.45225118158322425</v>
      </c>
      <c r="F5" s="31">
        <v>4.6496645773602907E-2</v>
      </c>
      <c r="G5" s="31">
        <f>D5/C5</f>
        <v>0.47324852239116899</v>
      </c>
      <c r="I5" s="26">
        <f>A10/100</f>
        <v>3.0000137072881397</v>
      </c>
      <c r="J5" s="26">
        <f>E10</f>
        <v>0.50072551601274784</v>
      </c>
      <c r="K5" s="26">
        <f>F10</f>
        <v>-4.6776203432279395E-3</v>
      </c>
      <c r="M5" s="30">
        <v>2</v>
      </c>
      <c r="N5" s="30">
        <f>J4</f>
        <v>0.45225118158322425</v>
      </c>
      <c r="O5" s="94">
        <f>N5</f>
        <v>0.45225118158322425</v>
      </c>
      <c r="P5" s="4">
        <f>K4</f>
        <v>4.6496645773602907E-2</v>
      </c>
      <c r="Q5" s="4"/>
    </row>
    <row r="6" spans="1:20" x14ac:dyDescent="0.25">
      <c r="A6" s="43">
        <v>200.01023394915299</v>
      </c>
      <c r="B6" s="4">
        <v>11.718404</v>
      </c>
      <c r="C6" s="4">
        <v>3.1322164067796598</v>
      </c>
      <c r="D6" s="26">
        <f>$B$4-B6</f>
        <v>1.4818949999999997</v>
      </c>
      <c r="E6" s="26"/>
      <c r="F6" s="26"/>
      <c r="G6" s="31">
        <f t="shared" ref="G6:G7" si="0">D6/C6</f>
        <v>0.47311386173460068</v>
      </c>
      <c r="I6" s="26">
        <f>A15/100</f>
        <v>3.9999907369491501</v>
      </c>
      <c r="J6" s="26">
        <f>E15</f>
        <v>0.5497211533591817</v>
      </c>
      <c r="K6" s="26">
        <f>F15</f>
        <v>-3.8901466027035925E-2</v>
      </c>
      <c r="M6" s="30">
        <v>2.5</v>
      </c>
      <c r="N6" s="95">
        <f>FORECAST(M6,$J$4:$J$7,$I$4:$I$7)</f>
        <v>0.48289966642882598</v>
      </c>
      <c r="O6" s="96">
        <f>M6^2*$I$10+$J$10*M6+$K$10</f>
        <v>0.48108908038893228</v>
      </c>
      <c r="P6" s="95">
        <f t="shared" ref="P6:P7" si="1">M6^2*$I$11+$J$11*M6+$K$11</f>
        <v>0</v>
      </c>
      <c r="Q6" s="45"/>
    </row>
    <row r="7" spans="1:20" x14ac:dyDescent="0.25">
      <c r="A7" s="43">
        <v>200.02787344067801</v>
      </c>
      <c r="B7" s="4">
        <v>10.318828999999999</v>
      </c>
      <c r="C7" s="4">
        <v>6.2821653898305101</v>
      </c>
      <c r="D7" s="26">
        <f>$B$4-B7</f>
        <v>2.8814700000000002</v>
      </c>
      <c r="E7" s="26"/>
      <c r="F7" s="26"/>
      <c r="G7" s="31">
        <f t="shared" si="0"/>
        <v>0.45867464818173803</v>
      </c>
      <c r="I7" s="26">
        <f>A20/100</f>
        <v>5.9999637927118599</v>
      </c>
      <c r="J7" s="26">
        <f>E20</f>
        <v>0.55793113930373617</v>
      </c>
      <c r="K7" s="26">
        <f>F20</f>
        <v>3.0409143457279519E-3</v>
      </c>
      <c r="M7" s="30">
        <v>2.75</v>
      </c>
      <c r="N7" s="95">
        <f>FORECAST(M7,$J$4:$J$7,$I$4:$I$7)</f>
        <v>0.48935104464199919</v>
      </c>
      <c r="O7" s="96">
        <f>M7^2*$I$10+$J$10*M7+$K$10</f>
        <v>0.49486046276504769</v>
      </c>
      <c r="P7" s="95">
        <f t="shared" si="1"/>
        <v>0</v>
      </c>
      <c r="Q7" s="45"/>
    </row>
    <row r="8" spans="1:20" x14ac:dyDescent="0.25">
      <c r="A8" s="43">
        <v>199.297415</v>
      </c>
      <c r="B8" s="4">
        <v>13.314454</v>
      </c>
      <c r="C8" s="4">
        <v>4.0949152542372902E-5</v>
      </c>
      <c r="D8" s="26"/>
      <c r="E8" s="26"/>
      <c r="F8" s="26"/>
      <c r="G8" s="26"/>
      <c r="I8" s="26"/>
      <c r="J8" s="26"/>
      <c r="K8" s="26"/>
      <c r="M8" s="30">
        <v>3</v>
      </c>
      <c r="N8" s="30">
        <f>J5</f>
        <v>0.50072551601274784</v>
      </c>
      <c r="O8" s="94">
        <f>N8</f>
        <v>0.50072551601274784</v>
      </c>
      <c r="P8" s="4">
        <f>K5</f>
        <v>-4.6776203432279395E-3</v>
      </c>
      <c r="Q8" s="4"/>
    </row>
    <row r="9" spans="1:20" x14ac:dyDescent="0.25">
      <c r="A9" s="43">
        <v>300.03800883050798</v>
      </c>
      <c r="B9" s="4">
        <v>23.582187000000001</v>
      </c>
      <c r="C9" s="4">
        <v>3.4288135593220301E-5</v>
      </c>
      <c r="D9" s="26"/>
      <c r="E9" s="26"/>
      <c r="F9" s="26"/>
      <c r="G9" s="26"/>
      <c r="I9" s="26" t="s">
        <v>20</v>
      </c>
      <c r="J9" s="26" t="s">
        <v>21</v>
      </c>
      <c r="K9" s="26" t="s">
        <v>6</v>
      </c>
      <c r="M9" s="30">
        <v>3.25</v>
      </c>
      <c r="N9" s="95">
        <f>FORECAST(M9,$J$5:$J$6,$I$5:$I$6)</f>
        <v>0.51297403510467321</v>
      </c>
      <c r="O9" s="96">
        <f>M9^2*$I$10+$J$10*M9+$K$10</f>
        <v>0.51860781151880964</v>
      </c>
      <c r="P9" s="95">
        <f t="shared" ref="P9:P11" si="2">M9^2*$I$11+$J$11*M9+$K$11</f>
        <v>0</v>
      </c>
      <c r="Q9" s="45"/>
    </row>
    <row r="10" spans="1:20" x14ac:dyDescent="0.25">
      <c r="A10" s="43">
        <v>300.00137072881398</v>
      </c>
      <c r="B10" s="4">
        <v>22.751487000000001</v>
      </c>
      <c r="C10" s="4">
        <v>1.3128321525423701</v>
      </c>
      <c r="D10" s="26">
        <f>$B$13-B10</f>
        <v>0.66202299999999781</v>
      </c>
      <c r="E10" s="31">
        <f t="array" ref="E10:F10">LINEST(D10:D12,C10:C12)</f>
        <v>0.50072551601274784</v>
      </c>
      <c r="F10" s="31">
        <v>-4.6776203432279395E-3</v>
      </c>
      <c r="G10" s="31">
        <f>D10/C10</f>
        <v>0.50427086106777219</v>
      </c>
      <c r="H10" s="46" t="s">
        <v>15</v>
      </c>
      <c r="I10" s="107">
        <f>INDEX(LINEST(J4:J7,I4:I7^{1,2}),1)</f>
        <v>-1.012110932925037E-2</v>
      </c>
      <c r="J10" s="107">
        <f>INDEX(LINEST(J4:J7,I4:I7^{1,2}),2)</f>
        <v>0.10822135348302617</v>
      </c>
      <c r="K10" s="107">
        <f>INDEX(LINEST(J4:J7,I4:I7^{1,2}),3)</f>
        <v>0.27379262998918164</v>
      </c>
      <c r="M10" s="30">
        <v>3.5</v>
      </c>
      <c r="N10" s="95">
        <f>FORECAST(M10,$J$5:$J$6,$I$5:$I$6)</f>
        <v>0.52522322580934455</v>
      </c>
      <c r="O10" s="96">
        <f>M10^2*$I$10+$J$10*M10+$K$10</f>
        <v>0.52858377789645616</v>
      </c>
      <c r="P10" s="95">
        <f t="shared" si="2"/>
        <v>0</v>
      </c>
      <c r="Q10" s="45"/>
    </row>
    <row r="11" spans="1:20" x14ac:dyDescent="0.25">
      <c r="A11" s="43">
        <v>299.99938191525399</v>
      </c>
      <c r="B11" s="4">
        <v>22.146601</v>
      </c>
      <c r="C11" s="4">
        <v>2.5670454745762701</v>
      </c>
      <c r="D11" s="26">
        <f t="shared" ref="D11:D12" si="3">$B$13-B11</f>
        <v>1.2669089999999983</v>
      </c>
      <c r="E11" s="26"/>
      <c r="F11" s="26"/>
      <c r="G11" s="31">
        <f t="shared" ref="G11:G12" si="4">D11/C11</f>
        <v>0.49352807051815895</v>
      </c>
      <c r="H11" s="119"/>
      <c r="I11" s="120"/>
      <c r="J11" s="120"/>
      <c r="K11" s="120"/>
      <c r="M11" s="30">
        <v>3.75</v>
      </c>
      <c r="N11" s="95">
        <f>FORECAST(M11,$J$5:$J$6,$I$5:$I$6)</f>
        <v>0.53747241651401578</v>
      </c>
      <c r="O11" s="96">
        <f>M11^2*$I$10+$J$10*M11+$K$10</f>
        <v>0.5372946056079464</v>
      </c>
      <c r="P11" s="95">
        <f t="shared" si="2"/>
        <v>0</v>
      </c>
      <c r="Q11" s="45"/>
    </row>
    <row r="12" spans="1:20" x14ac:dyDescent="0.25">
      <c r="A12" s="43">
        <v>299.99500798305098</v>
      </c>
      <c r="B12" s="4">
        <v>20.816188</v>
      </c>
      <c r="C12" s="4">
        <v>5.1875389830508496</v>
      </c>
      <c r="D12" s="26">
        <f t="shared" si="3"/>
        <v>2.5973219999999984</v>
      </c>
      <c r="E12" s="26"/>
      <c r="F12" s="26"/>
      <c r="G12" s="31">
        <f t="shared" si="4"/>
        <v>0.5006848157645043</v>
      </c>
      <c r="I12" s="107"/>
      <c r="J12" s="107"/>
      <c r="K12" s="107"/>
      <c r="L12" s="41"/>
      <c r="M12" s="30">
        <v>4</v>
      </c>
      <c r="N12" s="30">
        <f>J6</f>
        <v>0.5497211533591817</v>
      </c>
      <c r="O12" s="94">
        <f>N12</f>
        <v>0.5497211533591817</v>
      </c>
      <c r="P12" s="4">
        <f>K6</f>
        <v>-3.8901466027035925E-2</v>
      </c>
      <c r="Q12" s="4"/>
    </row>
    <row r="13" spans="1:20" x14ac:dyDescent="0.25">
      <c r="A13" s="43">
        <v>300.00461957627101</v>
      </c>
      <c r="B13" s="102">
        <v>23.413509999999999</v>
      </c>
      <c r="C13" s="4">
        <v>4.1830508474576298E-5</v>
      </c>
      <c r="D13" s="26"/>
      <c r="E13" s="26"/>
      <c r="F13" s="26"/>
      <c r="G13" s="26"/>
      <c r="M13" s="30">
        <v>4.5</v>
      </c>
      <c r="N13" s="95">
        <f>FORECAST(M13,$J$6:$J$7,$I$6:$I$7)</f>
        <v>0.55177371552243992</v>
      </c>
      <c r="O13" s="96">
        <f>M13^2*$I$10+$J$10*M13+$K$10</f>
        <v>0.55583625674547943</v>
      </c>
      <c r="P13" s="95">
        <f t="shared" ref="P13:P15" si="5">M13^2*$I$11+$J$11*M13+$K$11</f>
        <v>0</v>
      </c>
      <c r="Q13" s="45"/>
      <c r="T13" s="45"/>
    </row>
    <row r="14" spans="1:20" x14ac:dyDescent="0.25">
      <c r="A14" s="43">
        <v>400.055085813559</v>
      </c>
      <c r="B14" s="4">
        <v>36.177188999999998</v>
      </c>
      <c r="C14" s="4">
        <v>3.4728813559321999E-5</v>
      </c>
      <c r="D14" s="26"/>
      <c r="E14" s="26"/>
      <c r="F14" s="26"/>
      <c r="G14" s="26"/>
      <c r="I14" s="70"/>
      <c r="J14" s="70"/>
      <c r="K14" s="70"/>
      <c r="M14" s="30">
        <v>5</v>
      </c>
      <c r="N14" s="95">
        <f>FORECAST(M14,$J$6:$J$7,$I$6:$I$7)</f>
        <v>0.55382623966042721</v>
      </c>
      <c r="O14" s="96">
        <f>M14^2*$I$10+$J$10*M14+$K$10</f>
        <v>0.56187166417305323</v>
      </c>
      <c r="P14" s="95">
        <f t="shared" si="5"/>
        <v>0</v>
      </c>
      <c r="Q14" s="45"/>
    </row>
    <row r="15" spans="1:20" x14ac:dyDescent="0.25">
      <c r="A15" s="43">
        <v>399.99907369491501</v>
      </c>
      <c r="B15" s="4">
        <v>35.465138000000003</v>
      </c>
      <c r="C15" s="4">
        <v>1.0984414406779699</v>
      </c>
      <c r="D15" s="26">
        <f>$B$18-B15</f>
        <v>0.56349499999999608</v>
      </c>
      <c r="E15" s="31">
        <f t="array" ref="E15:F15">LINEST(D15:D17,C15:C17)</f>
        <v>0.5497211533591817</v>
      </c>
      <c r="F15" s="31">
        <v>-3.8901466027035925E-2</v>
      </c>
      <c r="G15" s="31">
        <f>D15/C15</f>
        <v>0.51299503016947434</v>
      </c>
      <c r="M15" s="30">
        <v>5.5</v>
      </c>
      <c r="N15" s="95">
        <f t="shared" ref="N15" si="6">FORECAST(M15,$J$6:$J$7,$I$6:$I$7)</f>
        <v>0.55587876379841461</v>
      </c>
      <c r="O15" s="96">
        <f>M15^2*$I$10+$J$10*M15+$K$10</f>
        <v>0.56284651693600185</v>
      </c>
      <c r="P15" s="95">
        <f t="shared" si="5"/>
        <v>0</v>
      </c>
      <c r="Q15" s="45"/>
    </row>
    <row r="16" spans="1:20" x14ac:dyDescent="0.25">
      <c r="A16" s="43">
        <v>399.997990474576</v>
      </c>
      <c r="B16" s="4">
        <v>34.882339999999999</v>
      </c>
      <c r="C16" s="4">
        <v>2.1521238135593199</v>
      </c>
      <c r="D16" s="26">
        <f t="shared" ref="D16:D17" si="7">$B$18-B16</f>
        <v>1.146293</v>
      </c>
      <c r="E16" s="26"/>
      <c r="F16" s="26"/>
      <c r="G16" s="31">
        <f t="shared" ref="G16:G17" si="8">D16/C16</f>
        <v>0.53263338883100197</v>
      </c>
      <c r="M16" s="30">
        <v>6</v>
      </c>
      <c r="N16" s="30">
        <f>J7</f>
        <v>0.55793113930373617</v>
      </c>
      <c r="O16" s="94">
        <f>N16</f>
        <v>0.55793113930373617</v>
      </c>
      <c r="P16" s="4">
        <f>K7</f>
        <v>3.0409143457279519E-3</v>
      </c>
      <c r="Q16" s="4"/>
    </row>
    <row r="17" spans="1:7" x14ac:dyDescent="0.25">
      <c r="A17" s="43">
        <v>399.99551440677999</v>
      </c>
      <c r="B17" s="4">
        <v>33.670048000000001</v>
      </c>
      <c r="C17" s="4">
        <v>4.36252616949153</v>
      </c>
      <c r="D17" s="26">
        <f t="shared" si="7"/>
        <v>2.3585849999999979</v>
      </c>
      <c r="E17" s="26"/>
      <c r="F17" s="26"/>
      <c r="G17" s="31">
        <f t="shared" si="8"/>
        <v>0.54064661353650989</v>
      </c>
    </row>
    <row r="18" spans="1:7" x14ac:dyDescent="0.25">
      <c r="A18" s="43">
        <v>400.01121910169502</v>
      </c>
      <c r="B18" s="102">
        <v>36.028632999999999</v>
      </c>
      <c r="C18" s="4">
        <v>4.7745762711864401E-5</v>
      </c>
      <c r="D18" s="26"/>
      <c r="E18" s="26"/>
      <c r="F18" s="26"/>
      <c r="G18" s="26"/>
    </row>
    <row r="19" spans="1:7" x14ac:dyDescent="0.25">
      <c r="A19" s="43">
        <v>600.00105620339002</v>
      </c>
      <c r="B19" s="102">
        <v>71.912785</v>
      </c>
      <c r="C19" s="4">
        <v>3.5898305084745797E-5</v>
      </c>
      <c r="D19" s="26"/>
      <c r="E19" s="26"/>
      <c r="F19" s="26"/>
      <c r="G19" s="26"/>
    </row>
    <row r="20" spans="1:7" x14ac:dyDescent="0.25">
      <c r="A20" s="43">
        <v>599.99637927118602</v>
      </c>
      <c r="B20" s="4">
        <v>71.342080999999993</v>
      </c>
      <c r="C20" s="4">
        <v>0.97600622033898299</v>
      </c>
      <c r="D20" s="26">
        <f>$B$19-B20</f>
        <v>0.57070400000000632</v>
      </c>
      <c r="E20" s="31">
        <f t="array" ref="E20:F20">LINEST(D20:D22,C20:C22)</f>
        <v>0.55793113930373617</v>
      </c>
      <c r="F20" s="31">
        <v>3.0409143457279519E-3</v>
      </c>
      <c r="G20" s="31">
        <f>D20/C20</f>
        <v>0.58473397823406437</v>
      </c>
    </row>
    <row r="21" spans="1:7" x14ac:dyDescent="0.25">
      <c r="A21" s="43">
        <v>599.99661918644097</v>
      </c>
      <c r="B21" s="4">
        <v>70.873514999999998</v>
      </c>
      <c r="C21" s="4">
        <v>1.9184015254237301</v>
      </c>
      <c r="D21" s="26">
        <f>$B$19-B21</f>
        <v>1.0392700000000019</v>
      </c>
      <c r="E21" s="26"/>
      <c r="F21" s="26"/>
      <c r="G21" s="31">
        <f t="shared" ref="G21:G22" si="9">D21/C21</f>
        <v>0.54173747582402043</v>
      </c>
    </row>
    <row r="22" spans="1:7" x14ac:dyDescent="0.25">
      <c r="A22" s="43">
        <v>599.99194540678002</v>
      </c>
      <c r="B22" s="4">
        <v>69.722155000000001</v>
      </c>
      <c r="C22" s="4">
        <v>3.9012001525423701</v>
      </c>
      <c r="D22" s="26">
        <f>$B$19-B22</f>
        <v>2.1906299999999987</v>
      </c>
      <c r="E22" s="26"/>
      <c r="F22" s="26"/>
      <c r="G22" s="31">
        <f t="shared" si="9"/>
        <v>0.56152720043661153</v>
      </c>
    </row>
    <row r="23" spans="1:7" x14ac:dyDescent="0.25">
      <c r="D23" s="26"/>
      <c r="E23" s="26"/>
      <c r="F23" s="26"/>
      <c r="G23" s="26"/>
    </row>
    <row r="24" spans="1:7" x14ac:dyDescent="0.25">
      <c r="D24" s="26"/>
      <c r="E24" s="26"/>
      <c r="F24" s="26"/>
      <c r="G24" s="26"/>
    </row>
    <row r="25" spans="1:7" x14ac:dyDescent="0.25">
      <c r="D25" s="26"/>
      <c r="E25" s="31"/>
      <c r="F25" s="31"/>
      <c r="G25" s="31"/>
    </row>
    <row r="26" spans="1:7" x14ac:dyDescent="0.25">
      <c r="D26" s="26"/>
      <c r="E26" s="26"/>
      <c r="F26" s="26"/>
      <c r="G26" s="31"/>
    </row>
    <row r="27" spans="1:7" x14ac:dyDescent="0.25">
      <c r="D27" s="26"/>
      <c r="E27" s="26"/>
      <c r="F27" s="26"/>
      <c r="G27" s="31"/>
    </row>
    <row r="28" spans="1:7" x14ac:dyDescent="0.25">
      <c r="D28" s="26"/>
      <c r="E28" s="26"/>
      <c r="F28" s="26"/>
      <c r="G28" s="26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T42"/>
  <sheetViews>
    <sheetView zoomScaleNormal="100" workbookViewId="0">
      <selection activeCell="M3" sqref="M3:T16"/>
    </sheetView>
  </sheetViews>
  <sheetFormatPr defaultColWidth="9" defaultRowHeight="15" x14ac:dyDescent="0.25"/>
  <cols>
    <col min="1" max="1" width="15.7109375" style="28" bestFit="1" customWidth="1"/>
    <col min="2" max="2" width="5.5703125" style="26" customWidth="1"/>
    <col min="3" max="3" width="12.28515625" style="26" customWidth="1"/>
    <col min="4" max="4" width="7.7109375" style="26" customWidth="1"/>
    <col min="5" max="6" width="5.5703125" style="26" customWidth="1"/>
    <col min="7" max="7" width="9.85546875" style="26" bestFit="1" customWidth="1"/>
    <col min="8" max="8" width="5.5703125" style="26" customWidth="1"/>
    <col min="9" max="9" width="7" style="27" bestFit="1" customWidth="1"/>
    <col min="10" max="11" width="6.42578125" style="27" bestFit="1" customWidth="1"/>
    <col min="12" max="12" width="5.5703125" style="27" customWidth="1"/>
    <col min="13" max="13" width="8.5703125" style="27" bestFit="1" customWidth="1"/>
    <col min="14" max="14" width="10.140625" style="27" bestFit="1" customWidth="1"/>
    <col min="15" max="15" width="12.140625" style="27" bestFit="1" customWidth="1"/>
    <col min="16" max="17" width="5.5703125" style="27" customWidth="1"/>
    <col min="18" max="16384" width="9" style="27"/>
  </cols>
  <sheetData>
    <row r="1" spans="1:20" x14ac:dyDescent="0.25">
      <c r="A1" s="118" t="str">
        <f ca="1">MID(CELL("filename",A1),FIND("]",CELL("filename",A1))+1,255)</f>
        <v>DC-h2-sri-ipb2-27b</v>
      </c>
      <c r="B1" s="125" t="s">
        <v>69</v>
      </c>
      <c r="C1" s="25" t="s">
        <v>68</v>
      </c>
    </row>
    <row r="2" spans="1:20" x14ac:dyDescent="0.25">
      <c r="A2" s="118"/>
      <c r="B2" s="125" t="s">
        <v>64</v>
      </c>
      <c r="C2" s="25" t="s">
        <v>73</v>
      </c>
      <c r="O2" s="25"/>
      <c r="P2" s="25"/>
    </row>
    <row r="3" spans="1:20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28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  <c r="Q3" s="27" t="s">
        <v>81</v>
      </c>
      <c r="S3" s="27" t="s">
        <v>82</v>
      </c>
      <c r="T3" s="27" t="s">
        <v>83</v>
      </c>
    </row>
    <row r="4" spans="1:20" x14ac:dyDescent="0.25">
      <c r="A4" s="43">
        <v>121.458389</v>
      </c>
      <c r="B4">
        <f>B8</f>
        <v>9.3409230000000001</v>
      </c>
      <c r="C4" s="4">
        <v>6.5600000000000001E-4</v>
      </c>
      <c r="I4" s="26">
        <f>A5/100</f>
        <v>1.5001390100000001</v>
      </c>
      <c r="J4" s="26">
        <f>E5</f>
        <v>0.41084043000987536</v>
      </c>
      <c r="K4" s="26">
        <f>F5</f>
        <v>3.16822469613256E-2</v>
      </c>
      <c r="M4" s="30">
        <v>1.5</v>
      </c>
      <c r="N4" s="26">
        <f>J4</f>
        <v>0.41084043000987536</v>
      </c>
      <c r="O4" s="94">
        <f>N4</f>
        <v>0.41084043000987536</v>
      </c>
      <c r="P4" s="26">
        <f>K4</f>
        <v>3.16822469613256E-2</v>
      </c>
      <c r="Q4" s="126">
        <f>'DC-h2-ipb2-28b'!O4</f>
        <v>0.41335216422290755</v>
      </c>
      <c r="R4" s="26">
        <f t="shared" ref="R4:R16" si="0">O4-Q4</f>
        <v>-2.5117342130321907E-3</v>
      </c>
      <c r="S4" s="26">
        <f>'DC-he-ipb1-29b-10122016'!O4</f>
        <v>0.49163676459044392</v>
      </c>
      <c r="T4" s="26">
        <f>'DC-h2-ipb1-29b'!O4</f>
        <v>0.4478814859572835</v>
      </c>
    </row>
    <row r="5" spans="1:20" x14ac:dyDescent="0.25">
      <c r="A5" s="43">
        <v>150.013901</v>
      </c>
      <c r="B5">
        <v>7.6454899999999997</v>
      </c>
      <c r="C5" s="4">
        <v>4.081588</v>
      </c>
      <c r="D5" s="26">
        <f>$B$4-B5</f>
        <v>1.6954330000000004</v>
      </c>
      <c r="E5" s="26">
        <f>INDEX(LINEST(D5:D7,C5:C7),1)</f>
        <v>0.41084043000987536</v>
      </c>
      <c r="F5" s="26">
        <f>INDEX(LINEST(D5:D7,C5:C7),2)</f>
        <v>3.16822469613256E-2</v>
      </c>
      <c r="G5" s="31">
        <f>D5/C5</f>
        <v>0.41538562931878487</v>
      </c>
      <c r="H5" s="31"/>
      <c r="I5" s="26">
        <f>A10/100</f>
        <v>2.0000372300000002</v>
      </c>
      <c r="J5" s="26">
        <f>E10</f>
        <v>0.4380935452446082</v>
      </c>
      <c r="K5" s="26">
        <f>F10</f>
        <v>0.14662166096612816</v>
      </c>
      <c r="M5" s="30">
        <v>2</v>
      </c>
      <c r="N5" s="26">
        <f>J5</f>
        <v>0.4380935452446082</v>
      </c>
      <c r="O5" s="94">
        <f t="shared" ref="O5:O6" si="1">N5</f>
        <v>0.4380935452446082</v>
      </c>
      <c r="P5" s="26">
        <f>K5</f>
        <v>0.14662166096612816</v>
      </c>
      <c r="Q5" s="128">
        <f>'DC-h2-ipb2-28b'!O5</f>
        <v>0.45225118158322425</v>
      </c>
      <c r="R5" s="26">
        <f t="shared" si="0"/>
        <v>-1.4157636338616053E-2</v>
      </c>
      <c r="S5" s="26">
        <f>'DC-he-ipb1-29b-10122016'!O5</f>
        <v>0.51685078285366837</v>
      </c>
      <c r="T5" s="26">
        <f>'DC-h2-ipb1-29b'!O5</f>
        <v>0.46795946724441367</v>
      </c>
    </row>
    <row r="6" spans="1:20" x14ac:dyDescent="0.25">
      <c r="A6" s="43">
        <v>149.990555</v>
      </c>
      <c r="B6">
        <v>5.9639499999999996</v>
      </c>
      <c r="C6" s="4">
        <v>8.0829489999999993</v>
      </c>
      <c r="D6" s="26">
        <f t="shared" ref="D6:D7" si="2">$B$4-B6</f>
        <v>3.3769730000000004</v>
      </c>
      <c r="G6" s="31">
        <f t="shared" ref="G6:G7" si="3">D6/C6</f>
        <v>0.41778972006380355</v>
      </c>
      <c r="I6" s="26">
        <f>A15/100</f>
        <v>2.4999970999999999</v>
      </c>
      <c r="J6" s="26">
        <f>E15</f>
        <v>0.47839048915851073</v>
      </c>
      <c r="K6" s="26">
        <f>F15</f>
        <v>6.0570896685289366E-2</v>
      </c>
      <c r="M6" s="30">
        <v>2.5</v>
      </c>
      <c r="N6" s="26">
        <f>J6</f>
        <v>0.47839048915851073</v>
      </c>
      <c r="O6" s="94">
        <f t="shared" si="1"/>
        <v>0.47839048915851073</v>
      </c>
      <c r="P6" s="26">
        <f>K6</f>
        <v>6.0570896685289366E-2</v>
      </c>
      <c r="Q6" s="126">
        <f>'DC-h2-ipb2-28b'!O6</f>
        <v>0.48108908038893228</v>
      </c>
      <c r="R6" s="26">
        <f t="shared" si="0"/>
        <v>-2.6985912304215431E-3</v>
      </c>
      <c r="S6" s="26">
        <f>'DC-he-ipb1-29b-10122016'!O6</f>
        <v>0.54381480016859618</v>
      </c>
      <c r="T6" s="26">
        <f>'DC-h2-ipb1-29b'!O6</f>
        <v>0.49616245375907758</v>
      </c>
    </row>
    <row r="7" spans="1:20" x14ac:dyDescent="0.25">
      <c r="A7" s="43">
        <v>150.00479100000001</v>
      </c>
      <c r="B7">
        <v>4.0992949999999997</v>
      </c>
      <c r="C7" s="4">
        <v>12.708836</v>
      </c>
      <c r="D7" s="26">
        <f t="shared" si="2"/>
        <v>5.2416280000000004</v>
      </c>
      <c r="G7" s="31">
        <f t="shared" si="3"/>
        <v>0.41243966009160876</v>
      </c>
      <c r="I7" s="26">
        <f>A20/100</f>
        <v>2.9999661300000002</v>
      </c>
      <c r="J7" s="26">
        <f>E20</f>
        <v>0.50850058684966015</v>
      </c>
      <c r="K7" s="26">
        <f>F20</f>
        <v>0.11610757219407075</v>
      </c>
      <c r="M7" s="30">
        <v>2.75</v>
      </c>
      <c r="N7" s="95"/>
      <c r="O7" s="96">
        <f>M7^2*$I$15+$J$15*M7+$K$15</f>
        <v>0.49517471573506122</v>
      </c>
      <c r="P7" s="26">
        <f>P6</f>
        <v>6.0570896685289366E-2</v>
      </c>
      <c r="Q7" s="126">
        <f>'DC-h2-ipb2-28b'!O7</f>
        <v>0.49486046276504769</v>
      </c>
      <c r="R7" s="26">
        <f t="shared" si="0"/>
        <v>3.1425297001352881E-4</v>
      </c>
      <c r="S7" s="122">
        <f>'DC-he-ipb1-29b-10122016'!O7</f>
        <v>0.55066944396118356</v>
      </c>
      <c r="T7" s="122">
        <f>'DC-h2-ipb1-29b'!O7</f>
        <v>0.51404700802891057</v>
      </c>
    </row>
    <row r="8" spans="1:20" x14ac:dyDescent="0.25">
      <c r="A8" s="43">
        <v>149.99766500000001</v>
      </c>
      <c r="B8">
        <v>9.3409230000000001</v>
      </c>
      <c r="C8" s="4">
        <v>6.4099999999999997E-4</v>
      </c>
      <c r="I8" s="26">
        <f>A25/100</f>
        <v>3.5000030500000001</v>
      </c>
      <c r="J8" s="26">
        <f>E25</f>
        <v>0.53696652633833164</v>
      </c>
      <c r="K8" s="26">
        <f>F25</f>
        <v>9.499183190019167E-2</v>
      </c>
      <c r="M8" s="30">
        <v>3</v>
      </c>
      <c r="N8" s="30">
        <f>J7</f>
        <v>0.50850058684966015</v>
      </c>
      <c r="O8" s="94">
        <f>N8</f>
        <v>0.50850058684966015</v>
      </c>
      <c r="P8" s="26">
        <f>K7</f>
        <v>0.11610757219407075</v>
      </c>
      <c r="Q8" s="128">
        <f>'DC-h2-ipb2-28b'!O8</f>
        <v>0.50072551601274784</v>
      </c>
      <c r="R8" s="26">
        <f t="shared" si="0"/>
        <v>7.7750708369123123E-3</v>
      </c>
      <c r="S8" s="26">
        <f>'DC-he-ipb1-29b-10122016'!O8</f>
        <v>0.55575524747672289</v>
      </c>
      <c r="T8" s="26">
        <f>'DC-h2-ipb1-29b'!O8</f>
        <v>0.5284040682623824</v>
      </c>
    </row>
    <row r="9" spans="1:20" x14ac:dyDescent="0.25">
      <c r="A9" s="43">
        <v>199.99108899999999</v>
      </c>
      <c r="B9">
        <v>14.025439</v>
      </c>
      <c r="C9" s="4">
        <v>5.6499999999999996E-4</v>
      </c>
      <c r="I9" s="26">
        <f>A30/100</f>
        <v>4.0001550300000002</v>
      </c>
      <c r="J9" s="26">
        <f>E30</f>
        <v>0.55861664491690266</v>
      </c>
      <c r="K9" s="26">
        <f>F30</f>
        <v>0.13793617787468992</v>
      </c>
      <c r="M9" s="30">
        <v>3.25</v>
      </c>
      <c r="N9" s="95"/>
      <c r="O9" s="96">
        <f t="shared" ref="O9:O11" si="4">M9^2*$I$15+$J$15*M9+$K$15</f>
        <v>0.52307930407047754</v>
      </c>
      <c r="P9" s="26">
        <f>P8</f>
        <v>0.11610757219407075</v>
      </c>
      <c r="Q9" s="126">
        <f>'DC-h2-ipb2-28b'!O9</f>
        <v>0.51860781151880964</v>
      </c>
      <c r="R9" s="26">
        <f t="shared" si="0"/>
        <v>4.4714925516678994E-3</v>
      </c>
      <c r="S9" s="122">
        <f>'DC-he-ipb1-29b-10122016'!O9</f>
        <v>0.56703828665435096</v>
      </c>
      <c r="T9" s="122">
        <f>'DC-h2-ipb1-29b'!O9</f>
        <v>0.54825198238411754</v>
      </c>
    </row>
    <row r="10" spans="1:20" x14ac:dyDescent="0.25">
      <c r="A10" s="43">
        <v>200.00372300000001</v>
      </c>
      <c r="B10">
        <v>12.266482999999999</v>
      </c>
      <c r="C10" s="4">
        <v>3.7282839999999999</v>
      </c>
      <c r="D10" s="26">
        <f>$B$9-B10</f>
        <v>1.7589560000000013</v>
      </c>
      <c r="E10" s="26">
        <f>INDEX(LINEST(D10:D12,C10:C12),1)</f>
        <v>0.4380935452446082</v>
      </c>
      <c r="F10" s="26">
        <f>INDEX(LINEST(D10:D12,C10:C12),2)</f>
        <v>0.14662166096612816</v>
      </c>
      <c r="G10" s="31">
        <f>D10/C10</f>
        <v>0.47178702051667776</v>
      </c>
      <c r="H10" s="31"/>
      <c r="I10" s="26">
        <f>A35/100</f>
        <v>4.49999904419355</v>
      </c>
      <c r="J10" s="26">
        <f>E35</f>
        <v>0.57693551723153269</v>
      </c>
      <c r="K10" s="26">
        <f>F35</f>
        <v>7.5686849156086922E-2</v>
      </c>
      <c r="M10" s="30">
        <v>3.5</v>
      </c>
      <c r="N10" s="108">
        <f>E25</f>
        <v>0.53696652633833164</v>
      </c>
      <c r="O10" s="109">
        <f>N10</f>
        <v>0.53696652633833164</v>
      </c>
      <c r="P10" s="26">
        <f>L9</f>
        <v>0</v>
      </c>
      <c r="Q10" s="126">
        <f>'DC-h2-ipb2-28b'!O10</f>
        <v>0.52858377789645616</v>
      </c>
      <c r="R10" s="26">
        <f t="shared" si="0"/>
        <v>8.3827484418754761E-3</v>
      </c>
      <c r="S10" s="26">
        <f>'DC-he-ipb1-29b-10122016'!O10</f>
        <v>0.57418539473575259</v>
      </c>
      <c r="T10" s="26">
        <f>'DC-h2-ipb1-29b'!O10</f>
        <v>0.57015222925348907</v>
      </c>
    </row>
    <row r="11" spans="1:20" x14ac:dyDescent="0.25">
      <c r="A11" s="43">
        <v>200.005325</v>
      </c>
      <c r="B11">
        <v>10.591348999999999</v>
      </c>
      <c r="C11" s="4">
        <v>7.4192600000000004</v>
      </c>
      <c r="D11" s="26">
        <f>$B$9-B11</f>
        <v>3.4340900000000012</v>
      </c>
      <c r="G11" s="31">
        <f t="shared" ref="G11:G12" si="5">D11/C11</f>
        <v>0.46286152527341018</v>
      </c>
      <c r="I11" s="26">
        <f>A40/100</f>
        <v>5.0000034167741898</v>
      </c>
      <c r="J11" s="26">
        <f>E40</f>
        <v>0.58076372300651835</v>
      </c>
      <c r="K11" s="26">
        <f>F40</f>
        <v>6.861762683996897E-2</v>
      </c>
      <c r="M11" s="30">
        <v>3.75</v>
      </c>
      <c r="N11" s="95"/>
      <c r="O11" s="96">
        <f t="shared" si="4"/>
        <v>0.54643412044061068</v>
      </c>
      <c r="P11" s="26">
        <f>L10</f>
        <v>0</v>
      </c>
      <c r="Q11" s="126">
        <f>'DC-h2-ipb2-28b'!O11</f>
        <v>0.5372946056079464</v>
      </c>
      <c r="R11" s="26">
        <f t="shared" si="0"/>
        <v>9.1395148326642861E-3</v>
      </c>
      <c r="S11" s="122">
        <f>'DC-he-ipb1-29b-10122016'!O11</f>
        <v>0.5792096730333085</v>
      </c>
      <c r="T11" s="122">
        <f>'DC-h2-ipb1-29b'!O11</f>
        <v>0.57627492745650033</v>
      </c>
    </row>
    <row r="12" spans="1:20" x14ac:dyDescent="0.25">
      <c r="A12" s="43">
        <v>199.99125699999999</v>
      </c>
      <c r="B12">
        <v>8.5398739999999993</v>
      </c>
      <c r="C12" s="4">
        <v>12.223597</v>
      </c>
      <c r="D12" s="26">
        <f>$B$9-B12</f>
        <v>5.4855650000000011</v>
      </c>
      <c r="G12" s="31">
        <f t="shared" si="5"/>
        <v>0.44876847625130323</v>
      </c>
      <c r="I12" s="26"/>
      <c r="J12" s="26"/>
      <c r="K12" s="26"/>
      <c r="M12" s="30">
        <v>4</v>
      </c>
      <c r="N12" s="30">
        <f>E30</f>
        <v>0.55861664491690266</v>
      </c>
      <c r="O12" s="94">
        <f>N12</f>
        <v>0.55861664491690266</v>
      </c>
      <c r="P12" s="26">
        <f>K8</f>
        <v>9.499183190019167E-2</v>
      </c>
      <c r="Q12" s="128">
        <f>'DC-h2-ipb2-28b'!O12</f>
        <v>0.5497211533591817</v>
      </c>
      <c r="R12" s="26">
        <f t="shared" si="0"/>
        <v>8.8954915577209581E-3</v>
      </c>
      <c r="S12" s="26">
        <f>'DC-he-ipb1-29b-10122016'!O12</f>
        <v>0.59043911356022083</v>
      </c>
      <c r="T12" s="26">
        <f>'DC-h2-ipb1-29b'!O12</f>
        <v>0.57986436537355046</v>
      </c>
    </row>
    <row r="13" spans="1:20" x14ac:dyDescent="0.25">
      <c r="A13" s="43">
        <v>200.004257</v>
      </c>
      <c r="B13">
        <v>14.017798000000001</v>
      </c>
      <c r="C13" s="4">
        <v>5.6499999999999996E-4</v>
      </c>
      <c r="M13" s="30">
        <v>4.5</v>
      </c>
      <c r="N13" s="108">
        <f>J10</f>
        <v>0.57693551723153269</v>
      </c>
      <c r="O13" s="109">
        <f>N13</f>
        <v>0.57693551723153269</v>
      </c>
      <c r="P13" s="26">
        <f>L9</f>
        <v>0</v>
      </c>
      <c r="Q13" s="126">
        <f>'DC-h2-ipb2-28b'!O13</f>
        <v>0.55583625674547943</v>
      </c>
      <c r="R13" s="26">
        <f t="shared" si="0"/>
        <v>2.1099260486053262E-2</v>
      </c>
      <c r="S13" s="26">
        <f>'DC-he-ipb1-29b-10122016'!O13</f>
        <v>0.58536410306123443</v>
      </c>
      <c r="T13" s="26">
        <f>'DC-h2-ipb1-29b'!O13</f>
        <v>0.59366027001237243</v>
      </c>
    </row>
    <row r="14" spans="1:20" x14ac:dyDescent="0.25">
      <c r="A14" s="43">
        <v>250.004166</v>
      </c>
      <c r="B14">
        <v>19.078040000000001</v>
      </c>
      <c r="C14" s="4">
        <v>4.8099999999999998E-4</v>
      </c>
      <c r="M14" s="30">
        <v>5</v>
      </c>
      <c r="N14" s="108">
        <f>J11</f>
        <v>0.58076372300651835</v>
      </c>
      <c r="O14" s="109">
        <f>N14</f>
        <v>0.58076372300651835</v>
      </c>
      <c r="P14" s="26">
        <f>L10</f>
        <v>0</v>
      </c>
      <c r="Q14" s="126">
        <f>'DC-h2-ipb2-28b'!O14</f>
        <v>0.56187166417305323</v>
      </c>
      <c r="R14" s="26">
        <f t="shared" si="0"/>
        <v>1.889205883346512E-2</v>
      </c>
      <c r="S14" s="26">
        <f>'DC-he-ipb1-29b-10122016'!O14</f>
        <v>0.59434790825157446</v>
      </c>
      <c r="T14" s="26">
        <f>'DC-h2-ipb1-29b'!O14</f>
        <v>0.57211056752480094</v>
      </c>
    </row>
    <row r="15" spans="1:20" x14ac:dyDescent="0.25">
      <c r="A15" s="43">
        <v>249.99970999999999</v>
      </c>
      <c r="B15">
        <v>17.402488999999999</v>
      </c>
      <c r="C15" s="4">
        <v>3.4028</v>
      </c>
      <c r="D15" s="26">
        <f>$B$14-B15</f>
        <v>1.6755510000000022</v>
      </c>
      <c r="E15" s="26">
        <f>INDEX(LINEST(D15:D17,C15:C17),1)</f>
        <v>0.47839048915851073</v>
      </c>
      <c r="F15" s="26">
        <f>INDEX(LINEST(D15:D17,C15:C17),2)</f>
        <v>6.0570896685289366E-2</v>
      </c>
      <c r="G15" s="31">
        <f>D15/C15</f>
        <v>0.49240360879275957</v>
      </c>
      <c r="H15" s="31"/>
      <c r="I15" s="107">
        <f>INDEX(LINEST(J4:J11,I4:I11^{1,2}),1)</f>
        <v>-9.099543930566268E-3</v>
      </c>
      <c r="J15" s="107">
        <f>INDEX(LINEST(J4:J11,I4:I11^{1,2}),2)</f>
        <v>0.11040644025423028</v>
      </c>
      <c r="K15" s="107">
        <f>INDEX(LINEST(J4:J11,I4:I11^{1,2}),3)</f>
        <v>0.26037230601083533</v>
      </c>
      <c r="M15" s="30">
        <v>5.5</v>
      </c>
      <c r="N15" s="95"/>
      <c r="O15" s="96">
        <f>M15^2*$I$15+$J$15*M15+$K$15</f>
        <v>0.59234652350947226</v>
      </c>
      <c r="P15" s="26">
        <f>L11</f>
        <v>0</v>
      </c>
      <c r="Q15" s="126">
        <f>'DC-h2-ipb2-28b'!O15</f>
        <v>0.56284651693600185</v>
      </c>
      <c r="R15" s="26">
        <f t="shared" si="0"/>
        <v>2.9500006573470405E-2</v>
      </c>
      <c r="S15" s="122">
        <f>'DC-he-ipb1-29b-10122016'!O15</f>
        <v>0.58875455688525746</v>
      </c>
      <c r="T15" s="26">
        <f>'DC-h2-ipb1-29b'!O15</f>
        <v>0.5228455234141075</v>
      </c>
    </row>
    <row r="16" spans="1:20" x14ac:dyDescent="0.25">
      <c r="A16" s="43">
        <v>250.005157</v>
      </c>
      <c r="B16">
        <v>15.743403000000001</v>
      </c>
      <c r="C16" s="4">
        <v>6.7964669999999998</v>
      </c>
      <c r="D16" s="26">
        <f>$B$14-B16</f>
        <v>3.3346370000000007</v>
      </c>
      <c r="G16" s="31">
        <f t="shared" ref="G16:G17" si="6">D16/C16</f>
        <v>0.49064271186779851</v>
      </c>
      <c r="M16" s="30">
        <v>6</v>
      </c>
      <c r="N16" s="95"/>
      <c r="O16" s="96">
        <f>M16^2*$I$15+$J$15*M16+$K$15</f>
        <v>0.59522736603583137</v>
      </c>
      <c r="P16" s="26">
        <f>L12</f>
        <v>0</v>
      </c>
      <c r="Q16" s="128">
        <f>'DC-h2-ipb2-28b'!O16</f>
        <v>0.55793113930373617</v>
      </c>
      <c r="R16" s="26">
        <f t="shared" si="0"/>
        <v>3.7296226732095206E-2</v>
      </c>
      <c r="S16" s="122">
        <f>'DC-he-ipb1-29b-10122016'!O16</f>
        <v>0.58203738985027065</v>
      </c>
      <c r="T16" s="26">
        <f>'DC-h2-ipb1-29b'!O16</f>
        <v>0.43491256711935955</v>
      </c>
    </row>
    <row r="17" spans="1:8" x14ac:dyDescent="0.25">
      <c r="A17" s="43">
        <v>250.013901</v>
      </c>
      <c r="B17">
        <v>13.644028</v>
      </c>
      <c r="C17" s="4">
        <v>11.252846999999999</v>
      </c>
      <c r="D17" s="26">
        <f>$B$14-B17</f>
        <v>5.434012000000001</v>
      </c>
      <c r="G17" s="31">
        <f t="shared" si="6"/>
        <v>0.48290108272155496</v>
      </c>
    </row>
    <row r="18" spans="1:8" x14ac:dyDescent="0.25">
      <c r="A18" s="43">
        <v>250.00830099999999</v>
      </c>
      <c r="B18">
        <v>19.071078</v>
      </c>
      <c r="C18" s="4">
        <v>5.1699999999999999E-4</v>
      </c>
    </row>
    <row r="19" spans="1:8" x14ac:dyDescent="0.25">
      <c r="A19" s="43">
        <v>299.99020400000001</v>
      </c>
      <c r="B19">
        <v>24.828835000000002</v>
      </c>
      <c r="C19" s="4">
        <v>4.5300000000000001E-4</v>
      </c>
    </row>
    <row r="20" spans="1:8" x14ac:dyDescent="0.25">
      <c r="A20" s="43">
        <v>299.99661300000002</v>
      </c>
      <c r="B20">
        <v>22.675654999999999</v>
      </c>
      <c r="C20" s="4">
        <v>4.0221939999999998</v>
      </c>
      <c r="D20" s="26">
        <f>$B$19-B20</f>
        <v>2.1531800000000025</v>
      </c>
      <c r="E20" s="26">
        <f>INDEX(LINEST(D20:D22,C20:C22),1)</f>
        <v>0.50850058684966015</v>
      </c>
      <c r="F20" s="26">
        <f>INDEX(LINEST(D20:D22,C20:C22),2)</f>
        <v>0.11610757219407075</v>
      </c>
      <c r="G20" s="31">
        <f>D20/C20</f>
        <v>0.53532475062117901</v>
      </c>
      <c r="H20" s="31"/>
    </row>
    <row r="21" spans="1:8" x14ac:dyDescent="0.25">
      <c r="A21" s="43">
        <v>300.00048800000002</v>
      </c>
      <c r="B21">
        <v>20.893549</v>
      </c>
      <c r="C21" s="4">
        <v>7.481738</v>
      </c>
      <c r="D21" s="26">
        <f>$B$19-B21</f>
        <v>3.9352860000000014</v>
      </c>
      <c r="G21" s="31">
        <f t="shared" ref="G21:G22" si="7">D21/C21</f>
        <v>0.52598553972352435</v>
      </c>
    </row>
    <row r="22" spans="1:8" x14ac:dyDescent="0.25">
      <c r="A22" s="43">
        <v>300.00799599999999</v>
      </c>
      <c r="B22">
        <v>18.689443000000001</v>
      </c>
      <c r="C22" s="4">
        <v>11.857958999999999</v>
      </c>
      <c r="D22" s="26">
        <f>$B$19-B22</f>
        <v>6.1393920000000008</v>
      </c>
      <c r="G22" s="31">
        <f t="shared" si="7"/>
        <v>0.51774441115878389</v>
      </c>
    </row>
    <row r="23" spans="1:8" x14ac:dyDescent="0.25">
      <c r="A23" s="43">
        <v>300.00244099999998</v>
      </c>
      <c r="B23">
        <v>24.797450999999999</v>
      </c>
      <c r="C23" s="4">
        <v>4.6099999999999998E-4</v>
      </c>
    </row>
    <row r="24" spans="1:8" x14ac:dyDescent="0.25">
      <c r="A24" s="43">
        <v>349.99331699999999</v>
      </c>
      <c r="B24">
        <v>31.140346000000001</v>
      </c>
      <c r="C24" s="4">
        <v>4.08E-4</v>
      </c>
    </row>
    <row r="25" spans="1:8" x14ac:dyDescent="0.25">
      <c r="A25" s="43">
        <v>350.00030500000003</v>
      </c>
      <c r="B25">
        <v>29.144012</v>
      </c>
      <c r="C25" s="4">
        <v>3.6259679999999999</v>
      </c>
      <c r="D25" s="26">
        <f>$B$24-B25</f>
        <v>1.9963340000000009</v>
      </c>
      <c r="E25" s="26">
        <f>INDEX(LINEST(D26:D27,C26:C27),1)</f>
        <v>0.53696652633833164</v>
      </c>
      <c r="F25" s="26">
        <f>INDEX(LINEST(D26:D27,C26:C27),2)</f>
        <v>9.499183190019167E-2</v>
      </c>
      <c r="G25" s="31">
        <f>D25/C25</f>
        <v>0.55056580753056872</v>
      </c>
      <c r="H25" s="31"/>
    </row>
    <row r="26" spans="1:8" x14ac:dyDescent="0.25">
      <c r="A26" s="43">
        <v>349.99060100000003</v>
      </c>
      <c r="B26">
        <v>27.409157</v>
      </c>
      <c r="C26" s="4">
        <v>6.7717390000000002</v>
      </c>
      <c r="D26" s="26">
        <f>$B$24-B26</f>
        <v>3.7311890000000005</v>
      </c>
      <c r="G26" s="31">
        <f t="shared" ref="G26:G27" si="8">D26/C26</f>
        <v>0.55099421286024175</v>
      </c>
    </row>
    <row r="27" spans="1:8" x14ac:dyDescent="0.25">
      <c r="A27" s="43">
        <v>349.99945100000002</v>
      </c>
      <c r="B27">
        <v>25.262744999999999</v>
      </c>
      <c r="C27" s="4">
        <v>10.769031</v>
      </c>
      <c r="D27" s="26">
        <f>$B$24-B27</f>
        <v>5.8776010000000021</v>
      </c>
      <c r="G27" s="31">
        <f t="shared" si="8"/>
        <v>0.54578736006981521</v>
      </c>
    </row>
    <row r="28" spans="1:8" x14ac:dyDescent="0.25">
      <c r="A28" s="43">
        <v>349.99423200000001</v>
      </c>
      <c r="B28">
        <v>31.179064</v>
      </c>
      <c r="C28" s="4">
        <v>4.1599999999999997E-4</v>
      </c>
    </row>
    <row r="29" spans="1:8" x14ac:dyDescent="0.25">
      <c r="A29" s="43">
        <v>399.993561</v>
      </c>
      <c r="B29">
        <v>38.221895000000004</v>
      </c>
      <c r="C29" s="4">
        <v>3.9100000000000002E-4</v>
      </c>
    </row>
    <row r="30" spans="1:8" x14ac:dyDescent="0.25">
      <c r="A30" s="43">
        <v>400.01550300000002</v>
      </c>
      <c r="B30">
        <v>35.714714000000001</v>
      </c>
      <c r="C30" s="4">
        <v>4.243125</v>
      </c>
      <c r="D30" s="26">
        <f>$B$29-B30</f>
        <v>2.5071810000000028</v>
      </c>
      <c r="E30" s="26">
        <f>INDEX(LINEST(D30:D32,C30:C32),1)</f>
        <v>0.55861664491690266</v>
      </c>
      <c r="F30" s="26">
        <f>INDEX(LINEST(D30:D32,C30:C32),2)</f>
        <v>0.13793617787468992</v>
      </c>
      <c r="G30" s="31">
        <f>D30/C30</f>
        <v>0.59088077772867942</v>
      </c>
    </row>
    <row r="31" spans="1:8" x14ac:dyDescent="0.25">
      <c r="A31" s="43">
        <v>400.00503500000002</v>
      </c>
      <c r="B31">
        <v>33.916840000000001</v>
      </c>
      <c r="C31" s="4">
        <v>7.4563709999999999</v>
      </c>
      <c r="D31" s="26">
        <f t="shared" ref="D31:D32" si="9">$B$29-B31</f>
        <v>4.305055000000003</v>
      </c>
      <c r="G31" s="31">
        <f t="shared" ref="G31:G32" si="10">D31/C31</f>
        <v>0.57736598675146433</v>
      </c>
    </row>
    <row r="32" spans="1:8" x14ac:dyDescent="0.25">
      <c r="A32" s="43">
        <v>399.99740600000001</v>
      </c>
      <c r="B32">
        <v>31.681488999999999</v>
      </c>
      <c r="C32" s="4">
        <v>11.462781</v>
      </c>
      <c r="D32" s="26">
        <f t="shared" si="9"/>
        <v>6.5404060000000044</v>
      </c>
      <c r="G32" s="31">
        <f t="shared" si="10"/>
        <v>0.57057759369214189</v>
      </c>
    </row>
    <row r="33" spans="1:7" x14ac:dyDescent="0.25">
      <c r="A33" s="43">
        <v>399.99977251612898</v>
      </c>
      <c r="B33">
        <v>38.182156999999997</v>
      </c>
      <c r="C33" s="4">
        <v>4.0438709677419399E-4</v>
      </c>
    </row>
    <row r="34" spans="1:7" x14ac:dyDescent="0.25">
      <c r="A34" s="43">
        <v>450.00015464516099</v>
      </c>
      <c r="B34">
        <v>46.020510999999999</v>
      </c>
      <c r="C34" s="4">
        <v>3.6161290322580598E-4</v>
      </c>
    </row>
    <row r="35" spans="1:7" x14ac:dyDescent="0.25">
      <c r="A35" s="43">
        <v>449.999904419355</v>
      </c>
      <c r="B35">
        <v>43.637956000000003</v>
      </c>
      <c r="C35" s="4">
        <v>4.0066363548387098</v>
      </c>
      <c r="D35" s="26">
        <f>$B$34-B35</f>
        <v>2.3825549999999964</v>
      </c>
      <c r="E35" s="26">
        <f>INDEX(LINEST(D35:D37,C35:C37),1)</f>
        <v>0.57693551723153269</v>
      </c>
      <c r="F35" s="26">
        <f>INDEX(LINEST(D35:D37,C35:C37),2)</f>
        <v>7.5686849156086922E-2</v>
      </c>
      <c r="G35" s="31">
        <f>D35/C35</f>
        <v>0.59465216929972875</v>
      </c>
    </row>
    <row r="36" spans="1:7" x14ac:dyDescent="0.25">
      <c r="A36" s="43">
        <v>449.99994093548401</v>
      </c>
      <c r="B36">
        <v>41.868616000000003</v>
      </c>
      <c r="C36" s="4">
        <v>7.0506142258064504</v>
      </c>
      <c r="D36" s="26">
        <f t="shared" ref="D36:D37" si="11">$B$34-B36</f>
        <v>4.1518949999999961</v>
      </c>
      <c r="G36" s="31">
        <f t="shared" ref="G36:G37" si="12">D36/C36</f>
        <v>0.58886997175414202</v>
      </c>
    </row>
    <row r="37" spans="1:7" x14ac:dyDescent="0.25">
      <c r="A37" s="43">
        <v>450.00073241935502</v>
      </c>
      <c r="B37">
        <v>39.681857000000001</v>
      </c>
      <c r="C37" s="4">
        <v>10.8620854193548</v>
      </c>
      <c r="D37" s="26">
        <f t="shared" si="11"/>
        <v>6.3386539999999982</v>
      </c>
      <c r="G37" s="31">
        <f t="shared" si="12"/>
        <v>0.5835577382502769</v>
      </c>
    </row>
    <row r="38" spans="1:7" x14ac:dyDescent="0.25">
      <c r="A38" s="43">
        <v>449.99888367741897</v>
      </c>
      <c r="B38">
        <v>45.952765999999997</v>
      </c>
      <c r="C38" s="4">
        <v>3.5251612903225801E-4</v>
      </c>
    </row>
    <row r="39" spans="1:7" x14ac:dyDescent="0.25">
      <c r="A39" s="43">
        <v>500.00030522580698</v>
      </c>
      <c r="B39">
        <v>54.551962000000003</v>
      </c>
      <c r="C39" s="4">
        <v>3.4064516129032299E-4</v>
      </c>
    </row>
    <row r="40" spans="1:7" x14ac:dyDescent="0.25">
      <c r="A40" s="43">
        <v>500.00034167741899</v>
      </c>
      <c r="B40">
        <v>52.267781999999997</v>
      </c>
      <c r="C40" s="4">
        <v>3.8097963870967799</v>
      </c>
      <c r="D40" s="26">
        <f>$B$39-B40</f>
        <v>2.2841800000000063</v>
      </c>
      <c r="E40" s="26">
        <f>INDEX(LINEST(D40:D42,C40:C42),1)</f>
        <v>0.58076372300651835</v>
      </c>
      <c r="F40" s="26">
        <f>INDEX(LINEST(D40:D42,C40:C42),2)</f>
        <v>6.861762683996897E-2</v>
      </c>
      <c r="G40" s="31">
        <f>D40/C40</f>
        <v>0.59955435091916931</v>
      </c>
    </row>
    <row r="41" spans="1:7" x14ac:dyDescent="0.25">
      <c r="A41" s="43">
        <v>500.00071864516099</v>
      </c>
      <c r="B41">
        <v>50.590806000000001</v>
      </c>
      <c r="C41" s="4">
        <v>6.7116438709677402</v>
      </c>
      <c r="D41" s="26">
        <f t="shared" ref="D41:D42" si="13">$B$39-B41</f>
        <v>3.9611560000000026</v>
      </c>
      <c r="G41" s="31">
        <f t="shared" ref="G41:G42" si="14">D41/C41</f>
        <v>0.59019162460848063</v>
      </c>
    </row>
    <row r="42" spans="1:7" x14ac:dyDescent="0.25">
      <c r="A42" s="43">
        <v>499.99916032258102</v>
      </c>
      <c r="B42">
        <v>48.470616999999997</v>
      </c>
      <c r="C42" s="4">
        <v>10.3490577419355</v>
      </c>
      <c r="D42" s="26">
        <f t="shared" si="13"/>
        <v>6.081345000000006</v>
      </c>
      <c r="G42" s="31">
        <f t="shared" si="14"/>
        <v>0.58762306208397497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O8" sqref="O8"/>
    </sheetView>
  </sheetViews>
  <sheetFormatPr defaultRowHeight="15" x14ac:dyDescent="0.25"/>
  <cols>
    <col min="2" max="3" width="9.140625" style="4"/>
    <col min="4" max="4" width="7.7109375" style="26" customWidth="1"/>
    <col min="5" max="6" width="5.5703125" style="26" customWidth="1"/>
    <col min="7" max="7" width="9.85546875" style="26" bestFit="1" customWidth="1"/>
    <col min="8" max="21" width="9.85546875" style="26" customWidth="1"/>
  </cols>
  <sheetData>
    <row r="1" spans="1:44" x14ac:dyDescent="0.25">
      <c r="V1" t="s">
        <v>127</v>
      </c>
      <c r="W1" t="s">
        <v>128</v>
      </c>
      <c r="X1" t="s">
        <v>129</v>
      </c>
      <c r="Y1" t="s">
        <v>130</v>
      </c>
      <c r="Z1" t="s">
        <v>131</v>
      </c>
      <c r="AA1" t="s">
        <v>132</v>
      </c>
      <c r="AB1" t="s">
        <v>133</v>
      </c>
      <c r="AC1" t="s">
        <v>134</v>
      </c>
      <c r="AD1" t="s">
        <v>135</v>
      </c>
      <c r="AE1" t="s">
        <v>136</v>
      </c>
      <c r="AF1" t="s">
        <v>137</v>
      </c>
      <c r="AG1" t="s">
        <v>138</v>
      </c>
      <c r="AH1" t="s">
        <v>139</v>
      </c>
      <c r="AI1" t="s">
        <v>140</v>
      </c>
      <c r="AJ1" t="s">
        <v>141</v>
      </c>
      <c r="AK1" t="s">
        <v>142</v>
      </c>
      <c r="AL1" t="s">
        <v>143</v>
      </c>
      <c r="AM1" t="s">
        <v>144</v>
      </c>
      <c r="AN1" t="s">
        <v>145</v>
      </c>
      <c r="AO1" t="s">
        <v>146</v>
      </c>
      <c r="AP1" t="s">
        <v>147</v>
      </c>
      <c r="AQ1" t="s">
        <v>64</v>
      </c>
      <c r="AR1" t="s">
        <v>148</v>
      </c>
    </row>
    <row r="2" spans="1:44" x14ac:dyDescent="0.25">
      <c r="V2">
        <v>0</v>
      </c>
      <c r="W2">
        <v>0</v>
      </c>
      <c r="X2">
        <v>-3.2129342758620698</v>
      </c>
      <c r="Y2">
        <v>-1.31826372413793</v>
      </c>
      <c r="Z2">
        <v>7.7707236206896599</v>
      </c>
      <c r="AA2">
        <v>20.895955689655199</v>
      </c>
      <c r="AB2">
        <v>5.1626274482758596</v>
      </c>
      <c r="AC2">
        <v>24.790307827586201</v>
      </c>
      <c r="AD2">
        <v>24.8985105862069</v>
      </c>
      <c r="AE2">
        <v>0.24342417241379299</v>
      </c>
      <c r="AF2">
        <v>24.7061091724138</v>
      </c>
      <c r="AG2">
        <v>24.647507655172401</v>
      </c>
      <c r="AH2">
        <v>0.28862151724137902</v>
      </c>
      <c r="AI2">
        <v>24.812855172413801</v>
      </c>
      <c r="AJ2">
        <v>24.724890931034501</v>
      </c>
      <c r="AK2">
        <v>0</v>
      </c>
      <c r="AL2">
        <v>0</v>
      </c>
      <c r="AM2">
        <v>0.449496114887452</v>
      </c>
      <c r="AN2">
        <v>0.34663324886053298</v>
      </c>
      <c r="AO2">
        <v>0.72991926089075099</v>
      </c>
      <c r="AP2">
        <v>2.1375862068965501E-4</v>
      </c>
      <c r="AQ2">
        <v>1</v>
      </c>
      <c r="AR2" s="188">
        <v>42712.661099537036</v>
      </c>
    </row>
    <row r="3" spans="1:44" ht="45" x14ac:dyDescent="0.25">
      <c r="A3" t="s">
        <v>1</v>
      </c>
      <c r="B3" s="4" t="s">
        <v>12</v>
      </c>
      <c r="C3" s="4" t="s">
        <v>147</v>
      </c>
      <c r="D3" s="91" t="s">
        <v>27</v>
      </c>
      <c r="E3" s="91" t="s">
        <v>15</v>
      </c>
      <c r="F3" s="91" t="s">
        <v>17</v>
      </c>
      <c r="G3" s="91" t="s">
        <v>28</v>
      </c>
      <c r="H3" s="91"/>
      <c r="I3" s="93" t="s">
        <v>16</v>
      </c>
      <c r="J3" s="93" t="s">
        <v>15</v>
      </c>
      <c r="K3" s="93" t="s">
        <v>17</v>
      </c>
      <c r="L3" s="93"/>
      <c r="M3" s="93" t="s">
        <v>18</v>
      </c>
      <c r="N3" s="92" t="s">
        <v>23</v>
      </c>
      <c r="O3" s="92" t="s">
        <v>19</v>
      </c>
      <c r="P3" s="100" t="s">
        <v>24</v>
      </c>
      <c r="Q3" s="91"/>
      <c r="R3" s="91"/>
      <c r="S3" s="91"/>
      <c r="T3" s="91"/>
      <c r="U3" s="91"/>
      <c r="V3">
        <v>0</v>
      </c>
      <c r="W3">
        <v>0</v>
      </c>
      <c r="X3">
        <v>-3.5492291724137899</v>
      </c>
      <c r="Y3">
        <v>-1.4636441034482801</v>
      </c>
      <c r="Z3">
        <v>10.7300982413793</v>
      </c>
      <c r="AA3">
        <v>20.751840413793101</v>
      </c>
      <c r="AB3">
        <v>5.1162256896551703</v>
      </c>
      <c r="AC3">
        <v>24.7949410689655</v>
      </c>
      <c r="AD3">
        <v>24.909893137931</v>
      </c>
      <c r="AE3">
        <v>0.24384282758620701</v>
      </c>
      <c r="AF3">
        <v>24.714176379310299</v>
      </c>
      <c r="AG3">
        <v>24.638513172413798</v>
      </c>
      <c r="AH3">
        <v>0.29020548275862101</v>
      </c>
      <c r="AI3">
        <v>24.820770586206901</v>
      </c>
      <c r="AJ3">
        <v>24.725856724137898</v>
      </c>
      <c r="AK3">
        <v>0</v>
      </c>
      <c r="AL3">
        <v>0</v>
      </c>
      <c r="AM3">
        <v>0.36468237302837597</v>
      </c>
      <c r="AN3">
        <v>0.326297177220992</v>
      </c>
      <c r="AO3">
        <v>0.56904132771126403</v>
      </c>
      <c r="AP3">
        <v>2.3331073793103401</v>
      </c>
      <c r="AQ3">
        <v>2</v>
      </c>
      <c r="AR3" s="188">
        <v>42712.702881944446</v>
      </c>
    </row>
    <row r="4" spans="1:44" x14ac:dyDescent="0.25">
      <c r="A4" s="43">
        <v>150.00212617241399</v>
      </c>
      <c r="B4" s="4">
        <v>14.302033</v>
      </c>
      <c r="C4" s="4">
        <v>2.1375862068965501E-4</v>
      </c>
      <c r="I4" s="26">
        <f>A5/100</f>
        <v>1.50000181034483</v>
      </c>
      <c r="J4" s="26">
        <f>E5</f>
        <v>0.54168624363139795</v>
      </c>
      <c r="K4" s="26">
        <f>F5</f>
        <v>5.0882842869138578E-2</v>
      </c>
      <c r="L4" s="30"/>
      <c r="M4" s="30">
        <v>1.5</v>
      </c>
      <c r="N4" s="95">
        <f>FORECAST(M4,$J$4:$J$5,$I$4:$I$5)</f>
        <v>0.54168611056541605</v>
      </c>
      <c r="O4" s="109">
        <f>M4^2*$I$10+$J$10*M4+$K$10</f>
        <v>0.54159884375284739</v>
      </c>
      <c r="P4" s="95">
        <f>M4^2*$I$11+$J$11*M4+$K$11</f>
        <v>0</v>
      </c>
      <c r="V4">
        <v>0</v>
      </c>
      <c r="W4">
        <v>0</v>
      </c>
      <c r="X4">
        <v>-3.9030577586206898</v>
      </c>
      <c r="Y4">
        <v>-1.5807513103448301</v>
      </c>
      <c r="Z4">
        <v>9.4503490344827608</v>
      </c>
      <c r="AA4">
        <v>20.682033724137899</v>
      </c>
      <c r="AB4">
        <v>5.1235006206896596</v>
      </c>
      <c r="AC4">
        <v>24.798125655172399</v>
      </c>
      <c r="AD4">
        <v>24.909176965517201</v>
      </c>
      <c r="AE4">
        <v>0.243840586206897</v>
      </c>
      <c r="AF4">
        <v>24.7138454827586</v>
      </c>
      <c r="AG4">
        <v>24.6171603448276</v>
      </c>
      <c r="AH4">
        <v>0.28658851724137901</v>
      </c>
      <c r="AI4">
        <v>24.8145261724138</v>
      </c>
      <c r="AJ4">
        <v>24.712885172413799</v>
      </c>
      <c r="AK4">
        <v>0</v>
      </c>
      <c r="AL4">
        <v>0</v>
      </c>
      <c r="AM4">
        <v>0.309948518244548</v>
      </c>
      <c r="AN4">
        <v>0.31233238796303497</v>
      </c>
      <c r="AO4">
        <v>0.58488152615546796</v>
      </c>
      <c r="AP4">
        <v>2.3346608620689699</v>
      </c>
      <c r="AQ4">
        <v>3</v>
      </c>
      <c r="AR4" s="188">
        <v>42712.74454861111</v>
      </c>
    </row>
    <row r="5" spans="1:44" x14ac:dyDescent="0.25">
      <c r="A5" s="43">
        <v>150.00018103448301</v>
      </c>
      <c r="B5" s="4">
        <v>12.984776</v>
      </c>
      <c r="C5" s="4">
        <v>2.3331073793103401</v>
      </c>
      <c r="D5" s="26">
        <f>$B$4-B5</f>
        <v>1.3172569999999997</v>
      </c>
      <c r="E5" s="26">
        <f>INDEX(LINEST(D6:D7,C6:C7),1)</f>
        <v>0.54168624363139795</v>
      </c>
      <c r="F5" s="26">
        <f>INDEX(LINEST(D5:D7,C5:C7),2)</f>
        <v>5.0882842869138578E-2</v>
      </c>
      <c r="G5" s="31">
        <f>D5/C5</f>
        <v>0.56459338806316628</v>
      </c>
      <c r="H5" s="31"/>
      <c r="I5" s="26">
        <f>A10/100</f>
        <v>2.0000132962068999</v>
      </c>
      <c r="J5" s="26">
        <f>E10</f>
        <v>0.57843864475324569</v>
      </c>
      <c r="K5" s="26">
        <f>F10</f>
        <v>6.4570727779770021E-2</v>
      </c>
      <c r="L5" s="30"/>
      <c r="M5" s="30">
        <v>2</v>
      </c>
      <c r="N5" s="30">
        <f>J5</f>
        <v>0.57843864475324569</v>
      </c>
      <c r="O5" s="94">
        <f>N5</f>
        <v>0.57843864475324569</v>
      </c>
      <c r="P5" s="4">
        <f>K4</f>
        <v>5.0882842869138578E-2</v>
      </c>
      <c r="Q5" s="31"/>
      <c r="R5" s="31"/>
      <c r="S5" s="31"/>
      <c r="T5" s="31"/>
      <c r="U5" s="31"/>
      <c r="V5">
        <v>0</v>
      </c>
      <c r="W5" s="189">
        <v>2.56443898951724E-259</v>
      </c>
      <c r="X5">
        <v>-3.8843953793103498</v>
      </c>
      <c r="Y5">
        <v>-1.59728768965517</v>
      </c>
      <c r="Z5">
        <v>12.0378188275862</v>
      </c>
      <c r="AA5">
        <v>20.660713448275899</v>
      </c>
      <c r="AB5">
        <v>5.1416309310344799</v>
      </c>
      <c r="AC5">
        <v>24.7945395517241</v>
      </c>
      <c r="AD5">
        <v>24.913126655172402</v>
      </c>
      <c r="AE5">
        <v>0.24370893103448299</v>
      </c>
      <c r="AF5">
        <v>24.704286275862099</v>
      </c>
      <c r="AG5">
        <v>24.608860344827601</v>
      </c>
      <c r="AH5">
        <v>0.28862634482758598</v>
      </c>
      <c r="AI5">
        <v>24.8089545172414</v>
      </c>
      <c r="AJ5">
        <v>24.7071887241379</v>
      </c>
      <c r="AK5">
        <v>0</v>
      </c>
      <c r="AL5">
        <v>0</v>
      </c>
      <c r="AM5">
        <v>0.273593546128099</v>
      </c>
      <c r="AN5">
        <v>0.33105745299006001</v>
      </c>
      <c r="AO5">
        <v>0.460600656498801</v>
      </c>
      <c r="AP5">
        <v>7.8360097241379298</v>
      </c>
      <c r="AQ5">
        <v>4</v>
      </c>
      <c r="AR5" s="188">
        <v>42712.786215277774</v>
      </c>
    </row>
    <row r="6" spans="1:44" x14ac:dyDescent="0.25">
      <c r="A6" s="43">
        <v>149.999867827586</v>
      </c>
      <c r="B6" s="4">
        <v>12.992838000000001</v>
      </c>
      <c r="C6" s="4">
        <v>2.3346608620689699</v>
      </c>
      <c r="D6" s="26">
        <f>$B$4-B6</f>
        <v>1.309194999999999</v>
      </c>
      <c r="G6" s="31">
        <f t="shared" ref="G6:G7" si="0">D6/C6</f>
        <v>0.56076452955989253</v>
      </c>
      <c r="H6" s="31"/>
      <c r="I6" s="26">
        <f>A15/100</f>
        <v>2.4999826306896598</v>
      </c>
      <c r="J6" s="26">
        <f>E15</f>
        <v>0.60907048286539367</v>
      </c>
      <c r="K6" s="26">
        <f>F15</f>
        <v>2.7944264485756154E-2</v>
      </c>
      <c r="L6" s="30"/>
      <c r="M6" s="30">
        <v>2.5</v>
      </c>
      <c r="N6" s="95">
        <f>G15</f>
        <v>0.62662037266848847</v>
      </c>
      <c r="O6" s="109">
        <f>G10</f>
        <v>0.60588725841490987</v>
      </c>
      <c r="P6" s="95">
        <f t="shared" ref="P6:P7" si="1">M6^2*$I$11+$J$11*M6+$K$11</f>
        <v>0</v>
      </c>
      <c r="Q6" s="31"/>
      <c r="R6" s="31"/>
      <c r="S6" s="31"/>
      <c r="T6" s="31"/>
      <c r="U6" s="31"/>
      <c r="V6">
        <v>0</v>
      </c>
      <c r="W6" s="189">
        <v>2.6480067852413799E-306</v>
      </c>
      <c r="X6">
        <v>-3.75679696551724</v>
      </c>
      <c r="Y6">
        <v>-1.57481634482759</v>
      </c>
      <c r="Z6">
        <v>8.5703600344827606</v>
      </c>
      <c r="AA6">
        <v>20.566612172413802</v>
      </c>
      <c r="AB6">
        <v>5.1402174482758598</v>
      </c>
      <c r="AC6">
        <v>24.792293482758598</v>
      </c>
      <c r="AD6">
        <v>24.900838206896601</v>
      </c>
      <c r="AE6">
        <v>0.24398882758620699</v>
      </c>
      <c r="AF6">
        <v>24.697933655172399</v>
      </c>
      <c r="AG6">
        <v>24.6097120689655</v>
      </c>
      <c r="AH6">
        <v>0.28274199999999999</v>
      </c>
      <c r="AI6">
        <v>24.803198241379299</v>
      </c>
      <c r="AJ6">
        <v>24.7002230344828</v>
      </c>
      <c r="AK6">
        <v>0</v>
      </c>
      <c r="AL6">
        <v>0</v>
      </c>
      <c r="AM6">
        <v>0.38045091585627699</v>
      </c>
      <c r="AN6">
        <v>0.32909040419148899</v>
      </c>
      <c r="AO6">
        <v>0.494429917644643</v>
      </c>
      <c r="AP6">
        <v>7.83595327586207</v>
      </c>
      <c r="AQ6">
        <v>5</v>
      </c>
      <c r="AR6" s="188">
        <v>42712.827881944446</v>
      </c>
    </row>
    <row r="7" spans="1:44" x14ac:dyDescent="0.25">
      <c r="A7" s="43">
        <v>150.00413831034501</v>
      </c>
      <c r="B7" s="4">
        <v>10.012833000000001</v>
      </c>
      <c r="C7" s="4">
        <v>7.8360097241379298</v>
      </c>
      <c r="D7" s="26">
        <f>$B$4-B7</f>
        <v>4.2891999999999992</v>
      </c>
      <c r="G7" s="31">
        <f t="shared" si="0"/>
        <v>0.54737042844492778</v>
      </c>
      <c r="H7" s="31"/>
      <c r="I7" s="26">
        <f>A20/100</f>
        <v>3.0000033362069001</v>
      </c>
      <c r="J7" s="26">
        <f>E20</f>
        <v>0.63184206490466932</v>
      </c>
      <c r="K7" s="26">
        <f>F20</f>
        <v>4.6939188898956541E-2</v>
      </c>
      <c r="L7" s="30"/>
      <c r="M7" s="30">
        <v>2.75</v>
      </c>
      <c r="N7" s="95">
        <f>FORECAST(M7,$J$4:$J$7,$I$4:$I$7)</f>
        <v>0.62036941401799306</v>
      </c>
      <c r="O7" s="96">
        <f>M7^2*$I$10+$J$10*M7+$K$10</f>
        <v>0.62124323164804962</v>
      </c>
      <c r="P7" s="95">
        <f t="shared" si="1"/>
        <v>0</v>
      </c>
      <c r="Q7" s="31"/>
      <c r="R7" s="31"/>
      <c r="S7" s="31"/>
      <c r="T7" s="31"/>
      <c r="U7" s="31"/>
      <c r="V7">
        <v>0</v>
      </c>
      <c r="W7" s="189" t="s">
        <v>149</v>
      </c>
      <c r="X7">
        <v>-2.9046088965517201</v>
      </c>
      <c r="Y7">
        <v>-1.26710072413793</v>
      </c>
      <c r="Z7">
        <v>18.6656204137931</v>
      </c>
      <c r="AA7">
        <v>20.817186068965501</v>
      </c>
      <c r="AB7">
        <v>5.1542996896551703</v>
      </c>
      <c r="AC7">
        <v>24.820228206896601</v>
      </c>
      <c r="AD7">
        <v>24.957235896551701</v>
      </c>
      <c r="AE7">
        <v>0.24400627586206899</v>
      </c>
      <c r="AF7">
        <v>24.7395876551724</v>
      </c>
      <c r="AG7">
        <v>24.7023604827586</v>
      </c>
      <c r="AH7">
        <v>0.28683044827586202</v>
      </c>
      <c r="AI7">
        <v>24.8361676206897</v>
      </c>
      <c r="AJ7">
        <v>24.7506116206897</v>
      </c>
      <c r="AK7">
        <v>0</v>
      </c>
      <c r="AL7">
        <v>0</v>
      </c>
      <c r="AM7">
        <v>0.49747830075305699</v>
      </c>
      <c r="AN7">
        <v>0.36973787345901798</v>
      </c>
      <c r="AO7">
        <v>0.35225191141384898</v>
      </c>
      <c r="AP7">
        <v>1.6475862068965501E-4</v>
      </c>
      <c r="AQ7">
        <v>6</v>
      </c>
      <c r="AR7" s="188">
        <v>42712.910868055558</v>
      </c>
    </row>
    <row r="8" spans="1:44" x14ac:dyDescent="0.25">
      <c r="A8" s="43">
        <v>150.00053362068999</v>
      </c>
      <c r="B8" s="4">
        <v>9.9713429999999992</v>
      </c>
      <c r="C8" s="4">
        <v>7.83595327586207</v>
      </c>
      <c r="L8" s="30"/>
      <c r="M8" s="30">
        <v>3</v>
      </c>
      <c r="N8" s="30">
        <f>E20</f>
        <v>0.63184206490466932</v>
      </c>
      <c r="O8" s="94">
        <f>N8</f>
        <v>0.63184206490466932</v>
      </c>
      <c r="P8" s="4">
        <f>K5</f>
        <v>6.4570727779770021E-2</v>
      </c>
      <c r="V8">
        <v>0</v>
      </c>
      <c r="W8" s="189" t="s">
        <v>149</v>
      </c>
      <c r="X8">
        <v>-3.8302338620689702</v>
      </c>
      <c r="Y8">
        <v>-1.44802651724138</v>
      </c>
      <c r="Z8">
        <v>17.378685000000001</v>
      </c>
      <c r="AA8">
        <v>20.847211793103501</v>
      </c>
      <c r="AB8">
        <v>5.1298951034482796</v>
      </c>
      <c r="AC8">
        <v>24.794165206896601</v>
      </c>
      <c r="AD8">
        <v>24.9273034482759</v>
      </c>
      <c r="AE8">
        <v>0.24313906896551701</v>
      </c>
      <c r="AF8">
        <v>24.708322655172399</v>
      </c>
      <c r="AG8">
        <v>24.614610586206901</v>
      </c>
      <c r="AH8">
        <v>0.286880793103448</v>
      </c>
      <c r="AI8">
        <v>24.8068655862069</v>
      </c>
      <c r="AJ8">
        <v>24.7115071724138</v>
      </c>
      <c r="AK8">
        <v>0</v>
      </c>
      <c r="AL8">
        <v>0</v>
      </c>
      <c r="AM8">
        <v>0.42294334478868501</v>
      </c>
      <c r="AN8">
        <v>0.31796894845219398</v>
      </c>
      <c r="AO8">
        <v>0.29199049431482899</v>
      </c>
      <c r="AP8">
        <v>2.0867941724137902</v>
      </c>
      <c r="AQ8">
        <v>7</v>
      </c>
      <c r="AR8" s="188">
        <v>42712.952881944446</v>
      </c>
    </row>
    <row r="9" spans="1:44" x14ac:dyDescent="0.25">
      <c r="A9" s="43">
        <v>200.00746044827599</v>
      </c>
      <c r="B9" s="4">
        <v>21.088892000000001</v>
      </c>
      <c r="C9" s="4">
        <v>1.6475862068965501E-4</v>
      </c>
      <c r="I9" s="26" t="s">
        <v>20</v>
      </c>
      <c r="J9" s="26" t="s">
        <v>21</v>
      </c>
      <c r="K9" s="26" t="s">
        <v>6</v>
      </c>
      <c r="L9" s="30"/>
      <c r="M9" s="30">
        <v>3.25</v>
      </c>
      <c r="N9" s="95">
        <f>FORECAST(M9,$J$5:$J$6,$I$5:$I$6)</f>
        <v>0.6550221224030095</v>
      </c>
      <c r="O9" s="96">
        <f>M9^2*$I$10+$J$10*M9+$K$10</f>
        <v>0.64086749564459788</v>
      </c>
      <c r="P9" s="95">
        <f t="shared" ref="P9:P11" si="2">M9^2*$I$11+$J$11*M9+$K$11</f>
        <v>0</v>
      </c>
      <c r="V9">
        <v>0</v>
      </c>
      <c r="W9" s="189" t="s">
        <v>149</v>
      </c>
      <c r="X9">
        <v>-3.1289065172413801</v>
      </c>
      <c r="Y9">
        <v>-1.3424445862069001</v>
      </c>
      <c r="Z9">
        <v>20.7676507586207</v>
      </c>
      <c r="AA9">
        <v>20.891141206896499</v>
      </c>
      <c r="AB9">
        <v>5.1050942758620703</v>
      </c>
      <c r="AC9">
        <v>24.808661379310301</v>
      </c>
      <c r="AD9">
        <v>24.951463068965499</v>
      </c>
      <c r="AE9">
        <v>0.24321999999999999</v>
      </c>
      <c r="AF9">
        <v>24.724663137931</v>
      </c>
      <c r="AG9">
        <v>24.672734137930998</v>
      </c>
      <c r="AH9">
        <v>0.28984765517241401</v>
      </c>
      <c r="AI9">
        <v>24.829239517241401</v>
      </c>
      <c r="AJ9">
        <v>24.740401517241398</v>
      </c>
      <c r="AK9">
        <v>0</v>
      </c>
      <c r="AL9">
        <v>0</v>
      </c>
      <c r="AM9">
        <v>0.35560800470266402</v>
      </c>
      <c r="AN9">
        <v>0.327659631356915</v>
      </c>
      <c r="AO9">
        <v>0.268087443325492</v>
      </c>
      <c r="AP9">
        <v>4.2068927586206897</v>
      </c>
      <c r="AQ9">
        <v>8</v>
      </c>
      <c r="AR9" s="188">
        <v>42712.99454861111</v>
      </c>
    </row>
    <row r="10" spans="1:44" x14ac:dyDescent="0.25">
      <c r="A10" s="43">
        <v>200.00132962069</v>
      </c>
      <c r="B10" s="4">
        <v>19.824529999999999</v>
      </c>
      <c r="C10" s="4">
        <v>2.0867941724137902</v>
      </c>
      <c r="D10" s="26">
        <f>$B$9-B10</f>
        <v>1.264362000000002</v>
      </c>
      <c r="E10" s="26">
        <f>INDEX(LINEST(D10:D12,C10:C12),1)</f>
        <v>0.57843864475324569</v>
      </c>
      <c r="F10" s="26">
        <f>INDEX(LINEST(D10:D12,C10:C12),2)</f>
        <v>6.4570727779770021E-2</v>
      </c>
      <c r="G10" s="31">
        <f>D10/C10</f>
        <v>0.60588725841490987</v>
      </c>
      <c r="H10" s="31"/>
      <c r="I10" s="107">
        <f>INDEX(LINEST(J4:J7,I4:I7^{1,2}),1)</f>
        <v>-1.3981132756037403E-2</v>
      </c>
      <c r="J10" s="107">
        <f>INDEX(LINEST(J4:J7,I4:I7^{1,2}),2)</f>
        <v>0.12313532452932079</v>
      </c>
      <c r="K10" s="107">
        <f>INDEX(LINEST(J4:J7,I4:I7^{1,2}),3)</f>
        <v>0.38835340565995036</v>
      </c>
      <c r="L10" s="30"/>
      <c r="M10" s="30">
        <v>3.5</v>
      </c>
      <c r="N10" s="95">
        <f>FORECAST(M10,$J$5:$J$6,$I$5:$I$6)</f>
        <v>0.67033898085785748</v>
      </c>
      <c r="O10" s="96">
        <f>M10^2*$I$10+$J$10*M10+$K$10</f>
        <v>0.64805816525111493</v>
      </c>
      <c r="P10" s="95">
        <f t="shared" si="2"/>
        <v>0</v>
      </c>
      <c r="Q10" s="31"/>
      <c r="R10" s="31"/>
      <c r="S10" s="31"/>
      <c r="T10" s="31"/>
      <c r="U10" s="31"/>
      <c r="V10">
        <v>0</v>
      </c>
      <c r="W10" s="189" t="s">
        <v>149</v>
      </c>
      <c r="X10">
        <v>-3.7567371034482799</v>
      </c>
      <c r="Y10">
        <v>-1.6309808620689701</v>
      </c>
      <c r="Z10">
        <v>21.831905689655201</v>
      </c>
      <c r="AA10">
        <v>20.689184448275899</v>
      </c>
      <c r="AB10">
        <v>5.1558486896551701</v>
      </c>
      <c r="AC10">
        <v>24.815399724137901</v>
      </c>
      <c r="AD10">
        <v>24.960757068965499</v>
      </c>
      <c r="AE10">
        <v>0.24380813793103501</v>
      </c>
      <c r="AF10">
        <v>24.734352379310302</v>
      </c>
      <c r="AG10">
        <v>24.646319793103501</v>
      </c>
      <c r="AH10">
        <v>0.28530448275862103</v>
      </c>
      <c r="AI10">
        <v>24.831659275862101</v>
      </c>
      <c r="AJ10">
        <v>24.726757206896501</v>
      </c>
      <c r="AK10">
        <v>0</v>
      </c>
      <c r="AL10">
        <v>0</v>
      </c>
      <c r="AM10">
        <v>0.35074523363341098</v>
      </c>
      <c r="AN10">
        <v>0.34604690619788903</v>
      </c>
      <c r="AO10">
        <v>0.263745165244758</v>
      </c>
      <c r="AP10">
        <v>7.0464311379310303</v>
      </c>
      <c r="AQ10">
        <v>9</v>
      </c>
      <c r="AR10" s="188">
        <v>42713.036215277774</v>
      </c>
    </row>
    <row r="11" spans="1:44" x14ac:dyDescent="0.25">
      <c r="A11" s="43">
        <v>200.00496537930999</v>
      </c>
      <c r="B11" s="4">
        <v>18.578157000000001</v>
      </c>
      <c r="C11" s="4">
        <v>4.2068927586206897</v>
      </c>
      <c r="D11" s="26">
        <f>$B$9-B11</f>
        <v>2.5107350000000004</v>
      </c>
      <c r="G11" s="31">
        <f t="shared" ref="G11:G12" si="3">D11/C11</f>
        <v>0.59681459548856974</v>
      </c>
      <c r="H11" s="31"/>
      <c r="I11" s="31"/>
      <c r="J11" s="31"/>
      <c r="K11" s="31"/>
      <c r="L11" s="30"/>
      <c r="M11" s="30">
        <v>3.75</v>
      </c>
      <c r="N11" s="95">
        <f>FORECAST(M11,$J$5:$J$6,$I$5:$I$6)</f>
        <v>0.68565583931270546</v>
      </c>
      <c r="O11" s="96">
        <f>M11^2*$I$10+$J$10*M11+$K$10</f>
        <v>0.65350119326312739</v>
      </c>
      <c r="P11" s="95">
        <f t="shared" si="2"/>
        <v>0</v>
      </c>
      <c r="Q11" s="31"/>
      <c r="R11" s="31"/>
      <c r="S11" s="31"/>
      <c r="T11" s="31"/>
      <c r="U11" s="31"/>
      <c r="V11">
        <v>0</v>
      </c>
      <c r="W11" s="189" t="s">
        <v>149</v>
      </c>
      <c r="X11">
        <v>-3.77746379310345</v>
      </c>
      <c r="Y11">
        <v>-1.7176471034482801</v>
      </c>
      <c r="Z11">
        <v>18.9502860689655</v>
      </c>
      <c r="AA11">
        <v>20.812384275862101</v>
      </c>
      <c r="AB11">
        <v>5.1680027586206903</v>
      </c>
      <c r="AC11">
        <v>24.784524655172401</v>
      </c>
      <c r="AD11">
        <v>24.922632</v>
      </c>
      <c r="AE11">
        <v>0.24355310344827599</v>
      </c>
      <c r="AF11">
        <v>24.705116379310301</v>
      </c>
      <c r="AG11">
        <v>24.615402724137901</v>
      </c>
      <c r="AH11">
        <v>0.28900872413793099</v>
      </c>
      <c r="AI11">
        <v>24.809827896551699</v>
      </c>
      <c r="AJ11">
        <v>24.702262793103401</v>
      </c>
      <c r="AK11">
        <v>0</v>
      </c>
      <c r="AL11">
        <v>0</v>
      </c>
      <c r="AM11">
        <v>0.349867546080459</v>
      </c>
      <c r="AN11">
        <v>0.37169605680903001</v>
      </c>
      <c r="AO11">
        <v>0.26395379923696799</v>
      </c>
      <c r="AP11">
        <v>1.7013793103448299E-4</v>
      </c>
      <c r="AQ11">
        <v>10</v>
      </c>
      <c r="AR11" s="188">
        <v>42713.077881944446</v>
      </c>
    </row>
    <row r="12" spans="1:44" x14ac:dyDescent="0.25">
      <c r="A12" s="43">
        <v>200.00092134482799</v>
      </c>
      <c r="B12" s="4">
        <v>16.953837</v>
      </c>
      <c r="C12" s="4">
        <v>7.0464311379310303</v>
      </c>
      <c r="D12" s="26">
        <f>$B$9-B12</f>
        <v>4.1350550000000013</v>
      </c>
      <c r="G12" s="31">
        <f t="shared" si="3"/>
        <v>0.5868296899604889</v>
      </c>
      <c r="H12" s="31"/>
      <c r="I12" s="31"/>
      <c r="J12" s="31"/>
      <c r="K12" s="31"/>
      <c r="L12" s="30"/>
      <c r="M12" s="30">
        <v>4</v>
      </c>
      <c r="N12" s="30"/>
      <c r="O12" s="96">
        <f>M12^2*$I$10+$J$10*M12+$K$10</f>
        <v>0.65719657968063505</v>
      </c>
      <c r="P12" s="4">
        <f>K6</f>
        <v>2.7944264485756154E-2</v>
      </c>
      <c r="Q12" s="31"/>
      <c r="R12" s="31"/>
      <c r="S12" s="31"/>
      <c r="T12" s="31"/>
      <c r="U12" s="31"/>
      <c r="V12">
        <v>0</v>
      </c>
      <c r="W12" s="189" t="s">
        <v>149</v>
      </c>
      <c r="X12">
        <v>-4.5426637586206899</v>
      </c>
      <c r="Y12">
        <v>-1.9389476206896601</v>
      </c>
      <c r="Z12">
        <v>26.318542896551701</v>
      </c>
      <c r="AA12">
        <v>20.420408689655201</v>
      </c>
      <c r="AB12">
        <v>5.1324651724137897</v>
      </c>
      <c r="AC12">
        <v>24.784508275862098</v>
      </c>
      <c r="AD12">
        <v>24.943368206896601</v>
      </c>
      <c r="AE12">
        <v>0.24372155172413801</v>
      </c>
      <c r="AF12">
        <v>24.698156137931001</v>
      </c>
      <c r="AG12">
        <v>24.563285482758602</v>
      </c>
      <c r="AH12">
        <v>0.28743313793103498</v>
      </c>
      <c r="AI12">
        <v>24.8011040689655</v>
      </c>
      <c r="AJ12">
        <v>24.681777689655199</v>
      </c>
      <c r="AK12">
        <v>0</v>
      </c>
      <c r="AL12">
        <v>0</v>
      </c>
      <c r="AM12">
        <v>0.405600920815744</v>
      </c>
      <c r="AN12">
        <v>0.36579598613177899</v>
      </c>
      <c r="AO12">
        <v>0.25405667252451603</v>
      </c>
      <c r="AP12">
        <v>1.4948275862068999E-4</v>
      </c>
      <c r="AQ12">
        <v>11</v>
      </c>
      <c r="AR12" s="188">
        <v>42713.161215277774</v>
      </c>
    </row>
    <row r="13" spans="1:44" x14ac:dyDescent="0.25">
      <c r="A13" s="43">
        <v>199.997001862069</v>
      </c>
      <c r="B13" s="4">
        <v>20.985759999999999</v>
      </c>
      <c r="C13" s="4">
        <v>1.7013793103448299E-4</v>
      </c>
      <c r="L13" s="30"/>
      <c r="M13" s="30">
        <v>4.5</v>
      </c>
      <c r="N13" s="95">
        <f>FORECAST(M13,$J$6:$J$7,$I$6:$I$7)</f>
        <v>0.70015383022020905</v>
      </c>
      <c r="O13" s="96">
        <f t="shared" ref="O13:O16" si="4">M13^2*$I$10+$J$10*M13+$K$10</f>
        <v>0.65934442773213653</v>
      </c>
      <c r="P13" s="95">
        <f t="shared" ref="P13:P15" si="5">M13^2*$I$11+$J$11*M13+$K$11</f>
        <v>0</v>
      </c>
      <c r="V13">
        <v>0</v>
      </c>
      <c r="W13" s="189" t="s">
        <v>149</v>
      </c>
      <c r="X13">
        <v>-3.29133013793103</v>
      </c>
      <c r="Y13">
        <v>-1.47462893103448</v>
      </c>
      <c r="Z13">
        <v>32.071036896551703</v>
      </c>
      <c r="AA13">
        <v>20.583032310344802</v>
      </c>
      <c r="AB13">
        <v>5.1286506896551698</v>
      </c>
      <c r="AC13">
        <v>24.808129724137899</v>
      </c>
      <c r="AD13">
        <v>24.983305517241401</v>
      </c>
      <c r="AE13">
        <v>0.24357379310344801</v>
      </c>
      <c r="AF13">
        <v>24.7296813793103</v>
      </c>
      <c r="AG13">
        <v>24.668345310344801</v>
      </c>
      <c r="AH13">
        <v>0.28874868965517198</v>
      </c>
      <c r="AI13">
        <v>24.828371448275899</v>
      </c>
      <c r="AJ13">
        <v>24.7324916206897</v>
      </c>
      <c r="AK13">
        <v>0</v>
      </c>
      <c r="AL13">
        <v>0</v>
      </c>
      <c r="AM13">
        <v>0.40912063724214498</v>
      </c>
      <c r="AN13">
        <v>0.36539256581517399</v>
      </c>
      <c r="AO13">
        <v>0.20925427951678699</v>
      </c>
      <c r="AP13">
        <v>1.86170455172414</v>
      </c>
      <c r="AQ13">
        <v>12</v>
      </c>
      <c r="AR13" s="188">
        <v>42713.202881944446</v>
      </c>
    </row>
    <row r="14" spans="1:44" x14ac:dyDescent="0.25">
      <c r="A14" s="43">
        <v>250.00156689655199</v>
      </c>
      <c r="B14" s="4">
        <v>28.436775000000001</v>
      </c>
      <c r="C14" s="4">
        <v>1.4948275862068999E-4</v>
      </c>
      <c r="L14" s="30"/>
      <c r="M14" s="30">
        <v>5</v>
      </c>
      <c r="N14" s="95">
        <f>FORECAST(M14,$J$6:$J$7,$I$6:$I$7)</f>
        <v>0.72292446930376442</v>
      </c>
      <c r="O14" s="96">
        <f t="shared" si="4"/>
        <v>0.65450170940561925</v>
      </c>
      <c r="P14" s="95">
        <f t="shared" si="5"/>
        <v>0</v>
      </c>
      <c r="V14">
        <v>0</v>
      </c>
      <c r="W14" s="189" t="s">
        <v>149</v>
      </c>
      <c r="X14">
        <v>-3.4010415172413802</v>
      </c>
      <c r="Y14">
        <v>-1.48349155172414</v>
      </c>
      <c r="Z14">
        <v>33.112187413793102</v>
      </c>
      <c r="AA14">
        <v>20.734933344827599</v>
      </c>
      <c r="AB14">
        <v>5.1296794137930997</v>
      </c>
      <c r="AC14">
        <v>24.806909137931001</v>
      </c>
      <c r="AD14">
        <v>24.984075862069002</v>
      </c>
      <c r="AE14">
        <v>0.24353910344827601</v>
      </c>
      <c r="AF14">
        <v>24.7251026206897</v>
      </c>
      <c r="AG14">
        <v>24.657560310344799</v>
      </c>
      <c r="AH14">
        <v>0.28968696551724099</v>
      </c>
      <c r="AI14">
        <v>24.823987862069</v>
      </c>
      <c r="AJ14">
        <v>24.727945310344801</v>
      </c>
      <c r="AK14">
        <v>0</v>
      </c>
      <c r="AL14">
        <v>0</v>
      </c>
      <c r="AM14">
        <v>0.38419987022595298</v>
      </c>
      <c r="AN14">
        <v>0.33081884884728502</v>
      </c>
      <c r="AO14">
        <v>0.18222556551369201</v>
      </c>
      <c r="AP14">
        <v>3.76401903448276</v>
      </c>
      <c r="AQ14">
        <v>13</v>
      </c>
      <c r="AR14" s="188">
        <v>42713.24454861111</v>
      </c>
    </row>
    <row r="15" spans="1:44" x14ac:dyDescent="0.25">
      <c r="A15" s="43">
        <v>249.998263068966</v>
      </c>
      <c r="B15" s="4">
        <v>27.270192999999999</v>
      </c>
      <c r="C15" s="4">
        <v>1.86170455172414</v>
      </c>
      <c r="D15" s="26">
        <f>$B$14-B15</f>
        <v>1.1665820000000018</v>
      </c>
      <c r="E15" s="26">
        <f>INDEX(LINEST(D15:D17,C15:C17),1)</f>
        <v>0.60907048286539367</v>
      </c>
      <c r="F15" s="26">
        <f>INDEX(LINEST(D15:D17,C15:C17),2)</f>
        <v>2.7944264485756154E-2</v>
      </c>
      <c r="G15" s="31">
        <f>D15/C15</f>
        <v>0.62662037266848847</v>
      </c>
      <c r="H15" s="31"/>
      <c r="I15" s="31"/>
      <c r="J15" s="31"/>
      <c r="K15" s="31"/>
      <c r="L15" s="30"/>
      <c r="M15" s="30">
        <v>5.5</v>
      </c>
      <c r="N15" s="95">
        <f t="shared" ref="N15" si="6">FORECAST(M15,$J$6:$J$7,$I$6:$I$7)</f>
        <v>0.74569510838731989</v>
      </c>
      <c r="O15" s="96">
        <f t="shared" si="4"/>
        <v>0.64266842470108321</v>
      </c>
      <c r="P15" s="95">
        <f t="shared" si="5"/>
        <v>0</v>
      </c>
      <c r="Q15" s="31"/>
      <c r="R15" s="31"/>
      <c r="S15" s="31"/>
      <c r="T15" s="31"/>
      <c r="U15" s="31"/>
      <c r="V15">
        <v>0</v>
      </c>
      <c r="W15" s="189" t="s">
        <v>149</v>
      </c>
      <c r="X15">
        <v>-4.0402406896551701</v>
      </c>
      <c r="Y15">
        <v>-1.90909662068966</v>
      </c>
      <c r="Z15">
        <v>31.026690620689699</v>
      </c>
      <c r="AA15">
        <v>20.628114034482799</v>
      </c>
      <c r="AB15">
        <v>5.1766415172413804</v>
      </c>
      <c r="AC15">
        <v>24.801402344827601</v>
      </c>
      <c r="AD15">
        <v>24.9726117931035</v>
      </c>
      <c r="AE15">
        <v>0.24355565517241401</v>
      </c>
      <c r="AF15">
        <v>24.7124674137931</v>
      </c>
      <c r="AG15">
        <v>24.6083176206897</v>
      </c>
      <c r="AH15">
        <v>0.29138900000000001</v>
      </c>
      <c r="AI15">
        <v>24.814933</v>
      </c>
      <c r="AJ15">
        <v>24.7004128965517</v>
      </c>
      <c r="AK15">
        <v>0</v>
      </c>
      <c r="AL15">
        <v>0</v>
      </c>
      <c r="AM15">
        <v>0.36527357003761401</v>
      </c>
      <c r="AN15">
        <v>0.34989990530311799</v>
      </c>
      <c r="AO15">
        <v>0.18721613864484701</v>
      </c>
      <c r="AP15">
        <v>6.32035065517241</v>
      </c>
      <c r="AQ15">
        <v>14</v>
      </c>
      <c r="AR15" s="188">
        <v>42713.286215277774</v>
      </c>
    </row>
    <row r="16" spans="1:44" x14ac:dyDescent="0.25">
      <c r="A16" s="43">
        <v>250.000591448276</v>
      </c>
      <c r="B16" s="4">
        <v>26.124524999999998</v>
      </c>
      <c r="C16" s="4">
        <v>3.76401903448276</v>
      </c>
      <c r="D16" s="26">
        <f>$B$14-B16</f>
        <v>2.3122500000000024</v>
      </c>
      <c r="G16" s="31">
        <f t="shared" ref="G16:G17" si="7">D16/C16</f>
        <v>0.61430348221332642</v>
      </c>
      <c r="H16" s="31"/>
      <c r="I16" s="31"/>
      <c r="J16" s="31"/>
      <c r="K16" s="31"/>
      <c r="L16" s="30"/>
      <c r="M16" s="30">
        <v>6</v>
      </c>
      <c r="N16" s="30">
        <f>J7</f>
        <v>0.63184206490466932</v>
      </c>
      <c r="O16" s="96">
        <f t="shared" si="4"/>
        <v>0.62384457361852852</v>
      </c>
      <c r="P16" s="4">
        <f>K7</f>
        <v>4.6939188898956541E-2</v>
      </c>
      <c r="Q16" s="31"/>
      <c r="R16" s="31"/>
      <c r="S16" s="31"/>
      <c r="T16" s="31"/>
      <c r="U16" s="31"/>
      <c r="V16">
        <v>0</v>
      </c>
      <c r="W16" s="189" t="s">
        <v>149</v>
      </c>
      <c r="X16">
        <v>-3.8854963103448301</v>
      </c>
      <c r="Y16">
        <v>-1.5748284827586201</v>
      </c>
      <c r="Z16">
        <v>29.196345206896599</v>
      </c>
      <c r="AA16">
        <v>20.548434</v>
      </c>
      <c r="AB16">
        <v>5.1722948965517297</v>
      </c>
      <c r="AC16">
        <v>24.803127689655199</v>
      </c>
      <c r="AD16">
        <v>24.968830137931</v>
      </c>
      <c r="AE16">
        <v>0.24367665517241399</v>
      </c>
      <c r="AF16">
        <v>24.716058862069001</v>
      </c>
      <c r="AG16">
        <v>24.619797034482801</v>
      </c>
      <c r="AH16">
        <v>0.28833368965517198</v>
      </c>
      <c r="AI16">
        <v>24.818969517241399</v>
      </c>
      <c r="AJ16">
        <v>24.719064482758601</v>
      </c>
      <c r="AK16">
        <v>0</v>
      </c>
      <c r="AL16">
        <v>0</v>
      </c>
      <c r="AM16">
        <v>0.35247688900554403</v>
      </c>
      <c r="AN16">
        <v>0.353874115491977</v>
      </c>
      <c r="AO16">
        <v>0.20168789316798899</v>
      </c>
      <c r="AP16">
        <v>1.4279310344827599E-4</v>
      </c>
      <c r="AQ16">
        <v>15</v>
      </c>
      <c r="AR16" s="188">
        <v>42713.327881944446</v>
      </c>
    </row>
    <row r="17" spans="1:44" x14ac:dyDescent="0.25">
      <c r="A17" s="43">
        <v>250.000037241379</v>
      </c>
      <c r="B17" s="4">
        <v>24.555772999999999</v>
      </c>
      <c r="C17" s="4">
        <v>6.32035065517241</v>
      </c>
      <c r="D17" s="26">
        <f>$B$14-B17</f>
        <v>3.8810020000000023</v>
      </c>
      <c r="G17" s="31">
        <f t="shared" si="7"/>
        <v>0.61404852542855226</v>
      </c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>
        <v>0</v>
      </c>
      <c r="W17" s="189" t="s">
        <v>149</v>
      </c>
      <c r="X17">
        <v>-3.6778532758620699</v>
      </c>
      <c r="Y17">
        <v>-1.6044019655172399</v>
      </c>
      <c r="Z17">
        <v>41.728591482758603</v>
      </c>
      <c r="AA17">
        <v>20.749738724137899</v>
      </c>
      <c r="AB17">
        <v>5.1602016551724104</v>
      </c>
      <c r="AC17">
        <v>24.823390965517198</v>
      </c>
      <c r="AD17">
        <v>25.0241709655172</v>
      </c>
      <c r="AE17">
        <v>0.243812379310345</v>
      </c>
      <c r="AF17">
        <v>24.7398426206897</v>
      </c>
      <c r="AG17">
        <v>24.656583862068999</v>
      </c>
      <c r="AH17">
        <v>0.290615448275862</v>
      </c>
      <c r="AI17">
        <v>24.840529758620701</v>
      </c>
      <c r="AJ17">
        <v>24.738339931034499</v>
      </c>
      <c r="AK17">
        <v>0</v>
      </c>
      <c r="AL17">
        <v>0</v>
      </c>
      <c r="AM17">
        <v>0.34835957032169901</v>
      </c>
      <c r="AN17">
        <v>0.34278159506466999</v>
      </c>
      <c r="AO17">
        <v>0.177471255788268</v>
      </c>
      <c r="AP17">
        <v>1.23379310344828E-4</v>
      </c>
      <c r="AQ17">
        <v>16</v>
      </c>
      <c r="AR17" s="188">
        <v>42713.411215277774</v>
      </c>
    </row>
    <row r="18" spans="1:44" x14ac:dyDescent="0.25">
      <c r="A18" s="43">
        <v>249.99517872413799</v>
      </c>
      <c r="B18" s="4">
        <v>28.383127000000002</v>
      </c>
      <c r="C18" s="4">
        <v>1.4279310344827599E-4</v>
      </c>
    </row>
    <row r="19" spans="1:44" x14ac:dyDescent="0.25">
      <c r="A19" s="43">
        <v>300.00368834482799</v>
      </c>
      <c r="B19" s="4">
        <v>36.495764999999999</v>
      </c>
      <c r="C19" s="4">
        <v>1.23379310344828E-4</v>
      </c>
    </row>
    <row r="20" spans="1:44" x14ac:dyDescent="0.25">
      <c r="A20" s="43">
        <v>300.00033362069001</v>
      </c>
      <c r="B20" s="4">
        <v>35.099502999999999</v>
      </c>
      <c r="C20" s="4">
        <v>2.1508525517241401</v>
      </c>
      <c r="D20" s="26">
        <f>$B$19-B20</f>
        <v>1.3962620000000001</v>
      </c>
      <c r="E20" s="26">
        <f>INDEX(LINEST(D20:D22,C20:C22),1)</f>
        <v>0.63184206490466932</v>
      </c>
      <c r="F20" s="26">
        <f>INDEX(LINEST(D20:D22,C20:C22),2)</f>
        <v>4.6939188898956541E-2</v>
      </c>
      <c r="G20" s="31">
        <f>D20/C20</f>
        <v>0.64916676825696196</v>
      </c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</row>
    <row r="21" spans="1:44" x14ac:dyDescent="0.25">
      <c r="A21" s="43">
        <v>300.00495124137899</v>
      </c>
      <c r="B21" s="4">
        <v>33.870652</v>
      </c>
      <c r="C21" s="4">
        <v>4.0532034137931001</v>
      </c>
      <c r="D21" s="26">
        <f t="shared" ref="D21:D22" si="8">$B$19-B21</f>
        <v>2.6251129999999989</v>
      </c>
      <c r="G21" s="31">
        <f t="shared" ref="G21:G22" si="9">D21/C21</f>
        <v>0.6476637691231355</v>
      </c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</row>
    <row r="22" spans="1:44" x14ac:dyDescent="0.25">
      <c r="A22" s="43">
        <v>299.99981696551703</v>
      </c>
      <c r="B22" s="4">
        <v>32.347285999999997</v>
      </c>
      <c r="C22" s="4">
        <v>6.5032911379310399</v>
      </c>
      <c r="D22" s="26">
        <f t="shared" si="8"/>
        <v>4.1484790000000018</v>
      </c>
      <c r="G22" s="31">
        <f t="shared" si="9"/>
        <v>0.63790454894501325</v>
      </c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</row>
    <row r="23" spans="1:44" x14ac:dyDescent="0.25">
      <c r="A23" s="43">
        <v>299.99371751724101</v>
      </c>
      <c r="B23" s="4">
        <v>36.445683000000002</v>
      </c>
      <c r="C23" s="4">
        <v>9.7344827586206902E-5</v>
      </c>
      <c r="D23"/>
      <c r="E23" s="189"/>
    </row>
    <row r="25" spans="1:44" x14ac:dyDescent="0.25"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</row>
    <row r="26" spans="1:44" x14ac:dyDescent="0.25"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</row>
    <row r="27" spans="1:44" x14ac:dyDescent="0.25"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</row>
    <row r="30" spans="1:44" x14ac:dyDescent="0.25"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</row>
    <row r="31" spans="1:44" x14ac:dyDescent="0.25"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</row>
    <row r="32" spans="1:44" x14ac:dyDescent="0.25"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</row>
    <row r="35" spans="7:21" x14ac:dyDescent="0.25"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</row>
    <row r="36" spans="7:21" x14ac:dyDescent="0.25"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</row>
    <row r="37" spans="7:21" x14ac:dyDescent="0.25"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</row>
    <row r="40" spans="7:21" x14ac:dyDescent="0.25"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</row>
    <row r="41" spans="7:21" x14ac:dyDescent="0.25"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</row>
    <row r="42" spans="7:21" x14ac:dyDescent="0.25"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</vt:i4>
      </vt:variant>
    </vt:vector>
  </HeadingPairs>
  <TitlesOfParts>
    <vt:vector size="16" baseType="lpstr">
      <vt:lpstr>IPB1-30b</vt:lpstr>
      <vt:lpstr>IPB1-29b</vt:lpstr>
      <vt:lpstr>IPB2-28b</vt:lpstr>
      <vt:lpstr>SRI-IPB2-27b</vt:lpstr>
      <vt:lpstr>IPB2-27b</vt:lpstr>
      <vt:lpstr>IPB1-26b</vt:lpstr>
      <vt:lpstr>AllDC</vt:lpstr>
      <vt:lpstr>DC-he-ipb1-30b</vt:lpstr>
      <vt:lpstr>DC-he-ipb1-29b-10032016</vt:lpstr>
      <vt:lpstr>DC-he-ipb1-29b-10122016</vt:lpstr>
      <vt:lpstr>DC-h2-ipb1-29b</vt:lpstr>
      <vt:lpstr>DC-h2-ipb2-28b</vt:lpstr>
      <vt:lpstr>DC-h2-sri-ipb2-27b</vt:lpstr>
      <vt:lpstr>ipb3-12092016</vt:lpstr>
      <vt:lpstr>X_1</vt:lpstr>
      <vt:lpstr>Y_1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2016-09-09T17:56:47Z</dcterms:created>
  <dcterms:modified xsi:type="dcterms:W3CDTF">2016-12-20T22:29:30Z</dcterms:modified>
</cp:coreProperties>
</file>