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GIT\PCITest\doc\"/>
    </mc:Choice>
  </mc:AlternateContent>
  <bookViews>
    <workbookView xWindow="0" yWindow="0" windowWidth="24000" windowHeight="9510" activeTab="1"/>
  </bookViews>
  <sheets>
    <sheet name="Sheet1" sheetId="1" r:id="rId1"/>
    <sheet name="∠X&quot;L" sheetId="2" r:id="rId2"/>
  </sheets>
  <externalReferences>
    <externalReference r:id="rId3"/>
  </externalReferences>
  <definedNames>
    <definedName name="b">[1]Sheet1!#REF!</definedName>
    <definedName name="g">[1]Sheet1!#REF!</definedName>
  </definedNames>
  <calcPr calcId="162913"/>
</workbook>
</file>

<file path=xl/calcChain.xml><?xml version="1.0" encoding="utf-8"?>
<calcChain xmlns="http://schemas.openxmlformats.org/spreadsheetml/2006/main">
  <c r="B6" i="2" l="1"/>
  <c r="C6" i="2" s="1"/>
  <c r="D6" i="2" s="1"/>
  <c r="C3" i="2"/>
  <c r="D3" i="2" s="1"/>
  <c r="B3" i="2"/>
  <c r="F41" i="2" l="1"/>
  <c r="F36" i="2"/>
  <c r="E41" i="2"/>
  <c r="E36" i="2"/>
  <c r="B41" i="2"/>
  <c r="D36" i="2"/>
  <c r="C36" i="2"/>
  <c r="B36" i="2"/>
  <c r="D6" i="1" l="1"/>
  <c r="H10" i="1" l="1"/>
  <c r="H5" i="1"/>
  <c r="H7" i="1"/>
  <c r="H9" i="1"/>
  <c r="AY15" i="1"/>
  <c r="AW15" i="1"/>
  <c r="AU15" i="1"/>
  <c r="AL15" i="1"/>
  <c r="AK15" i="1"/>
  <c r="AJ15" i="1"/>
  <c r="AI15" i="1"/>
  <c r="AO15" i="1" s="1"/>
  <c r="T15" i="1"/>
  <c r="S15" i="1"/>
  <c r="R15" i="1"/>
  <c r="Q15" i="1"/>
  <c r="N15" i="1"/>
  <c r="K15" i="1"/>
  <c r="D15" i="1"/>
  <c r="BF15" i="1" s="1"/>
  <c r="BG15" i="1" s="1"/>
  <c r="H14" i="1"/>
  <c r="AM15" i="1" l="1"/>
  <c r="X15" i="1"/>
  <c r="AN15" i="1"/>
  <c r="Y15" i="1"/>
  <c r="B34" i="2" l="1"/>
  <c r="F58" i="2"/>
  <c r="F59" i="2"/>
  <c r="C160" i="2"/>
  <c r="B159" i="2"/>
  <c r="B160" i="2" s="1"/>
  <c r="J147" i="2"/>
  <c r="E142" i="2"/>
  <c r="B142" i="2" s="1"/>
  <c r="E138" i="2"/>
  <c r="E137" i="2"/>
  <c r="E134" i="2"/>
  <c r="C132" i="2"/>
  <c r="B132" i="2"/>
  <c r="C131" i="2"/>
  <c r="B131" i="2"/>
  <c r="F130" i="2"/>
  <c r="C130" i="2"/>
  <c r="B130" i="2" s="1"/>
  <c r="C129" i="2"/>
  <c r="B129" i="2"/>
  <c r="B128" i="2"/>
  <c r="G127" i="2"/>
  <c r="H127" i="2" s="1"/>
  <c r="B125" i="2"/>
  <c r="B124" i="2"/>
  <c r="E123" i="2"/>
  <c r="B123" i="2"/>
  <c r="F123" i="2" s="1"/>
  <c r="F118" i="2"/>
  <c r="F115" i="2"/>
  <c r="B112" i="2"/>
  <c r="F91" i="2"/>
  <c r="E91" i="2"/>
  <c r="C91" i="2"/>
  <c r="B188" i="2" s="1"/>
  <c r="C188" i="2" s="1"/>
  <c r="D188" i="2" s="1"/>
  <c r="E188" i="2" s="1"/>
  <c r="F188" i="2" s="1"/>
  <c r="B91" i="2"/>
  <c r="B92" i="2" s="1"/>
  <c r="B52" i="2"/>
  <c r="C51" i="2"/>
  <c r="B51" i="2" s="1"/>
  <c r="I14" i="2"/>
  <c r="I13" i="2"/>
  <c r="C11" i="2"/>
  <c r="C12" i="2" s="1"/>
  <c r="B11" i="2"/>
  <c r="H4" i="2"/>
  <c r="H2" i="2"/>
  <c r="D2" i="2"/>
  <c r="B2" i="2"/>
  <c r="F1" i="2"/>
  <c r="F2" i="2" s="1"/>
  <c r="J28" i="1"/>
  <c r="H28" i="1"/>
  <c r="I28" i="1" s="1"/>
  <c r="E28" i="1"/>
  <c r="J27" i="1"/>
  <c r="H27" i="1"/>
  <c r="I27" i="1" s="1"/>
  <c r="E27" i="1"/>
  <c r="J26" i="1"/>
  <c r="H26" i="1"/>
  <c r="I26" i="1" s="1"/>
  <c r="E26" i="1"/>
  <c r="N24" i="1"/>
  <c r="K24" i="1"/>
  <c r="H24" i="1"/>
  <c r="D24" i="1"/>
  <c r="BF24" i="1" s="1"/>
  <c r="BG24" i="1" s="1"/>
  <c r="N23" i="1"/>
  <c r="K23" i="1"/>
  <c r="H23" i="1"/>
  <c r="D23" i="1"/>
  <c r="BF23" i="1" s="1"/>
  <c r="BG23" i="1" s="1"/>
  <c r="G22" i="1"/>
  <c r="G33" i="1" s="1"/>
  <c r="G34" i="1" s="1"/>
  <c r="F22" i="1"/>
  <c r="BF21" i="1"/>
  <c r="BG21" i="1" s="1"/>
  <c r="AY21" i="1"/>
  <c r="AW21" i="1"/>
  <c r="AU21" i="1"/>
  <c r="AO21" i="1"/>
  <c r="AL21" i="1"/>
  <c r="AK21" i="1"/>
  <c r="AJ21" i="1"/>
  <c r="AN21" i="1" s="1"/>
  <c r="AI21" i="1"/>
  <c r="Y21" i="1"/>
  <c r="X21" i="1"/>
  <c r="T21" i="1"/>
  <c r="S21" i="1"/>
  <c r="R21" i="1"/>
  <c r="Q21" i="1"/>
  <c r="K21" i="1"/>
  <c r="G21" i="1"/>
  <c r="P21" i="1" s="1"/>
  <c r="D21" i="1"/>
  <c r="BF20" i="1"/>
  <c r="BG20" i="1" s="1"/>
  <c r="AY20" i="1"/>
  <c r="AW20" i="1"/>
  <c r="AU20" i="1"/>
  <c r="AO20" i="1"/>
  <c r="AL20" i="1"/>
  <c r="AK20" i="1"/>
  <c r="AM20" i="1" s="1"/>
  <c r="AJ20" i="1"/>
  <c r="AN20" i="1" s="1"/>
  <c r="AI20" i="1"/>
  <c r="T20" i="1"/>
  <c r="S20" i="1"/>
  <c r="R20" i="1"/>
  <c r="Q20" i="1"/>
  <c r="N20" i="1"/>
  <c r="K20" i="1"/>
  <c r="G20" i="1"/>
  <c r="P20" i="1" s="1"/>
  <c r="D20" i="1"/>
  <c r="X20" i="1" s="1"/>
  <c r="AY19" i="1"/>
  <c r="AW19" i="1"/>
  <c r="AU19" i="1"/>
  <c r="AM19" i="1"/>
  <c r="AL19" i="1"/>
  <c r="AK19" i="1"/>
  <c r="AJ19" i="1"/>
  <c r="AN19" i="1" s="1"/>
  <c r="AI19" i="1"/>
  <c r="AO19" i="1" s="1"/>
  <c r="T19" i="1"/>
  <c r="S19" i="1"/>
  <c r="R19" i="1"/>
  <c r="Q19" i="1"/>
  <c r="N19" i="1"/>
  <c r="K19" i="1"/>
  <c r="G19" i="1"/>
  <c r="O19" i="1" s="1"/>
  <c r="W19" i="1" s="1"/>
  <c r="D19" i="1"/>
  <c r="BF19" i="1" s="1"/>
  <c r="BG19" i="1" s="1"/>
  <c r="AY18" i="1"/>
  <c r="AW18" i="1"/>
  <c r="AU18" i="1"/>
  <c r="AO18" i="1"/>
  <c r="AL18" i="1"/>
  <c r="AK18" i="1"/>
  <c r="AJ18" i="1"/>
  <c r="AN18" i="1" s="1"/>
  <c r="AI18" i="1"/>
  <c r="Y18" i="1"/>
  <c r="X18" i="1"/>
  <c r="T18" i="1"/>
  <c r="S18" i="1"/>
  <c r="R18" i="1"/>
  <c r="Q18" i="1"/>
  <c r="N18" i="1"/>
  <c r="K18" i="1"/>
  <c r="G18" i="1"/>
  <c r="BC18" i="1" s="1"/>
  <c r="BD18" i="1" s="1"/>
  <c r="BE18" i="1" s="1"/>
  <c r="D18" i="1"/>
  <c r="BF18" i="1" s="1"/>
  <c r="BG18" i="1" s="1"/>
  <c r="AY17" i="1"/>
  <c r="AW17" i="1"/>
  <c r="AU17" i="1"/>
  <c r="AM17" i="1"/>
  <c r="AL17" i="1"/>
  <c r="AK17" i="1"/>
  <c r="AJ17" i="1"/>
  <c r="AN17" i="1" s="1"/>
  <c r="AI17" i="1"/>
  <c r="AO17" i="1" s="1"/>
  <c r="T17" i="1"/>
  <c r="S17" i="1"/>
  <c r="R17" i="1"/>
  <c r="Q17" i="1"/>
  <c r="N17" i="1"/>
  <c r="K17" i="1"/>
  <c r="G17" i="1"/>
  <c r="O17" i="1" s="1"/>
  <c r="W17" i="1" s="1"/>
  <c r="D17" i="1"/>
  <c r="BF17" i="1" s="1"/>
  <c r="BG17" i="1" s="1"/>
  <c r="AY16" i="1"/>
  <c r="AW16" i="1"/>
  <c r="AU16" i="1"/>
  <c r="AL16" i="1"/>
  <c r="AK16" i="1"/>
  <c r="AJ16" i="1"/>
  <c r="AN16" i="1" s="1"/>
  <c r="AI16" i="1"/>
  <c r="AO16" i="1" s="1"/>
  <c r="X16" i="1"/>
  <c r="T16" i="1"/>
  <c r="S16" i="1"/>
  <c r="R16" i="1"/>
  <c r="Q16" i="1"/>
  <c r="N16" i="1"/>
  <c r="K16" i="1"/>
  <c r="G16" i="1"/>
  <c r="P16" i="1" s="1"/>
  <c r="D16" i="1"/>
  <c r="BF16" i="1" s="1"/>
  <c r="BG16" i="1" s="1"/>
  <c r="AY14" i="1"/>
  <c r="AW14" i="1"/>
  <c r="AU14" i="1"/>
  <c r="AO14" i="1"/>
  <c r="AL14" i="1"/>
  <c r="AK14" i="1"/>
  <c r="AJ14" i="1"/>
  <c r="AN14" i="1" s="1"/>
  <c r="AI14" i="1"/>
  <c r="Y14" i="1"/>
  <c r="X14" i="1"/>
  <c r="T14" i="1"/>
  <c r="S14" i="1"/>
  <c r="R14" i="1"/>
  <c r="Q14" i="1"/>
  <c r="N14" i="1"/>
  <c r="K14" i="1"/>
  <c r="G14" i="1"/>
  <c r="BC14" i="1" s="1"/>
  <c r="BD14" i="1" s="1"/>
  <c r="D14" i="1"/>
  <c r="BF14" i="1" s="1"/>
  <c r="BG14" i="1" s="1"/>
  <c r="AY13" i="1"/>
  <c r="AW13" i="1"/>
  <c r="AU13" i="1"/>
  <c r="AM13" i="1"/>
  <c r="AL13" i="1"/>
  <c r="AK13" i="1"/>
  <c r="AJ13" i="1"/>
  <c r="AI13" i="1"/>
  <c r="AO13" i="1" s="1"/>
  <c r="T13" i="1"/>
  <c r="S13" i="1"/>
  <c r="R13" i="1"/>
  <c r="Q13" i="1"/>
  <c r="N13" i="1"/>
  <c r="K13" i="1"/>
  <c r="G13" i="1"/>
  <c r="H13" i="1" s="1"/>
  <c r="D13" i="1"/>
  <c r="AY12" i="1"/>
  <c r="AW12" i="1"/>
  <c r="AU12" i="1"/>
  <c r="AL12" i="1"/>
  <c r="AK12" i="1"/>
  <c r="AJ12" i="1"/>
  <c r="AN12" i="1" s="1"/>
  <c r="AI12" i="1"/>
  <c r="AO12" i="1" s="1"/>
  <c r="T12" i="1"/>
  <c r="S12" i="1"/>
  <c r="R12" i="1"/>
  <c r="Q12" i="1"/>
  <c r="N12" i="1"/>
  <c r="K12" i="1"/>
  <c r="G12" i="1"/>
  <c r="H12" i="1" s="1"/>
  <c r="P12" i="1" s="1"/>
  <c r="D12" i="1"/>
  <c r="AY11" i="1"/>
  <c r="AW11" i="1"/>
  <c r="AU11" i="1"/>
  <c r="AL11" i="1"/>
  <c r="AK11" i="1"/>
  <c r="AJ11" i="1"/>
  <c r="AM11" i="1" s="1"/>
  <c r="AI11" i="1"/>
  <c r="AO11" i="1" s="1"/>
  <c r="X11" i="1"/>
  <c r="T11" i="1"/>
  <c r="S11" i="1"/>
  <c r="R11" i="1"/>
  <c r="Q11" i="1"/>
  <c r="N11" i="1"/>
  <c r="K11" i="1"/>
  <c r="G11" i="1"/>
  <c r="H11" i="1" s="1"/>
  <c r="O11" i="1" s="1"/>
  <c r="D11" i="1"/>
  <c r="BF11" i="1" s="1"/>
  <c r="BG11" i="1" s="1"/>
  <c r="B11" i="1"/>
  <c r="AY10" i="1"/>
  <c r="AW10" i="1"/>
  <c r="AU10" i="1"/>
  <c r="AL10" i="1"/>
  <c r="AK10" i="1"/>
  <c r="AJ10" i="1"/>
  <c r="AI10" i="1"/>
  <c r="AO10" i="1" s="1"/>
  <c r="T10" i="1"/>
  <c r="S10" i="1"/>
  <c r="R10" i="1"/>
  <c r="Q10" i="1"/>
  <c r="N10" i="1"/>
  <c r="K10" i="1"/>
  <c r="G10" i="1"/>
  <c r="D10" i="1"/>
  <c r="X10" i="1" s="1"/>
  <c r="BF10" i="1"/>
  <c r="BG10" i="1" s="1"/>
  <c r="AY9" i="1"/>
  <c r="AW9" i="1"/>
  <c r="AU9" i="1"/>
  <c r="AL9" i="1"/>
  <c r="AK9" i="1"/>
  <c r="AJ9" i="1"/>
  <c r="AN9" i="1" s="1"/>
  <c r="AI9" i="1"/>
  <c r="AO9" i="1" s="1"/>
  <c r="Y9" i="1"/>
  <c r="X9" i="1"/>
  <c r="T9" i="1"/>
  <c r="S9" i="1"/>
  <c r="R9" i="1"/>
  <c r="Q9" i="1"/>
  <c r="N9" i="1"/>
  <c r="K9" i="1"/>
  <c r="G9" i="1"/>
  <c r="B9" i="1"/>
  <c r="AY8" i="1"/>
  <c r="AW8" i="1"/>
  <c r="AU8" i="1"/>
  <c r="AL8" i="1"/>
  <c r="AK8" i="1"/>
  <c r="AJ8" i="1"/>
  <c r="AM8" i="1" s="1"/>
  <c r="AI8" i="1"/>
  <c r="AO8" i="1" s="1"/>
  <c r="X8" i="1"/>
  <c r="T8" i="1"/>
  <c r="S8" i="1"/>
  <c r="R8" i="1"/>
  <c r="Q8" i="1"/>
  <c r="N8" i="1"/>
  <c r="K8" i="1"/>
  <c r="G8" i="1"/>
  <c r="H8" i="1" s="1"/>
  <c r="O8" i="1" s="1"/>
  <c r="D8" i="1"/>
  <c r="Y8" i="1" s="1"/>
  <c r="BF7" i="1"/>
  <c r="BG7" i="1" s="1"/>
  <c r="AY7" i="1"/>
  <c r="AW7" i="1"/>
  <c r="AU7" i="1"/>
  <c r="AN7" i="1"/>
  <c r="AL7" i="1"/>
  <c r="AK7" i="1"/>
  <c r="AJ7" i="1"/>
  <c r="AM7" i="1" s="1"/>
  <c r="AI7" i="1"/>
  <c r="AO7" i="1" s="1"/>
  <c r="T7" i="1"/>
  <c r="S7" i="1"/>
  <c r="R7" i="1"/>
  <c r="Q7" i="1"/>
  <c r="N7" i="1"/>
  <c r="K7" i="1"/>
  <c r="G7" i="1"/>
  <c r="BC7" i="1" s="1"/>
  <c r="BD7" i="1" s="1"/>
  <c r="D7" i="1"/>
  <c r="Y7" i="1" s="1"/>
  <c r="AY6" i="1"/>
  <c r="AW6" i="1"/>
  <c r="AU6" i="1"/>
  <c r="AL6" i="1"/>
  <c r="AK6" i="1"/>
  <c r="AJ6" i="1"/>
  <c r="AM6" i="1" s="1"/>
  <c r="AI6" i="1"/>
  <c r="AO6" i="1" s="1"/>
  <c r="X6" i="1"/>
  <c r="T6" i="1"/>
  <c r="S6" i="1"/>
  <c r="R6" i="1"/>
  <c r="Q6" i="1"/>
  <c r="N6" i="1"/>
  <c r="K6" i="1"/>
  <c r="G6" i="1"/>
  <c r="H6" i="1" s="1"/>
  <c r="O6" i="1" s="1"/>
  <c r="Y6" i="1"/>
  <c r="BF5" i="1"/>
  <c r="BG5" i="1" s="1"/>
  <c r="AY5" i="1"/>
  <c r="AW5" i="1"/>
  <c r="AU5" i="1"/>
  <c r="AN5" i="1"/>
  <c r="AL5" i="1"/>
  <c r="AK5" i="1"/>
  <c r="AJ5" i="1"/>
  <c r="AM5" i="1" s="1"/>
  <c r="AI5" i="1"/>
  <c r="AO5" i="1" s="1"/>
  <c r="T5" i="1"/>
  <c r="S5" i="1"/>
  <c r="R5" i="1"/>
  <c r="Q5" i="1"/>
  <c r="N5" i="1"/>
  <c r="K5" i="1"/>
  <c r="G5" i="1"/>
  <c r="P5" i="1" s="1"/>
  <c r="D5" i="1"/>
  <c r="Y5" i="1" s="1"/>
  <c r="AY4" i="1"/>
  <c r="AW4" i="1"/>
  <c r="AU4" i="1"/>
  <c r="AM4" i="1"/>
  <c r="AL4" i="1"/>
  <c r="AK4" i="1"/>
  <c r="AJ4" i="1"/>
  <c r="AN4" i="1" s="1"/>
  <c r="AI4" i="1"/>
  <c r="AO4" i="1" s="1"/>
  <c r="X4" i="1"/>
  <c r="T4" i="1"/>
  <c r="S4" i="1"/>
  <c r="R4" i="1"/>
  <c r="Q4" i="1"/>
  <c r="N4" i="1"/>
  <c r="K4" i="1"/>
  <c r="G4" i="1"/>
  <c r="BC4" i="1" s="1"/>
  <c r="BD4" i="1" s="1"/>
  <c r="D4" i="1"/>
  <c r="BF4" i="1" s="1"/>
  <c r="BG4" i="1" s="1"/>
  <c r="G3" i="1"/>
  <c r="G15" i="1" s="1"/>
  <c r="I1" i="1"/>
  <c r="BC9" i="1" l="1"/>
  <c r="BD9" i="1" s="1"/>
  <c r="BE9" i="1" s="1"/>
  <c r="H21" i="1"/>
  <c r="P10" i="1"/>
  <c r="W11" i="1"/>
  <c r="AH11" i="1" s="1"/>
  <c r="L27" i="1"/>
  <c r="H15" i="1"/>
  <c r="BC15" i="1"/>
  <c r="BD15" i="1" s="1"/>
  <c r="BE15" i="1" s="1"/>
  <c r="BC11" i="1"/>
  <c r="BD11" i="1" s="1"/>
  <c r="BE11" i="1" s="1"/>
  <c r="H16" i="1"/>
  <c r="AN10" i="1"/>
  <c r="AM10" i="1"/>
  <c r="Y10" i="1"/>
  <c r="P13" i="1"/>
  <c r="P18" i="1"/>
  <c r="W6" i="1"/>
  <c r="AH6" i="1" s="1"/>
  <c r="W8" i="1"/>
  <c r="AH8" i="1" s="1"/>
  <c r="BE14" i="1"/>
  <c r="H18" i="1"/>
  <c r="H20" i="1"/>
  <c r="BE4" i="1"/>
  <c r="D92" i="2"/>
  <c r="B93" i="2"/>
  <c r="Y16" i="1"/>
  <c r="BC16" i="1"/>
  <c r="BD16" i="1" s="1"/>
  <c r="BE16" i="1" s="1"/>
  <c r="E153" i="2"/>
  <c r="C166" i="2"/>
  <c r="F143" i="2"/>
  <c r="D143" i="2" s="1"/>
  <c r="D144" i="2" s="1"/>
  <c r="K142" i="2"/>
  <c r="H4" i="1"/>
  <c r="Y4" i="1"/>
  <c r="BC5" i="1"/>
  <c r="BD5" i="1" s="1"/>
  <c r="BE5" i="1" s="1"/>
  <c r="O5" i="1"/>
  <c r="W5" i="1" s="1"/>
  <c r="AH5" i="1" s="1"/>
  <c r="X5" i="1"/>
  <c r="BC6" i="1"/>
  <c r="BD6" i="1" s="1"/>
  <c r="BE6" i="1" s="1"/>
  <c r="P6" i="1"/>
  <c r="AN6" i="1"/>
  <c r="BF6" i="1"/>
  <c r="BG6" i="1" s="1"/>
  <c r="BE7" i="1"/>
  <c r="X7" i="1"/>
  <c r="BC8" i="1"/>
  <c r="BD8" i="1" s="1"/>
  <c r="BE8" i="1" s="1"/>
  <c r="P8" i="1"/>
  <c r="AN8" i="1"/>
  <c r="BF8" i="1"/>
  <c r="BG8" i="1" s="1"/>
  <c r="BF9" i="1"/>
  <c r="BG9" i="1" s="1"/>
  <c r="BC10" i="1"/>
  <c r="BD10" i="1" s="1"/>
  <c r="BE10" i="1" s="1"/>
  <c r="P11" i="1"/>
  <c r="AN11" i="1"/>
  <c r="BF12" i="1"/>
  <c r="BG12" i="1" s="1"/>
  <c r="Y12" i="1"/>
  <c r="X12" i="1"/>
  <c r="AH19" i="1"/>
  <c r="AM9" i="1"/>
  <c r="Y11" i="1"/>
  <c r="BC12" i="1"/>
  <c r="BD12" i="1" s="1"/>
  <c r="BE12" i="1" s="1"/>
  <c r="O12" i="1"/>
  <c r="W12" i="1" s="1"/>
  <c r="AH12" i="1" s="1"/>
  <c r="AM12" i="1"/>
  <c r="Y13" i="1"/>
  <c r="X13" i="1"/>
  <c r="O13" i="1"/>
  <c r="W13" i="1" s="1"/>
  <c r="AH13" i="1" s="1"/>
  <c r="P17" i="1"/>
  <c r="U17" i="1" s="1"/>
  <c r="H17" i="1"/>
  <c r="BC17" i="1"/>
  <c r="BD17" i="1" s="1"/>
  <c r="BE17" i="1" s="1"/>
  <c r="AN13" i="1"/>
  <c r="BC13" i="1"/>
  <c r="BD13" i="1" s="1"/>
  <c r="BE13" i="1" s="1"/>
  <c r="P19" i="1"/>
  <c r="U19" i="1" s="1"/>
  <c r="H19" i="1"/>
  <c r="BC19" i="1"/>
  <c r="BD19" i="1" s="1"/>
  <c r="BE19" i="1" s="1"/>
  <c r="BF13" i="1"/>
  <c r="BG13" i="1" s="1"/>
  <c r="X17" i="1"/>
  <c r="X19" i="1"/>
  <c r="H22" i="1"/>
  <c r="F33" i="1"/>
  <c r="F34" i="1" s="1"/>
  <c r="C13" i="2"/>
  <c r="C45" i="2" s="1"/>
  <c r="C14" i="2"/>
  <c r="B45" i="2" s="1"/>
  <c r="H153" i="2"/>
  <c r="AM14" i="1"/>
  <c r="O16" i="1"/>
  <c r="U16" i="1" s="1"/>
  <c r="AM16" i="1"/>
  <c r="Y17" i="1"/>
  <c r="AH17" i="1" s="1"/>
  <c r="O18" i="1"/>
  <c r="AM18" i="1"/>
  <c r="Y19" i="1"/>
  <c r="O20" i="1"/>
  <c r="Y20" i="1"/>
  <c r="BC20" i="1"/>
  <c r="BD20" i="1" s="1"/>
  <c r="BE20" i="1" s="1"/>
  <c r="G23" i="1"/>
  <c r="BC21" i="1"/>
  <c r="BD21" i="1" s="1"/>
  <c r="BE21" i="1" s="1"/>
  <c r="O21" i="1"/>
  <c r="U21" i="1" s="1"/>
  <c r="AM21" i="1"/>
  <c r="D5" i="2"/>
  <c r="C2" i="2"/>
  <c r="F4" i="2"/>
  <c r="B12" i="2"/>
  <c r="C103" i="2"/>
  <c r="C112" i="2"/>
  <c r="F135" i="2"/>
  <c r="G135" i="2" s="1"/>
  <c r="C92" i="2"/>
  <c r="B96" i="2" s="1"/>
  <c r="D166" i="2"/>
  <c r="U18" i="1" l="1"/>
  <c r="O10" i="1"/>
  <c r="W10" i="1" s="1"/>
  <c r="AH10" i="1" s="1"/>
  <c r="O15" i="1"/>
  <c r="W15" i="1" s="1"/>
  <c r="AH15" i="1" s="1"/>
  <c r="P15" i="1"/>
  <c r="O7" i="1"/>
  <c r="W7" i="1" s="1"/>
  <c r="AH7" i="1" s="1"/>
  <c r="P7" i="1"/>
  <c r="V10" i="1"/>
  <c r="AD10" i="1" s="1"/>
  <c r="O14" i="1"/>
  <c r="W14" i="1" s="1"/>
  <c r="AH14" i="1" s="1"/>
  <c r="P14" i="1"/>
  <c r="D103" i="2"/>
  <c r="Z21" i="1"/>
  <c r="D145" i="2"/>
  <c r="B143" i="2"/>
  <c r="C96" i="2"/>
  <c r="U8" i="1"/>
  <c r="V8" i="1"/>
  <c r="G24" i="1"/>
  <c r="BC24" i="1" s="1"/>
  <c r="BD24" i="1" s="1"/>
  <c r="BE24" i="1" s="1"/>
  <c r="BC23" i="1"/>
  <c r="BD23" i="1" s="1"/>
  <c r="BE23" i="1" s="1"/>
  <c r="Z18" i="1"/>
  <c r="V16" i="1"/>
  <c r="U13" i="1"/>
  <c r="W16" i="1"/>
  <c r="AH16" i="1" s="1"/>
  <c r="W21" i="1"/>
  <c r="AH21" i="1" s="1"/>
  <c r="O4" i="1"/>
  <c r="W4" i="1" s="1"/>
  <c r="AH4" i="1" s="1"/>
  <c r="P4" i="1"/>
  <c r="E143" i="2"/>
  <c r="E144" i="2" s="1"/>
  <c r="E145" i="2" s="1"/>
  <c r="O9" i="1"/>
  <c r="W9" i="1" s="1"/>
  <c r="AH9" i="1" s="1"/>
  <c r="P9" i="1"/>
  <c r="V5" i="1"/>
  <c r="E45" i="2"/>
  <c r="Z17" i="1"/>
  <c r="V11" i="1"/>
  <c r="U11" i="1"/>
  <c r="C5" i="2"/>
  <c r="B5" i="2"/>
  <c r="F5" i="2"/>
  <c r="U20" i="1"/>
  <c r="V20" i="1"/>
  <c r="V18" i="1"/>
  <c r="Z19" i="1"/>
  <c r="V13" i="1"/>
  <c r="V21" i="1"/>
  <c r="V19" i="1"/>
  <c r="AC19" i="1" s="1"/>
  <c r="U5" i="1"/>
  <c r="C106" i="2"/>
  <c r="Z16" i="1"/>
  <c r="B13" i="2"/>
  <c r="D25" i="2" s="1"/>
  <c r="B14" i="2"/>
  <c r="B103" i="2"/>
  <c r="F153" i="2"/>
  <c r="G153" i="2"/>
  <c r="V17" i="1"/>
  <c r="AB17" i="1" s="1"/>
  <c r="W20" i="1"/>
  <c r="AH20" i="1" s="1"/>
  <c r="W18" i="1"/>
  <c r="AH18" i="1" s="1"/>
  <c r="V12" i="1"/>
  <c r="U12" i="1"/>
  <c r="U6" i="1"/>
  <c r="V6" i="1"/>
  <c r="U10" i="1" l="1"/>
  <c r="AE10" i="1" s="1"/>
  <c r="AC21" i="1"/>
  <c r="AF19" i="1"/>
  <c r="U15" i="1"/>
  <c r="V15" i="1"/>
  <c r="V7" i="1"/>
  <c r="U7" i="1"/>
  <c r="AB10" i="1"/>
  <c r="AC10" i="1"/>
  <c r="AQ10" i="1" s="1"/>
  <c r="AG10" i="1"/>
  <c r="AF10" i="1"/>
  <c r="AC18" i="1"/>
  <c r="AA18" i="1"/>
  <c r="U14" i="1"/>
  <c r="V14" i="1"/>
  <c r="AB19" i="1"/>
  <c r="AC17" i="1"/>
  <c r="AF18" i="1"/>
  <c r="AA16" i="1"/>
  <c r="U4" i="1"/>
  <c r="V4" i="1"/>
  <c r="K143" i="2"/>
  <c r="B162" i="2"/>
  <c r="B163" i="2" s="1"/>
  <c r="B150" i="2"/>
  <c r="C150" i="2" s="1"/>
  <c r="D150" i="2" s="1"/>
  <c r="G125" i="2"/>
  <c r="AE6" i="1"/>
  <c r="AG6" i="1"/>
  <c r="AD6" i="1"/>
  <c r="AG12" i="1"/>
  <c r="AE12" i="1"/>
  <c r="AD12" i="1"/>
  <c r="D153" i="2"/>
  <c r="B153" i="2" s="1"/>
  <c r="B154" i="2" s="1"/>
  <c r="B155" i="2" s="1"/>
  <c r="AB16" i="1"/>
  <c r="AC5" i="1"/>
  <c r="AA5" i="1"/>
  <c r="Z5" i="1"/>
  <c r="AF5" i="1"/>
  <c r="AB5" i="1"/>
  <c r="AF20" i="1"/>
  <c r="AB20" i="1"/>
  <c r="Z20" i="1"/>
  <c r="AC20" i="1"/>
  <c r="AA20" i="1"/>
  <c r="AA17" i="1"/>
  <c r="AP17" i="1" s="1"/>
  <c r="U9" i="1"/>
  <c r="V9" i="1"/>
  <c r="AC13" i="1"/>
  <c r="AF13" i="1"/>
  <c r="AB13" i="1"/>
  <c r="AA13" i="1"/>
  <c r="Z13" i="1"/>
  <c r="AE8" i="1"/>
  <c r="AG8" i="1"/>
  <c r="AD8" i="1"/>
  <c r="AC12" i="1"/>
  <c r="AF12" i="1"/>
  <c r="AB12" i="1"/>
  <c r="AA12" i="1"/>
  <c r="Z12" i="1"/>
  <c r="C25" i="2"/>
  <c r="B39" i="2" s="1"/>
  <c r="D17" i="2"/>
  <c r="B25" i="2"/>
  <c r="AG13" i="1"/>
  <c r="AE13" i="1"/>
  <c r="AD13" i="1"/>
  <c r="B106" i="2"/>
  <c r="B167" i="2"/>
  <c r="AE11" i="1"/>
  <c r="AD11" i="1"/>
  <c r="AG11" i="1"/>
  <c r="AG5" i="1"/>
  <c r="AE5" i="1"/>
  <c r="AD5" i="1"/>
  <c r="AA6" i="1"/>
  <c r="AC6" i="1"/>
  <c r="AB6" i="1"/>
  <c r="AF6" i="1"/>
  <c r="Z6" i="1"/>
  <c r="AC16" i="1"/>
  <c r="AF16" i="1"/>
  <c r="AD19" i="1"/>
  <c r="AG19" i="1"/>
  <c r="AE19" i="1"/>
  <c r="AA19" i="1"/>
  <c r="AP19" i="1" s="1"/>
  <c r="B17" i="2"/>
  <c r="C21" i="2" s="1"/>
  <c r="AE16" i="1"/>
  <c r="AD16" i="1"/>
  <c r="AG16" i="1"/>
  <c r="AA8" i="1"/>
  <c r="AC8" i="1"/>
  <c r="AF8" i="1"/>
  <c r="AB8" i="1"/>
  <c r="Z8" i="1"/>
  <c r="AF21" i="1"/>
  <c r="AE20" i="1"/>
  <c r="AD20" i="1"/>
  <c r="AG20" i="1"/>
  <c r="AD17" i="1"/>
  <c r="AG17" i="1"/>
  <c r="AE17" i="1"/>
  <c r="F103" i="2"/>
  <c r="AE21" i="1"/>
  <c r="AD21" i="1"/>
  <c r="AG21" i="1"/>
  <c r="AE18" i="1"/>
  <c r="AD18" i="1"/>
  <c r="AG18" i="1"/>
  <c r="B98" i="2"/>
  <c r="B168" i="2"/>
  <c r="D106" i="2"/>
  <c r="B166" i="2"/>
  <c r="B100" i="2"/>
  <c r="AA11" i="1"/>
  <c r="Z11" i="1"/>
  <c r="AC11" i="1"/>
  <c r="AB11" i="1"/>
  <c r="AF11" i="1"/>
  <c r="AF17" i="1"/>
  <c r="C17" i="2"/>
  <c r="B21" i="2" s="1"/>
  <c r="AB18" i="1"/>
  <c r="B134" i="2"/>
  <c r="B135" i="2"/>
  <c r="D96" i="2"/>
  <c r="AB21" i="1"/>
  <c r="AA21" i="1"/>
  <c r="AR19" i="1" l="1"/>
  <c r="AS19" i="1" s="1"/>
  <c r="AV19" i="1" s="1"/>
  <c r="Z10" i="1"/>
  <c r="AA10" i="1"/>
  <c r="AP11" i="1"/>
  <c r="AP21" i="1"/>
  <c r="AQ11" i="1"/>
  <c r="AR10" i="1"/>
  <c r="AS10" i="1" s="1"/>
  <c r="AV10" i="1" s="1"/>
  <c r="AX10" i="1" s="1"/>
  <c r="AP10" i="1"/>
  <c r="AR17" i="1"/>
  <c r="AS17" i="1" s="1"/>
  <c r="AV17" i="1" s="1"/>
  <c r="AX17" i="1" s="1"/>
  <c r="AR6" i="1"/>
  <c r="AS6" i="1" s="1"/>
  <c r="AV6" i="1" s="1"/>
  <c r="AQ19" i="1"/>
  <c r="AQ21" i="1"/>
  <c r="AA7" i="1"/>
  <c r="Z7" i="1"/>
  <c r="AC7" i="1"/>
  <c r="AF7" i="1"/>
  <c r="AB7" i="1"/>
  <c r="AR11" i="1"/>
  <c r="AS11" i="1" s="1"/>
  <c r="AV11" i="1" s="1"/>
  <c r="AT19" i="1"/>
  <c r="AZ19" i="1" s="1"/>
  <c r="BA19" i="1" s="1"/>
  <c r="AD7" i="1"/>
  <c r="AG7" i="1"/>
  <c r="AE7" i="1"/>
  <c r="AF15" i="1"/>
  <c r="AG15" i="1"/>
  <c r="AD15" i="1"/>
  <c r="AE15" i="1"/>
  <c r="AQ12" i="1"/>
  <c r="AP13" i="1"/>
  <c r="Z15" i="1"/>
  <c r="AB15" i="1"/>
  <c r="AC15" i="1"/>
  <c r="AA15" i="1"/>
  <c r="AF14" i="1"/>
  <c r="AE14" i="1"/>
  <c r="AD14" i="1"/>
  <c r="AG14" i="1"/>
  <c r="AA14" i="1"/>
  <c r="Z14" i="1"/>
  <c r="AB14" i="1"/>
  <c r="AC14" i="1"/>
  <c r="AR18" i="1"/>
  <c r="AS18" i="1" s="1"/>
  <c r="AV18" i="1" s="1"/>
  <c r="AX18" i="1" s="1"/>
  <c r="AR8" i="1"/>
  <c r="AS8" i="1" s="1"/>
  <c r="AV8" i="1" s="1"/>
  <c r="AQ6" i="1"/>
  <c r="AP18" i="1"/>
  <c r="AQ18" i="1"/>
  <c r="AT18" i="1" s="1"/>
  <c r="AZ18" i="1" s="1"/>
  <c r="BA18" i="1" s="1"/>
  <c r="AQ17" i="1"/>
  <c r="AR21" i="1"/>
  <c r="AS21" i="1" s="1"/>
  <c r="AV21" i="1" s="1"/>
  <c r="AQ8" i="1"/>
  <c r="AP6" i="1"/>
  <c r="AP16" i="1"/>
  <c r="D39" i="2"/>
  <c r="AX19" i="1"/>
  <c r="C135" i="2"/>
  <c r="AX11" i="1"/>
  <c r="D104" i="2"/>
  <c r="C104" i="2"/>
  <c r="AQ16" i="1"/>
  <c r="AP12" i="1"/>
  <c r="AC9" i="1"/>
  <c r="AF9" i="1"/>
  <c r="AB9" i="1"/>
  <c r="AA9" i="1"/>
  <c r="Z9" i="1"/>
  <c r="AQ20" i="1"/>
  <c r="AR5" i="1"/>
  <c r="AS5" i="1" s="1"/>
  <c r="AV5" i="1" s="1"/>
  <c r="AD4" i="1"/>
  <c r="AG4" i="1"/>
  <c r="AE4" i="1"/>
  <c r="B169" i="2"/>
  <c r="B170" i="2"/>
  <c r="B104" i="2"/>
  <c r="AP8" i="1"/>
  <c r="F106" i="2"/>
  <c r="C107" i="2" s="1"/>
  <c r="B27" i="2"/>
  <c r="C34" i="2"/>
  <c r="C39" i="2"/>
  <c r="AR13" i="1"/>
  <c r="AS13" i="1" s="1"/>
  <c r="AV13" i="1" s="1"/>
  <c r="AP20" i="1"/>
  <c r="AP5" i="1"/>
  <c r="C153" i="2"/>
  <c r="C154" i="2" s="1"/>
  <c r="Z4" i="1"/>
  <c r="AC4" i="1"/>
  <c r="AB4" i="1"/>
  <c r="AA4" i="1"/>
  <c r="AF4" i="1"/>
  <c r="C100" i="2"/>
  <c r="D100" i="2" s="1"/>
  <c r="C168" i="2"/>
  <c r="C98" i="2"/>
  <c r="C169" i="2"/>
  <c r="D169" i="2" s="1"/>
  <c r="AX6" i="1"/>
  <c r="AQ13" i="1"/>
  <c r="AR16" i="1"/>
  <c r="AS16" i="1" s="1"/>
  <c r="AV16" i="1" s="1"/>
  <c r="D34" i="2"/>
  <c r="AR12" i="1"/>
  <c r="AS12" i="1" s="1"/>
  <c r="AV12" i="1" s="1"/>
  <c r="AG9" i="1"/>
  <c r="AE9" i="1"/>
  <c r="AD9" i="1"/>
  <c r="AR20" i="1"/>
  <c r="AS20" i="1" s="1"/>
  <c r="AV20" i="1" s="1"/>
  <c r="AQ5" i="1"/>
  <c r="AT17" i="1" l="1"/>
  <c r="AZ17" i="1" s="1"/>
  <c r="BA17" i="1" s="1"/>
  <c r="AT11" i="1"/>
  <c r="AZ11" i="1" s="1"/>
  <c r="BA11" i="1" s="1"/>
  <c r="AT10" i="1"/>
  <c r="AZ10" i="1" s="1"/>
  <c r="BA10" i="1" s="1"/>
  <c r="AT6" i="1"/>
  <c r="AZ6" i="1" s="1"/>
  <c r="BA6" i="1" s="1"/>
  <c r="AR15" i="1"/>
  <c r="AS15" i="1" s="1"/>
  <c r="AV15" i="1" s="1"/>
  <c r="BB15" i="1" s="1"/>
  <c r="BB19" i="1"/>
  <c r="AQ15" i="1"/>
  <c r="AP15" i="1"/>
  <c r="AR7" i="1"/>
  <c r="AS7" i="1" s="1"/>
  <c r="AV7" i="1" s="1"/>
  <c r="AX7" i="1" s="1"/>
  <c r="AT5" i="1"/>
  <c r="AZ5" i="1" s="1"/>
  <c r="BA5" i="1" s="1"/>
  <c r="BB18" i="1"/>
  <c r="AP7" i="1"/>
  <c r="AT12" i="1"/>
  <c r="AZ12" i="1" s="1"/>
  <c r="AZ22" i="1" s="1"/>
  <c r="AQ7" i="1"/>
  <c r="AR4" i="1"/>
  <c r="AS4" i="1" s="1"/>
  <c r="AV4" i="1" s="1"/>
  <c r="AX4" i="1" s="1"/>
  <c r="AQ14" i="1"/>
  <c r="AR14" i="1"/>
  <c r="AS14" i="1" s="1"/>
  <c r="AV14" i="1" s="1"/>
  <c r="AX14" i="1" s="1"/>
  <c r="AX21" i="1"/>
  <c r="AX8" i="1"/>
  <c r="BB17" i="1"/>
  <c r="AT21" i="1"/>
  <c r="AZ21" i="1" s="1"/>
  <c r="BA21" i="1" s="1"/>
  <c r="AP14" i="1"/>
  <c r="AP4" i="1"/>
  <c r="AT8" i="1"/>
  <c r="AZ8" i="1" s="1"/>
  <c r="BA8" i="1" s="1"/>
  <c r="AX16" i="1"/>
  <c r="B137" i="2"/>
  <c r="J134" i="2" s="1"/>
  <c r="D98" i="2"/>
  <c r="B138" i="2"/>
  <c r="B144" i="2"/>
  <c r="C155" i="2"/>
  <c r="E155" i="2" s="1"/>
  <c r="B107" i="2"/>
  <c r="B171" i="2"/>
  <c r="B172" i="2"/>
  <c r="AX5" i="1"/>
  <c r="BB5" i="1"/>
  <c r="AT16" i="1"/>
  <c r="AZ16" i="1" s="1"/>
  <c r="BA16" i="1" s="1"/>
  <c r="BB11" i="1"/>
  <c r="AV22" i="1"/>
  <c r="AX12" i="1"/>
  <c r="AT13" i="1"/>
  <c r="AZ13" i="1" s="1"/>
  <c r="BB13" i="1" s="1"/>
  <c r="D107" i="2"/>
  <c r="AT20" i="1"/>
  <c r="AZ20" i="1" s="1"/>
  <c r="BA20" i="1" s="1"/>
  <c r="AR9" i="1"/>
  <c r="AS9" i="1" s="1"/>
  <c r="AV9" i="1" s="1"/>
  <c r="E39" i="2"/>
  <c r="AV23" i="1"/>
  <c r="AX13" i="1"/>
  <c r="F104" i="2"/>
  <c r="B115" i="2"/>
  <c r="C115" i="2" s="1"/>
  <c r="D115" i="2" s="1"/>
  <c r="AX20" i="1"/>
  <c r="E34" i="2"/>
  <c r="D35" i="2" s="1"/>
  <c r="F100" i="2"/>
  <c r="G100" i="2" s="1"/>
  <c r="AQ4" i="1"/>
  <c r="AP9" i="1"/>
  <c r="AQ9" i="1"/>
  <c r="BB6" i="1" l="1"/>
  <c r="BB10" i="1"/>
  <c r="AX15" i="1"/>
  <c r="AT15" i="1"/>
  <c r="AZ15" i="1" s="1"/>
  <c r="BA15" i="1" s="1"/>
  <c r="AT7" i="1"/>
  <c r="AZ7" i="1" s="1"/>
  <c r="BA7" i="1" s="1"/>
  <c r="BA12" i="1"/>
  <c r="BB12" i="1"/>
  <c r="AV3" i="1"/>
  <c r="AT4" i="1"/>
  <c r="AZ4" i="1" s="1"/>
  <c r="BA4" i="1" s="1"/>
  <c r="AV24" i="1"/>
  <c r="AT14" i="1"/>
  <c r="AZ14" i="1" s="1"/>
  <c r="BB8" i="1"/>
  <c r="BB21" i="1"/>
  <c r="B35" i="2"/>
  <c r="B47" i="2"/>
  <c r="C47" i="2" s="1"/>
  <c r="D47" i="2" s="1"/>
  <c r="B54" i="2" s="1"/>
  <c r="B55" i="2" s="1"/>
  <c r="C55" i="2" s="1"/>
  <c r="C35" i="2"/>
  <c r="F107" i="2"/>
  <c r="B118" i="2"/>
  <c r="C118" i="2" s="1"/>
  <c r="BB16" i="1"/>
  <c r="B145" i="2"/>
  <c r="B147" i="2" s="1"/>
  <c r="C147" i="2" s="1"/>
  <c r="B148" i="2"/>
  <c r="B146" i="2"/>
  <c r="AT9" i="1"/>
  <c r="AZ9" i="1" s="1"/>
  <c r="BA9" i="1" s="1"/>
  <c r="BB20" i="1"/>
  <c r="B110" i="2"/>
  <c r="C110" i="2" s="1"/>
  <c r="B40" i="2"/>
  <c r="D40" i="2"/>
  <c r="C40" i="2"/>
  <c r="AX9" i="1"/>
  <c r="AZ23" i="1"/>
  <c r="BA13" i="1"/>
  <c r="C172" i="2"/>
  <c r="B192" i="2"/>
  <c r="C192" i="2" s="1"/>
  <c r="B190" i="2"/>
  <c r="B191" i="2"/>
  <c r="B189" i="2"/>
  <c r="BB4" i="1" l="1"/>
  <c r="AZ3" i="1"/>
  <c r="BB7" i="1"/>
  <c r="AZ24" i="1"/>
  <c r="BA14" i="1"/>
  <c r="BB14" i="1"/>
  <c r="D146" i="2"/>
  <c r="C146" i="2"/>
  <c r="C148" i="2" s="1"/>
  <c r="D118" i="2"/>
  <c r="D119" i="2" s="1"/>
  <c r="C119" i="2"/>
  <c r="B43" i="2"/>
  <c r="C43" i="2" s="1"/>
  <c r="D43" i="2" s="1"/>
  <c r="E35" i="2"/>
  <c r="BB9" i="1"/>
  <c r="B198" i="2"/>
  <c r="C198" i="2" s="1"/>
  <c r="D198" i="2" s="1"/>
  <c r="E198" i="2" s="1"/>
  <c r="F198" i="2" s="1"/>
  <c r="D110" i="2"/>
  <c r="E110" i="2"/>
  <c r="B56" i="2"/>
  <c r="C56" i="2" s="1"/>
  <c r="D56" i="2" s="1"/>
  <c r="B57" i="2"/>
  <c r="C57" i="2" s="1"/>
  <c r="D57" i="2" s="1"/>
  <c r="D172" i="2"/>
  <c r="E166" i="2"/>
  <c r="B175" i="2"/>
  <c r="B176" i="2"/>
  <c r="B174" i="2"/>
  <c r="C203" i="2"/>
  <c r="B199" i="2"/>
  <c r="B200" i="2" s="1"/>
  <c r="C200" i="2" s="1"/>
  <c r="D200" i="2" s="1"/>
  <c r="E200" i="2" s="1"/>
  <c r="F200" i="2" s="1"/>
  <c r="B194" i="2"/>
  <c r="C202" i="2"/>
  <c r="B202" i="2"/>
  <c r="B203" i="2"/>
  <c r="B193" i="2"/>
  <c r="B197" i="2"/>
  <c r="B49" i="2"/>
  <c r="C49" i="2" s="1"/>
  <c r="D49" i="2" s="1"/>
  <c r="E49" i="2" s="1"/>
  <c r="E40" i="2"/>
  <c r="E56" i="2" l="1"/>
  <c r="D58" i="2"/>
  <c r="B195" i="2"/>
  <c r="E57" i="2"/>
  <c r="D59" i="2"/>
  <c r="B177" i="2"/>
  <c r="B178" i="2" s="1"/>
  <c r="C178" i="2" s="1"/>
  <c r="E172" i="2"/>
  <c r="F128" i="2"/>
  <c r="D178" i="2" l="1"/>
  <c r="B179" i="2"/>
  <c r="C179" i="2" s="1"/>
  <c r="D179" i="2" s="1"/>
  <c r="E179" i="2" s="1"/>
  <c r="F179" i="2" s="1"/>
  <c r="G58" i="2"/>
  <c r="E58" i="2"/>
  <c r="G128" i="2"/>
  <c r="F172" i="2"/>
  <c r="H128" i="2" s="1"/>
  <c r="G59" i="2"/>
  <c r="E59" i="2"/>
  <c r="F129" i="2" l="1"/>
  <c r="E178" i="2"/>
  <c r="C180" i="2"/>
  <c r="D180" i="2" s="1"/>
  <c r="E180" i="2" s="1"/>
  <c r="F180" i="2" s="1"/>
  <c r="G129" i="2" l="1"/>
  <c r="F178" i="2"/>
  <c r="H129" i="2" s="1"/>
</calcChain>
</file>

<file path=xl/comments1.xml><?xml version="1.0" encoding="utf-8"?>
<comments xmlns="http://schemas.openxmlformats.org/spreadsheetml/2006/main">
  <authors>
    <author>csx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激光修正后角度</t>
        </r>
      </text>
    </comment>
  </commentList>
</comments>
</file>

<file path=xl/comments2.xml><?xml version="1.0" encoding="utf-8"?>
<comments xmlns="http://schemas.openxmlformats.org/spreadsheetml/2006/main">
  <authors>
    <author>csx</author>
  </authors>
  <commentList>
    <comment ref="B52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PHASE和顶点的差异</t>
        </r>
      </text>
    </comment>
    <comment ref="D138" authorId="0" shapeId="0">
      <text>
        <r>
          <rPr>
            <sz val="9"/>
            <rFont val="宋体"/>
            <family val="3"/>
            <charset val="134"/>
          </rPr>
          <t>csx:
波长：1.53714</t>
        </r>
      </text>
    </comment>
  </commentList>
</comments>
</file>

<file path=xl/sharedStrings.xml><?xml version="1.0" encoding="utf-8"?>
<sst xmlns="http://schemas.openxmlformats.org/spreadsheetml/2006/main" count="306" uniqueCount="211">
  <si>
    <t>标准值</t>
  </si>
  <si>
    <t>nx</t>
  </si>
  <si>
    <t>ny</t>
  </si>
  <si>
    <t>nz</t>
  </si>
  <si>
    <t>变换矩阵</t>
  </si>
  <si>
    <t>PHASE</t>
  </si>
  <si>
    <t>Amp</t>
  </si>
  <si>
    <t>R1</t>
  </si>
  <si>
    <t>∠X"L</t>
  </si>
  <si>
    <t>Theta0</t>
  </si>
  <si>
    <t>Theta</t>
  </si>
  <si>
    <t>Dtheta</t>
  </si>
  <si>
    <t>Phi0</t>
  </si>
  <si>
    <t>Phi</t>
  </si>
  <si>
    <t>Dphi</t>
  </si>
  <si>
    <t>sin phase1</t>
  </si>
  <si>
    <t>cos phase1</t>
  </si>
  <si>
    <t>sin theta</t>
  </si>
  <si>
    <t>cos theta</t>
  </si>
  <si>
    <t>sin phi</t>
  </si>
  <si>
    <t>cos phi</t>
  </si>
  <si>
    <t>cosαl</t>
  </si>
  <si>
    <t>cosβl</t>
  </si>
  <si>
    <t>cosγl</t>
  </si>
  <si>
    <t>sin amp</t>
  </si>
  <si>
    <t>cos amp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</si>
  <si>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</si>
  <si>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</si>
  <si>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</si>
  <si>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</si>
  <si>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</si>
  <si>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</si>
  <si>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</si>
  <si>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</si>
  <si>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</si>
  <si>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α'</t>
  </si>
  <si>
    <t>β'</t>
  </si>
  <si>
    <t>γ'</t>
  </si>
  <si>
    <t>α0</t>
  </si>
  <si>
    <t>β0</t>
  </si>
  <si>
    <t>γ0</t>
  </si>
  <si>
    <t>theta0</t>
  </si>
  <si>
    <t>差值光轴</t>
  </si>
  <si>
    <t>差值电轴</t>
  </si>
  <si>
    <t>l4-p0263-1</t>
  </si>
  <si>
    <t>l4-p0263-2</t>
  </si>
  <si>
    <t>l5-p0264-1</t>
  </si>
  <si>
    <t>l1-p0260-1</t>
  </si>
  <si>
    <t>l1-p0260-2</t>
  </si>
  <si>
    <t>P0258-230-1</t>
  </si>
  <si>
    <t>PHase</t>
  </si>
  <si>
    <t>R+yx-PHASE+270-LaserOffset</t>
  </si>
  <si>
    <t>360-</t>
  </si>
  <si>
    <t>激光修正计算步骤</t>
  </si>
  <si>
    <t>已知数据：</t>
  </si>
  <si>
    <t>amp</t>
  </si>
  <si>
    <t>激光测量的修正角度（正弦拟合的幅度值）</t>
  </si>
  <si>
    <t>相位值（正弦拟合的相位值+180）</t>
  </si>
  <si>
    <t>LaserOffset</t>
  </si>
  <si>
    <t>设置的激光相对偏移角度（激光入射光线和零位的夹角）</t>
  </si>
  <si>
    <t>θ</t>
  </si>
  <si>
    <t>晶片表面相对的θ角度（没有修正）</t>
  </si>
  <si>
    <t>φ</t>
  </si>
  <si>
    <t>同上类似</t>
  </si>
  <si>
    <t>1、</t>
  </si>
  <si>
    <t>phase1=R1+∠X"L-PHASE+270-LaserOffset</t>
  </si>
  <si>
    <t>2、</t>
  </si>
  <si>
    <t>根据theta，phi计算X"位置角度:∠X"L</t>
  </si>
  <si>
    <t>3、</t>
  </si>
  <si>
    <t>计算测量时的晶片表面和测量基准面交线的方向余弦</t>
  </si>
  <si>
    <t>4、</t>
  </si>
  <si>
    <t>C=（）</t>
  </si>
  <si>
    <t>5、</t>
  </si>
  <si>
    <t>测量面的方向余弦</t>
  </si>
  <si>
    <t>cos(α')</t>
  </si>
  <si>
    <t>cos(β')</t>
  </si>
  <si>
    <t>cos(γ')</t>
  </si>
  <si>
    <t>6、</t>
  </si>
  <si>
    <t>计算基准面的方向余弦</t>
  </si>
  <si>
    <t>cos(α0)</t>
  </si>
  <si>
    <t>cos(β0)</t>
  </si>
  <si>
    <t>cos((γ0)</t>
  </si>
  <si>
    <t>7、</t>
  </si>
  <si>
    <t>计算修正后的θ和φ</t>
  </si>
  <si>
    <t>θ0</t>
  </si>
  <si>
    <t>φ0</t>
  </si>
  <si>
    <t>根据theta，phi计算X"位置角度</t>
  </si>
  <si>
    <t>2.1、</t>
  </si>
  <si>
    <t>原子面1方向余弦（h=-1，k=3，l=3)</t>
  </si>
  <si>
    <t>cos(αn)</t>
  </si>
  <si>
    <t>cos(βn)</t>
  </si>
  <si>
    <t>cos((γn)</t>
  </si>
  <si>
    <t>2.2、</t>
  </si>
  <si>
    <t>测量面方向余弦</t>
  </si>
  <si>
    <t>2.3、</t>
  </si>
  <si>
    <t>原子面1与测量面的交线 L1</t>
  </si>
  <si>
    <t>L1的方向数</t>
  </si>
  <si>
    <t>p</t>
  </si>
  <si>
    <t>cosβn*sinθ+cosγn*cosθcosφ</t>
  </si>
  <si>
    <t>q</t>
  </si>
  <si>
    <t>cosγn*（-cosθ）+cosαn*sinθ</t>
  </si>
  <si>
    <t>r</t>
  </si>
  <si>
    <t>cosαn*cosθcosφ+cosβn*（-cosθ）+</t>
  </si>
  <si>
    <t>X"轴的方向数</t>
  </si>
  <si>
    <t>px</t>
  </si>
  <si>
    <t>cos(φ)</t>
  </si>
  <si>
    <t>qx</t>
  </si>
  <si>
    <t>sin(φ)</t>
  </si>
  <si>
    <t>rx</t>
  </si>
  <si>
    <t>L1和X"轴的夹角，∠X"L</t>
  </si>
  <si>
    <t>∠X"L=</t>
  </si>
  <si>
    <t>原子面1指数</t>
  </si>
  <si>
    <t>S=</t>
  </si>
  <si>
    <t>c/a=</t>
  </si>
  <si>
    <t>a</t>
  </si>
  <si>
    <t>方向余弦</t>
  </si>
  <si>
    <t>原子面2指数</t>
  </si>
  <si>
    <t>晶片表面</t>
  </si>
  <si>
    <t>theta</t>
  </si>
  <si>
    <t>phi</t>
  </si>
  <si>
    <t>P0</t>
  </si>
  <si>
    <t>g</t>
  </si>
  <si>
    <t>L1</t>
  </si>
  <si>
    <t>DEGREE</t>
  </si>
  <si>
    <t>sin</t>
  </si>
  <si>
    <t>cos</t>
  </si>
  <si>
    <t>Z轴上的单位点</t>
  </si>
  <si>
    <t>Z"轴上一点（为Z轴单位旋转而来）</t>
  </si>
  <si>
    <t>原点</t>
  </si>
  <si>
    <t>三点组成平面ZoZ"</t>
  </si>
  <si>
    <t>Ax+By+Cz=0</t>
  </si>
  <si>
    <t>A</t>
  </si>
  <si>
    <t>B</t>
  </si>
  <si>
    <t>C</t>
  </si>
  <si>
    <t>晶片表面方程</t>
  </si>
  <si>
    <t>-cosθsinφX+cosθcosφY+sinθZ+D=0</t>
  </si>
  <si>
    <t>晶片表面与ZOZ"的夹角</t>
  </si>
  <si>
    <t>原子面1方程</t>
  </si>
  <si>
    <t>cosαnX+cosβnY+cosγnZ+Dn=0</t>
  </si>
  <si>
    <t>new_x = (x2(1-c)+c) * old_x + (xy(1-c)-zs) * old_y + (xz(1-c)+ys) * old_z</t>
  </si>
  <si>
    <t>new_y = (yx(1-c)+zs) * old_x + (y2(1-c)+c) * old_y + (yz(1-c)-xs) * old_z</t>
  </si>
  <si>
    <t>new_z = (xz(1-c)-ys) * old_x + (yz(1-c)+xs) * old_y + (z2(1-c)+c) * old_z</t>
  </si>
  <si>
    <t>原子面1与晶片表面的交线 L1</t>
  </si>
  <si>
    <t>方向数</t>
  </si>
  <si>
    <t>原子面2与晶片表面的交线 L2</t>
  </si>
  <si>
    <t>L2的方向数</t>
  </si>
  <si>
    <t>L1和L2的夹角</t>
  </si>
  <si>
    <t>C14</t>
  </si>
  <si>
    <t>L1和X"轴的夹角</t>
  </si>
  <si>
    <t>L2和X"轴的夹角</t>
  </si>
  <si>
    <t>激光修正的幅度A</t>
  </si>
  <si>
    <t>激光的相位角μ，相对于零位</t>
  </si>
  <si>
    <t>L1与零位的夹角R1</t>
  </si>
  <si>
    <t>X"相对于零位的夹角</t>
  </si>
  <si>
    <t>激光相对于X"的夹角τ</t>
  </si>
  <si>
    <t>X"方向的修正值TAN</t>
  </si>
  <si>
    <t>Z"方向的修正值TAN</t>
  </si>
  <si>
    <t>phase</t>
  </si>
  <si>
    <t>理论修正后</t>
  </si>
  <si>
    <t>测量0</t>
  </si>
  <si>
    <t>EFG修正</t>
  </si>
  <si>
    <t>原子面1法线与晶片法线的夹角余弦</t>
  </si>
  <si>
    <t>原子面2法线与晶片法线的夹角余弦</t>
  </si>
  <si>
    <t>两原子面法线夹角余弦</t>
  </si>
  <si>
    <t>计算的DM值</t>
  </si>
  <si>
    <t>原子面1与晶片表面的交线1</t>
  </si>
  <si>
    <t>原子面2与晶片表面的交线2</t>
  </si>
  <si>
    <t>线1和线2的夹角</t>
  </si>
  <si>
    <t>余弦</t>
  </si>
  <si>
    <t>x"轴方向余弦</t>
  </si>
  <si>
    <t>线1与X"轴的夹角</t>
  </si>
  <si>
    <t>线2与X"轴的夹角</t>
  </si>
  <si>
    <t>DM1</t>
  </si>
  <si>
    <t>D1</t>
  </si>
  <si>
    <t>D2</t>
  </si>
  <si>
    <t>DM</t>
  </si>
  <si>
    <t>P1</t>
  </si>
  <si>
    <t>P2</t>
  </si>
  <si>
    <t>P3</t>
  </si>
  <si>
    <t>P4</t>
  </si>
  <si>
    <t>不同X光波长</t>
  </si>
  <si>
    <t>δ3</t>
  </si>
  <si>
    <t>δ1</t>
  </si>
  <si>
    <t>δ2</t>
  </si>
  <si>
    <t>g计算</t>
  </si>
  <si>
    <t>D</t>
  </si>
  <si>
    <t>b</t>
  </si>
  <si>
    <t>ACOSG^2+BCOSG+C=0</t>
  </si>
  <si>
    <t>计算theta值</t>
  </si>
  <si>
    <t>t3</t>
  </si>
  <si>
    <t>t4</t>
  </si>
  <si>
    <t>sin(theta)</t>
  </si>
  <si>
    <t>30式</t>
  </si>
  <si>
    <t>SIN(PHI)</t>
  </si>
  <si>
    <t>tan(PHI)</t>
  </si>
  <si>
    <t>t4-t41</t>
  </si>
  <si>
    <t>t3-t31</t>
  </si>
  <si>
    <t>t41</t>
  </si>
  <si>
    <t>t32</t>
  </si>
  <si>
    <t>t42</t>
  </si>
  <si>
    <t>t42/t32</t>
  </si>
  <si>
    <t>t321</t>
  </si>
  <si>
    <t>cos(phi)</t>
  </si>
  <si>
    <t>t421</t>
  </si>
  <si>
    <t>sin(PHI)</t>
  </si>
  <si>
    <t>L1的方向数</t>
    <phoneticPr fontId="6" type="noConversion"/>
  </si>
  <si>
    <t>cosβn*sinθ+cosγn*cosθcosφ</t>
    <phoneticPr fontId="6" type="noConversion"/>
  </si>
  <si>
    <t>phase1=R+yx-PHASE+270-LaserOffset</t>
    <phoneticPr fontId="6" type="noConversion"/>
  </si>
  <si>
    <t>测量结果中的R1值（原子面和晶片表面交线相对于零位的偏移量）</t>
    <phoneticPr fontId="6" type="noConversion"/>
  </si>
  <si>
    <t>两面角度</t>
    <phoneticPr fontId="6" type="noConversion"/>
  </si>
  <si>
    <t>两面角度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</si>
</sst>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4F4F4F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4" borderId="0" xfId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177" fontId="7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700405</xdr:colOff>
      <xdr:row>48</xdr:row>
      <xdr:rowOff>111125</xdr:rowOff>
    </xdr:from>
    <xdr:to>
      <xdr:col>27</xdr:col>
      <xdr:colOff>171450</xdr:colOff>
      <xdr:row>61</xdr:row>
      <xdr:rowOff>168910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0318115" y="8340725"/>
          <a:ext cx="9232900" cy="228663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43</xdr:row>
          <xdr:rowOff>57150</xdr:rowOff>
        </xdr:from>
        <xdr:to>
          <xdr:col>31</xdr:col>
          <xdr:colOff>266700</xdr:colOff>
          <xdr:row>59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46</xdr:row>
          <xdr:rowOff>85725</xdr:rowOff>
        </xdr:from>
        <xdr:to>
          <xdr:col>9</xdr:col>
          <xdr:colOff>228600</xdr:colOff>
          <xdr:row>50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38100</xdr:rowOff>
        </xdr:from>
        <xdr:to>
          <xdr:col>5</xdr:col>
          <xdr:colOff>333375</xdr:colOff>
          <xdr:row>66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68</xdr:row>
          <xdr:rowOff>9525</xdr:rowOff>
        </xdr:from>
        <xdr:to>
          <xdr:col>8</xdr:col>
          <xdr:colOff>228600</xdr:colOff>
          <xdr:row>76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79</xdr:row>
          <xdr:rowOff>95250</xdr:rowOff>
        </xdr:from>
        <xdr:to>
          <xdr:col>5</xdr:col>
          <xdr:colOff>209550</xdr:colOff>
          <xdr:row>82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52</xdr:row>
          <xdr:rowOff>76200</xdr:rowOff>
        </xdr:from>
        <xdr:to>
          <xdr:col>21</xdr:col>
          <xdr:colOff>371475</xdr:colOff>
          <xdr:row>60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7</xdr:col>
          <xdr:colOff>85725</xdr:colOff>
          <xdr:row>100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102</xdr:row>
          <xdr:rowOff>171450</xdr:rowOff>
        </xdr:from>
        <xdr:to>
          <xdr:col>4</xdr:col>
          <xdr:colOff>200025</xdr:colOff>
          <xdr:row>106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0</xdr:rowOff>
        </xdr:from>
        <xdr:to>
          <xdr:col>7</xdr:col>
          <xdr:colOff>285750</xdr:colOff>
          <xdr:row>120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467000</xdr:colOff>
      <xdr:row>1</xdr:row>
      <xdr:rowOff>154305</xdr:rowOff>
    </xdr:from>
    <xdr:to>
      <xdr:col>19</xdr:col>
      <xdr:colOff>402479</xdr:colOff>
      <xdr:row>55</xdr:row>
      <xdr:rowOff>11430</xdr:rowOff>
    </xdr:to>
    <xdr:pic>
      <xdr:nvPicPr>
        <xdr:cNvPr id="2" name="图片 1" descr="380014891135337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2348" y="336522"/>
          <a:ext cx="5435131" cy="9257886"/>
        </a:xfrm>
        <a:prstGeom prst="rect">
          <a:avLst/>
        </a:prstGeom>
      </xdr:spPr>
    </xdr:pic>
    <xdr:clientData/>
  </xdr:twoCellAnchor>
  <xdr:twoCellAnchor editAs="oneCell">
    <xdr:from>
      <xdr:col>19</xdr:col>
      <xdr:colOff>431276</xdr:colOff>
      <xdr:row>6</xdr:row>
      <xdr:rowOff>70430</xdr:rowOff>
    </xdr:from>
    <xdr:to>
      <xdr:col>27</xdr:col>
      <xdr:colOff>408416</xdr:colOff>
      <xdr:row>59</xdr:row>
      <xdr:rowOff>86996</xdr:rowOff>
    </xdr:to>
    <xdr:pic>
      <xdr:nvPicPr>
        <xdr:cNvPr id="3" name="图片 2" descr="150817964854580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76276" y="1130604"/>
          <a:ext cx="5476792" cy="92351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66675</xdr:rowOff>
        </xdr:from>
        <xdr:to>
          <xdr:col>8</xdr:col>
          <xdr:colOff>523875</xdr:colOff>
          <xdr:row>33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657225</xdr:colOff>
          <xdr:row>39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48</xdr:row>
          <xdr:rowOff>95250</xdr:rowOff>
        </xdr:from>
        <xdr:to>
          <xdr:col>10</xdr:col>
          <xdr:colOff>771525</xdr:colOff>
          <xdr:row>51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\Desktop\EFG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2 (2)"/>
      <sheetName val="Laser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7.wmf"/><Relationship Id="rId10" Type="http://schemas.openxmlformats.org/officeDocument/2006/relationships/comments" Target="../comments2.xml"/><Relationship Id="rId4" Type="http://schemas.openxmlformats.org/officeDocument/2006/relationships/oleObject" Target="../embeddings/oleObject10.bin"/><Relationship Id="rId9" Type="http://schemas.openxmlformats.org/officeDocument/2006/relationships/image" Target="../media/image8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9"/>
  <sheetViews>
    <sheetView topLeftCell="A52" zoomScale="115" zoomScaleNormal="115" workbookViewId="0">
      <selection activeCell="B15" sqref="B15"/>
    </sheetView>
  </sheetViews>
  <sheetFormatPr defaultColWidth="9" defaultRowHeight="13.5" x14ac:dyDescent="0.15"/>
  <cols>
    <col min="1" max="1" width="9.875" customWidth="1"/>
    <col min="3" max="3" width="6.125" customWidth="1"/>
    <col min="4" max="4" width="5.125" customWidth="1"/>
    <col min="5" max="5" width="6.625" customWidth="1"/>
    <col min="6" max="6" width="6" customWidth="1"/>
    <col min="7" max="7" width="8.375" customWidth="1"/>
    <col min="8" max="8" width="9.125" customWidth="1"/>
    <col min="9" max="14" width="9" customWidth="1"/>
    <col min="15" max="17" width="10.375" customWidth="1"/>
    <col min="18" max="19" width="9.5" customWidth="1"/>
    <col min="20" max="20" width="12.75" customWidth="1"/>
    <col min="21" max="24" width="13.875" customWidth="1"/>
    <col min="25" max="27" width="12.75" customWidth="1"/>
    <col min="28" max="29" width="13.875" customWidth="1"/>
    <col min="30" max="30" width="12.75" customWidth="1"/>
    <col min="31" max="33" width="13.875" customWidth="1"/>
    <col min="34" max="34" width="12.75" customWidth="1"/>
    <col min="35" max="35" width="13.875" customWidth="1"/>
    <col min="36" max="36" width="12.75" customWidth="1"/>
    <col min="37" max="39" width="13.875" customWidth="1"/>
    <col min="40" max="41" width="12.75" customWidth="1"/>
    <col min="42" max="42" width="13.875" customWidth="1"/>
    <col min="43" max="43" width="12.75" customWidth="1"/>
    <col min="44" max="44" width="13.875" customWidth="1"/>
    <col min="45" max="48" width="13.875"/>
    <col min="49" max="49" width="6.75" hidden="1" customWidth="1"/>
    <col min="50" max="50" width="8.375" customWidth="1"/>
    <col min="51" max="51" width="7.625" customWidth="1"/>
    <col min="52" max="52" width="8" customWidth="1"/>
    <col min="53" max="53" width="12.75" customWidth="1"/>
    <col min="54" max="54" width="7.875" customWidth="1"/>
    <col min="55" max="58" width="13.875"/>
  </cols>
  <sheetData>
    <row r="1" spans="1:59" x14ac:dyDescent="0.15">
      <c r="B1" t="s">
        <v>51</v>
      </c>
      <c r="G1">
        <v>17</v>
      </c>
      <c r="H1">
        <v>20</v>
      </c>
      <c r="I1">
        <f>H2/60</f>
        <v>116.66666666666667</v>
      </c>
      <c r="J1" t="s">
        <v>0</v>
      </c>
      <c r="K1">
        <v>335728</v>
      </c>
    </row>
    <row r="2" spans="1:59" x14ac:dyDescent="0.15">
      <c r="G2">
        <v>163.28838537406796</v>
      </c>
      <c r="H2">
        <v>7000</v>
      </c>
      <c r="J2">
        <v>0</v>
      </c>
      <c r="K2">
        <v>57.820956939978402</v>
      </c>
      <c r="U2" t="s">
        <v>1</v>
      </c>
      <c r="V2" t="s">
        <v>2</v>
      </c>
      <c r="W2" t="s">
        <v>3</v>
      </c>
      <c r="Z2" t="s">
        <v>4</v>
      </c>
      <c r="AS2">
        <v>40</v>
      </c>
    </row>
    <row r="3" spans="1:59" x14ac:dyDescent="0.15">
      <c r="B3" t="s">
        <v>5</v>
      </c>
      <c r="C3" t="s">
        <v>6</v>
      </c>
      <c r="E3" t="s">
        <v>7</v>
      </c>
      <c r="F3" t="s">
        <v>8</v>
      </c>
      <c r="G3">
        <f>(G2+H2/60+I2/3600+J2/360000)+40</f>
        <v>319.95505204073464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19</v>
      </c>
      <c r="AL3" t="s">
        <v>20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12</v>
      </c>
      <c r="AV3">
        <f>AV4*3600</f>
        <v>0</v>
      </c>
      <c r="AX3" t="s">
        <v>42</v>
      </c>
      <c r="AZ3">
        <f>AZ4*3600</f>
        <v>0</v>
      </c>
      <c r="BA3" t="s">
        <v>43</v>
      </c>
      <c r="BF3">
        <v>17</v>
      </c>
    </row>
    <row r="4" spans="1:59" s="2" customFormat="1" x14ac:dyDescent="0.15">
      <c r="D4" s="2">
        <f t="shared" ref="D4:D7" si="0">INT(C4/10000)*3600+INT(MOD(C4,10000)/100)*60+MOD(C4,100)</f>
        <v>0</v>
      </c>
      <c r="G4" s="2">
        <f>(G2+H2/60+I2/3600+J2/360000)+40</f>
        <v>319.95505204073464</v>
      </c>
      <c r="H4" s="2">
        <f t="shared" ref="H4:H16" si="1">G4+E4-B4</f>
        <v>319.95505204073464</v>
      </c>
      <c r="K4" s="2">
        <f t="shared" ref="K4:K21" si="2">INT(J4/10000)*3600+INT(MOD(J4,10000)/100)*60+MOD(J4,100)-(INT(I4/10000)*3600+INT(MOD(I4,10000)/100)*60+MOD(I4,100))</f>
        <v>0</v>
      </c>
      <c r="N4" s="2">
        <f t="shared" ref="N4:N20" si="3">INT(M4/10000)*3600+INT(MOD(M4,10000)/100)*60+MOD(M4,100)-(INT(L4/10000)*3600+INT(MOD(L4,10000)/100)*60+MOD(L4,100))</f>
        <v>0</v>
      </c>
      <c r="O4" s="2">
        <f t="shared" ref="O4:O14" si="4">SIN(RADIANS(H4))</f>
        <v>-0.64338836594552984</v>
      </c>
      <c r="P4" s="2">
        <f t="shared" ref="P4:P14" si="5">COS(RADIANS(H4))</f>
        <v>0.76553994707392048</v>
      </c>
      <c r="Q4" s="2">
        <f t="shared" ref="Q4:Q21" si="6">SIN(RADIANS((INT(I4/10000)*3600+INT(MOD(I4,10000)/100)*60+MOD(I4,100))/3600))</f>
        <v>0</v>
      </c>
      <c r="R4" s="13">
        <f t="shared" ref="R4:R21" si="7">COS(RADIANS((INT(I4/10000)*3600+INT(MOD(I4,10000)/100)*60+MOD(I4,100))/3600))</f>
        <v>1</v>
      </c>
      <c r="S4" s="13">
        <f t="shared" ref="S4:S21" si="8">SIN(RADIANS((INT(L4/10000)*3600+INT(MOD(L4,10000)/100)*60+MOD(L4,100))/3600))</f>
        <v>0</v>
      </c>
      <c r="T4" s="2">
        <f t="shared" ref="T4:T21" si="9">COS(RADIANS((INT(L4/10000)*3600+INT(MOD(L4,10000)/100)*60+MOD(L4,100))/3600))</f>
        <v>1</v>
      </c>
      <c r="U4" s="2">
        <f t="shared" ref="U4:U21" si="10">P4*T4+O4*Q4*S4</f>
        <v>0.76553994707392048</v>
      </c>
      <c r="V4" s="2">
        <f t="shared" ref="V4:V21" si="11">S4*P4-O4*T4*Q4</f>
        <v>0</v>
      </c>
      <c r="W4" s="2">
        <f t="shared" ref="W4:W21" si="12">R4*O4</f>
        <v>-0.64338836594552984</v>
      </c>
      <c r="X4" s="2">
        <f t="shared" ref="X4:X21" si="13">SIN(RADIANS(D4/3600))</f>
        <v>0</v>
      </c>
      <c r="Y4" s="2">
        <f t="shared" ref="Y4:Y21" si="14">COS(RADIANS(D4/3600))</f>
        <v>1</v>
      </c>
      <c r="Z4" s="2">
        <f t="shared" ref="Z4:Z21" si="15">U4*U4*(1-Y4)+Y4</f>
        <v>1</v>
      </c>
      <c r="AA4" s="2">
        <f t="shared" ref="AA4:AA21" si="16">U4*V4*(1-Y4)+W4*X4</f>
        <v>0</v>
      </c>
      <c r="AB4" s="2">
        <f t="shared" ref="AB4:AB21" si="17">U4*W4*(1-Y4)-V4*X4</f>
        <v>0</v>
      </c>
      <c r="AC4" s="2">
        <f t="shared" ref="AC4:AC21" si="18">U4*V4*(1-Y4)-W4*X4</f>
        <v>0</v>
      </c>
      <c r="AD4" s="2">
        <f t="shared" ref="AD4:AD21" si="19">V4*V4*(1-Y4)+Y4</f>
        <v>1</v>
      </c>
      <c r="AE4" s="2">
        <f t="shared" ref="AE4:AE21" si="20">V4*W4*(1-Y4)+U4*X4</f>
        <v>0</v>
      </c>
      <c r="AF4" s="2">
        <f t="shared" ref="AF4:AF21" si="21">U4*W4*(1-Y4)+V4*X4</f>
        <v>0</v>
      </c>
      <c r="AG4" s="2">
        <f t="shared" ref="AG4:AG21" si="22">V4*W4*(1-Y4)-U4*X4</f>
        <v>0</v>
      </c>
      <c r="AH4" s="2">
        <f t="shared" ref="AH4:AH21" si="23">W4*W4*(1-Y4)+Y4</f>
        <v>1</v>
      </c>
      <c r="AI4" s="2">
        <f t="shared" ref="AI4:AI21" si="24">SIN(RADIANS((INT(I4/10000)*3600+INT(MOD(I4,10000)/100)*60+MOD(I4,100))/3600))</f>
        <v>0</v>
      </c>
      <c r="AJ4" s="2">
        <f t="shared" ref="AJ4:AJ21" si="25">COS(RADIANS((INT(I4/10000)*3600+INT(MOD(I4,10000)/100)*60+MOD(I4,100))/3600))</f>
        <v>1</v>
      </c>
      <c r="AK4" s="2">
        <f t="shared" ref="AK4:AK21" si="26">SIN(RADIANS((INT(L4/10000)*3600+INT(MOD(L4,10000)/100)*60+MOD(L4,100))/3600))</f>
        <v>0</v>
      </c>
      <c r="AL4" s="2">
        <f t="shared" ref="AL4:AL21" si="27">COS(RADIANS((INT(L4/10000)*3600+INT(MOD(L4,10000)/100)*60+MOD(L4,100))/3600))</f>
        <v>1</v>
      </c>
      <c r="AM4" s="2">
        <f t="shared" ref="AM4:AM21" si="28">-AJ4*AK4</f>
        <v>0</v>
      </c>
      <c r="AN4" s="2">
        <f t="shared" ref="AN4:AN21" si="29">AJ4*AL4</f>
        <v>1</v>
      </c>
      <c r="AO4" s="2">
        <f t="shared" ref="AO4:AO21" si="30">AI4</f>
        <v>0</v>
      </c>
      <c r="AP4" s="2">
        <f t="shared" ref="AP4:AP21" si="31">Z4*AM4+AA4*AN4+AB4*AO4</f>
        <v>0</v>
      </c>
      <c r="AQ4" s="2">
        <f t="shared" ref="AQ4:AQ21" si="32">AC4*AM4+AD4*AN4+AE4*AO4</f>
        <v>1</v>
      </c>
      <c r="AR4" s="2">
        <f t="shared" ref="AR4:AR21" si="33">AF4*AM4+AG4*AN4+AH4*AO4</f>
        <v>0</v>
      </c>
      <c r="AS4" s="2">
        <f t="shared" ref="AS4:AS21" si="34">DEGREES(ASIN(AR4))</f>
        <v>0</v>
      </c>
      <c r="AT4" s="2">
        <f t="shared" ref="AT4:AT21" si="35">DEGREES(ACOS(AQ4/SQRT(1-AR4*AR4)))</f>
        <v>0</v>
      </c>
      <c r="AU4">
        <f t="shared" ref="AU4:AU21" si="36">(INT(J4/10000)+INT(MOD(J4,10000)/100)/60+MOD(J4,100)/3600)</f>
        <v>0</v>
      </c>
      <c r="AV4">
        <f t="shared" ref="AV4:AV21" si="37">AS4-AU4</f>
        <v>0</v>
      </c>
      <c r="AW4">
        <f t="shared" ref="AW4:AW21" si="38">M4</f>
        <v>0</v>
      </c>
      <c r="AX4" s="15">
        <f t="shared" ref="AX4:AX21" si="39">AV4*3600</f>
        <v>0</v>
      </c>
      <c r="AY4">
        <f t="shared" ref="AY4:AY21" si="40">INT(M4/10000)+INT(MOD(M4,10000)/100)/60+MOD(M4,100)/3600</f>
        <v>0</v>
      </c>
      <c r="AZ4">
        <f t="shared" ref="AZ4:AZ21" si="41">AT4-AY4</f>
        <v>0</v>
      </c>
      <c r="BA4" s="15">
        <f t="shared" ref="BA4:BA21" si="42">AZ4*3600</f>
        <v>0</v>
      </c>
      <c r="BB4" s="4">
        <f t="shared" ref="BB4:BB21" si="43">SUMSQ(AV4,AZ4)</f>
        <v>0</v>
      </c>
      <c r="BC4" s="2">
        <f t="shared" ref="BC4:BC21" si="44">ATAN(SIN(RADIANS(B4-E4-G4))*TAN(RADIANS(D4/3600)))</f>
        <v>0</v>
      </c>
      <c r="BD4" s="16">
        <f t="shared" ref="BD4:BD21" si="45">DEGREES(BC4)*3600</f>
        <v>0</v>
      </c>
      <c r="BE4" s="2">
        <f t="shared" ref="BE4:BE21" si="46">K4-BD4</f>
        <v>0</v>
      </c>
      <c r="BF4" s="2">
        <f t="shared" ref="BF4:BF21" si="47">ATAN(COS(RADIANS(B4-E4-$BF$3))*TAN(RADIANS(D4/3600)))</f>
        <v>0</v>
      </c>
      <c r="BG4" s="16">
        <f t="shared" ref="BG4:BG21" si="48">DEGREES(BF4)*3600</f>
        <v>0</v>
      </c>
    </row>
    <row r="5" spans="1:59" s="4" customFormat="1" x14ac:dyDescent="0.15">
      <c r="B5" s="4">
        <v>165.7</v>
      </c>
      <c r="C5" s="4">
        <v>302</v>
      </c>
      <c r="D5" s="4">
        <f t="shared" si="0"/>
        <v>182</v>
      </c>
      <c r="E5" s="4">
        <v>171.69800000000001</v>
      </c>
      <c r="F5" s="4">
        <v>163.47509014372</v>
      </c>
      <c r="G5" s="4">
        <f>(F5+H2/60+I2/3600+J2/360000)+40</f>
        <v>320.14175681038665</v>
      </c>
      <c r="H5" s="23">
        <f>E5+F5-B5+270-220</f>
        <v>219.47309014372001</v>
      </c>
      <c r="I5" s="4">
        <v>340159</v>
      </c>
      <c r="J5" s="4">
        <v>340419</v>
      </c>
      <c r="K5" s="4">
        <f t="shared" si="2"/>
        <v>140</v>
      </c>
      <c r="L5" s="4">
        <v>221103</v>
      </c>
      <c r="M5" s="4">
        <v>221322</v>
      </c>
      <c r="N5" s="4">
        <f t="shared" si="3"/>
        <v>139</v>
      </c>
      <c r="O5" s="4">
        <f t="shared" si="4"/>
        <v>-0.63571574461840663</v>
      </c>
      <c r="P5" s="4">
        <f t="shared" si="5"/>
        <v>-0.77192324232676457</v>
      </c>
      <c r="Q5" s="4">
        <f t="shared" si="6"/>
        <v>0.5596711056028093</v>
      </c>
      <c r="R5" s="14">
        <f t="shared" si="7"/>
        <v>0.82871482040164401</v>
      </c>
      <c r="S5" s="14">
        <f t="shared" si="8"/>
        <v>0.37758491380057069</v>
      </c>
      <c r="T5" s="4">
        <f t="shared" si="9"/>
        <v>0.9259749634143547</v>
      </c>
      <c r="U5" s="4">
        <f t="shared" si="10"/>
        <v>-0.8491231871495164</v>
      </c>
      <c r="V5" s="4">
        <f t="shared" si="11"/>
        <v>3.7987666625539707E-2</v>
      </c>
      <c r="W5" s="4">
        <f t="shared" si="12"/>
        <v>-0.52682705912794026</v>
      </c>
      <c r="X5" s="4">
        <f t="shared" si="13"/>
        <v>8.8236078512409822E-4</v>
      </c>
      <c r="Y5" s="4">
        <f t="shared" si="14"/>
        <v>0.99999961071964671</v>
      </c>
      <c r="Z5" s="4">
        <f t="shared" si="15"/>
        <v>0.99999989139474699</v>
      </c>
      <c r="AA5" s="4">
        <f t="shared" si="16"/>
        <v>-4.6486409422501196E-4</v>
      </c>
      <c r="AB5" s="4">
        <f t="shared" si="17"/>
        <v>-3.3344686258381933E-5</v>
      </c>
      <c r="AC5" s="4">
        <f t="shared" si="18"/>
        <v>4.6483898080848616E-4</v>
      </c>
      <c r="AD5" s="4">
        <f t="shared" si="19"/>
        <v>0.99999961128140269</v>
      </c>
      <c r="AE5" s="4">
        <f t="shared" si="20"/>
        <v>-7.4924079272105371E-4</v>
      </c>
      <c r="AF5" s="4">
        <f t="shared" si="21"/>
        <v>3.3692968439105508E-5</v>
      </c>
      <c r="AG5" s="4">
        <f t="shared" si="22"/>
        <v>7.4922521143959398E-4</v>
      </c>
      <c r="AH5" s="4">
        <f t="shared" si="23"/>
        <v>0.99999971876314375</v>
      </c>
      <c r="AI5" s="4">
        <f t="shared" si="24"/>
        <v>0.5596711056028093</v>
      </c>
      <c r="AJ5" s="4">
        <f t="shared" si="25"/>
        <v>0.82871482040164401</v>
      </c>
      <c r="AK5" s="4">
        <f t="shared" si="26"/>
        <v>0.37758491380057069</v>
      </c>
      <c r="AL5" s="4">
        <f t="shared" si="27"/>
        <v>0.9259749634143547</v>
      </c>
      <c r="AM5" s="4">
        <f t="shared" si="28"/>
        <v>-0.31291021402661018</v>
      </c>
      <c r="AN5" s="4">
        <f t="shared" si="29"/>
        <v>0.76736917550234585</v>
      </c>
      <c r="AO5" s="4">
        <f t="shared" si="30"/>
        <v>0.5596711056028093</v>
      </c>
      <c r="AP5" s="4">
        <f t="shared" si="31"/>
        <v>-0.31328556447704753</v>
      </c>
      <c r="AQ5" s="4">
        <f t="shared" si="32"/>
        <v>0.76680409592387877</v>
      </c>
      <c r="AR5" s="4">
        <f t="shared" si="33"/>
        <v>0.5602353376614696</v>
      </c>
      <c r="AS5" s="4">
        <f t="shared" si="34"/>
        <v>34.072074471569742</v>
      </c>
      <c r="AT5" s="4">
        <f t="shared" si="35"/>
        <v>22.222966209866829</v>
      </c>
      <c r="AU5" s="4">
        <f t="shared" si="36"/>
        <v>34.071944444444448</v>
      </c>
      <c r="AV5" s="4">
        <f t="shared" si="37"/>
        <v>1.3002712529441851E-4</v>
      </c>
      <c r="AW5" s="4">
        <f t="shared" si="38"/>
        <v>221322</v>
      </c>
      <c r="AX5" s="17">
        <f t="shared" si="39"/>
        <v>0.46809765105990664</v>
      </c>
      <c r="AY5" s="4">
        <f t="shared" si="40"/>
        <v>22.222777777777775</v>
      </c>
      <c r="AZ5" s="4">
        <f t="shared" si="41"/>
        <v>1.8843208905394704E-4</v>
      </c>
      <c r="BA5" s="17">
        <f t="shared" si="42"/>
        <v>0.67835552059420934</v>
      </c>
      <c r="BB5" s="4">
        <f t="shared" si="43"/>
        <v>5.2413705497565037E-8</v>
      </c>
      <c r="BC5" s="4">
        <f t="shared" si="44"/>
        <v>4.9162426319422658E-4</v>
      </c>
      <c r="BD5" s="17">
        <f t="shared" si="45"/>
        <v>101.40478339412866</v>
      </c>
      <c r="BE5" s="4">
        <f t="shared" si="46"/>
        <v>38.595216605871343</v>
      </c>
      <c r="BF5" s="4">
        <f t="shared" si="47"/>
        <v>8.122295568767933E-4</v>
      </c>
      <c r="BG5" s="17">
        <f t="shared" si="48"/>
        <v>167.53437217735672</v>
      </c>
    </row>
    <row r="6" spans="1:59" x14ac:dyDescent="0.15">
      <c r="B6">
        <v>165.7</v>
      </c>
      <c r="C6">
        <v>302</v>
      </c>
      <c r="D6">
        <f>INT(C6/10000)*3600+INT(MOD(C6,10000)/100)*60+MOD(C6,100)</f>
        <v>182</v>
      </c>
      <c r="E6">
        <v>171.71</v>
      </c>
      <c r="G6">
        <f>(G2+H2/60+I2/3600+J2/360000)+40</f>
        <v>319.95505204073464</v>
      </c>
      <c r="H6" s="2">
        <f t="shared" si="1"/>
        <v>325.96505204073463</v>
      </c>
      <c r="I6">
        <v>340155</v>
      </c>
      <c r="J6">
        <v>340414</v>
      </c>
      <c r="K6">
        <f t="shared" si="2"/>
        <v>139</v>
      </c>
      <c r="L6">
        <v>221034</v>
      </c>
      <c r="M6">
        <v>221254</v>
      </c>
      <c r="N6">
        <f t="shared" si="3"/>
        <v>140</v>
      </c>
      <c r="O6" s="2">
        <f t="shared" si="4"/>
        <v>-0.55969847665042993</v>
      </c>
      <c r="P6" s="2">
        <f t="shared" si="5"/>
        <v>0.82869633475428628</v>
      </c>
      <c r="Q6" s="2">
        <f t="shared" si="6"/>
        <v>0.55965503460626553</v>
      </c>
      <c r="R6" s="13">
        <f t="shared" si="7"/>
        <v>0.82872567369417227</v>
      </c>
      <c r="S6" s="13">
        <f t="shared" si="8"/>
        <v>0.37745472172321426</v>
      </c>
      <c r="T6" s="2">
        <f t="shared" si="9"/>
        <v>0.92602804117847903</v>
      </c>
      <c r="U6" s="2">
        <f t="shared" si="10"/>
        <v>0.64916285493897097</v>
      </c>
      <c r="V6" s="2">
        <f t="shared" si="11"/>
        <v>0.60286258110763702</v>
      </c>
      <c r="W6" s="2">
        <f t="shared" si="12"/>
        <v>-0.46383649712772951</v>
      </c>
      <c r="X6" s="2">
        <f t="shared" si="13"/>
        <v>8.8236078512409822E-4</v>
      </c>
      <c r="Y6" s="2">
        <f t="shared" si="14"/>
        <v>0.99999961071964671</v>
      </c>
      <c r="Z6" s="2">
        <f t="shared" si="15"/>
        <v>0.99999977476721946</v>
      </c>
      <c r="AA6" s="2">
        <f t="shared" si="16"/>
        <v>-4.0911878857511816E-4</v>
      </c>
      <c r="AB6" s="2">
        <f t="shared" si="17"/>
        <v>-5.3205951481417857E-4</v>
      </c>
      <c r="AC6" s="2">
        <f t="shared" si="18"/>
        <v>4.0942348297455175E-4</v>
      </c>
      <c r="AD6" s="2">
        <f t="shared" si="19"/>
        <v>0.9999997522009797</v>
      </c>
      <c r="AE6" s="2">
        <f t="shared" si="20"/>
        <v>5.7268699202145379E-4</v>
      </c>
      <c r="AF6" s="2">
        <f t="shared" si="21"/>
        <v>5.3182508596197136E-4</v>
      </c>
      <c r="AG6" s="2">
        <f t="shared" si="22"/>
        <v>-5.7290470069324914E-4</v>
      </c>
      <c r="AH6" s="2">
        <f t="shared" si="23"/>
        <v>0.99999969447109427</v>
      </c>
      <c r="AI6" s="2">
        <f t="shared" si="24"/>
        <v>0.55965503460626553</v>
      </c>
      <c r="AJ6" s="2">
        <f t="shared" si="25"/>
        <v>0.82872567369417227</v>
      </c>
      <c r="AK6" s="2">
        <f t="shared" si="26"/>
        <v>0.37745472172321426</v>
      </c>
      <c r="AL6" s="2">
        <f t="shared" si="27"/>
        <v>0.92602804117847903</v>
      </c>
      <c r="AM6" s="2">
        <f t="shared" si="28"/>
        <v>-0.31280641854911706</v>
      </c>
      <c r="AN6" s="2">
        <f t="shared" si="29"/>
        <v>0.76742321228532973</v>
      </c>
      <c r="AO6" s="2">
        <f t="shared" si="30"/>
        <v>0.55965503460626553</v>
      </c>
      <c r="AP6" s="2">
        <f t="shared" si="31"/>
        <v>-0.31341808513596814</v>
      </c>
      <c r="AQ6" s="2">
        <f t="shared" si="32"/>
        <v>0.76761545898356875</v>
      </c>
      <c r="AR6" s="2">
        <f t="shared" si="33"/>
        <v>0.55904884494930152</v>
      </c>
      <c r="AS6" s="2">
        <f t="shared" si="34"/>
        <v>33.990044526394705</v>
      </c>
      <c r="AT6" s="2">
        <f t="shared" si="35"/>
        <v>22.210238092704788</v>
      </c>
      <c r="AU6">
        <f t="shared" si="36"/>
        <v>34.070555555555558</v>
      </c>
      <c r="AV6">
        <f t="shared" si="37"/>
        <v>-8.0511029160852843E-2</v>
      </c>
      <c r="AW6">
        <f t="shared" si="38"/>
        <v>221254</v>
      </c>
      <c r="AX6" s="15">
        <f t="shared" si="39"/>
        <v>-289.83970497907023</v>
      </c>
      <c r="AY6">
        <f t="shared" si="40"/>
        <v>22.215</v>
      </c>
      <c r="AZ6">
        <f t="shared" si="41"/>
        <v>-4.7619072952116426E-3</v>
      </c>
      <c r="BA6" s="15">
        <f t="shared" si="42"/>
        <v>-17.142866262761913</v>
      </c>
      <c r="BB6" s="4">
        <f t="shared" si="43"/>
        <v>6.5047015776278864E-3</v>
      </c>
      <c r="BC6">
        <f t="shared" si="44"/>
        <v>4.9385613938904022E-4</v>
      </c>
      <c r="BD6" s="15">
        <f t="shared" si="45"/>
        <v>101.8651409050194</v>
      </c>
      <c r="BE6">
        <f t="shared" si="46"/>
        <v>37.134859094980598</v>
      </c>
      <c r="BF6">
        <f t="shared" si="47"/>
        <v>8.1215733743508149E-4</v>
      </c>
      <c r="BG6" s="15">
        <f t="shared" si="48"/>
        <v>167.51947584820473</v>
      </c>
    </row>
    <row r="7" spans="1:59" s="4" customFormat="1" x14ac:dyDescent="0.15">
      <c r="B7" s="4">
        <v>165.7</v>
      </c>
      <c r="C7" s="4">
        <v>302</v>
      </c>
      <c r="D7" s="4">
        <f t="shared" si="0"/>
        <v>182</v>
      </c>
      <c r="E7" s="4">
        <v>171.73500000000001</v>
      </c>
      <c r="F7" s="4">
        <v>163.495425841562</v>
      </c>
      <c r="G7" s="4">
        <f>(F7+H2/60+I2/3600+J2/360000)+40</f>
        <v>320.16209250822868</v>
      </c>
      <c r="H7" s="23">
        <f>E7+F7-B7+270-220</f>
        <v>219.53042584156202</v>
      </c>
      <c r="I7" s="4">
        <v>340145</v>
      </c>
      <c r="J7" s="4">
        <v>340405</v>
      </c>
      <c r="K7" s="4">
        <f t="shared" si="2"/>
        <v>140</v>
      </c>
      <c r="L7" s="4">
        <v>221054</v>
      </c>
      <c r="M7" s="4">
        <v>221314</v>
      </c>
      <c r="N7" s="4">
        <f t="shared" si="3"/>
        <v>140</v>
      </c>
      <c r="O7" s="4">
        <f t="shared" si="4"/>
        <v>-0.63648788723466743</v>
      </c>
      <c r="P7" s="4">
        <f t="shared" si="5"/>
        <v>-0.77128669728159405</v>
      </c>
      <c r="Q7" s="4">
        <f t="shared" si="6"/>
        <v>0.55961485619411333</v>
      </c>
      <c r="R7" s="14">
        <f t="shared" si="7"/>
        <v>0.82875280556197328</v>
      </c>
      <c r="S7" s="14">
        <f t="shared" si="8"/>
        <v>0.37754451016139284</v>
      </c>
      <c r="T7" s="4">
        <f t="shared" si="9"/>
        <v>0.92599143778276582</v>
      </c>
      <c r="U7" s="4">
        <f t="shared" si="10"/>
        <v>-0.84868173099757582</v>
      </c>
      <c r="V7" s="4">
        <f t="shared" si="11"/>
        <v>3.863205167142475E-2</v>
      </c>
      <c r="W7" s="4">
        <f t="shared" si="12"/>
        <v>-0.5274911222519435</v>
      </c>
      <c r="X7" s="4">
        <f t="shared" si="13"/>
        <v>8.8236078512409822E-4</v>
      </c>
      <c r="Y7" s="4">
        <f t="shared" si="14"/>
        <v>0.99999961071964671</v>
      </c>
      <c r="Z7" s="4">
        <f t="shared" si="15"/>
        <v>0.99999989110297893</v>
      </c>
      <c r="AA7" s="4">
        <f t="shared" si="16"/>
        <v>-4.6545024384508059E-4</v>
      </c>
      <c r="AB7" s="4">
        <f t="shared" si="17"/>
        <v>-3.3913137498793356E-5</v>
      </c>
      <c r="AC7" s="4">
        <f t="shared" si="18"/>
        <v>4.6542471770735251E-4</v>
      </c>
      <c r="AD7" s="4">
        <f t="shared" si="19"/>
        <v>0.99999961130062254</v>
      </c>
      <c r="AE7" s="4">
        <f t="shared" si="20"/>
        <v>-7.488514112635662E-4</v>
      </c>
      <c r="AF7" s="4">
        <f t="shared" si="21"/>
        <v>3.4261677388712792E-5</v>
      </c>
      <c r="AG7" s="4">
        <f t="shared" si="22"/>
        <v>7.4883554570343317E-4</v>
      </c>
      <c r="AH7" s="4">
        <f t="shared" si="23"/>
        <v>0.99999971903569207</v>
      </c>
      <c r="AI7" s="4">
        <f t="shared" si="24"/>
        <v>0.55961485619411333</v>
      </c>
      <c r="AJ7" s="4">
        <f t="shared" si="25"/>
        <v>0.82875280556197328</v>
      </c>
      <c r="AK7" s="4">
        <f t="shared" si="26"/>
        <v>0.37754451016139284</v>
      </c>
      <c r="AL7" s="4">
        <f t="shared" si="27"/>
        <v>0.92599143778276582</v>
      </c>
      <c r="AM7" s="4">
        <f t="shared" si="28"/>
        <v>-0.31289107202077526</v>
      </c>
      <c r="AN7" s="4">
        <f t="shared" si="29"/>
        <v>0.76741800198883259</v>
      </c>
      <c r="AO7" s="4">
        <f t="shared" si="30"/>
        <v>0.55961485619411333</v>
      </c>
      <c r="AP7" s="4">
        <f t="shared" si="31"/>
        <v>-0.31326721113959088</v>
      </c>
      <c r="AQ7" s="4">
        <f t="shared" si="32"/>
        <v>0.76685300808023948</v>
      </c>
      <c r="AR7" s="4">
        <f t="shared" si="33"/>
        <v>0.56017864866764711</v>
      </c>
      <c r="AS7" s="4">
        <f t="shared" si="34"/>
        <v>34.068153387881694</v>
      </c>
      <c r="AT7" s="4">
        <f t="shared" si="35"/>
        <v>22.220511538058624</v>
      </c>
      <c r="AU7" s="4">
        <f t="shared" si="36"/>
        <v>34.06805555555556</v>
      </c>
      <c r="AV7" s="4">
        <f t="shared" si="37"/>
        <v>9.7832326133584502E-5</v>
      </c>
      <c r="AW7" s="4">
        <f t="shared" si="38"/>
        <v>221314</v>
      </c>
      <c r="AX7" s="17">
        <f t="shared" si="39"/>
        <v>0.35219637408090421</v>
      </c>
      <c r="AY7" s="4">
        <f t="shared" si="40"/>
        <v>22.220555555555553</v>
      </c>
      <c r="AZ7" s="4">
        <f t="shared" si="41"/>
        <v>-4.4017496929171784E-5</v>
      </c>
      <c r="BA7" s="17">
        <f t="shared" si="42"/>
        <v>-0.15846298894501842</v>
      </c>
      <c r="BB7" s="4">
        <f t="shared" si="43"/>
        <v>1.1508704072617689E-8</v>
      </c>
      <c r="BC7" s="4">
        <f t="shared" si="44"/>
        <v>4.9089079496904319E-4</v>
      </c>
      <c r="BD7" s="17">
        <f t="shared" si="45"/>
        <v>101.25349471277279</v>
      </c>
      <c r="BE7" s="4">
        <f t="shared" si="46"/>
        <v>38.746505287227208</v>
      </c>
      <c r="BF7" s="4">
        <f t="shared" si="47"/>
        <v>8.1200676584730906E-4</v>
      </c>
      <c r="BG7" s="17">
        <f t="shared" si="48"/>
        <v>167.48841822882656</v>
      </c>
    </row>
    <row r="8" spans="1:59" x14ac:dyDescent="0.15">
      <c r="B8">
        <v>165.7</v>
      </c>
      <c r="C8">
        <v>302</v>
      </c>
      <c r="D8">
        <f>(INT(C8/10000)*3600+INT(MOD(C8,10000)/100)*60+MOD(C8,100))</f>
        <v>182</v>
      </c>
      <c r="E8">
        <v>171.691</v>
      </c>
      <c r="G8">
        <f>(G2+H2/60+I2/3600+J2/360000)+40</f>
        <v>319.95505204073464</v>
      </c>
      <c r="H8" s="2">
        <f t="shared" si="1"/>
        <v>325.94605204073463</v>
      </c>
      <c r="I8">
        <v>340152</v>
      </c>
      <c r="J8">
        <v>340413</v>
      </c>
      <c r="K8">
        <f t="shared" si="2"/>
        <v>141</v>
      </c>
      <c r="L8">
        <v>221116</v>
      </c>
      <c r="M8">
        <v>221333</v>
      </c>
      <c r="N8">
        <f t="shared" si="3"/>
        <v>137</v>
      </c>
      <c r="O8" s="2">
        <f t="shared" si="4"/>
        <v>-0.55997325198251591</v>
      </c>
      <c r="P8" s="2">
        <f t="shared" si="5"/>
        <v>0.82851068614962697</v>
      </c>
      <c r="Q8" s="2">
        <f t="shared" si="6"/>
        <v>0.55964298122073652</v>
      </c>
      <c r="R8" s="13">
        <f t="shared" si="7"/>
        <v>0.82873381345904207</v>
      </c>
      <c r="S8" s="13">
        <f t="shared" si="8"/>
        <v>0.37764327334358316</v>
      </c>
      <c r="T8" s="2">
        <f t="shared" si="9"/>
        <v>0.92595116399211019</v>
      </c>
      <c r="U8" s="2">
        <f t="shared" si="10"/>
        <v>0.64881265918490172</v>
      </c>
      <c r="V8" s="2">
        <f t="shared" si="11"/>
        <v>0.60306078577321687</v>
      </c>
      <c r="W8" s="2">
        <f t="shared" si="12"/>
        <v>-0.46406876855053147</v>
      </c>
      <c r="X8" s="2">
        <f t="shared" si="13"/>
        <v>8.8236078512409822E-4</v>
      </c>
      <c r="Y8" s="2">
        <f t="shared" si="14"/>
        <v>0.99999961071964671</v>
      </c>
      <c r="Z8" s="2">
        <f t="shared" si="15"/>
        <v>0.99999977459027378</v>
      </c>
      <c r="AA8" s="2">
        <f t="shared" si="16"/>
        <v>-4.0932376789438259E-4</v>
      </c>
      <c r="AB8" s="2">
        <f t="shared" si="17"/>
        <v>-5.3223439827111479E-4</v>
      </c>
      <c r="AC8" s="2">
        <f t="shared" si="18"/>
        <v>4.096283980452582E-4</v>
      </c>
      <c r="AD8" s="2">
        <f t="shared" si="19"/>
        <v>0.99999975229402538</v>
      </c>
      <c r="AE8" s="2">
        <f t="shared" si="20"/>
        <v>5.7237790270465582E-4</v>
      </c>
      <c r="AF8" s="2">
        <f t="shared" si="21"/>
        <v>5.319999785537077E-4</v>
      </c>
      <c r="AG8" s="2">
        <f t="shared" si="22"/>
        <v>-5.7259579200903189E-4</v>
      </c>
      <c r="AH8" s="2">
        <f t="shared" si="23"/>
        <v>0.99999969455499427</v>
      </c>
      <c r="AI8" s="2">
        <f t="shared" si="24"/>
        <v>0.55964298122073652</v>
      </c>
      <c r="AJ8" s="2">
        <f t="shared" si="25"/>
        <v>0.82873381345904207</v>
      </c>
      <c r="AK8" s="2">
        <f t="shared" si="26"/>
        <v>0.37764327334358316</v>
      </c>
      <c r="AL8" s="2">
        <f t="shared" si="27"/>
        <v>0.92595116399211019</v>
      </c>
      <c r="AM8" s="2">
        <f t="shared" si="28"/>
        <v>-0.31296575004518307</v>
      </c>
      <c r="AN8" s="2">
        <f t="shared" si="29"/>
        <v>0.76736703921202032</v>
      </c>
      <c r="AO8" s="2">
        <f t="shared" si="30"/>
        <v>0.55964298122073652</v>
      </c>
      <c r="AP8" s="2">
        <f t="shared" si="31"/>
        <v>-0.31357764231286395</v>
      </c>
      <c r="AQ8" s="2">
        <f t="shared" si="32"/>
        <v>0.76755897674764051</v>
      </c>
      <c r="AR8" s="2">
        <f t="shared" si="33"/>
        <v>0.55903692137069161</v>
      </c>
      <c r="AS8" s="2">
        <f t="shared" si="34"/>
        <v>33.989220574146664</v>
      </c>
      <c r="AT8" s="2">
        <f t="shared" si="35"/>
        <v>22.221921182428837</v>
      </c>
      <c r="AU8">
        <f t="shared" si="36"/>
        <v>34.070277777777783</v>
      </c>
      <c r="AV8">
        <f t="shared" si="37"/>
        <v>-8.1057203631118568E-2</v>
      </c>
      <c r="AW8">
        <f t="shared" si="38"/>
        <v>221333</v>
      </c>
      <c r="AX8" s="15">
        <f t="shared" si="39"/>
        <v>-291.80593307202685</v>
      </c>
      <c r="AY8">
        <f t="shared" si="40"/>
        <v>22.22583333333333</v>
      </c>
      <c r="AZ8">
        <f t="shared" si="41"/>
        <v>-3.9121509044939273E-3</v>
      </c>
      <c r="BA8" s="15">
        <f t="shared" si="42"/>
        <v>-14.083743256178138</v>
      </c>
      <c r="BB8" s="4">
        <f t="shared" si="43"/>
        <v>6.5855751851961542E-3</v>
      </c>
      <c r="BC8">
        <f t="shared" si="44"/>
        <v>4.9409859040201308E-4</v>
      </c>
      <c r="BD8" s="15">
        <f t="shared" si="45"/>
        <v>101.91515001623466</v>
      </c>
      <c r="BE8">
        <f t="shared" si="46"/>
        <v>39.084849983765338</v>
      </c>
      <c r="BF8">
        <f t="shared" si="47"/>
        <v>8.1227166843128357E-4</v>
      </c>
      <c r="BG8" s="15">
        <f t="shared" si="48"/>
        <v>167.5430583089844</v>
      </c>
    </row>
    <row r="9" spans="1:59" x14ac:dyDescent="0.15">
      <c r="A9" t="s">
        <v>44</v>
      </c>
      <c r="B9">
        <f>360-169.5</f>
        <v>190.5</v>
      </c>
      <c r="C9">
        <v>323</v>
      </c>
      <c r="D9">
        <v>203</v>
      </c>
      <c r="E9">
        <v>259.24</v>
      </c>
      <c r="G9">
        <f>(G2+H2/60+I2/3600+J2/360000)+40</f>
        <v>319.95505204073464</v>
      </c>
      <c r="H9" s="23">
        <f>E9+F9-B9+270-220</f>
        <v>118.74000000000001</v>
      </c>
      <c r="I9">
        <v>340443</v>
      </c>
      <c r="J9">
        <v>340400</v>
      </c>
      <c r="K9">
        <f t="shared" si="2"/>
        <v>-43</v>
      </c>
      <c r="L9">
        <v>220905</v>
      </c>
      <c r="M9">
        <v>221304</v>
      </c>
      <c r="N9">
        <f t="shared" si="3"/>
        <v>239</v>
      </c>
      <c r="O9" s="2">
        <f t="shared" si="4"/>
        <v>0.87681069073059692</v>
      </c>
      <c r="P9" s="2">
        <f t="shared" si="5"/>
        <v>-0.48083574390901263</v>
      </c>
      <c r="Q9" s="2">
        <f t="shared" si="6"/>
        <v>0.56032983517188517</v>
      </c>
      <c r="R9" s="13">
        <f t="shared" si="7"/>
        <v>0.82826956711945421</v>
      </c>
      <c r="S9" s="13">
        <f t="shared" si="8"/>
        <v>0.3770551201521441</v>
      </c>
      <c r="T9" s="2">
        <f t="shared" si="9"/>
        <v>0.92619082070977798</v>
      </c>
      <c r="U9" s="2">
        <f t="shared" si="10"/>
        <v>-0.26009726901122721</v>
      </c>
      <c r="V9" s="2">
        <f t="shared" si="11"/>
        <v>-0.63634208378423929</v>
      </c>
      <c r="W9" s="2">
        <f t="shared" si="12"/>
        <v>0.7262356112571412</v>
      </c>
      <c r="X9" s="2">
        <f t="shared" si="13"/>
        <v>9.8417161377520736E-4</v>
      </c>
      <c r="Y9" s="2">
        <f t="shared" si="14"/>
        <v>0.99999951570300005</v>
      </c>
      <c r="Z9" s="2">
        <f t="shared" si="15"/>
        <v>0.99999954846597749</v>
      </c>
      <c r="AA9" s="2">
        <f t="shared" si="16"/>
        <v>7.1482062991433924E-4</v>
      </c>
      <c r="AB9" s="2">
        <f t="shared" si="17"/>
        <v>6.2617833573094187E-4</v>
      </c>
      <c r="AC9" s="2">
        <f t="shared" si="18"/>
        <v>-7.1466031710959042E-4</v>
      </c>
      <c r="AD9" s="2">
        <f t="shared" si="19"/>
        <v>0.99999971180998848</v>
      </c>
      <c r="AE9" s="2">
        <f t="shared" si="20"/>
        <v>-2.5620415922773912E-4</v>
      </c>
      <c r="AF9" s="2">
        <f t="shared" si="21"/>
        <v>-6.263612952910842E-4</v>
      </c>
      <c r="AG9" s="2">
        <f t="shared" si="22"/>
        <v>2.5575653873486829E-4</v>
      </c>
      <c r="AH9" s="2">
        <f t="shared" si="23"/>
        <v>0.99999977113003413</v>
      </c>
      <c r="AI9" s="2">
        <f t="shared" si="24"/>
        <v>0.56032983517188517</v>
      </c>
      <c r="AJ9" s="2">
        <f t="shared" si="25"/>
        <v>0.82826956711945421</v>
      </c>
      <c r="AK9" s="2">
        <f t="shared" si="26"/>
        <v>0.3770551201521441</v>
      </c>
      <c r="AL9" s="2">
        <f t="shared" si="27"/>
        <v>0.92619082070977798</v>
      </c>
      <c r="AM9" s="2">
        <f t="shared" si="28"/>
        <v>-0.31230328114859018</v>
      </c>
      <c r="AN9" s="2">
        <f t="shared" si="29"/>
        <v>0.76713567013929984</v>
      </c>
      <c r="AO9" s="2">
        <f t="shared" si="30"/>
        <v>0.56032983517188517</v>
      </c>
      <c r="AP9" s="2">
        <f t="shared" si="31"/>
        <v>-0.31140390932642631</v>
      </c>
      <c r="AQ9" s="2">
        <f t="shared" si="32"/>
        <v>0.76721508098609181</v>
      </c>
      <c r="AR9" s="2">
        <f t="shared" si="33"/>
        <v>0.56072152158065369</v>
      </c>
      <c r="AS9" s="2">
        <f t="shared" si="34"/>
        <v>34.105710464739211</v>
      </c>
      <c r="AT9" s="2">
        <f t="shared" si="35"/>
        <v>22.091676188832814</v>
      </c>
      <c r="AU9">
        <f t="shared" si="36"/>
        <v>34.06666666666667</v>
      </c>
      <c r="AV9">
        <f t="shared" si="37"/>
        <v>3.9043798072540881E-2</v>
      </c>
      <c r="AW9">
        <f t="shared" si="38"/>
        <v>221304</v>
      </c>
      <c r="AX9" s="15">
        <f t="shared" si="39"/>
        <v>140.55767306114717</v>
      </c>
      <c r="AY9">
        <f t="shared" si="40"/>
        <v>22.217777777777776</v>
      </c>
      <c r="AZ9">
        <f t="shared" si="41"/>
        <v>-0.12610158894496237</v>
      </c>
      <c r="BA9" s="15">
        <f t="shared" si="42"/>
        <v>-453.96572020186454</v>
      </c>
      <c r="BB9" s="4">
        <f t="shared" si="43"/>
        <v>1.7426028902373603E-2</v>
      </c>
      <c r="BC9">
        <f t="shared" si="44"/>
        <v>-4.7254797660293928E-4</v>
      </c>
      <c r="BD9" s="15">
        <f t="shared" si="45"/>
        <v>-97.47001683646269</v>
      </c>
      <c r="BE9">
        <f t="shared" si="46"/>
        <v>54.47001683646269</v>
      </c>
      <c r="BF9">
        <f t="shared" si="47"/>
        <v>7.3106804567454246E-5</v>
      </c>
      <c r="BG9" s="15">
        <f t="shared" si="48"/>
        <v>15.079360879450292</v>
      </c>
    </row>
    <row r="10" spans="1:59" s="22" customFormat="1" x14ac:dyDescent="0.15">
      <c r="A10" s="21" t="s">
        <v>45</v>
      </c>
      <c r="B10" s="22">
        <v>-148.9</v>
      </c>
      <c r="C10" s="22">
        <v>113</v>
      </c>
      <c r="D10" s="22">
        <f t="shared" ref="D10:D21" si="49">INT(C10/10000)*3600+INT(MOD(C10,10000)/100)*60+MOD(C10,100)</f>
        <v>73</v>
      </c>
      <c r="E10" s="22">
        <v>95.936000000000007</v>
      </c>
      <c r="F10">
        <v>163.28838537406796</v>
      </c>
      <c r="G10" s="22">
        <f>(F10+H2/60+I2/3600+J2/360000)+40</f>
        <v>319.95505204073464</v>
      </c>
      <c r="H10" s="23">
        <f>E10+F10-B10+270-220</f>
        <v>458.12438537406797</v>
      </c>
      <c r="I10" s="22">
        <v>340226</v>
      </c>
      <c r="J10" s="22">
        <v>340315</v>
      </c>
      <c r="K10" s="22">
        <f t="shared" si="2"/>
        <v>49</v>
      </c>
      <c r="L10" s="4">
        <v>221306</v>
      </c>
      <c r="M10" s="4">
        <v>221413</v>
      </c>
      <c r="N10" s="22">
        <f t="shared" si="3"/>
        <v>67</v>
      </c>
      <c r="O10" s="23">
        <f t="shared" si="4"/>
        <v>0.98996359977385529</v>
      </c>
      <c r="P10" s="23">
        <f t="shared" si="5"/>
        <v>-0.14132257824845315</v>
      </c>
      <c r="Q10" s="22">
        <f t="shared" si="6"/>
        <v>0.55977957932391353</v>
      </c>
      <c r="R10" s="24">
        <f t="shared" si="7"/>
        <v>0.82864155252554306</v>
      </c>
      <c r="S10" s="24">
        <f t="shared" si="8"/>
        <v>0.37813702479019967</v>
      </c>
      <c r="T10" s="22">
        <f t="shared" si="9"/>
        <v>0.92574963704168733</v>
      </c>
      <c r="U10" s="22">
        <f t="shared" si="10"/>
        <v>7.8719620338844165E-2</v>
      </c>
      <c r="V10" s="22">
        <f>S10*P10-O10*T10*Q10</f>
        <v>-0.56645402106297249</v>
      </c>
      <c r="W10" s="22">
        <f t="shared" si="12"/>
        <v>0.82032497426038276</v>
      </c>
      <c r="X10" s="22">
        <f t="shared" si="13"/>
        <v>3.539139798217054E-4</v>
      </c>
      <c r="Y10" s="22">
        <f t="shared" si="14"/>
        <v>0.99999993737244552</v>
      </c>
      <c r="Z10" s="22">
        <f t="shared" si="15"/>
        <v>0.99999993776053464</v>
      </c>
      <c r="AA10" s="22">
        <f t="shared" si="16"/>
        <v>2.9032168375950031E-4</v>
      </c>
      <c r="AB10" s="22">
        <f t="shared" si="17"/>
        <v>2.0048004119672854E-4</v>
      </c>
      <c r="AC10" s="22">
        <f t="shared" si="18"/>
        <v>-2.9032726901575986E-4</v>
      </c>
      <c r="AD10" s="22">
        <f t="shared" si="19"/>
        <v>0.99999995746775883</v>
      </c>
      <c r="AE10" s="22">
        <f t="shared" si="20"/>
        <v>2.7830872578856429E-5</v>
      </c>
      <c r="AF10" s="22">
        <f t="shared" si="21"/>
        <v>-2.0047195276408093E-4</v>
      </c>
      <c r="AG10" s="22">
        <f t="shared" si="22"/>
        <v>-2.7889075669491577E-5</v>
      </c>
      <c r="AH10" s="22">
        <f t="shared" si="23"/>
        <v>0.99999997951659758</v>
      </c>
      <c r="AI10" s="22">
        <f t="shared" si="24"/>
        <v>0.55977957932391353</v>
      </c>
      <c r="AJ10" s="22">
        <f t="shared" si="25"/>
        <v>0.82864155252554306</v>
      </c>
      <c r="AK10" s="22">
        <f t="shared" si="26"/>
        <v>0.37813702479019967</v>
      </c>
      <c r="AL10" s="22">
        <f t="shared" si="27"/>
        <v>0.92574963704168733</v>
      </c>
      <c r="AM10" s="22">
        <f t="shared" si="28"/>
        <v>-0.31334005128954084</v>
      </c>
      <c r="AN10" s="22">
        <f t="shared" si="29"/>
        <v>0.7671146164881818</v>
      </c>
      <c r="AO10" s="22">
        <f t="shared" si="30"/>
        <v>0.55977957932391353</v>
      </c>
      <c r="AP10" s="22">
        <f t="shared" si="31"/>
        <v>-0.31300509714720426</v>
      </c>
      <c r="AQ10" s="22">
        <f t="shared" si="32"/>
        <v>0.76722113417658644</v>
      </c>
      <c r="AR10" s="22">
        <f t="shared" si="33"/>
        <v>0.55982098963209792</v>
      </c>
      <c r="AS10" s="22">
        <f t="shared" si="34"/>
        <v>34.043418887633884</v>
      </c>
      <c r="AT10" s="22">
        <f t="shared" si="35"/>
        <v>22.194107008027121</v>
      </c>
      <c r="AU10" s="22">
        <f t="shared" si="36"/>
        <v>34.054166666666667</v>
      </c>
      <c r="AV10" s="22">
        <f t="shared" si="37"/>
        <v>-1.0747779032783455E-2</v>
      </c>
      <c r="AW10" s="22">
        <f t="shared" si="38"/>
        <v>221413</v>
      </c>
      <c r="AX10" s="25">
        <f t="shared" si="39"/>
        <v>-38.69200451802044</v>
      </c>
      <c r="AY10" s="22">
        <f t="shared" si="40"/>
        <v>22.236944444444447</v>
      </c>
      <c r="AZ10" s="22">
        <f t="shared" si="41"/>
        <v>-4.2837436417325847E-2</v>
      </c>
      <c r="BA10" s="25">
        <f t="shared" si="42"/>
        <v>-154.21477110237305</v>
      </c>
      <c r="BB10" s="22">
        <f t="shared" si="43"/>
        <v>1.9505607129459744E-3</v>
      </c>
      <c r="BC10" s="22">
        <f t="shared" si="44"/>
        <v>1.4839978826492646E-4</v>
      </c>
      <c r="BD10" s="25">
        <f t="shared" si="45"/>
        <v>30.609653573575184</v>
      </c>
      <c r="BE10" s="22">
        <f t="shared" si="46"/>
        <v>18.390346426424816</v>
      </c>
      <c r="BF10" s="22">
        <f t="shared" si="47"/>
        <v>-5.0258269476139454E-5</v>
      </c>
      <c r="BG10" s="25">
        <f t="shared" si="48"/>
        <v>-10.366512215810262</v>
      </c>
    </row>
    <row r="11" spans="1:59" x14ac:dyDescent="0.15">
      <c r="A11" t="s">
        <v>46</v>
      </c>
      <c r="B11">
        <f>360-196</f>
        <v>164</v>
      </c>
      <c r="C11">
        <v>245</v>
      </c>
      <c r="D11">
        <f>(INT(C11/10000)*3600+INT(MOD(C11,10000)/100)*60+MOD(C11,100))</f>
        <v>165</v>
      </c>
      <c r="E11">
        <v>338.64299999999997</v>
      </c>
      <c r="F11">
        <v>163.03855349502001</v>
      </c>
      <c r="G11">
        <f>(F11+H2/60+I2/3600+J2/360000)+40</f>
        <v>319.70522016168667</v>
      </c>
      <c r="H11" s="2">
        <f t="shared" si="1"/>
        <v>494.34822016168664</v>
      </c>
      <c r="I11">
        <v>340629</v>
      </c>
      <c r="J11">
        <v>340403</v>
      </c>
      <c r="K11">
        <f t="shared" si="2"/>
        <v>-146</v>
      </c>
      <c r="L11">
        <v>221426</v>
      </c>
      <c r="M11">
        <v>221254</v>
      </c>
      <c r="N11">
        <f t="shared" si="3"/>
        <v>-92</v>
      </c>
      <c r="O11" s="2">
        <f t="shared" si="4"/>
        <v>0.71510469359920048</v>
      </c>
      <c r="P11" s="2">
        <f t="shared" si="5"/>
        <v>-0.69901736544408799</v>
      </c>
      <c r="Q11" s="2">
        <f t="shared" si="6"/>
        <v>0.56075541096563197</v>
      </c>
      <c r="R11" s="13">
        <f t="shared" si="7"/>
        <v>0.82798150285665517</v>
      </c>
      <c r="S11" s="13">
        <f t="shared" si="8"/>
        <v>0.37849604921138869</v>
      </c>
      <c r="T11" s="2">
        <f t="shared" si="9"/>
        <v>0.92560290661350564</v>
      </c>
      <c r="U11" s="2">
        <f t="shared" si="10"/>
        <v>-0.49523603371925784</v>
      </c>
      <c r="V11" s="2">
        <f t="shared" si="11"/>
        <v>-0.63574099036212239</v>
      </c>
      <c r="W11" s="2">
        <f t="shared" si="12"/>
        <v>0.59209345890611398</v>
      </c>
      <c r="X11" s="2">
        <f t="shared" si="13"/>
        <v>7.9994248851577882E-4</v>
      </c>
      <c r="Y11" s="2">
        <f t="shared" si="14"/>
        <v>0.9999996800459563</v>
      </c>
      <c r="Z11" s="2">
        <f t="shared" si="15"/>
        <v>0.99999975851747847</v>
      </c>
      <c r="AA11" s="2">
        <f t="shared" si="16"/>
        <v>4.7374144987319937E-4</v>
      </c>
      <c r="AB11" s="2">
        <f t="shared" si="17"/>
        <v>5.0846241103216609E-4</v>
      </c>
      <c r="AC11" s="2">
        <f t="shared" si="18"/>
        <v>-4.7353998002934433E-4</v>
      </c>
      <c r="AD11" s="2">
        <f t="shared" si="19"/>
        <v>0.99999980936069643</v>
      </c>
      <c r="AE11" s="2">
        <f t="shared" si="20"/>
        <v>-3.96280781703511E-4</v>
      </c>
      <c r="AF11" s="2">
        <f t="shared" si="21"/>
        <v>-5.0865004873135774E-4</v>
      </c>
      <c r="AG11" s="2">
        <f t="shared" si="22"/>
        <v>3.9603990872862354E-4</v>
      </c>
      <c r="AH11" s="2">
        <f t="shared" si="23"/>
        <v>0.99999979221373769</v>
      </c>
      <c r="AI11" s="2">
        <f t="shared" si="24"/>
        <v>0.56075541096563197</v>
      </c>
      <c r="AJ11" s="2">
        <f t="shared" si="25"/>
        <v>0.82798150285665517</v>
      </c>
      <c r="AK11" s="2">
        <f t="shared" si="26"/>
        <v>0.37849604921138869</v>
      </c>
      <c r="AL11" s="2">
        <f t="shared" si="27"/>
        <v>0.92560290661350564</v>
      </c>
      <c r="AM11" s="2">
        <f t="shared" si="28"/>
        <v>-0.31338772765135214</v>
      </c>
      <c r="AN11" s="2">
        <f t="shared" si="29"/>
        <v>0.7663820856663387</v>
      </c>
      <c r="AO11" s="2">
        <f t="shared" si="30"/>
        <v>0.56075541096563197</v>
      </c>
      <c r="AP11" s="2">
        <f t="shared" si="31"/>
        <v>-0.31273946196501412</v>
      </c>
      <c r="AQ11" s="2">
        <f t="shared" si="32"/>
        <v>0.76630812458948316</v>
      </c>
      <c r="AR11" s="2">
        <f t="shared" si="33"/>
        <v>0.56121821702256125</v>
      </c>
      <c r="AS11" s="2">
        <f t="shared" si="34"/>
        <v>34.140087498361673</v>
      </c>
      <c r="AT11" s="2">
        <f t="shared" si="35"/>
        <v>22.200955576075682</v>
      </c>
      <c r="AU11">
        <f t="shared" si="36"/>
        <v>34.067500000000003</v>
      </c>
      <c r="AV11">
        <f t="shared" si="37"/>
        <v>7.2587498361670555E-2</v>
      </c>
      <c r="AW11">
        <f t="shared" si="38"/>
        <v>221254</v>
      </c>
      <c r="AX11" s="15">
        <f t="shared" si="39"/>
        <v>261.314994102014</v>
      </c>
      <c r="AY11">
        <f t="shared" si="40"/>
        <v>22.215</v>
      </c>
      <c r="AZ11">
        <f t="shared" si="41"/>
        <v>-1.4044423924318039E-2</v>
      </c>
      <c r="BA11" s="15">
        <f t="shared" si="42"/>
        <v>-50.559926127544941</v>
      </c>
      <c r="BB11" s="4">
        <f t="shared" si="43"/>
        <v>5.4661907617714819E-3</v>
      </c>
      <c r="BC11">
        <f t="shared" si="44"/>
        <v>-5.7204274877738995E-4</v>
      </c>
      <c r="BD11" s="15">
        <f t="shared" si="45"/>
        <v>-117.99228674162475</v>
      </c>
      <c r="BE11">
        <f t="shared" si="46"/>
        <v>-28.007713258375247</v>
      </c>
      <c r="BF11">
        <f t="shared" si="47"/>
        <v>-7.8348301540252254E-4</v>
      </c>
      <c r="BG11" s="15">
        <f t="shared" si="48"/>
        <v>-161.60497236989212</v>
      </c>
    </row>
    <row r="12" spans="1:59" s="4" customFormat="1" x14ac:dyDescent="0.15">
      <c r="A12" s="4" t="s">
        <v>47</v>
      </c>
      <c r="B12" s="4">
        <v>-196.8</v>
      </c>
      <c r="C12" s="4">
        <v>235</v>
      </c>
      <c r="D12" s="4">
        <f t="shared" si="49"/>
        <v>155</v>
      </c>
      <c r="E12" s="4">
        <v>0.36799999999999999</v>
      </c>
      <c r="F12">
        <v>163.00981093545801</v>
      </c>
      <c r="G12" s="4">
        <f>(F12+H2/60+I2/3600+J2/360000)+40</f>
        <v>319.67647760212469</v>
      </c>
      <c r="H12" s="2">
        <f t="shared" si="1"/>
        <v>516.8444776021247</v>
      </c>
      <c r="I12" s="4">
        <v>340539</v>
      </c>
      <c r="J12" s="4">
        <v>340400</v>
      </c>
      <c r="K12" s="4">
        <f t="shared" si="2"/>
        <v>-99</v>
      </c>
      <c r="L12" s="4">
        <v>221507</v>
      </c>
      <c r="M12" s="4">
        <v>221245</v>
      </c>
      <c r="N12" s="4">
        <f t="shared" si="3"/>
        <v>-142</v>
      </c>
      <c r="O12" s="4">
        <f t="shared" si="4"/>
        <v>0.39322828403257404</v>
      </c>
      <c r="P12" s="4">
        <f t="shared" si="5"/>
        <v>-0.91944087174586564</v>
      </c>
      <c r="Q12" s="4">
        <f t="shared" si="6"/>
        <v>0.56055468611215664</v>
      </c>
      <c r="R12" s="14">
        <f t="shared" si="7"/>
        <v>0.8281174094762781</v>
      </c>
      <c r="S12" s="14">
        <f t="shared" si="8"/>
        <v>0.37868002716329269</v>
      </c>
      <c r="T12" s="4">
        <f t="shared" si="9"/>
        <v>0.92552765330248665</v>
      </c>
      <c r="U12" s="4">
        <f t="shared" si="10"/>
        <v>-0.76749704486952508</v>
      </c>
      <c r="V12" s="4">
        <f t="shared" si="11"/>
        <v>-0.55218421329893186</v>
      </c>
      <c r="W12" s="2">
        <f t="shared" si="12"/>
        <v>0.32563918790585733</v>
      </c>
      <c r="X12" s="4">
        <f t="shared" si="13"/>
        <v>7.5146113499551751E-4</v>
      </c>
      <c r="Y12" s="4">
        <f t="shared" si="14"/>
        <v>0.99999971765304141</v>
      </c>
      <c r="Z12" s="4">
        <f t="shared" si="15"/>
        <v>0.99999988397000128</v>
      </c>
      <c r="AA12" s="4">
        <f t="shared" si="16"/>
        <v>2.4482485231376339E-4</v>
      </c>
      <c r="AB12" s="4">
        <f t="shared" si="17"/>
        <v>4.1487440949159875E-4</v>
      </c>
      <c r="AC12" s="4">
        <f t="shared" si="18"/>
        <v>-2.4458553517174494E-4</v>
      </c>
      <c r="AD12" s="4">
        <f t="shared" si="19"/>
        <v>0.99999980374272002</v>
      </c>
      <c r="AE12" s="4">
        <f t="shared" si="20"/>
        <v>-5.7679497004586085E-4</v>
      </c>
      <c r="AF12" s="4">
        <f t="shared" si="21"/>
        <v>-4.1501554181284575E-4</v>
      </c>
      <c r="AG12" s="4">
        <f t="shared" si="22"/>
        <v>5.7669343084085711E-4</v>
      </c>
      <c r="AH12" s="4">
        <f t="shared" si="23"/>
        <v>0.99999974759336152</v>
      </c>
      <c r="AI12" s="4">
        <f t="shared" si="24"/>
        <v>0.56055468611215664</v>
      </c>
      <c r="AJ12" s="4">
        <f t="shared" si="25"/>
        <v>0.8281174094762781</v>
      </c>
      <c r="AK12" s="4">
        <f t="shared" si="26"/>
        <v>0.37868002716329269</v>
      </c>
      <c r="AL12" s="4">
        <f t="shared" si="27"/>
        <v>0.92552765330248665</v>
      </c>
      <c r="AM12" s="4">
        <f t="shared" si="28"/>
        <v>-0.31359152311487254</v>
      </c>
      <c r="AN12" s="4">
        <f t="shared" si="29"/>
        <v>0.76644556265151409</v>
      </c>
      <c r="AO12" s="4">
        <f t="shared" si="30"/>
        <v>0.56055468611215664</v>
      </c>
      <c r="AP12" s="4">
        <f t="shared" si="31"/>
        <v>-0.31317128201277727</v>
      </c>
      <c r="AQ12" s="4">
        <f t="shared" si="32"/>
        <v>0.76619878705811395</v>
      </c>
      <c r="AR12" s="4">
        <f t="shared" si="33"/>
        <v>0.56112669410138438</v>
      </c>
      <c r="AS12" s="4">
        <f t="shared" si="34"/>
        <v>34.133752009580292</v>
      </c>
      <c r="AT12" s="4">
        <f t="shared" si="35"/>
        <v>22.231490114560597</v>
      </c>
      <c r="AU12" s="4">
        <f t="shared" si="36"/>
        <v>34.06666666666667</v>
      </c>
      <c r="AV12" s="4">
        <f t="shared" si="37"/>
        <v>6.708534291362156E-2</v>
      </c>
      <c r="AW12" s="4">
        <f t="shared" si="38"/>
        <v>221245</v>
      </c>
      <c r="AX12" s="15">
        <f t="shared" si="39"/>
        <v>241.50723448903761</v>
      </c>
      <c r="AY12" s="4">
        <f t="shared" si="40"/>
        <v>22.212499999999999</v>
      </c>
      <c r="AZ12" s="4">
        <f t="shared" si="41"/>
        <v>1.8990114560597959E-2</v>
      </c>
      <c r="BA12" s="15">
        <f t="shared" si="42"/>
        <v>68.364412418152654</v>
      </c>
      <c r="BB12" s="4">
        <f t="shared" si="43"/>
        <v>4.8610676848628289E-3</v>
      </c>
      <c r="BC12" s="4">
        <f t="shared" si="44"/>
        <v>-2.9549584746313168E-4</v>
      </c>
      <c r="BD12" s="17">
        <f t="shared" si="45"/>
        <v>-60.950393723804403</v>
      </c>
      <c r="BE12" s="4">
        <f t="shared" si="46"/>
        <v>-38.049606276195597</v>
      </c>
      <c r="BF12" s="4">
        <f t="shared" si="47"/>
        <v>-6.2175480918551294E-4</v>
      </c>
      <c r="BG12" s="17">
        <f t="shared" si="48"/>
        <v>-128.2461352498502</v>
      </c>
    </row>
    <row r="13" spans="1:59" s="4" customFormat="1" x14ac:dyDescent="0.15">
      <c r="A13" s="4" t="s">
        <v>48</v>
      </c>
      <c r="B13" s="4">
        <v>-196.8</v>
      </c>
      <c r="C13" s="4">
        <v>235</v>
      </c>
      <c r="D13" s="4">
        <f t="shared" si="49"/>
        <v>155</v>
      </c>
      <c r="E13" s="4">
        <v>0.36499999999999999</v>
      </c>
      <c r="F13">
        <v>163.00981093545801</v>
      </c>
      <c r="G13" s="4">
        <f>(F13+H2/60+I2/3600+J2/360000)+40</f>
        <v>319.67647760212469</v>
      </c>
      <c r="H13" s="2">
        <f t="shared" si="1"/>
        <v>516.84147760212477</v>
      </c>
      <c r="I13" s="4">
        <v>340536</v>
      </c>
      <c r="J13" s="4">
        <v>340356</v>
      </c>
      <c r="K13" s="4">
        <f t="shared" si="2"/>
        <v>-100</v>
      </c>
      <c r="L13" s="4">
        <v>221524</v>
      </c>
      <c r="M13" s="4">
        <v>221303</v>
      </c>
      <c r="N13" s="4">
        <f t="shared" si="3"/>
        <v>-141</v>
      </c>
      <c r="O13" s="4">
        <f t="shared" si="4"/>
        <v>0.39327642530498896</v>
      </c>
      <c r="P13" s="4">
        <f t="shared" si="5"/>
        <v>-0.91942028110072138</v>
      </c>
      <c r="Q13" s="4">
        <f t="shared" si="6"/>
        <v>0.56054264157337685</v>
      </c>
      <c r="R13" s="14">
        <f t="shared" si="7"/>
        <v>0.8281255623261129</v>
      </c>
      <c r="S13" s="14">
        <f t="shared" si="8"/>
        <v>0.37875630631671747</v>
      </c>
      <c r="T13" s="4">
        <f t="shared" si="9"/>
        <v>0.92549643998522046</v>
      </c>
      <c r="U13" s="4">
        <f t="shared" si="10"/>
        <v>-0.76742404865318825</v>
      </c>
      <c r="V13" s="4">
        <f t="shared" si="11"/>
        <v>-0.55226025976248805</v>
      </c>
      <c r="W13" s="2">
        <f t="shared" si="12"/>
        <v>0.3256822608552975</v>
      </c>
      <c r="X13" s="4">
        <f t="shared" si="13"/>
        <v>7.5146113499551751E-4</v>
      </c>
      <c r="Y13" s="4">
        <f t="shared" si="14"/>
        <v>0.99999971765304141</v>
      </c>
      <c r="Z13" s="4">
        <f t="shared" si="15"/>
        <v>0.99999988393836614</v>
      </c>
      <c r="AA13" s="4">
        <f t="shared" si="16"/>
        <v>2.4485722505831331E-4</v>
      </c>
      <c r="AB13" s="4">
        <f t="shared" si="17"/>
        <v>4.1493155283188325E-4</v>
      </c>
      <c r="AC13" s="4">
        <f t="shared" si="18"/>
        <v>-2.446178977221428E-4</v>
      </c>
      <c r="AD13" s="4">
        <f t="shared" si="19"/>
        <v>0.99999980376643405</v>
      </c>
      <c r="AE13" s="4">
        <f t="shared" si="20"/>
        <v>-5.7674012993456187E-4</v>
      </c>
      <c r="AF13" s="4">
        <f t="shared" si="21"/>
        <v>-4.1507269039619394E-4</v>
      </c>
      <c r="AG13" s="4">
        <f t="shared" si="22"/>
        <v>5.7663856331299822E-4</v>
      </c>
      <c r="AH13" s="4">
        <f t="shared" si="23"/>
        <v>0.99999974760128263</v>
      </c>
      <c r="AI13" s="4">
        <f t="shared" si="24"/>
        <v>0.56054264157337685</v>
      </c>
      <c r="AJ13" s="4">
        <f t="shared" si="25"/>
        <v>0.8281255623261129</v>
      </c>
      <c r="AK13" s="4">
        <f t="shared" si="26"/>
        <v>0.37875630631671747</v>
      </c>
      <c r="AL13" s="4">
        <f t="shared" si="27"/>
        <v>0.92549643998522046</v>
      </c>
      <c r="AM13" s="4">
        <f t="shared" si="28"/>
        <v>-0.31365777915309312</v>
      </c>
      <c r="AN13" s="4">
        <f t="shared" si="29"/>
        <v>0.76642725979357629</v>
      </c>
      <c r="AO13" s="4">
        <f t="shared" si="30"/>
        <v>0.56054264157337685</v>
      </c>
      <c r="AP13" s="4">
        <f t="shared" si="31"/>
        <v>-0.31323749066872014</v>
      </c>
      <c r="AQ13" s="4">
        <f t="shared" si="32"/>
        <v>0.76618054826542781</v>
      </c>
      <c r="AR13" s="4">
        <f t="shared" si="33"/>
        <v>0.56111464238536113</v>
      </c>
      <c r="AS13" s="4">
        <f t="shared" si="34"/>
        <v>34.132917789343473</v>
      </c>
      <c r="AT13" s="4">
        <f t="shared" si="35"/>
        <v>22.236210034556745</v>
      </c>
      <c r="AU13" s="4">
        <f t="shared" si="36"/>
        <v>34.065555555555555</v>
      </c>
      <c r="AV13" s="4">
        <f t="shared" si="37"/>
        <v>6.7362233787918058E-2</v>
      </c>
      <c r="AW13" s="4">
        <f t="shared" si="38"/>
        <v>221303</v>
      </c>
      <c r="AX13" s="15">
        <f t="shared" si="39"/>
        <v>242.50404163650501</v>
      </c>
      <c r="AY13" s="4">
        <f t="shared" si="40"/>
        <v>22.217499999999998</v>
      </c>
      <c r="AZ13" s="4">
        <f t="shared" si="41"/>
        <v>1.8710034556747246E-2</v>
      </c>
      <c r="BA13" s="15">
        <f t="shared" si="42"/>
        <v>67.356124404290085</v>
      </c>
      <c r="BB13" s="4">
        <f t="shared" si="43"/>
        <v>4.8877359340128053E-3</v>
      </c>
      <c r="BC13" s="4">
        <f t="shared" si="44"/>
        <v>-2.9553202376539578E-4</v>
      </c>
      <c r="BD13" s="17">
        <f t="shared" si="45"/>
        <v>-60.95785562178164</v>
      </c>
      <c r="BE13" s="4">
        <f t="shared" si="46"/>
        <v>-39.04214437821836</v>
      </c>
      <c r="BF13" s="4">
        <f t="shared" si="47"/>
        <v>-6.2177690611695251E-4</v>
      </c>
      <c r="BG13" s="17">
        <f t="shared" si="48"/>
        <v>-128.25069306913221</v>
      </c>
    </row>
    <row r="14" spans="1:59" s="4" customFormat="1" x14ac:dyDescent="0.15">
      <c r="A14" s="4" t="s">
        <v>49</v>
      </c>
      <c r="B14" s="4">
        <v>-196.8</v>
      </c>
      <c r="C14" s="4">
        <v>235</v>
      </c>
      <c r="D14" s="4">
        <f t="shared" si="49"/>
        <v>155</v>
      </c>
      <c r="E14" s="4">
        <v>0.373</v>
      </c>
      <c r="F14">
        <v>163.00981093545801</v>
      </c>
      <c r="G14" s="4">
        <f>(G2+H2/60+I2/3600+J2/360000)+40</f>
        <v>319.95505204073464</v>
      </c>
      <c r="H14" s="23">
        <f>E14+F14-B14+270-230</f>
        <v>400.18281093545806</v>
      </c>
      <c r="I14" s="4">
        <v>340543</v>
      </c>
      <c r="J14" s="4">
        <v>340343</v>
      </c>
      <c r="K14" s="4">
        <f t="shared" si="2"/>
        <v>-120</v>
      </c>
      <c r="L14" s="4">
        <v>221541</v>
      </c>
      <c r="M14" s="4">
        <v>221343</v>
      </c>
      <c r="N14" s="4">
        <f t="shared" si="3"/>
        <v>-118</v>
      </c>
      <c r="O14" s="4">
        <f t="shared" si="4"/>
        <v>0.64522851546376314</v>
      </c>
      <c r="P14" s="4">
        <f t="shared" si="5"/>
        <v>0.7639896352912311</v>
      </c>
      <c r="Q14" s="4">
        <f t="shared" si="6"/>
        <v>0.56057074531273876</v>
      </c>
      <c r="R14" s="14">
        <f t="shared" si="7"/>
        <v>0.82810653873732976</v>
      </c>
      <c r="S14" s="14">
        <f t="shared" si="8"/>
        <v>0.37883258289733379</v>
      </c>
      <c r="T14" s="4">
        <f t="shared" si="9"/>
        <v>0.92546522038126033</v>
      </c>
      <c r="U14" s="4">
        <f t="shared" si="10"/>
        <v>0.84406815315715755</v>
      </c>
      <c r="V14" s="4">
        <f t="shared" si="11"/>
        <v>-4.5313114188525905E-2</v>
      </c>
      <c r="W14" s="2">
        <f t="shared" si="12"/>
        <v>0.53431795263532256</v>
      </c>
      <c r="X14" s="4">
        <f t="shared" si="13"/>
        <v>7.5146113499551751E-4</v>
      </c>
      <c r="Y14" s="4">
        <f t="shared" si="14"/>
        <v>0.99999971765304141</v>
      </c>
      <c r="Z14" s="4">
        <f t="shared" si="15"/>
        <v>0.99999991881142769</v>
      </c>
      <c r="AA14" s="4">
        <f t="shared" si="16"/>
        <v>4.0150837611100851E-4</v>
      </c>
      <c r="AB14" s="4">
        <f t="shared" si="17"/>
        <v>3.4178382913311272E-5</v>
      </c>
      <c r="AC14" s="4">
        <f t="shared" si="18"/>
        <v>-4.0152997416063277E-4</v>
      </c>
      <c r="AD14" s="4">
        <f t="shared" si="19"/>
        <v>0.99999971823277833</v>
      </c>
      <c r="AE14" s="4">
        <f t="shared" si="20"/>
        <v>6.3427757631048863E-4</v>
      </c>
      <c r="AF14" s="4">
        <f t="shared" si="21"/>
        <v>-3.3923705523271051E-5</v>
      </c>
      <c r="AG14" s="4">
        <f t="shared" si="22"/>
        <v>-6.3429124845960721E-4</v>
      </c>
      <c r="AH14" s="4">
        <f t="shared" si="23"/>
        <v>0.99999979826187679</v>
      </c>
      <c r="AI14" s="4">
        <f t="shared" si="24"/>
        <v>0.56057074531273876</v>
      </c>
      <c r="AJ14" s="4">
        <f t="shared" si="25"/>
        <v>0.82810653873732976</v>
      </c>
      <c r="AK14" s="4">
        <f t="shared" si="26"/>
        <v>0.37883258289733379</v>
      </c>
      <c r="AL14" s="4">
        <f t="shared" si="27"/>
        <v>0.92546522038126033</v>
      </c>
      <c r="AM14" s="4">
        <f t="shared" si="28"/>
        <v>-0.31371373898403365</v>
      </c>
      <c r="AN14" s="4">
        <f t="shared" si="29"/>
        <v>0.76638380037170561</v>
      </c>
      <c r="AO14" s="4">
        <f t="shared" si="30"/>
        <v>0.56057074531273876</v>
      </c>
      <c r="AP14" s="4">
        <f t="shared" si="31"/>
        <v>-0.31338684459731475</v>
      </c>
      <c r="AQ14" s="4">
        <f t="shared" si="32"/>
        <v>0.76686510735306701</v>
      </c>
      <c r="AR14" s="4">
        <f t="shared" si="33"/>
        <v>0.56009516401921156</v>
      </c>
      <c r="AS14" s="4">
        <f t="shared" si="34"/>
        <v>34.062379223572144</v>
      </c>
      <c r="AT14" s="4">
        <f t="shared" si="35"/>
        <v>22.2278546989115</v>
      </c>
      <c r="AU14" s="4">
        <f t="shared" si="36"/>
        <v>34.061944444444443</v>
      </c>
      <c r="AV14" s="4">
        <f t="shared" si="37"/>
        <v>4.3477912770129024E-4</v>
      </c>
      <c r="AW14" s="4">
        <f t="shared" si="38"/>
        <v>221343</v>
      </c>
      <c r="AX14" s="15">
        <f t="shared" si="39"/>
        <v>1.5652048597246448</v>
      </c>
      <c r="AY14" s="4">
        <f t="shared" si="40"/>
        <v>22.22861111111111</v>
      </c>
      <c r="AZ14" s="4">
        <f t="shared" si="41"/>
        <v>-7.5641219961042339E-4</v>
      </c>
      <c r="BA14" s="15">
        <f t="shared" si="42"/>
        <v>-2.7230839185975242</v>
      </c>
      <c r="BB14" s="4">
        <f t="shared" si="43"/>
        <v>7.6119230560417383E-7</v>
      </c>
      <c r="BC14" s="4">
        <f t="shared" si="44"/>
        <v>-2.9207264575553438E-4</v>
      </c>
      <c r="BD14" s="17">
        <f t="shared" si="45"/>
        <v>-60.244307686842113</v>
      </c>
      <c r="BE14" s="4">
        <f t="shared" si="46"/>
        <v>-59.755692313157887</v>
      </c>
      <c r="BF14" s="4">
        <f t="shared" si="47"/>
        <v>-6.2171797717852932E-4</v>
      </c>
      <c r="BG14" s="17">
        <f t="shared" si="48"/>
        <v>-128.23853810306602</v>
      </c>
    </row>
    <row r="15" spans="1:59" s="4" customFormat="1" x14ac:dyDescent="0.15">
      <c r="A15" s="4" t="s">
        <v>49</v>
      </c>
      <c r="B15" s="22">
        <v>-148.9</v>
      </c>
      <c r="C15" s="22">
        <v>113</v>
      </c>
      <c r="D15" s="4">
        <f t="shared" ref="D15" si="50">INT(C15/10000)*3600+INT(MOD(C15,10000)/100)*60+MOD(C15,100)</f>
        <v>73</v>
      </c>
      <c r="E15" s="22">
        <v>95.936000000000007</v>
      </c>
      <c r="F15">
        <v>163.00981093545801</v>
      </c>
      <c r="G15" s="4" t="e">
        <f>(G3+H3/60+I3/3600+J3/360000)+40</f>
        <v>#VALUE!</v>
      </c>
      <c r="H15" s="2" t="e">
        <f t="shared" si="1"/>
        <v>#VALUE!</v>
      </c>
      <c r="I15" s="22">
        <v>340226</v>
      </c>
      <c r="J15" s="22">
        <v>340315</v>
      </c>
      <c r="K15" s="4">
        <f t="shared" ref="K15" si="51">INT(J15/10000)*3600+INT(MOD(J15,10000)/100)*60+MOD(J15,100)-(INT(I15/10000)*3600+INT(MOD(I15,10000)/100)*60+MOD(I15,100))</f>
        <v>49</v>
      </c>
      <c r="L15" s="4">
        <v>221306</v>
      </c>
      <c r="M15" s="4">
        <v>221413</v>
      </c>
      <c r="N15" s="4">
        <f t="shared" ref="N15" si="52">INT(M15/10000)*3600+INT(MOD(M15,10000)/100)*60+MOD(M15,100)-(INT(L15/10000)*3600+INT(MOD(L15,10000)/100)*60+MOD(L15,100))</f>
        <v>67</v>
      </c>
      <c r="O15" s="4" t="e">
        <f t="shared" ref="O15" si="53">SIN(RADIANS(H15))</f>
        <v>#VALUE!</v>
      </c>
      <c r="P15" s="4" t="e">
        <f t="shared" ref="P15" si="54">COS(RADIANS(H15))</f>
        <v>#VALUE!</v>
      </c>
      <c r="Q15" s="4">
        <f t="shared" ref="Q15" si="55">SIN(RADIANS((INT(I15/10000)*3600+INT(MOD(I15,10000)/100)*60+MOD(I15,100))/3600))</f>
        <v>0.55977957932391353</v>
      </c>
      <c r="R15" s="14">
        <f t="shared" ref="R15" si="56">COS(RADIANS((INT(I15/10000)*3600+INT(MOD(I15,10000)/100)*60+MOD(I15,100))/3600))</f>
        <v>0.82864155252554306</v>
      </c>
      <c r="S15" s="14">
        <f t="shared" ref="S15" si="57">SIN(RADIANS((INT(L15/10000)*3600+INT(MOD(L15,10000)/100)*60+MOD(L15,100))/3600))</f>
        <v>0.37813702479019967</v>
      </c>
      <c r="T15" s="4">
        <f t="shared" ref="T15" si="58">COS(RADIANS((INT(L15/10000)*3600+INT(MOD(L15,10000)/100)*60+MOD(L15,100))/3600))</f>
        <v>0.92574963704168733</v>
      </c>
      <c r="U15" s="4" t="e">
        <f t="shared" ref="U15" si="59">P15*T15+O15*Q15*S15</f>
        <v>#VALUE!</v>
      </c>
      <c r="V15" s="4" t="e">
        <f t="shared" ref="V15" si="60">S15*P15-O15*T15*Q15</f>
        <v>#VALUE!</v>
      </c>
      <c r="W15" s="2" t="e">
        <f t="shared" ref="W15" si="61">R15*O15</f>
        <v>#VALUE!</v>
      </c>
      <c r="X15" s="4">
        <f t="shared" ref="X15" si="62">SIN(RADIANS(D15/3600))</f>
        <v>3.539139798217054E-4</v>
      </c>
      <c r="Y15" s="4">
        <f t="shared" ref="Y15" si="63">COS(RADIANS(D15/3600))</f>
        <v>0.99999993737244552</v>
      </c>
      <c r="Z15" s="4" t="e">
        <f t="shared" ref="Z15" si="64">U15*U15*(1-Y15)+Y15</f>
        <v>#VALUE!</v>
      </c>
      <c r="AA15" s="4" t="e">
        <f t="shared" ref="AA15" si="65">U15*V15*(1-Y15)+W15*X15</f>
        <v>#VALUE!</v>
      </c>
      <c r="AB15" s="4" t="e">
        <f t="shared" ref="AB15" si="66">U15*W15*(1-Y15)-V15*X15</f>
        <v>#VALUE!</v>
      </c>
      <c r="AC15" s="4" t="e">
        <f t="shared" ref="AC15" si="67">U15*V15*(1-Y15)-W15*X15</f>
        <v>#VALUE!</v>
      </c>
      <c r="AD15" s="4" t="e">
        <f t="shared" ref="AD15" si="68">V15*V15*(1-Y15)+Y15</f>
        <v>#VALUE!</v>
      </c>
      <c r="AE15" s="4" t="e">
        <f t="shared" ref="AE15" si="69">V15*W15*(1-Y15)+U15*X15</f>
        <v>#VALUE!</v>
      </c>
      <c r="AF15" s="4" t="e">
        <f t="shared" ref="AF15" si="70">U15*W15*(1-Y15)+V15*X15</f>
        <v>#VALUE!</v>
      </c>
      <c r="AG15" s="4" t="e">
        <f t="shared" ref="AG15" si="71">V15*W15*(1-Y15)-U15*X15</f>
        <v>#VALUE!</v>
      </c>
      <c r="AH15" s="4" t="e">
        <f t="shared" ref="AH15" si="72">W15*W15*(1-Y15)+Y15</f>
        <v>#VALUE!</v>
      </c>
      <c r="AI15" s="4">
        <f t="shared" ref="AI15" si="73">SIN(RADIANS((INT(I15/10000)*3600+INT(MOD(I15,10000)/100)*60+MOD(I15,100))/3600))</f>
        <v>0.55977957932391353</v>
      </c>
      <c r="AJ15" s="4">
        <f t="shared" ref="AJ15" si="74">COS(RADIANS((INT(I15/10000)*3600+INT(MOD(I15,10000)/100)*60+MOD(I15,100))/3600))</f>
        <v>0.82864155252554306</v>
      </c>
      <c r="AK15" s="4">
        <f t="shared" ref="AK15" si="75">SIN(RADIANS((INT(L15/10000)*3600+INT(MOD(L15,10000)/100)*60+MOD(L15,100))/3600))</f>
        <v>0.37813702479019967</v>
      </c>
      <c r="AL15" s="4">
        <f t="shared" ref="AL15" si="76">COS(RADIANS((INT(L15/10000)*3600+INT(MOD(L15,10000)/100)*60+MOD(L15,100))/3600))</f>
        <v>0.92574963704168733</v>
      </c>
      <c r="AM15" s="4">
        <f t="shared" ref="AM15" si="77">-AJ15*AK15</f>
        <v>-0.31334005128954084</v>
      </c>
      <c r="AN15" s="4">
        <f t="shared" ref="AN15" si="78">AJ15*AL15</f>
        <v>0.7671146164881818</v>
      </c>
      <c r="AO15" s="4">
        <f t="shared" ref="AO15" si="79">AI15</f>
        <v>0.55977957932391353</v>
      </c>
      <c r="AP15" s="4" t="e">
        <f t="shared" ref="AP15" si="80">Z15*AM15+AA15*AN15+AB15*AO15</f>
        <v>#VALUE!</v>
      </c>
      <c r="AQ15" s="4" t="e">
        <f t="shared" ref="AQ15" si="81">AC15*AM15+AD15*AN15+AE15*AO15</f>
        <v>#VALUE!</v>
      </c>
      <c r="AR15" s="4" t="e">
        <f t="shared" ref="AR15" si="82">AF15*AM15+AG15*AN15+AH15*AO15</f>
        <v>#VALUE!</v>
      </c>
      <c r="AS15" s="4" t="e">
        <f t="shared" ref="AS15" si="83">DEGREES(ASIN(AR15))</f>
        <v>#VALUE!</v>
      </c>
      <c r="AT15" s="4" t="e">
        <f t="shared" ref="AT15" si="84">DEGREES(ACOS(AQ15/SQRT(1-AR15*AR15)))</f>
        <v>#VALUE!</v>
      </c>
      <c r="AU15" s="4">
        <f t="shared" ref="AU15" si="85">(INT(J15/10000)+INT(MOD(J15,10000)/100)/60+MOD(J15,100)/3600)</f>
        <v>34.054166666666667</v>
      </c>
      <c r="AV15" s="4" t="e">
        <f t="shared" ref="AV15" si="86">AS15-AU15</f>
        <v>#VALUE!</v>
      </c>
      <c r="AW15" s="4">
        <f t="shared" ref="AW15" si="87">M15</f>
        <v>221413</v>
      </c>
      <c r="AX15" s="15" t="e">
        <f t="shared" ref="AX15" si="88">AV15*3600</f>
        <v>#VALUE!</v>
      </c>
      <c r="AY15" s="4">
        <f t="shared" ref="AY15" si="89">INT(M15/10000)+INT(MOD(M15,10000)/100)/60+MOD(M15,100)/3600</f>
        <v>22.236944444444447</v>
      </c>
      <c r="AZ15" s="4" t="e">
        <f t="shared" ref="AZ15" si="90">AT15-AY15</f>
        <v>#VALUE!</v>
      </c>
      <c r="BA15" s="15" t="e">
        <f t="shared" ref="BA15" si="91">AZ15*3600</f>
        <v>#VALUE!</v>
      </c>
      <c r="BB15" s="4" t="e">
        <f t="shared" ref="BB15" si="92">SUMSQ(AV15,AZ15)</f>
        <v>#VALUE!</v>
      </c>
      <c r="BC15" s="4" t="e">
        <f t="shared" ref="BC15" si="93">ATAN(SIN(RADIANS(B15-E15-G15))*TAN(RADIANS(D15/3600)))</f>
        <v>#VALUE!</v>
      </c>
      <c r="BD15" s="17" t="e">
        <f t="shared" ref="BD15" si="94">DEGREES(BC15)*3600</f>
        <v>#VALUE!</v>
      </c>
      <c r="BE15" s="4" t="e">
        <f t="shared" ref="BE15" si="95">K15-BD15</f>
        <v>#VALUE!</v>
      </c>
      <c r="BF15" s="4">
        <f t="shared" ref="BF15" si="96">ATAN(COS(RADIANS(B15-E15-$BF$3))*TAN(RADIANS(D15/3600)))</f>
        <v>-5.0258269476139454E-5</v>
      </c>
      <c r="BG15" s="17">
        <f t="shared" ref="BG15" si="97">DEGREES(BF15)*3600</f>
        <v>-10.366512215810262</v>
      </c>
    </row>
    <row r="16" spans="1:59" x14ac:dyDescent="0.15">
      <c r="B16" s="4">
        <v>-148.9</v>
      </c>
      <c r="C16" s="4">
        <v>113</v>
      </c>
      <c r="D16">
        <f t="shared" si="49"/>
        <v>73</v>
      </c>
      <c r="E16" s="4">
        <v>95.936000000000007</v>
      </c>
      <c r="F16">
        <v>163.28838537406796</v>
      </c>
      <c r="G16">
        <f>(G2+H2/60+I2/3600+J2/360000)+40</f>
        <v>319.95505204073464</v>
      </c>
      <c r="H16" s="2">
        <f t="shared" si="1"/>
        <v>564.7910520407346</v>
      </c>
      <c r="I16" s="4">
        <v>340226</v>
      </c>
      <c r="J16" s="4">
        <v>340315</v>
      </c>
      <c r="K16">
        <f t="shared" si="2"/>
        <v>49</v>
      </c>
      <c r="L16" s="4">
        <v>221306</v>
      </c>
      <c r="M16" s="4">
        <v>221413</v>
      </c>
      <c r="N16">
        <f t="shared" si="3"/>
        <v>67</v>
      </c>
      <c r="O16" s="2">
        <f t="shared" ref="O16:O21" si="98">SIN(RADIANS(B16-E16+G16))</f>
        <v>0.9664615279059825</v>
      </c>
      <c r="P16" s="2">
        <f t="shared" ref="P16:P21" si="99">COS(RADIANS(B16-E16+G16))</f>
        <v>0.25681143875932377</v>
      </c>
      <c r="Q16" s="2">
        <f t="shared" si="6"/>
        <v>0.55977957932391353</v>
      </c>
      <c r="R16" s="13">
        <f t="shared" si="7"/>
        <v>0.82864155252554306</v>
      </c>
      <c r="S16" s="13">
        <f t="shared" si="8"/>
        <v>0.37813702479019967</v>
      </c>
      <c r="T16" s="2">
        <f t="shared" si="9"/>
        <v>0.92574963704168733</v>
      </c>
      <c r="U16" s="2">
        <f t="shared" si="10"/>
        <v>0.44231727897885686</v>
      </c>
      <c r="V16" s="2">
        <f t="shared" si="11"/>
        <v>-0.40372566478334537</v>
      </c>
      <c r="W16" s="2">
        <f t="shared" si="12"/>
        <v>0.80085018094022176</v>
      </c>
      <c r="X16" s="2">
        <f t="shared" si="13"/>
        <v>3.539139798217054E-4</v>
      </c>
      <c r="Y16" s="2">
        <f t="shared" si="14"/>
        <v>0.99999993737244552</v>
      </c>
      <c r="Z16" s="2">
        <f t="shared" si="15"/>
        <v>0.99999994962518679</v>
      </c>
      <c r="AA16" s="2">
        <f t="shared" si="16"/>
        <v>2.8342089107212315E-4</v>
      </c>
      <c r="AB16" s="2">
        <f t="shared" si="17"/>
        <v>1.4290634133029968E-4</v>
      </c>
      <c r="AC16" s="2">
        <f t="shared" si="18"/>
        <v>-2.8344325848285033E-4</v>
      </c>
      <c r="AD16" s="2">
        <f t="shared" si="19"/>
        <v>0.99999994758038702</v>
      </c>
      <c r="AE16" s="2">
        <f t="shared" si="20"/>
        <v>1.5652201957018985E-4</v>
      </c>
      <c r="AF16" s="2">
        <f t="shared" si="21"/>
        <v>-1.4286197222897532E-4</v>
      </c>
      <c r="AG16" s="2">
        <f t="shared" si="22"/>
        <v>-1.5656251752443971E-4</v>
      </c>
      <c r="AH16" s="2">
        <f t="shared" si="23"/>
        <v>0.99999997753931724</v>
      </c>
      <c r="AI16" s="2">
        <f t="shared" si="24"/>
        <v>0.55977957932391353</v>
      </c>
      <c r="AJ16" s="2">
        <f t="shared" si="25"/>
        <v>0.82864155252554306</v>
      </c>
      <c r="AK16" s="2">
        <f t="shared" si="26"/>
        <v>0.37813702479019967</v>
      </c>
      <c r="AL16" s="2">
        <f t="shared" si="27"/>
        <v>0.92574963704168733</v>
      </c>
      <c r="AM16" s="2">
        <f t="shared" si="28"/>
        <v>-0.31334005128954084</v>
      </c>
      <c r="AN16" s="2">
        <f t="shared" si="29"/>
        <v>0.7671146164881818</v>
      </c>
      <c r="AO16" s="2">
        <f t="shared" si="30"/>
        <v>0.55977957932391353</v>
      </c>
      <c r="AP16" s="2">
        <f t="shared" si="31"/>
        <v>-0.31304262314530218</v>
      </c>
      <c r="AQ16" s="2">
        <f t="shared" si="32"/>
        <v>0.76729100823175111</v>
      </c>
      <c r="AR16" s="2">
        <f t="shared" si="33"/>
        <v>0.55970422973300038</v>
      </c>
      <c r="AS16" s="2">
        <f t="shared" si="34"/>
        <v>34.035345726347785</v>
      </c>
      <c r="AT16" s="2">
        <f t="shared" si="35"/>
        <v>22.194684400291958</v>
      </c>
      <c r="AU16">
        <f t="shared" si="36"/>
        <v>34.054166666666667</v>
      </c>
      <c r="AV16">
        <f t="shared" si="37"/>
        <v>-1.8820940318882151E-2</v>
      </c>
      <c r="AW16">
        <f t="shared" si="38"/>
        <v>221413</v>
      </c>
      <c r="AX16" s="15">
        <f t="shared" si="39"/>
        <v>-67.755385147975744</v>
      </c>
      <c r="AY16">
        <f t="shared" si="40"/>
        <v>22.236944444444447</v>
      </c>
      <c r="AZ16">
        <f t="shared" si="41"/>
        <v>-4.2260044152488518E-2</v>
      </c>
      <c r="BA16" s="15">
        <f t="shared" si="42"/>
        <v>-152.13615894895867</v>
      </c>
      <c r="BB16" s="4">
        <f t="shared" si="43"/>
        <v>2.1401391262572027E-3</v>
      </c>
      <c r="BC16">
        <f t="shared" si="44"/>
        <v>1.4839978826492646E-4</v>
      </c>
      <c r="BD16" s="15">
        <f t="shared" si="45"/>
        <v>30.609653573575184</v>
      </c>
      <c r="BE16">
        <f t="shared" si="46"/>
        <v>18.390346426424816</v>
      </c>
      <c r="BF16">
        <f t="shared" si="47"/>
        <v>-5.0258269476139454E-5</v>
      </c>
      <c r="BG16" s="15">
        <f t="shared" si="48"/>
        <v>-10.366512215810262</v>
      </c>
    </row>
    <row r="17" spans="2:59" x14ac:dyDescent="0.15">
      <c r="D17">
        <f t="shared" si="49"/>
        <v>0</v>
      </c>
      <c r="G17">
        <f>(G2+H2/60+I2/3600+J2/360000)+40</f>
        <v>319.95505204073464</v>
      </c>
      <c r="H17" s="2">
        <f t="shared" ref="H17:H21" si="100">B17-E17-G17+360</f>
        <v>40.044947959265357</v>
      </c>
      <c r="K17">
        <f t="shared" si="2"/>
        <v>0</v>
      </c>
      <c r="N17">
        <f t="shared" si="3"/>
        <v>0</v>
      </c>
      <c r="O17" s="2">
        <f t="shared" si="98"/>
        <v>-0.64338836594552984</v>
      </c>
      <c r="P17" s="2">
        <f t="shared" si="99"/>
        <v>0.76553994707392048</v>
      </c>
      <c r="Q17" s="2">
        <f t="shared" si="6"/>
        <v>0</v>
      </c>
      <c r="R17" s="13">
        <f t="shared" si="7"/>
        <v>1</v>
      </c>
      <c r="S17" s="13">
        <f t="shared" si="8"/>
        <v>0</v>
      </c>
      <c r="T17" s="2">
        <f t="shared" si="9"/>
        <v>1</v>
      </c>
      <c r="U17" s="2">
        <f t="shared" si="10"/>
        <v>0.76553994707392048</v>
      </c>
      <c r="V17" s="2">
        <f t="shared" si="11"/>
        <v>0</v>
      </c>
      <c r="W17" s="2">
        <f t="shared" si="12"/>
        <v>-0.64338836594552984</v>
      </c>
      <c r="X17" s="2">
        <f t="shared" si="13"/>
        <v>0</v>
      </c>
      <c r="Y17" s="2">
        <f t="shared" si="14"/>
        <v>1</v>
      </c>
      <c r="Z17" s="2">
        <f t="shared" si="15"/>
        <v>1</v>
      </c>
      <c r="AA17" s="2">
        <f t="shared" si="16"/>
        <v>0</v>
      </c>
      <c r="AB17" s="2">
        <f t="shared" si="17"/>
        <v>0</v>
      </c>
      <c r="AC17" s="2">
        <f t="shared" si="18"/>
        <v>0</v>
      </c>
      <c r="AD17" s="2">
        <f t="shared" si="19"/>
        <v>1</v>
      </c>
      <c r="AE17" s="2">
        <f t="shared" si="20"/>
        <v>0</v>
      </c>
      <c r="AF17" s="2">
        <f t="shared" si="21"/>
        <v>0</v>
      </c>
      <c r="AG17" s="2">
        <f t="shared" si="22"/>
        <v>0</v>
      </c>
      <c r="AH17" s="2">
        <f t="shared" si="23"/>
        <v>1</v>
      </c>
      <c r="AI17" s="2">
        <f t="shared" si="24"/>
        <v>0</v>
      </c>
      <c r="AJ17" s="2">
        <f t="shared" si="25"/>
        <v>1</v>
      </c>
      <c r="AK17" s="2">
        <f t="shared" si="26"/>
        <v>0</v>
      </c>
      <c r="AL17" s="2">
        <f t="shared" si="27"/>
        <v>1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2">
        <f t="shared" si="31"/>
        <v>0</v>
      </c>
      <c r="AQ17" s="2">
        <f t="shared" si="32"/>
        <v>1</v>
      </c>
      <c r="AR17" s="2">
        <f t="shared" si="33"/>
        <v>0</v>
      </c>
      <c r="AS17" s="2">
        <f t="shared" si="34"/>
        <v>0</v>
      </c>
      <c r="AT17" s="2">
        <f t="shared" si="35"/>
        <v>0</v>
      </c>
      <c r="AU17">
        <f t="shared" si="36"/>
        <v>0</v>
      </c>
      <c r="AV17">
        <f t="shared" si="37"/>
        <v>0</v>
      </c>
      <c r="AW17">
        <f t="shared" si="38"/>
        <v>0</v>
      </c>
      <c r="AX17" s="15">
        <f t="shared" si="39"/>
        <v>0</v>
      </c>
      <c r="AY17">
        <f t="shared" si="40"/>
        <v>0</v>
      </c>
      <c r="AZ17">
        <f t="shared" si="41"/>
        <v>0</v>
      </c>
      <c r="BA17" s="15">
        <f t="shared" si="42"/>
        <v>0</v>
      </c>
      <c r="BB17" s="4">
        <f t="shared" si="43"/>
        <v>0</v>
      </c>
      <c r="BC17">
        <f t="shared" si="44"/>
        <v>0</v>
      </c>
      <c r="BD17" s="15">
        <f t="shared" si="45"/>
        <v>0</v>
      </c>
      <c r="BE17">
        <f t="shared" si="46"/>
        <v>0</v>
      </c>
      <c r="BF17">
        <f t="shared" si="47"/>
        <v>0</v>
      </c>
      <c r="BG17" s="15">
        <f t="shared" si="48"/>
        <v>0</v>
      </c>
    </row>
    <row r="18" spans="2:59" x14ac:dyDescent="0.15">
      <c r="D18">
        <f t="shared" si="49"/>
        <v>0</v>
      </c>
      <c r="G18">
        <f>(G2+H2/60+I2/3600+J2/360000)+40</f>
        <v>319.95505204073464</v>
      </c>
      <c r="H18" s="2">
        <f t="shared" si="100"/>
        <v>40.044947959265357</v>
      </c>
      <c r="K18">
        <f t="shared" si="2"/>
        <v>0</v>
      </c>
      <c r="N18">
        <f t="shared" si="3"/>
        <v>0</v>
      </c>
      <c r="O18" s="2">
        <f t="shared" si="98"/>
        <v>-0.64338836594552984</v>
      </c>
      <c r="P18" s="2">
        <f t="shared" si="99"/>
        <v>0.76553994707392048</v>
      </c>
      <c r="Q18" s="2">
        <f t="shared" si="6"/>
        <v>0</v>
      </c>
      <c r="R18" s="13">
        <f t="shared" si="7"/>
        <v>1</v>
      </c>
      <c r="S18" s="13">
        <f t="shared" si="8"/>
        <v>0</v>
      </c>
      <c r="T18" s="2">
        <f t="shared" si="9"/>
        <v>1</v>
      </c>
      <c r="U18" s="2">
        <f t="shared" si="10"/>
        <v>0.76553994707392048</v>
      </c>
      <c r="V18" s="2">
        <f t="shared" si="11"/>
        <v>0</v>
      </c>
      <c r="W18" s="2">
        <f t="shared" si="12"/>
        <v>-0.64338836594552984</v>
      </c>
      <c r="X18" s="2">
        <f t="shared" si="13"/>
        <v>0</v>
      </c>
      <c r="Y18" s="2">
        <f t="shared" si="14"/>
        <v>1</v>
      </c>
      <c r="Z18" s="2">
        <f t="shared" si="15"/>
        <v>1</v>
      </c>
      <c r="AA18" s="2">
        <f t="shared" si="16"/>
        <v>0</v>
      </c>
      <c r="AB18" s="2">
        <f t="shared" si="17"/>
        <v>0</v>
      </c>
      <c r="AC18" s="2">
        <f t="shared" si="18"/>
        <v>0</v>
      </c>
      <c r="AD18" s="2">
        <f t="shared" si="19"/>
        <v>1</v>
      </c>
      <c r="AE18" s="2">
        <f t="shared" si="20"/>
        <v>0</v>
      </c>
      <c r="AF18" s="2">
        <f t="shared" si="21"/>
        <v>0</v>
      </c>
      <c r="AG18" s="2">
        <f t="shared" si="22"/>
        <v>0</v>
      </c>
      <c r="AH18" s="2">
        <f t="shared" si="23"/>
        <v>1</v>
      </c>
      <c r="AI18" s="2">
        <f t="shared" si="24"/>
        <v>0</v>
      </c>
      <c r="AJ18" s="2">
        <f t="shared" si="25"/>
        <v>1</v>
      </c>
      <c r="AK18" s="2">
        <f t="shared" si="26"/>
        <v>0</v>
      </c>
      <c r="AL18" s="2">
        <f t="shared" si="27"/>
        <v>1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2">
        <f t="shared" si="31"/>
        <v>0</v>
      </c>
      <c r="AQ18" s="2">
        <f t="shared" si="32"/>
        <v>1</v>
      </c>
      <c r="AR18" s="2">
        <f t="shared" si="33"/>
        <v>0</v>
      </c>
      <c r="AS18" s="2">
        <f t="shared" si="34"/>
        <v>0</v>
      </c>
      <c r="AT18" s="2">
        <f t="shared" si="35"/>
        <v>0</v>
      </c>
      <c r="AU18">
        <f t="shared" si="36"/>
        <v>0</v>
      </c>
      <c r="AV18">
        <f t="shared" si="37"/>
        <v>0</v>
      </c>
      <c r="AW18">
        <f t="shared" si="38"/>
        <v>0</v>
      </c>
      <c r="AX18" s="15">
        <f t="shared" si="39"/>
        <v>0</v>
      </c>
      <c r="AY18">
        <f t="shared" si="40"/>
        <v>0</v>
      </c>
      <c r="AZ18">
        <f t="shared" si="41"/>
        <v>0</v>
      </c>
      <c r="BA18" s="15">
        <f t="shared" si="42"/>
        <v>0</v>
      </c>
      <c r="BB18" s="4">
        <f t="shared" si="43"/>
        <v>0</v>
      </c>
      <c r="BC18">
        <f t="shared" si="44"/>
        <v>0</v>
      </c>
      <c r="BD18" s="15">
        <f t="shared" si="45"/>
        <v>0</v>
      </c>
      <c r="BE18">
        <f t="shared" si="46"/>
        <v>0</v>
      </c>
      <c r="BF18">
        <f t="shared" si="47"/>
        <v>0</v>
      </c>
      <c r="BG18" s="15">
        <f t="shared" si="48"/>
        <v>0</v>
      </c>
    </row>
    <row r="19" spans="2:59" x14ac:dyDescent="0.15">
      <c r="D19">
        <f t="shared" si="49"/>
        <v>0</v>
      </c>
      <c r="G19">
        <f>(G2+H2/60+I2/3600+J2/360000)+40</f>
        <v>319.95505204073464</v>
      </c>
      <c r="H19" s="2">
        <f t="shared" si="100"/>
        <v>40.044947959265357</v>
      </c>
      <c r="K19">
        <f t="shared" si="2"/>
        <v>0</v>
      </c>
      <c r="N19">
        <f t="shared" si="3"/>
        <v>0</v>
      </c>
      <c r="O19" s="2">
        <f t="shared" si="98"/>
        <v>-0.64338836594552984</v>
      </c>
      <c r="P19" s="2">
        <f t="shared" si="99"/>
        <v>0.76553994707392048</v>
      </c>
      <c r="Q19" s="2">
        <f t="shared" si="6"/>
        <v>0</v>
      </c>
      <c r="R19" s="13">
        <f t="shared" si="7"/>
        <v>1</v>
      </c>
      <c r="S19" s="13">
        <f t="shared" si="8"/>
        <v>0</v>
      </c>
      <c r="T19" s="2">
        <f t="shared" si="9"/>
        <v>1</v>
      </c>
      <c r="U19" s="2">
        <f t="shared" si="10"/>
        <v>0.76553994707392048</v>
      </c>
      <c r="V19" s="2">
        <f t="shared" si="11"/>
        <v>0</v>
      </c>
      <c r="W19" s="2">
        <f t="shared" si="12"/>
        <v>-0.64338836594552984</v>
      </c>
      <c r="X19" s="2">
        <f t="shared" si="13"/>
        <v>0</v>
      </c>
      <c r="Y19" s="2">
        <f t="shared" si="14"/>
        <v>1</v>
      </c>
      <c r="Z19" s="2">
        <f t="shared" si="15"/>
        <v>1</v>
      </c>
      <c r="AA19" s="2">
        <f t="shared" si="16"/>
        <v>0</v>
      </c>
      <c r="AB19" s="2">
        <f t="shared" si="17"/>
        <v>0</v>
      </c>
      <c r="AC19" s="2">
        <f t="shared" si="18"/>
        <v>0</v>
      </c>
      <c r="AD19" s="2">
        <f t="shared" si="19"/>
        <v>1</v>
      </c>
      <c r="AE19" s="2">
        <f t="shared" si="20"/>
        <v>0</v>
      </c>
      <c r="AF19" s="2">
        <f t="shared" si="21"/>
        <v>0</v>
      </c>
      <c r="AG19" s="2">
        <f t="shared" si="22"/>
        <v>0</v>
      </c>
      <c r="AH19" s="2">
        <f t="shared" si="23"/>
        <v>1</v>
      </c>
      <c r="AI19" s="2">
        <f t="shared" si="24"/>
        <v>0</v>
      </c>
      <c r="AJ19" s="2">
        <f t="shared" si="25"/>
        <v>1</v>
      </c>
      <c r="AK19" s="2">
        <f t="shared" si="26"/>
        <v>0</v>
      </c>
      <c r="AL19" s="2">
        <f t="shared" si="27"/>
        <v>1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2">
        <f t="shared" si="31"/>
        <v>0</v>
      </c>
      <c r="AQ19" s="2">
        <f t="shared" si="32"/>
        <v>1</v>
      </c>
      <c r="AR19" s="2">
        <f t="shared" si="33"/>
        <v>0</v>
      </c>
      <c r="AS19" s="2">
        <f t="shared" si="34"/>
        <v>0</v>
      </c>
      <c r="AT19" s="2">
        <f t="shared" si="35"/>
        <v>0</v>
      </c>
      <c r="AU19">
        <f t="shared" si="36"/>
        <v>0</v>
      </c>
      <c r="AV19">
        <f t="shared" si="37"/>
        <v>0</v>
      </c>
      <c r="AW19">
        <f t="shared" si="38"/>
        <v>0</v>
      </c>
      <c r="AX19" s="15">
        <f t="shared" si="39"/>
        <v>0</v>
      </c>
      <c r="AY19">
        <f t="shared" si="40"/>
        <v>0</v>
      </c>
      <c r="AZ19">
        <f t="shared" si="41"/>
        <v>0</v>
      </c>
      <c r="BA19" s="15">
        <f t="shared" si="42"/>
        <v>0</v>
      </c>
      <c r="BB19" s="4">
        <f t="shared" si="43"/>
        <v>0</v>
      </c>
      <c r="BC19">
        <f t="shared" si="44"/>
        <v>0</v>
      </c>
      <c r="BD19" s="15">
        <f t="shared" si="45"/>
        <v>0</v>
      </c>
      <c r="BE19">
        <f t="shared" si="46"/>
        <v>0</v>
      </c>
      <c r="BF19">
        <f t="shared" si="47"/>
        <v>0</v>
      </c>
      <c r="BG19" s="15">
        <f t="shared" si="48"/>
        <v>0</v>
      </c>
    </row>
    <row r="20" spans="2:59" x14ac:dyDescent="0.15">
      <c r="D20">
        <f t="shared" si="49"/>
        <v>0</v>
      </c>
      <c r="G20">
        <f>(G2+H2/60+I2/3600+J2/360000)+40</f>
        <v>319.95505204073464</v>
      </c>
      <c r="H20" s="2">
        <f t="shared" si="100"/>
        <v>40.044947959265357</v>
      </c>
      <c r="K20">
        <f t="shared" si="2"/>
        <v>0</v>
      </c>
      <c r="N20">
        <f t="shared" si="3"/>
        <v>0</v>
      </c>
      <c r="O20" s="2">
        <f t="shared" si="98"/>
        <v>-0.64338836594552984</v>
      </c>
      <c r="P20" s="2">
        <f t="shared" si="99"/>
        <v>0.76553994707392048</v>
      </c>
      <c r="Q20" s="2">
        <f t="shared" si="6"/>
        <v>0</v>
      </c>
      <c r="R20" s="13">
        <f t="shared" si="7"/>
        <v>1</v>
      </c>
      <c r="S20" s="13">
        <f t="shared" si="8"/>
        <v>0</v>
      </c>
      <c r="T20" s="2">
        <f t="shared" si="9"/>
        <v>1</v>
      </c>
      <c r="U20" s="2">
        <f t="shared" si="10"/>
        <v>0.76553994707392048</v>
      </c>
      <c r="V20" s="2">
        <f t="shared" si="11"/>
        <v>0</v>
      </c>
      <c r="W20" s="2">
        <f t="shared" si="12"/>
        <v>-0.64338836594552984</v>
      </c>
      <c r="X20" s="2">
        <f t="shared" si="13"/>
        <v>0</v>
      </c>
      <c r="Y20" s="2">
        <f t="shared" si="14"/>
        <v>1</v>
      </c>
      <c r="Z20" s="2">
        <f t="shared" si="15"/>
        <v>1</v>
      </c>
      <c r="AA20" s="2">
        <f t="shared" si="16"/>
        <v>0</v>
      </c>
      <c r="AB20" s="2">
        <f t="shared" si="17"/>
        <v>0</v>
      </c>
      <c r="AC20" s="2">
        <f t="shared" si="18"/>
        <v>0</v>
      </c>
      <c r="AD20" s="2">
        <f t="shared" si="19"/>
        <v>1</v>
      </c>
      <c r="AE20" s="2">
        <f t="shared" si="20"/>
        <v>0</v>
      </c>
      <c r="AF20" s="2">
        <f t="shared" si="21"/>
        <v>0</v>
      </c>
      <c r="AG20" s="2">
        <f t="shared" si="22"/>
        <v>0</v>
      </c>
      <c r="AH20" s="2">
        <f t="shared" si="23"/>
        <v>1</v>
      </c>
      <c r="AI20" s="2">
        <f t="shared" si="24"/>
        <v>0</v>
      </c>
      <c r="AJ20" s="2">
        <f t="shared" si="25"/>
        <v>1</v>
      </c>
      <c r="AK20" s="2">
        <f t="shared" si="26"/>
        <v>0</v>
      </c>
      <c r="AL20" s="2">
        <f t="shared" si="27"/>
        <v>1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2">
        <f t="shared" si="31"/>
        <v>0</v>
      </c>
      <c r="AQ20" s="2">
        <f t="shared" si="32"/>
        <v>1</v>
      </c>
      <c r="AR20" s="2">
        <f t="shared" si="33"/>
        <v>0</v>
      </c>
      <c r="AS20" s="2">
        <f t="shared" si="34"/>
        <v>0</v>
      </c>
      <c r="AT20" s="2">
        <f t="shared" si="35"/>
        <v>0</v>
      </c>
      <c r="AU20">
        <f t="shared" si="36"/>
        <v>0</v>
      </c>
      <c r="AV20">
        <f t="shared" si="37"/>
        <v>0</v>
      </c>
      <c r="AW20">
        <f t="shared" si="38"/>
        <v>0</v>
      </c>
      <c r="AX20" s="15">
        <f t="shared" si="39"/>
        <v>0</v>
      </c>
      <c r="AY20">
        <f t="shared" si="40"/>
        <v>0</v>
      </c>
      <c r="AZ20">
        <f t="shared" si="41"/>
        <v>0</v>
      </c>
      <c r="BA20" s="15">
        <f t="shared" si="42"/>
        <v>0</v>
      </c>
      <c r="BB20" s="4">
        <f t="shared" si="43"/>
        <v>0</v>
      </c>
      <c r="BC20">
        <f t="shared" si="44"/>
        <v>0</v>
      </c>
      <c r="BD20" s="15">
        <f t="shared" si="45"/>
        <v>0</v>
      </c>
      <c r="BE20">
        <f t="shared" si="46"/>
        <v>0</v>
      </c>
      <c r="BF20">
        <f t="shared" si="47"/>
        <v>0</v>
      </c>
      <c r="BG20" s="15">
        <f t="shared" si="48"/>
        <v>0</v>
      </c>
    </row>
    <row r="21" spans="2:59" x14ac:dyDescent="0.15">
      <c r="D21">
        <f t="shared" si="49"/>
        <v>0</v>
      </c>
      <c r="G21">
        <f>(G2+H2/60+I2/3600+J2/360000)+40</f>
        <v>319.95505204073464</v>
      </c>
      <c r="H21" s="2">
        <f t="shared" si="100"/>
        <v>40.044947959265357</v>
      </c>
      <c r="K21">
        <f t="shared" si="2"/>
        <v>0</v>
      </c>
      <c r="N21">
        <v>-20</v>
      </c>
      <c r="O21" s="2">
        <f t="shared" si="98"/>
        <v>-0.64338836594552984</v>
      </c>
      <c r="P21" s="2">
        <f t="shared" si="99"/>
        <v>0.76553994707392048</v>
      </c>
      <c r="Q21" s="2">
        <f t="shared" si="6"/>
        <v>0</v>
      </c>
      <c r="R21" s="13">
        <f t="shared" si="7"/>
        <v>1</v>
      </c>
      <c r="S21" s="13">
        <f t="shared" si="8"/>
        <v>0</v>
      </c>
      <c r="T21" s="2">
        <f t="shared" si="9"/>
        <v>1</v>
      </c>
      <c r="U21" s="2">
        <f t="shared" si="10"/>
        <v>0.76553994707392048</v>
      </c>
      <c r="V21" s="2">
        <f t="shared" si="11"/>
        <v>0</v>
      </c>
      <c r="W21" s="2">
        <f t="shared" si="12"/>
        <v>-0.64338836594552984</v>
      </c>
      <c r="X21" s="2">
        <f t="shared" si="13"/>
        <v>0</v>
      </c>
      <c r="Y21" s="2">
        <f t="shared" si="14"/>
        <v>1</v>
      </c>
      <c r="Z21" s="2">
        <f t="shared" si="15"/>
        <v>1</v>
      </c>
      <c r="AA21" s="2">
        <f t="shared" si="16"/>
        <v>0</v>
      </c>
      <c r="AB21" s="2">
        <f t="shared" si="17"/>
        <v>0</v>
      </c>
      <c r="AC21" s="2">
        <f t="shared" si="18"/>
        <v>0</v>
      </c>
      <c r="AD21" s="2">
        <f t="shared" si="19"/>
        <v>1</v>
      </c>
      <c r="AE21" s="2">
        <f t="shared" si="20"/>
        <v>0</v>
      </c>
      <c r="AF21" s="2">
        <f t="shared" si="21"/>
        <v>0</v>
      </c>
      <c r="AG21" s="2">
        <f t="shared" si="22"/>
        <v>0</v>
      </c>
      <c r="AH21" s="2">
        <f t="shared" si="23"/>
        <v>1</v>
      </c>
      <c r="AI21" s="2">
        <f t="shared" si="24"/>
        <v>0</v>
      </c>
      <c r="AJ21" s="2">
        <f t="shared" si="25"/>
        <v>1</v>
      </c>
      <c r="AK21" s="2">
        <f t="shared" si="26"/>
        <v>0</v>
      </c>
      <c r="AL21" s="2">
        <f t="shared" si="27"/>
        <v>1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2">
        <f t="shared" si="31"/>
        <v>0</v>
      </c>
      <c r="AQ21" s="2">
        <f t="shared" si="32"/>
        <v>1</v>
      </c>
      <c r="AR21" s="2">
        <f t="shared" si="33"/>
        <v>0</v>
      </c>
      <c r="AS21" s="2">
        <f t="shared" si="34"/>
        <v>0</v>
      </c>
      <c r="AT21" s="2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0</v>
      </c>
      <c r="AX21" s="15">
        <f t="shared" si="39"/>
        <v>0</v>
      </c>
      <c r="AY21">
        <f t="shared" si="40"/>
        <v>0</v>
      </c>
      <c r="AZ21">
        <f t="shared" si="41"/>
        <v>0</v>
      </c>
      <c r="BA21" s="15">
        <f t="shared" si="42"/>
        <v>0</v>
      </c>
      <c r="BB21" s="4">
        <f t="shared" si="43"/>
        <v>0</v>
      </c>
      <c r="BC21">
        <f t="shared" si="44"/>
        <v>0</v>
      </c>
      <c r="BD21" s="15">
        <f t="shared" si="45"/>
        <v>0</v>
      </c>
      <c r="BE21">
        <f t="shared" si="46"/>
        <v>0</v>
      </c>
      <c r="BF21">
        <f t="shared" si="47"/>
        <v>0</v>
      </c>
      <c r="BG21" s="15">
        <f t="shared" si="48"/>
        <v>0</v>
      </c>
    </row>
    <row r="22" spans="2:59" x14ac:dyDescent="0.15">
      <c r="F22">
        <f>40+590/60</f>
        <v>49.833333333333336</v>
      </c>
      <c r="G22">
        <f>40-90/60</f>
        <v>38.5</v>
      </c>
      <c r="H22">
        <f>F22-G22</f>
        <v>11.333333333333336</v>
      </c>
      <c r="AV22">
        <f t="shared" ref="AV22:AV24" si="101">AV12*3600</f>
        <v>241.50723448903761</v>
      </c>
      <c r="AZ22">
        <f t="shared" ref="AZ22:AZ24" si="102">AZ12*3600</f>
        <v>68.364412418152654</v>
      </c>
      <c r="BD22" s="15"/>
      <c r="BG22" s="15"/>
    </row>
    <row r="23" spans="2:59" x14ac:dyDescent="0.15">
      <c r="B23">
        <v>-141.30000000000001</v>
      </c>
      <c r="C23">
        <v>410</v>
      </c>
      <c r="D23">
        <f>INT(C23/10000)*3600+INT(MOD(C23,10000)/100)*60+MOD(C23,100)</f>
        <v>250</v>
      </c>
      <c r="E23">
        <v>322.00700000000001</v>
      </c>
      <c r="G23">
        <f>G21</f>
        <v>319.95505204073464</v>
      </c>
      <c r="H23">
        <f>B23-E23+360</f>
        <v>-103.30700000000002</v>
      </c>
      <c r="I23" s="2">
        <v>340122</v>
      </c>
      <c r="J23">
        <v>335710</v>
      </c>
      <c r="K23">
        <f>INT(J23/10000)*3600+INT(MOD(J23,10000)/100)*60+MOD(J23,100)-(INT(I23/10000)*3600+INT(MOD(I23,10000)/100)*60+MOD(I23,100))</f>
        <v>-252</v>
      </c>
      <c r="L23" s="2">
        <v>233112</v>
      </c>
      <c r="M23">
        <v>233051</v>
      </c>
      <c r="N23">
        <f>INT(M23/10000)*3600+INT(MOD(M23,10000)/100)*60+MOD(M23,100)-(INT(L23/10000)*3600+INT(MOD(L23,10000)/100)*60+MOD(L23,100))</f>
        <v>-21</v>
      </c>
      <c r="AV23">
        <f t="shared" si="101"/>
        <v>242.50404163650501</v>
      </c>
      <c r="AZ23">
        <f t="shared" si="102"/>
        <v>67.356124404290085</v>
      </c>
      <c r="BC23">
        <f>ATAN(SIN(RADIANS(B23-E23-G23))*TAN(RADIANS(D23/3600)))</f>
        <v>-1.0824358571378449E-3</v>
      </c>
      <c r="BD23" s="15">
        <f>DEGREES(BC23)*3600</f>
        <v>-223.26842234744726</v>
      </c>
      <c r="BE23">
        <f>K23-BD23</f>
        <v>-28.731577652552744</v>
      </c>
      <c r="BF23">
        <f>ATAN(COS(RADIANS(B23-E23-$BF$3))*TAN(RADIANS(D23/3600)))</f>
        <v>-6.1163280478687828E-4</v>
      </c>
      <c r="BG23" s="15">
        <f>DEGREES(BF23)*3600</f>
        <v>-126.15832197373358</v>
      </c>
    </row>
    <row r="24" spans="2:59" x14ac:dyDescent="0.15">
      <c r="B24">
        <v>-144.30000000000001</v>
      </c>
      <c r="C24">
        <v>410</v>
      </c>
      <c r="D24">
        <f>INT(C24/10000)*3600+INT(MOD(C24,10000)/100)*60+MOD(C24,100)</f>
        <v>250</v>
      </c>
      <c r="E24">
        <v>42.027999999999999</v>
      </c>
      <c r="G24">
        <f>G23</f>
        <v>319.95505204073464</v>
      </c>
      <c r="H24">
        <f>B24-E24+360</f>
        <v>173.672</v>
      </c>
      <c r="I24" s="2">
        <v>335823</v>
      </c>
      <c r="J24">
        <v>335734</v>
      </c>
      <c r="K24">
        <f>INT(J24/10000)*3600+INT(MOD(J24,10000)/100)*60+MOD(J24,100)-(INT(I24/10000)*3600+INT(MOD(I24,10000)/100)*60+MOD(I24,100))</f>
        <v>-49</v>
      </c>
      <c r="L24" s="2">
        <v>232609</v>
      </c>
      <c r="M24">
        <v>233105</v>
      </c>
      <c r="N24">
        <f>INT(M24/10000)*3600+INT(MOD(M24,10000)/100)*60+MOD(M24,100)-(INT(L24/10000)*3600+INT(MOD(L24,10000)/100)*60+MOD(L24,100))</f>
        <v>296</v>
      </c>
      <c r="AV24">
        <f t="shared" si="101"/>
        <v>1.5652048597246448</v>
      </c>
      <c r="AZ24">
        <f t="shared" si="102"/>
        <v>-2.7230839185975242</v>
      </c>
      <c r="BC24">
        <f>ATAN(SIN(RADIANS(B24-E24-G24))*TAN(RADIANS(D24/3600)))</f>
        <v>-6.7278889142574584E-4</v>
      </c>
      <c r="BD24" s="15">
        <f>DEGREES(BC24)*3600</f>
        <v>-138.77267033513021</v>
      </c>
      <c r="BE24">
        <f>K24-BD24</f>
        <v>89.772670335130215</v>
      </c>
      <c r="BF24">
        <f>ATAN(COS(RADIANS(B24-E24-$BF$3))*TAN(RADIANS(D24/3600)))</f>
        <v>-1.1129540939361646E-3</v>
      </c>
      <c r="BG24" s="15">
        <f>DEGREES(BF24)*3600</f>
        <v>-229.56326054765566</v>
      </c>
    </row>
    <row r="25" spans="2:59" x14ac:dyDescent="0.15">
      <c r="B25" t="s">
        <v>50</v>
      </c>
      <c r="C25" t="s">
        <v>7</v>
      </c>
      <c r="G25">
        <v>103.697736820288</v>
      </c>
    </row>
    <row r="26" spans="2:59" x14ac:dyDescent="0.15">
      <c r="B26">
        <v>165.7</v>
      </c>
      <c r="C26" s="4">
        <v>171.69800000000001</v>
      </c>
      <c r="D26">
        <v>163.5</v>
      </c>
      <c r="E26">
        <f>1320/60</f>
        <v>22</v>
      </c>
      <c r="G26" s="2">
        <v>219.98409014372001</v>
      </c>
      <c r="H26">
        <f t="shared" ref="H26:H28" si="103">D26+C26-B26</f>
        <v>169.49799999999999</v>
      </c>
      <c r="I26">
        <f>G26-H26</f>
        <v>50.48609014372002</v>
      </c>
      <c r="J26">
        <f>D26+C26-B26+50</f>
        <v>219.49799999999999</v>
      </c>
    </row>
    <row r="27" spans="2:59" x14ac:dyDescent="0.15">
      <c r="B27">
        <v>190.5</v>
      </c>
      <c r="C27">
        <v>259.23099999999999</v>
      </c>
      <c r="D27">
        <v>163.5</v>
      </c>
      <c r="E27">
        <f>8820/60</f>
        <v>147</v>
      </c>
      <c r="G27">
        <v>283.077423477053</v>
      </c>
      <c r="H27">
        <f t="shared" si="103"/>
        <v>232.23099999999999</v>
      </c>
      <c r="I27">
        <f>G27-H27</f>
        <v>50.846423477053008</v>
      </c>
      <c r="J27">
        <f>D27+C27-B27+50</f>
        <v>282.23099999999999</v>
      </c>
      <c r="L27">
        <f>RADIANS(B16-E16+G16)</f>
        <v>1.311074789087785</v>
      </c>
    </row>
    <row r="28" spans="2:59" x14ac:dyDescent="0.15">
      <c r="B28">
        <v>164</v>
      </c>
      <c r="C28">
        <v>338.64299999999997</v>
      </c>
      <c r="D28">
        <v>163.5</v>
      </c>
      <c r="E28" s="12">
        <f>-70/60</f>
        <v>-1.1666666666666667</v>
      </c>
      <c r="F28" s="12"/>
      <c r="G28">
        <v>27.665423477053402</v>
      </c>
      <c r="H28">
        <f t="shared" si="103"/>
        <v>338.14299999999997</v>
      </c>
      <c r="I28">
        <f>G28-H28+360</f>
        <v>49.522423477053451</v>
      </c>
      <c r="J28">
        <f>D28+C28-B28+50-360</f>
        <v>28.142999999999972</v>
      </c>
    </row>
    <row r="29" spans="2:59" x14ac:dyDescent="0.15">
      <c r="H29" t="s">
        <v>51</v>
      </c>
    </row>
    <row r="30" spans="2:59" x14ac:dyDescent="0.15">
      <c r="B30">
        <v>190.5</v>
      </c>
      <c r="C30">
        <v>259.24</v>
      </c>
      <c r="D30">
        <v>170.97509014372</v>
      </c>
      <c r="E30">
        <v>102.23509014372</v>
      </c>
      <c r="H30" s="26" t="s">
        <v>207</v>
      </c>
    </row>
    <row r="32" spans="2:59" x14ac:dyDescent="0.15">
      <c r="F32">
        <v>220</v>
      </c>
      <c r="G32">
        <v>230</v>
      </c>
    </row>
    <row r="33" spans="1:7" x14ac:dyDescent="0.15">
      <c r="F33">
        <f>F22+F32</f>
        <v>269.83333333333331</v>
      </c>
      <c r="G33">
        <f>G22+G32</f>
        <v>268.5</v>
      </c>
    </row>
    <row r="34" spans="1:7" x14ac:dyDescent="0.15">
      <c r="E34" t="s">
        <v>52</v>
      </c>
      <c r="F34">
        <f>360-F33</f>
        <v>90.166666666666686</v>
      </c>
      <c r="G34">
        <f>360-G33</f>
        <v>91.5</v>
      </c>
    </row>
    <row r="36" spans="1:7" x14ac:dyDescent="0.15">
      <c r="A36" t="s">
        <v>53</v>
      </c>
    </row>
    <row r="37" spans="1:7" x14ac:dyDescent="0.15">
      <c r="A37" t="s">
        <v>54</v>
      </c>
      <c r="B37" t="s">
        <v>55</v>
      </c>
      <c r="C37" t="s">
        <v>56</v>
      </c>
    </row>
    <row r="38" spans="1:7" x14ac:dyDescent="0.15">
      <c r="B38" t="s">
        <v>5</v>
      </c>
      <c r="C38" t="s">
        <v>57</v>
      </c>
    </row>
    <row r="39" spans="1:7" x14ac:dyDescent="0.15">
      <c r="B39" t="s">
        <v>7</v>
      </c>
      <c r="C39" s="26" t="s">
        <v>208</v>
      </c>
    </row>
    <row r="40" spans="1:7" x14ac:dyDescent="0.15">
      <c r="B40" t="s">
        <v>58</v>
      </c>
      <c r="C40" t="s">
        <v>59</v>
      </c>
    </row>
    <row r="41" spans="1:7" x14ac:dyDescent="0.15">
      <c r="B41" t="s">
        <v>60</v>
      </c>
      <c r="C41" t="s">
        <v>61</v>
      </c>
    </row>
    <row r="42" spans="1:7" x14ac:dyDescent="0.15">
      <c r="B42" t="s">
        <v>62</v>
      </c>
      <c r="C42" t="s">
        <v>63</v>
      </c>
    </row>
    <row r="44" spans="1:7" x14ac:dyDescent="0.15">
      <c r="A44" t="s">
        <v>64</v>
      </c>
      <c r="B44" t="s">
        <v>65</v>
      </c>
    </row>
    <row r="45" spans="1:7" x14ac:dyDescent="0.15">
      <c r="A45" t="s">
        <v>66</v>
      </c>
      <c r="B45" t="s">
        <v>67</v>
      </c>
    </row>
    <row r="46" spans="1:7" x14ac:dyDescent="0.15">
      <c r="A46" t="s">
        <v>68</v>
      </c>
      <c r="B46" t="s">
        <v>69</v>
      </c>
    </row>
    <row r="47" spans="1:7" x14ac:dyDescent="0.15">
      <c r="B47" t="s">
        <v>21</v>
      </c>
    </row>
    <row r="48" spans="1:7" x14ac:dyDescent="0.15">
      <c r="B48" t="s">
        <v>22</v>
      </c>
    </row>
    <row r="49" spans="1:3" x14ac:dyDescent="0.15">
      <c r="B49" t="s">
        <v>23</v>
      </c>
    </row>
    <row r="52" spans="1:3" x14ac:dyDescent="0.15">
      <c r="A52" t="s">
        <v>70</v>
      </c>
      <c r="B52" t="s">
        <v>4</v>
      </c>
      <c r="C52" t="s">
        <v>71</v>
      </c>
    </row>
    <row r="62" spans="1:3" x14ac:dyDescent="0.15">
      <c r="A62" t="s">
        <v>72</v>
      </c>
      <c r="B62" t="s">
        <v>73</v>
      </c>
    </row>
    <row r="63" spans="1:3" x14ac:dyDescent="0.15">
      <c r="B63" t="s">
        <v>74</v>
      </c>
    </row>
    <row r="64" spans="1:3" x14ac:dyDescent="0.15">
      <c r="B64" t="s">
        <v>75</v>
      </c>
    </row>
    <row r="65" spans="1:2" x14ac:dyDescent="0.15">
      <c r="B65" t="s">
        <v>76</v>
      </c>
    </row>
    <row r="68" spans="1:2" x14ac:dyDescent="0.15">
      <c r="A68" t="s">
        <v>77</v>
      </c>
      <c r="B68" t="s">
        <v>78</v>
      </c>
    </row>
    <row r="69" spans="1:2" x14ac:dyDescent="0.15">
      <c r="B69" t="s">
        <v>79</v>
      </c>
    </row>
    <row r="70" spans="1:2" x14ac:dyDescent="0.15">
      <c r="B70" t="s">
        <v>80</v>
      </c>
    </row>
    <row r="71" spans="1:2" x14ac:dyDescent="0.15">
      <c r="B71" t="s">
        <v>81</v>
      </c>
    </row>
    <row r="79" spans="1:2" x14ac:dyDescent="0.15">
      <c r="A79" t="s">
        <v>82</v>
      </c>
      <c r="B79" t="s">
        <v>83</v>
      </c>
    </row>
    <row r="80" spans="1:2" x14ac:dyDescent="0.15">
      <c r="B80" t="s">
        <v>84</v>
      </c>
    </row>
    <row r="81" spans="1:8" ht="15" x14ac:dyDescent="0.15">
      <c r="B81" t="s">
        <v>85</v>
      </c>
      <c r="H81" s="18"/>
    </row>
    <row r="91" spans="1:8" x14ac:dyDescent="0.15">
      <c r="A91" t="s">
        <v>66</v>
      </c>
      <c r="B91" t="s">
        <v>86</v>
      </c>
    </row>
    <row r="92" spans="1:8" x14ac:dyDescent="0.15">
      <c r="A92" t="s">
        <v>87</v>
      </c>
      <c r="B92" t="s">
        <v>88</v>
      </c>
    </row>
    <row r="93" spans="1:8" x14ac:dyDescent="0.15">
      <c r="B93" t="s">
        <v>89</v>
      </c>
    </row>
    <row r="94" spans="1:8" x14ac:dyDescent="0.15">
      <c r="B94" t="s">
        <v>90</v>
      </c>
    </row>
    <row r="95" spans="1:8" x14ac:dyDescent="0.15">
      <c r="B95" t="s">
        <v>91</v>
      </c>
    </row>
    <row r="103" spans="1:3" x14ac:dyDescent="0.15">
      <c r="A103" t="s">
        <v>92</v>
      </c>
      <c r="B103" t="s">
        <v>93</v>
      </c>
    </row>
    <row r="104" spans="1:3" x14ac:dyDescent="0.15">
      <c r="A104" t="s">
        <v>74</v>
      </c>
    </row>
    <row r="105" spans="1:3" x14ac:dyDescent="0.15">
      <c r="A105" t="s">
        <v>75</v>
      </c>
    </row>
    <row r="106" spans="1:3" x14ac:dyDescent="0.15">
      <c r="A106" t="s">
        <v>76</v>
      </c>
    </row>
    <row r="109" spans="1:3" x14ac:dyDescent="0.15">
      <c r="A109" t="s">
        <v>94</v>
      </c>
      <c r="B109" t="s">
        <v>95</v>
      </c>
    </row>
    <row r="110" spans="1:3" x14ac:dyDescent="0.15">
      <c r="A110" t="s">
        <v>96</v>
      </c>
      <c r="B110" t="s">
        <v>97</v>
      </c>
      <c r="C110" t="s">
        <v>98</v>
      </c>
    </row>
    <row r="111" spans="1:3" x14ac:dyDescent="0.15">
      <c r="B111" t="s">
        <v>99</v>
      </c>
      <c r="C111" t="s">
        <v>100</v>
      </c>
    </row>
    <row r="112" spans="1:3" x14ac:dyDescent="0.15">
      <c r="B112" t="s">
        <v>101</v>
      </c>
      <c r="C112" t="s">
        <v>102</v>
      </c>
    </row>
    <row r="114" spans="1:3" x14ac:dyDescent="0.15">
      <c r="A114" t="s">
        <v>103</v>
      </c>
      <c r="B114" t="s">
        <v>104</v>
      </c>
      <c r="C114" t="s">
        <v>105</v>
      </c>
    </row>
    <row r="115" spans="1:3" x14ac:dyDescent="0.15">
      <c r="B115" t="s">
        <v>106</v>
      </c>
      <c r="C115" t="s">
        <v>107</v>
      </c>
    </row>
    <row r="116" spans="1:3" x14ac:dyDescent="0.15">
      <c r="B116" t="s">
        <v>108</v>
      </c>
      <c r="C116">
        <v>0</v>
      </c>
    </row>
    <row r="118" spans="1:3" x14ac:dyDescent="0.15">
      <c r="A118" t="s">
        <v>109</v>
      </c>
    </row>
    <row r="119" spans="1:3" x14ac:dyDescent="0.15">
      <c r="B119" t="s">
        <v>110</v>
      </c>
    </row>
  </sheetData>
  <phoneticPr fontId="6" type="noConversion"/>
  <pageMargins left="0.75" right="0.75" top="1" bottom="1" header="0.51180555555555596" footer="0.51180555555555596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ltText="" r:id="rId5">
            <anchor moveWithCells="1">
              <from>
                <xdr:col>17</xdr:col>
                <xdr:colOff>133350</xdr:colOff>
                <xdr:row>43</xdr:row>
                <xdr:rowOff>57150</xdr:rowOff>
              </from>
              <to>
                <xdr:col>31</xdr:col>
                <xdr:colOff>266700</xdr:colOff>
                <xdr:row>59</xdr:row>
                <xdr:rowOff>19050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ltText="" r:id="rId7">
            <anchor moveWithCells="1">
              <from>
                <xdr:col>1</xdr:col>
                <xdr:colOff>628650</xdr:colOff>
                <xdr:row>46</xdr:row>
                <xdr:rowOff>85725</xdr:rowOff>
              </from>
              <to>
                <xdr:col>9</xdr:col>
                <xdr:colOff>228600</xdr:colOff>
                <xdr:row>50</xdr:row>
                <xdr:rowOff>95250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ltText="" r:id="rId9">
            <anchor moveWithCells="1">
              <from>
                <xdr:col>2</xdr:col>
                <xdr:colOff>38100</xdr:colOff>
                <xdr:row>62</xdr:row>
                <xdr:rowOff>38100</xdr:rowOff>
              </from>
              <to>
                <xdr:col>5</xdr:col>
                <xdr:colOff>333375</xdr:colOff>
                <xdr:row>66</xdr:row>
                <xdr:rowOff>19050</xdr:rowOff>
              </to>
            </anchor>
          </objectPr>
        </oleObject>
      </mc:Choice>
      <mc:Fallback>
        <oleObject progId="Equation.KSEE3" shapeId="1027" r:id="rId8"/>
      </mc:Fallback>
    </mc:AlternateContent>
    <mc:AlternateContent xmlns:mc="http://schemas.openxmlformats.org/markup-compatibility/2006">
      <mc:Choice Requires="x14">
        <oleObject progId="Equation.KSEE3" shapeId="1028" r:id="rId10">
          <objectPr defaultSize="0" autoPict="0" altText="" r:id="rId11">
            <anchor moveWithCells="1">
              <from>
                <xdr:col>1</xdr:col>
                <xdr:colOff>666750</xdr:colOff>
                <xdr:row>68</xdr:row>
                <xdr:rowOff>9525</xdr:rowOff>
              </from>
              <to>
                <xdr:col>8</xdr:col>
                <xdr:colOff>228600</xdr:colOff>
                <xdr:row>76</xdr:row>
                <xdr:rowOff>38100</xdr:rowOff>
              </to>
            </anchor>
          </objectPr>
        </oleObject>
      </mc:Choice>
      <mc:Fallback>
        <oleObject progId="Equation.KSEE3" shapeId="1028" r:id="rId10"/>
      </mc:Fallback>
    </mc:AlternateContent>
    <mc:AlternateContent xmlns:mc="http://schemas.openxmlformats.org/markup-compatibility/2006">
      <mc:Choice Requires="x14">
        <oleObject progId="Equation.KSEE3" shapeId="1029" r:id="rId12">
          <objectPr defaultSize="0" altText="" r:id="rId13">
            <anchor moveWithCells="1">
              <from>
                <xdr:col>2</xdr:col>
                <xdr:colOff>28575</xdr:colOff>
                <xdr:row>79</xdr:row>
                <xdr:rowOff>95250</xdr:rowOff>
              </from>
              <to>
                <xdr:col>5</xdr:col>
                <xdr:colOff>209550</xdr:colOff>
                <xdr:row>82</xdr:row>
                <xdr:rowOff>66675</xdr:rowOff>
              </to>
            </anchor>
          </objectPr>
        </oleObject>
      </mc:Choice>
      <mc:Fallback>
        <oleObject progId="Equation.KSEE3" shapeId="1029" r:id="rId12"/>
      </mc:Fallback>
    </mc:AlternateContent>
    <mc:AlternateContent xmlns:mc="http://schemas.openxmlformats.org/markup-compatibility/2006">
      <mc:Choice Requires="x14">
        <oleObject progId="Equation.KSEE3" shapeId="1030" r:id="rId14">
          <objectPr defaultSize="0" altText="" r:id="rId15">
            <anchor moveWithCells="1">
              <from>
                <xdr:col>1</xdr:col>
                <xdr:colOff>38100</xdr:colOff>
                <xdr:row>52</xdr:row>
                <xdr:rowOff>76200</xdr:rowOff>
              </from>
              <to>
                <xdr:col>21</xdr:col>
                <xdr:colOff>371475</xdr:colOff>
                <xdr:row>60</xdr:row>
                <xdr:rowOff>85725</xdr:rowOff>
              </to>
            </anchor>
          </objectPr>
        </oleObject>
      </mc:Choice>
      <mc:Fallback>
        <oleObject progId="Equation.KSEE3" shapeId="1030" r:id="rId14"/>
      </mc:Fallback>
    </mc:AlternateContent>
    <mc:AlternateContent xmlns:mc="http://schemas.openxmlformats.org/markup-compatibility/2006">
      <mc:Choice Requires="x14">
        <oleObject progId="Equation.KSEE3" shapeId="1031" r:id="rId16">
          <objectPr defaultSize="0" altText="" r:id="rId17">
            <anchor moveWithCells="1">
              <from>
                <xdr:col>2</xdr:col>
                <xdr:colOff>0</xdr:colOff>
                <xdr:row>92</xdr:row>
                <xdr:rowOff>0</xdr:rowOff>
              </from>
              <to>
                <xdr:col>7</xdr:col>
                <xdr:colOff>85725</xdr:colOff>
                <xdr:row>100</xdr:row>
                <xdr:rowOff>152400</xdr:rowOff>
              </to>
            </anchor>
          </objectPr>
        </oleObject>
      </mc:Choice>
      <mc:Fallback>
        <oleObject progId="Equation.KSEE3" shapeId="1031" r:id="rId16"/>
      </mc:Fallback>
    </mc:AlternateContent>
    <mc:AlternateContent xmlns:mc="http://schemas.openxmlformats.org/markup-compatibility/2006">
      <mc:Choice Requires="x14">
        <oleObject progId="Equation.KSEE3" shapeId="1032" r:id="rId18">
          <objectPr defaultSize="0" altText="" r:id="rId9">
            <anchor moveWithCells="1">
              <from>
                <xdr:col>1</xdr:col>
                <xdr:colOff>85725</xdr:colOff>
                <xdr:row>102</xdr:row>
                <xdr:rowOff>171450</xdr:rowOff>
              </from>
              <to>
                <xdr:col>4</xdr:col>
                <xdr:colOff>200025</xdr:colOff>
                <xdr:row>106</xdr:row>
                <xdr:rowOff>142875</xdr:rowOff>
              </to>
            </anchor>
          </objectPr>
        </oleObject>
      </mc:Choice>
      <mc:Fallback>
        <oleObject progId="Equation.KSEE3" shapeId="1032" r:id="rId18"/>
      </mc:Fallback>
    </mc:AlternateContent>
    <mc:AlternateContent xmlns:mc="http://schemas.openxmlformats.org/markup-compatibility/2006">
      <mc:Choice Requires="x14">
        <oleObject progId="Equation.KSEE3" shapeId="1033" r:id="rId19">
          <objectPr defaultSize="0" altText="" r:id="rId20">
            <anchor moveWithCells="1">
              <from>
                <xdr:col>2</xdr:col>
                <xdr:colOff>0</xdr:colOff>
                <xdr:row>118</xdr:row>
                <xdr:rowOff>0</xdr:rowOff>
              </from>
              <to>
                <xdr:col>7</xdr:col>
                <xdr:colOff>285750</xdr:colOff>
                <xdr:row>120</xdr:row>
                <xdr:rowOff>152400</xdr:rowOff>
              </to>
            </anchor>
          </objectPr>
        </oleObject>
      </mc:Choice>
      <mc:Fallback>
        <oleObject progId="Equation.KSEE3" shapeId="1033" r:id="rId1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tabSelected="1" zoomScale="115" zoomScaleNormal="115" workbookViewId="0">
      <selection activeCell="D3" sqref="D3"/>
    </sheetView>
  </sheetViews>
  <sheetFormatPr defaultColWidth="9" defaultRowHeight="13.5" x14ac:dyDescent="0.15"/>
  <cols>
    <col min="1" max="1" width="19.625" customWidth="1"/>
    <col min="2" max="2" width="12" customWidth="1"/>
    <col min="3" max="4" width="13.875"/>
    <col min="5" max="5" width="13.875" customWidth="1"/>
    <col min="6" max="7" width="13.75"/>
    <col min="8" max="9" width="12.75"/>
    <col min="10" max="10" width="12.625"/>
    <col min="11" max="11" width="13.75"/>
  </cols>
  <sheetData>
    <row r="1" spans="1:10" ht="14.25" x14ac:dyDescent="0.15">
      <c r="A1" t="s">
        <v>111</v>
      </c>
      <c r="B1" s="1">
        <v>-1</v>
      </c>
      <c r="C1" s="1">
        <v>3</v>
      </c>
      <c r="D1" s="1">
        <v>3</v>
      </c>
      <c r="E1" t="s">
        <v>112</v>
      </c>
      <c r="F1">
        <f>4/3*(B1*B1+B1*C1+C1*C1)+D1*D1/H1/H1</f>
        <v>16.77175558884927</v>
      </c>
      <c r="G1" t="s">
        <v>113</v>
      </c>
      <c r="H1">
        <v>1.0999699999999999</v>
      </c>
      <c r="I1" s="5" t="s">
        <v>114</v>
      </c>
      <c r="J1">
        <v>4.9029999999999996</v>
      </c>
    </row>
    <row r="2" spans="1:10" x14ac:dyDescent="0.15">
      <c r="A2" t="s">
        <v>115</v>
      </c>
      <c r="B2" s="4">
        <f>B1/SQRT(F1)</f>
        <v>-0.24418036442072061</v>
      </c>
      <c r="C2" s="4">
        <f>(B1+2*C1)/SQRT(3*F1)</f>
        <v>0.70488799564561988</v>
      </c>
      <c r="D2" s="4">
        <f>D1/H1/SQRT(F1)</f>
        <v>0.66596461109135874</v>
      </c>
      <c r="F2">
        <f>SQRT(F1)</f>
        <v>4.0953333916604731</v>
      </c>
      <c r="H2">
        <f>5.393/4.903</f>
        <v>1.0999388129716501</v>
      </c>
    </row>
    <row r="3" spans="1:10" x14ac:dyDescent="0.15">
      <c r="B3">
        <f>B2*$B$25+C2*$C$25+D2*$D$25</f>
        <v>0.99003476219963471</v>
      </c>
      <c r="C3">
        <f>ACOS(B3)</f>
        <v>0.1412928371742519</v>
      </c>
      <c r="D3">
        <f>DEGREES(C3)</f>
        <v>8.095483245513778</v>
      </c>
    </row>
    <row r="4" spans="1:10" ht="14.25" x14ac:dyDescent="0.15">
      <c r="A4" t="s">
        <v>116</v>
      </c>
      <c r="B4" s="1">
        <v>-1</v>
      </c>
      <c r="C4" s="1">
        <v>3</v>
      </c>
      <c r="D4" s="1">
        <v>1</v>
      </c>
      <c r="E4" t="s">
        <v>112</v>
      </c>
      <c r="F4">
        <f>4/3*(B4*B4+B4*C4+C4*C4)+D4*D4/H4/H4</f>
        <v>10.159824695057326</v>
      </c>
      <c r="G4" t="s">
        <v>113</v>
      </c>
      <c r="H4">
        <f>H1</f>
        <v>1.0999699999999999</v>
      </c>
    </row>
    <row r="5" spans="1:10" x14ac:dyDescent="0.15">
      <c r="A5" t="s">
        <v>115</v>
      </c>
      <c r="B5">
        <f>B4/SQRT(F4)</f>
        <v>-0.31373060920115137</v>
      </c>
      <c r="C5">
        <f>(B4+2*C4)/SQRT(3*F4)</f>
        <v>0.90566225837655012</v>
      </c>
      <c r="D5">
        <f>D4/H4/SQRT(F4)</f>
        <v>0.28521742338532091</v>
      </c>
      <c r="F5">
        <f>SQRT(F4)</f>
        <v>3.1874479909572369</v>
      </c>
      <c r="J5">
        <v>-0.24415720950452999</v>
      </c>
    </row>
    <row r="6" spans="1:10" x14ac:dyDescent="0.15">
      <c r="B6">
        <f>B5*$B$25+C5*$C$25+D5*$D$25</f>
        <v>0.95271001045902104</v>
      </c>
      <c r="C6">
        <f>ACOS(B6)</f>
        <v>0.30876361948060382</v>
      </c>
      <c r="D6">
        <f>DEGREES(C6)</f>
        <v>17.690852263421927</v>
      </c>
      <c r="J6">
        <v>0.70482115316014204</v>
      </c>
    </row>
    <row r="7" spans="1:10" x14ac:dyDescent="0.15">
      <c r="A7" t="s">
        <v>117</v>
      </c>
      <c r="B7" t="s">
        <v>118</v>
      </c>
      <c r="C7" t="s">
        <v>119</v>
      </c>
      <c r="E7" t="s">
        <v>120</v>
      </c>
      <c r="F7" t="s">
        <v>121</v>
      </c>
      <c r="J7">
        <v>0.66604384172888298</v>
      </c>
    </row>
    <row r="8" spans="1:10" x14ac:dyDescent="0.15">
      <c r="B8" s="2">
        <v>34</v>
      </c>
      <c r="C8" s="2">
        <v>22</v>
      </c>
      <c r="E8">
        <v>162</v>
      </c>
      <c r="F8">
        <v>47</v>
      </c>
    </row>
    <row r="9" spans="1:10" x14ac:dyDescent="0.15">
      <c r="B9" s="2">
        <v>2</v>
      </c>
      <c r="C9" s="2">
        <v>13</v>
      </c>
      <c r="E9">
        <v>7</v>
      </c>
    </row>
    <row r="10" spans="1:10" x14ac:dyDescent="0.15">
      <c r="B10" s="2">
        <v>26</v>
      </c>
      <c r="C10" s="2">
        <v>6</v>
      </c>
      <c r="H10" t="s">
        <v>122</v>
      </c>
    </row>
    <row r="11" spans="1:10" x14ac:dyDescent="0.15">
      <c r="A11" t="s">
        <v>123</v>
      </c>
      <c r="B11">
        <f>B8+B9/60+B10/3600</f>
        <v>34.040555555555557</v>
      </c>
      <c r="C11">
        <f>C8+C9/60+C10/3600</f>
        <v>22.21833333333333</v>
      </c>
      <c r="E11">
        <v>340031</v>
      </c>
      <c r="F11">
        <v>232729</v>
      </c>
      <c r="G11">
        <v>103.709381880961</v>
      </c>
      <c r="H11">
        <v>157.40599566189201</v>
      </c>
    </row>
    <row r="12" spans="1:10" x14ac:dyDescent="0.15">
      <c r="B12">
        <f>RADIANS(B11)</f>
        <v>0.59411977365249202</v>
      </c>
      <c r="C12">
        <f>RADIANS(C11)</f>
        <v>0.38778307097227338</v>
      </c>
      <c r="E12">
        <v>335735</v>
      </c>
      <c r="F12">
        <v>232633</v>
      </c>
      <c r="G12">
        <v>103.697736820288</v>
      </c>
      <c r="H12">
        <v>157.60240127871401</v>
      </c>
    </row>
    <row r="13" spans="1:10" x14ac:dyDescent="0.15">
      <c r="A13" t="s">
        <v>124</v>
      </c>
      <c r="B13">
        <f>SIN(B12)</f>
        <v>0.55977957932391353</v>
      </c>
      <c r="C13">
        <f>SIN(C12)</f>
        <v>0.37813702479019962</v>
      </c>
      <c r="E13">
        <v>335908</v>
      </c>
      <c r="F13">
        <v>232604</v>
      </c>
      <c r="G13">
        <v>103.654066619613</v>
      </c>
      <c r="H13">
        <v>157.573316420553</v>
      </c>
      <c r="I13">
        <f>H13-H11</f>
        <v>0.16732075866099194</v>
      </c>
    </row>
    <row r="14" spans="1:10" x14ac:dyDescent="0.15">
      <c r="A14" t="s">
        <v>125</v>
      </c>
      <c r="B14">
        <f>COS(B12)</f>
        <v>0.82864155252554306</v>
      </c>
      <c r="C14">
        <f>COS(C12)</f>
        <v>0.92574963704168745</v>
      </c>
      <c r="E14">
        <v>340052</v>
      </c>
      <c r="F14">
        <v>233228</v>
      </c>
      <c r="G14">
        <v>103.95872778243</v>
      </c>
      <c r="H14">
        <v>157.011708900798</v>
      </c>
      <c r="I14">
        <f>I13*60</f>
        <v>10.039245519659517</v>
      </c>
    </row>
    <row r="15" spans="1:10" x14ac:dyDescent="0.15">
      <c r="E15">
        <v>335631</v>
      </c>
      <c r="F15">
        <v>233356</v>
      </c>
      <c r="H15">
        <v>157.089393191368</v>
      </c>
    </row>
    <row r="16" spans="1:10" x14ac:dyDescent="0.15">
      <c r="A16" t="s">
        <v>126</v>
      </c>
      <c r="B16">
        <v>0</v>
      </c>
      <c r="C16">
        <v>0</v>
      </c>
      <c r="D16">
        <v>1</v>
      </c>
      <c r="E16">
        <v>340159</v>
      </c>
      <c r="F16">
        <v>221103</v>
      </c>
      <c r="H16">
        <v>163.47509014372</v>
      </c>
    </row>
    <row r="17" spans="1:8" x14ac:dyDescent="0.15">
      <c r="A17" t="s">
        <v>127</v>
      </c>
      <c r="B17">
        <f>B45*D45*(1-B14)+C45*B13</f>
        <v>0.21167338466385421</v>
      </c>
      <c r="C17">
        <f>C45*D45*(1-B14)-B45*B13</f>
        <v>-0.51821574238246149</v>
      </c>
      <c r="D17">
        <f>D45*D45*(1-B14)+B14</f>
        <v>0.82864155252554306</v>
      </c>
      <c r="E17">
        <v>340443</v>
      </c>
      <c r="F17">
        <v>220905</v>
      </c>
      <c r="H17">
        <v>163.54921215634701</v>
      </c>
    </row>
    <row r="18" spans="1:8" x14ac:dyDescent="0.15">
      <c r="A18" t="s">
        <v>128</v>
      </c>
      <c r="B18">
        <v>0</v>
      </c>
      <c r="C18">
        <v>0</v>
      </c>
      <c r="D18">
        <v>0</v>
      </c>
      <c r="E18">
        <v>340145</v>
      </c>
      <c r="F18">
        <v>221054</v>
      </c>
      <c r="H18">
        <v>163.495425841562</v>
      </c>
    </row>
    <row r="19" spans="1:8" x14ac:dyDescent="0.15">
      <c r="A19" t="s">
        <v>129</v>
      </c>
      <c r="B19" t="s">
        <v>130</v>
      </c>
      <c r="E19">
        <v>340441</v>
      </c>
      <c r="F19">
        <v>220902</v>
      </c>
      <c r="H19">
        <v>163.554542896237</v>
      </c>
    </row>
    <row r="20" spans="1:8" x14ac:dyDescent="0.15">
      <c r="B20" t="s">
        <v>131</v>
      </c>
      <c r="C20" t="s">
        <v>132</v>
      </c>
      <c r="D20" t="s">
        <v>133</v>
      </c>
      <c r="E20">
        <v>340629</v>
      </c>
      <c r="F20">
        <v>221426</v>
      </c>
      <c r="H20">
        <v>163.03855349502001</v>
      </c>
    </row>
    <row r="21" spans="1:8" x14ac:dyDescent="0.15">
      <c r="A21" t="s">
        <v>129</v>
      </c>
      <c r="B21">
        <f>C17</f>
        <v>-0.51821574238246149</v>
      </c>
      <c r="C21">
        <f>-B17</f>
        <v>-0.21167338466385421</v>
      </c>
      <c r="D21">
        <v>0</v>
      </c>
      <c r="E21">
        <v>340539</v>
      </c>
      <c r="F21">
        <v>221507</v>
      </c>
      <c r="H21">
        <v>163.00981093545801</v>
      </c>
    </row>
    <row r="23" spans="1:8" x14ac:dyDescent="0.15">
      <c r="E23" t="s">
        <v>66</v>
      </c>
      <c r="F23" t="s">
        <v>86</v>
      </c>
    </row>
    <row r="24" spans="1:8" x14ac:dyDescent="0.15">
      <c r="A24" t="s">
        <v>134</v>
      </c>
      <c r="B24" s="19" t="s">
        <v>135</v>
      </c>
      <c r="E24" t="s">
        <v>87</v>
      </c>
      <c r="F24" t="s">
        <v>88</v>
      </c>
    </row>
    <row r="25" spans="1:8" x14ac:dyDescent="0.15">
      <c r="B25" s="4">
        <f>-B14*C13</f>
        <v>-0.31334005128954079</v>
      </c>
      <c r="C25" s="4">
        <f>B14*C14</f>
        <v>0.76711461648818191</v>
      </c>
      <c r="D25" s="4">
        <f>B13</f>
        <v>0.55977957932391353</v>
      </c>
      <c r="F25" t="s">
        <v>89</v>
      </c>
    </row>
    <row r="26" spans="1:8" x14ac:dyDescent="0.15">
      <c r="A26" t="s">
        <v>136</v>
      </c>
      <c r="F26" t="s">
        <v>90</v>
      </c>
    </row>
    <row r="27" spans="1:8" x14ac:dyDescent="0.15">
      <c r="A27" t="s">
        <v>125</v>
      </c>
      <c r="B27">
        <f>B25*B21+C21*C25+D21*D25</f>
        <v>2.7755575615628914E-17</v>
      </c>
      <c r="F27" t="s">
        <v>91</v>
      </c>
    </row>
    <row r="29" spans="1:8" x14ac:dyDescent="0.15">
      <c r="A29" t="s">
        <v>137</v>
      </c>
      <c r="B29" t="s">
        <v>138</v>
      </c>
      <c r="E29" t="s">
        <v>139</v>
      </c>
    </row>
    <row r="30" spans="1:8" x14ac:dyDescent="0.15">
      <c r="E30" t="s">
        <v>140</v>
      </c>
    </row>
    <row r="31" spans="1:8" x14ac:dyDescent="0.15">
      <c r="E31" t="s">
        <v>141</v>
      </c>
    </row>
    <row r="32" spans="1:8" x14ac:dyDescent="0.15">
      <c r="A32" t="s">
        <v>142</v>
      </c>
    </row>
    <row r="33" spans="1:9" x14ac:dyDescent="0.15">
      <c r="A33" t="s">
        <v>205</v>
      </c>
      <c r="B33" s="21" t="s">
        <v>206</v>
      </c>
      <c r="C33" t="s">
        <v>100</v>
      </c>
      <c r="D33" t="s">
        <v>102</v>
      </c>
    </row>
    <row r="34" spans="1:9" x14ac:dyDescent="0.15">
      <c r="A34" t="s">
        <v>143</v>
      </c>
      <c r="B34" s="4">
        <f>C2*D25-C25*D2</f>
        <v>-0.11628928155906715</v>
      </c>
      <c r="C34" s="4">
        <f>D2*B25-B2*D25</f>
        <v>-7.1986203721794567E-2</v>
      </c>
      <c r="D34" s="4">
        <f>B2*C25-C2*B25</f>
        <v>3.3555314102434536E-2</v>
      </c>
      <c r="E34">
        <f t="shared" ref="E34:E40" si="0">SQRT(B34*B34+C34*C34+D34*D34)</f>
        <v>0.14082318571994012</v>
      </c>
    </row>
    <row r="35" spans="1:9" x14ac:dyDescent="0.15">
      <c r="A35" t="s">
        <v>115</v>
      </c>
      <c r="B35">
        <f>B34/E34</f>
        <v>-0.82578221025574305</v>
      </c>
      <c r="C35">
        <f>C34/E34</f>
        <v>-0.51118147451198825</v>
      </c>
      <c r="D35">
        <f>D34/E34</f>
        <v>0.23827975436635224</v>
      </c>
      <c r="E35">
        <f t="shared" si="0"/>
        <v>1</v>
      </c>
    </row>
    <row r="36" spans="1:9" x14ac:dyDescent="0.15">
      <c r="A36" t="s">
        <v>209</v>
      </c>
      <c r="B36">
        <f>B2*B25+C2*C25+D2*D25</f>
        <v>0.99003476219963471</v>
      </c>
      <c r="C36">
        <f>SQRT(B2*B2+C2*C2+D2*D2)</f>
        <v>1</v>
      </c>
      <c r="D36">
        <f>SQRT(B25*B25+C25*C25+D25*D25)</f>
        <v>1</v>
      </c>
      <c r="E36">
        <f>B36/C36/D36</f>
        <v>0.99003476219963471</v>
      </c>
      <c r="F36">
        <f>ACOS(E36)</f>
        <v>0.1412928371742519</v>
      </c>
      <c r="G36" t="s">
        <v>92</v>
      </c>
      <c r="H36" t="s">
        <v>93</v>
      </c>
    </row>
    <row r="37" spans="1:9" x14ac:dyDescent="0.15">
      <c r="A37" t="s">
        <v>144</v>
      </c>
      <c r="G37" t="s">
        <v>74</v>
      </c>
    </row>
    <row r="38" spans="1:9" x14ac:dyDescent="0.15">
      <c r="A38" t="s">
        <v>145</v>
      </c>
      <c r="B38" t="s">
        <v>98</v>
      </c>
      <c r="C38" t="s">
        <v>100</v>
      </c>
      <c r="D38" t="s">
        <v>102</v>
      </c>
      <c r="G38" t="s">
        <v>75</v>
      </c>
    </row>
    <row r="39" spans="1:9" x14ac:dyDescent="0.15">
      <c r="A39" t="s">
        <v>143</v>
      </c>
      <c r="B39">
        <f>C5*D25-D5*C25</f>
        <v>0.2881767836475928</v>
      </c>
      <c r="C39">
        <f>D5*B25-B5*D25</f>
        <v>8.6249946367428498E-2</v>
      </c>
      <c r="D39">
        <f>B5*C25-C5*B25</f>
        <v>4.3112922532764636E-2</v>
      </c>
      <c r="E39">
        <f t="shared" si="0"/>
        <v>0.30388095690775352</v>
      </c>
      <c r="G39" t="s">
        <v>76</v>
      </c>
    </row>
    <row r="40" spans="1:9" x14ac:dyDescent="0.15">
      <c r="A40" t="s">
        <v>115</v>
      </c>
      <c r="B40">
        <f>B39/E39</f>
        <v>0.94832129851121971</v>
      </c>
      <c r="C40">
        <f>C39/E39</f>
        <v>0.28382807282527622</v>
      </c>
      <c r="D40">
        <f>D39/E39</f>
        <v>0.14187438058467103</v>
      </c>
      <c r="E40">
        <f t="shared" si="0"/>
        <v>1</v>
      </c>
      <c r="G40" t="s">
        <v>94</v>
      </c>
      <c r="H40" t="s">
        <v>95</v>
      </c>
    </row>
    <row r="41" spans="1:9" x14ac:dyDescent="0.15">
      <c r="A41" s="26" t="s">
        <v>210</v>
      </c>
      <c r="B41">
        <f>B5*B25+C5*C25+D5*D25</f>
        <v>0.95271001045902104</v>
      </c>
      <c r="C41">
        <v>1</v>
      </c>
      <c r="D41">
        <v>1</v>
      </c>
      <c r="E41">
        <f>B41/C41/D41</f>
        <v>0.95271001045902104</v>
      </c>
      <c r="F41">
        <f>ACOS(E41)</f>
        <v>0.30876361948060382</v>
      </c>
      <c r="G41" t="s">
        <v>96</v>
      </c>
      <c r="H41" t="s">
        <v>97</v>
      </c>
      <c r="I41" t="s">
        <v>98</v>
      </c>
    </row>
    <row r="42" spans="1:9" x14ac:dyDescent="0.15">
      <c r="A42" t="s">
        <v>146</v>
      </c>
      <c r="H42" t="s">
        <v>99</v>
      </c>
      <c r="I42" t="s">
        <v>100</v>
      </c>
    </row>
    <row r="43" spans="1:9" x14ac:dyDescent="0.15">
      <c r="A43" t="s">
        <v>125</v>
      </c>
      <c r="B43">
        <f>B35*B40+C35*C40+D35*D40</f>
        <v>-0.89438871813531817</v>
      </c>
      <c r="C43">
        <f>ACOS(B43)</f>
        <v>2.6778590240478843</v>
      </c>
      <c r="D43">
        <f>DEGREES(C43)</f>
        <v>153.4300202089654</v>
      </c>
      <c r="H43" t="s">
        <v>101</v>
      </c>
      <c r="I43" t="s">
        <v>102</v>
      </c>
    </row>
    <row r="45" spans="1:9" x14ac:dyDescent="0.15">
      <c r="A45" t="s">
        <v>103</v>
      </c>
      <c r="B45" s="4">
        <f>C14</f>
        <v>0.92574963704168745</v>
      </c>
      <c r="C45" s="4">
        <f>C13</f>
        <v>0.37813702479019962</v>
      </c>
      <c r="D45" s="4">
        <v>0</v>
      </c>
      <c r="E45">
        <f>SQRT(B45*B45+C45*C45+D45*D45)</f>
        <v>1</v>
      </c>
      <c r="G45" t="s">
        <v>103</v>
      </c>
      <c r="H45" t="s">
        <v>104</v>
      </c>
      <c r="I45" t="s">
        <v>105</v>
      </c>
    </row>
    <row r="46" spans="1:9" x14ac:dyDescent="0.15">
      <c r="B46" t="s">
        <v>147</v>
      </c>
      <c r="C46" t="s">
        <v>28</v>
      </c>
      <c r="H46" t="s">
        <v>106</v>
      </c>
      <c r="I46" t="s">
        <v>107</v>
      </c>
    </row>
    <row r="47" spans="1:9" x14ac:dyDescent="0.15">
      <c r="A47" t="s">
        <v>148</v>
      </c>
      <c r="B47">
        <f>(B34*B45+C34*C45+D34*D45)/E34/E45</f>
        <v>-0.95776422331956712</v>
      </c>
      <c r="C47">
        <f>ACOS(B47)</f>
        <v>2.8499199550428385</v>
      </c>
      <c r="D47" s="20">
        <f>DEGREES(C47)</f>
        <v>163.28838537406796</v>
      </c>
      <c r="H47" t="s">
        <v>108</v>
      </c>
      <c r="I47">
        <v>0</v>
      </c>
    </row>
    <row r="49" spans="1:9" x14ac:dyDescent="0.15">
      <c r="A49" t="s">
        <v>149</v>
      </c>
      <c r="B49">
        <f>B40*B45+C40*C45+D40*D45</f>
        <v>0.98523400090574942</v>
      </c>
      <c r="C49">
        <f>ACOS(B49)</f>
        <v>0.17206093099495234</v>
      </c>
      <c r="D49">
        <f>DEGREES(C49)</f>
        <v>9.8583651651024624</v>
      </c>
      <c r="E49">
        <f>D49+90</f>
        <v>99.85836516510247</v>
      </c>
      <c r="G49" t="s">
        <v>109</v>
      </c>
    </row>
    <row r="50" spans="1:9" x14ac:dyDescent="0.15">
      <c r="H50" t="s">
        <v>110</v>
      </c>
    </row>
    <row r="51" spans="1:9" x14ac:dyDescent="0.15">
      <c r="A51" t="s">
        <v>150</v>
      </c>
      <c r="B51">
        <f>RADIANS(C51)</f>
        <v>3.5391398720996126E-4</v>
      </c>
      <c r="C51">
        <f>D51/60+E51/3600</f>
        <v>2.0277777777777777E-2</v>
      </c>
      <c r="D51" s="2">
        <v>1</v>
      </c>
      <c r="E51" s="2">
        <v>13</v>
      </c>
    </row>
    <row r="52" spans="1:9" x14ac:dyDescent="0.15">
      <c r="A52" t="s">
        <v>151</v>
      </c>
      <c r="B52" s="3">
        <f>C52-90</f>
        <v>-238.9</v>
      </c>
      <c r="C52" s="2">
        <v>-148.9</v>
      </c>
    </row>
    <row r="53" spans="1:9" x14ac:dyDescent="0.15">
      <c r="A53" t="s">
        <v>152</v>
      </c>
      <c r="B53" s="2">
        <v>95.936000000000007</v>
      </c>
    </row>
    <row r="54" spans="1:9" x14ac:dyDescent="0.15">
      <c r="A54" t="s">
        <v>153</v>
      </c>
      <c r="B54">
        <f>B53-D47+C54</f>
        <v>292.64761462593208</v>
      </c>
      <c r="C54">
        <v>360</v>
      </c>
    </row>
    <row r="55" spans="1:9" x14ac:dyDescent="0.15">
      <c r="A55" t="s">
        <v>154</v>
      </c>
      <c r="B55">
        <f>B52-B54</f>
        <v>-531.54761462593206</v>
      </c>
      <c r="C55">
        <f>RADIANS(B55)</f>
        <v>-9.2772560063444818</v>
      </c>
    </row>
    <row r="56" spans="1:9" x14ac:dyDescent="0.15">
      <c r="A56" t="s">
        <v>155</v>
      </c>
      <c r="B56">
        <f>TAN(B51)*COS(C55)</f>
        <v>-3.5006991415517685E-4</v>
      </c>
      <c r="C56">
        <f>ATAN(B56)</f>
        <v>-3.5006989985494506E-4</v>
      </c>
      <c r="D56">
        <f>DEGREES(C56)</f>
        <v>-2.0057527796255741E-2</v>
      </c>
      <c r="E56">
        <f>D56*60</f>
        <v>-1.2034516677753444</v>
      </c>
    </row>
    <row r="57" spans="1:9" x14ac:dyDescent="0.15">
      <c r="A57" t="s">
        <v>156</v>
      </c>
      <c r="B57">
        <f>TAN(B51)*SIN(C55)</f>
        <v>-5.2020918921804182E-5</v>
      </c>
      <c r="C57">
        <f>ATAN(B57)</f>
        <v>-5.2020918874878259E-5</v>
      </c>
      <c r="D57">
        <f>DEGREES(C57)</f>
        <v>-2.9805790979229672E-3</v>
      </c>
      <c r="E57">
        <f>D57*60</f>
        <v>-0.17883474587537804</v>
      </c>
    </row>
    <row r="58" spans="1:9" x14ac:dyDescent="0.15">
      <c r="C58" t="s">
        <v>118</v>
      </c>
      <c r="D58">
        <f>B11-D56</f>
        <v>34.060613083351811</v>
      </c>
      <c r="E58" s="4">
        <f>INT(D58)</f>
        <v>34</v>
      </c>
      <c r="F58" s="4">
        <f>D58*60-INT(D58)*60</f>
        <v>3.636785001108592</v>
      </c>
      <c r="G58" s="4">
        <f>F58*60-INT(F58)*60</f>
        <v>38.207100066515522</v>
      </c>
    </row>
    <row r="59" spans="1:9" x14ac:dyDescent="0.15">
      <c r="C59" t="s">
        <v>119</v>
      </c>
      <c r="D59">
        <f>C11-D57</f>
        <v>22.221313912431253</v>
      </c>
      <c r="E59" s="4">
        <f>INT(D59)</f>
        <v>22</v>
      </c>
      <c r="F59" s="4">
        <f>D59*60-INT(D59)*60</f>
        <v>13.278834745875201</v>
      </c>
      <c r="G59" s="4">
        <f>F59*60-INT(F59)*60</f>
        <v>16.730084752512084</v>
      </c>
    </row>
    <row r="61" spans="1:9" x14ac:dyDescent="0.15">
      <c r="C61">
        <v>335740</v>
      </c>
      <c r="D61">
        <v>233044</v>
      </c>
    </row>
    <row r="62" spans="1:9" x14ac:dyDescent="0.15">
      <c r="A62" t="s">
        <v>157</v>
      </c>
      <c r="D62" s="27" t="s">
        <v>158</v>
      </c>
      <c r="E62" s="27"/>
      <c r="F62" s="27" t="s">
        <v>159</v>
      </c>
      <c r="G62" s="27"/>
      <c r="H62" s="27" t="s">
        <v>160</v>
      </c>
      <c r="I62" s="27"/>
    </row>
    <row r="63" spans="1:9" x14ac:dyDescent="0.15">
      <c r="A63">
        <v>38.700000000000003</v>
      </c>
      <c r="B63">
        <v>318</v>
      </c>
      <c r="D63">
        <v>335740</v>
      </c>
      <c r="E63">
        <v>233020</v>
      </c>
      <c r="F63">
        <v>335422</v>
      </c>
      <c r="G63">
        <v>233004</v>
      </c>
    </row>
    <row r="64" spans="1:9" x14ac:dyDescent="0.15">
      <c r="A64">
        <v>82.3</v>
      </c>
      <c r="B64">
        <v>253</v>
      </c>
      <c r="D64">
        <v>335741</v>
      </c>
      <c r="E64">
        <v>233024</v>
      </c>
      <c r="F64">
        <v>335546</v>
      </c>
      <c r="G64">
        <v>232816</v>
      </c>
      <c r="H64">
        <v>335742</v>
      </c>
      <c r="I64">
        <v>233050</v>
      </c>
    </row>
    <row r="65" spans="1:11" x14ac:dyDescent="0.15">
      <c r="A65">
        <v>122.8</v>
      </c>
      <c r="B65">
        <v>206</v>
      </c>
      <c r="D65">
        <v>335730</v>
      </c>
      <c r="E65">
        <v>233028</v>
      </c>
      <c r="F65">
        <v>335728</v>
      </c>
      <c r="G65">
        <v>232823</v>
      </c>
      <c r="H65">
        <v>335734</v>
      </c>
      <c r="I65">
        <v>233055</v>
      </c>
    </row>
    <row r="66" spans="1:11" x14ac:dyDescent="0.15">
      <c r="A66">
        <v>-217.4</v>
      </c>
      <c r="B66">
        <v>353</v>
      </c>
      <c r="D66">
        <v>335732</v>
      </c>
      <c r="E66">
        <v>233049</v>
      </c>
      <c r="F66">
        <v>335842</v>
      </c>
      <c r="G66">
        <v>232707</v>
      </c>
      <c r="H66">
        <v>335731</v>
      </c>
      <c r="I66">
        <v>233136</v>
      </c>
    </row>
    <row r="69" spans="1:11" x14ac:dyDescent="0.15">
      <c r="C69">
        <v>335725</v>
      </c>
      <c r="D69">
        <v>233048</v>
      </c>
    </row>
    <row r="70" spans="1:11" x14ac:dyDescent="0.15">
      <c r="A70" t="s">
        <v>157</v>
      </c>
      <c r="C70" t="s">
        <v>7</v>
      </c>
      <c r="D70" s="27" t="s">
        <v>158</v>
      </c>
      <c r="E70" s="27"/>
      <c r="F70" s="27" t="s">
        <v>159</v>
      </c>
      <c r="G70" s="27"/>
      <c r="H70" s="27" t="s">
        <v>160</v>
      </c>
      <c r="I70" s="27"/>
    </row>
    <row r="71" spans="1:11" x14ac:dyDescent="0.15">
      <c r="A71">
        <v>-141.30000000000001</v>
      </c>
      <c r="B71">
        <v>410</v>
      </c>
      <c r="C71">
        <v>322.00700000000001</v>
      </c>
      <c r="D71">
        <v>335712</v>
      </c>
      <c r="E71">
        <v>233056</v>
      </c>
      <c r="F71" s="2">
        <v>340122</v>
      </c>
      <c r="G71" s="2">
        <v>233112</v>
      </c>
      <c r="H71">
        <v>335710</v>
      </c>
      <c r="I71">
        <v>233051</v>
      </c>
    </row>
    <row r="72" spans="1:11" x14ac:dyDescent="0.15">
      <c r="A72">
        <v>-144.30000000000001</v>
      </c>
      <c r="B72">
        <v>410</v>
      </c>
      <c r="C72">
        <v>42.027999999999999</v>
      </c>
      <c r="D72">
        <v>335734</v>
      </c>
      <c r="E72">
        <v>233014</v>
      </c>
      <c r="F72" s="2">
        <v>335823</v>
      </c>
      <c r="G72" s="2">
        <v>232609</v>
      </c>
      <c r="H72">
        <v>335734</v>
      </c>
      <c r="I72">
        <v>233105</v>
      </c>
      <c r="J72">
        <v>-49</v>
      </c>
      <c r="K72">
        <v>456</v>
      </c>
    </row>
    <row r="88" spans="1:10" ht="12" customHeight="1" x14ac:dyDescent="0.15"/>
    <row r="91" spans="1:10" x14ac:dyDescent="0.15">
      <c r="A91" t="s">
        <v>117</v>
      </c>
      <c r="B91">
        <f>RADIANS(B8+B9/60+B10/3600)</f>
        <v>0.59411977365249202</v>
      </c>
      <c r="C91">
        <f>RADIANS(C8+C9/60+C10/3600)</f>
        <v>0.38778307097227338</v>
      </c>
      <c r="E91">
        <f>RADIANS(E8+E9/60)</f>
        <v>2.8294696056914739</v>
      </c>
      <c r="F91">
        <f>RADIANS(F8+F9/60)</f>
        <v>0.82030474843733492</v>
      </c>
      <c r="I91">
        <v>335702</v>
      </c>
      <c r="J91">
        <v>241251</v>
      </c>
    </row>
    <row r="92" spans="1:10" x14ac:dyDescent="0.15">
      <c r="A92" t="s">
        <v>115</v>
      </c>
      <c r="B92">
        <f>-COS(B91)*SIN(C91)</f>
        <v>-0.31334005128954079</v>
      </c>
      <c r="C92">
        <f>COS(B91)*COS(C91)</f>
        <v>0.76711461648818191</v>
      </c>
      <c r="D92">
        <f>SIN(B91)</f>
        <v>0.55977957932391353</v>
      </c>
    </row>
    <row r="93" spans="1:10" x14ac:dyDescent="0.15">
      <c r="B93">
        <f>SIN(B91)</f>
        <v>0.55977957932391353</v>
      </c>
    </row>
    <row r="94" spans="1:10" ht="14.25" x14ac:dyDescent="0.15">
      <c r="E94" s="6">
        <v>31.319199999999999</v>
      </c>
      <c r="F94" s="6">
        <v>56.488199999999999</v>
      </c>
      <c r="G94" s="6">
        <v>153.5334</v>
      </c>
      <c r="H94" s="6">
        <v>46.771299999999997</v>
      </c>
      <c r="I94" s="6">
        <v>340305</v>
      </c>
      <c r="J94" s="8">
        <v>221211</v>
      </c>
    </row>
    <row r="95" spans="1:10" x14ac:dyDescent="0.15">
      <c r="A95" t="s">
        <v>161</v>
      </c>
    </row>
    <row r="96" spans="1:10" x14ac:dyDescent="0.15">
      <c r="B96">
        <f>B2*B92+C2*C92+D2*D92</f>
        <v>0.99003476219963471</v>
      </c>
      <c r="C96">
        <f t="shared" ref="C96:C100" si="1">ACOS(B96)</f>
        <v>0.1412928371742519</v>
      </c>
      <c r="D96">
        <f t="shared" ref="D96:D100" si="2">DEGREES(C96)</f>
        <v>8.095483245513778</v>
      </c>
      <c r="J96">
        <v>0.314113886798427</v>
      </c>
    </row>
    <row r="97" spans="1:10" x14ac:dyDescent="0.15">
      <c r="A97" t="s">
        <v>162</v>
      </c>
      <c r="J97">
        <v>0.15289349632947799</v>
      </c>
    </row>
    <row r="98" spans="1:10" x14ac:dyDescent="0.15">
      <c r="B98">
        <f>B5*B92+C5*C92+D5*D92</f>
        <v>0.95271001045902104</v>
      </c>
      <c r="C98">
        <f t="shared" si="1"/>
        <v>0.30876361948060382</v>
      </c>
      <c r="D98">
        <f t="shared" si="2"/>
        <v>17.690852263421927</v>
      </c>
    </row>
    <row r="99" spans="1:10" x14ac:dyDescent="0.15">
      <c r="A99" s="5" t="s">
        <v>163</v>
      </c>
      <c r="F99" s="5" t="s">
        <v>164</v>
      </c>
    </row>
    <row r="100" spans="1:10" x14ac:dyDescent="0.15">
      <c r="B100">
        <f>B2*B5+C2*C5+D2*D5</f>
        <v>0.90494201896488846</v>
      </c>
      <c r="C100">
        <f t="shared" si="1"/>
        <v>0.43955287968287271</v>
      </c>
      <c r="D100">
        <f t="shared" si="2"/>
        <v>25.184524878650276</v>
      </c>
      <c r="F100">
        <f>(B100-B96*B98)/SIN(C96)/SIN(C98)</f>
        <v>-0.89438871813531751</v>
      </c>
      <c r="G100">
        <f>ACOS(F100)</f>
        <v>2.6778590240478835</v>
      </c>
    </row>
    <row r="102" spans="1:10" x14ac:dyDescent="0.15">
      <c r="A102" t="s">
        <v>165</v>
      </c>
    </row>
    <row r="103" spans="1:10" x14ac:dyDescent="0.15">
      <c r="A103" t="s">
        <v>143</v>
      </c>
      <c r="B103">
        <f>C2*D92-C92*D2</f>
        <v>-0.11628928155906715</v>
      </c>
      <c r="C103">
        <f>D2*B92-D92*B2</f>
        <v>-7.1986203721794567E-2</v>
      </c>
      <c r="D103">
        <f>B2*C92-C2*B92</f>
        <v>3.3555314102434536E-2</v>
      </c>
      <c r="F103">
        <f>SQRT(SUMSQ(B103:D103))</f>
        <v>0.14082318571994012</v>
      </c>
    </row>
    <row r="104" spans="1:10" x14ac:dyDescent="0.15">
      <c r="A104" t="s">
        <v>115</v>
      </c>
      <c r="B104">
        <f>B103/F103</f>
        <v>-0.82578221025574305</v>
      </c>
      <c r="C104">
        <f>C103/F103</f>
        <v>-0.51118147451198825</v>
      </c>
      <c r="D104">
        <f>D103/F103</f>
        <v>0.23827975436635224</v>
      </c>
      <c r="F104">
        <f>SUMSQ(B104:D104)</f>
        <v>0.99999999999999989</v>
      </c>
    </row>
    <row r="105" spans="1:10" x14ac:dyDescent="0.15">
      <c r="A105" t="s">
        <v>166</v>
      </c>
    </row>
    <row r="106" spans="1:10" x14ac:dyDescent="0.15">
      <c r="A106" t="s">
        <v>143</v>
      </c>
      <c r="B106">
        <f>C5*D92-D5*C92</f>
        <v>0.2881767836475928</v>
      </c>
      <c r="C106">
        <f>D5*B92-B5*D92</f>
        <v>8.6249946367428498E-2</v>
      </c>
      <c r="D106">
        <f>B5*C92-C5*B92</f>
        <v>4.3112922532764636E-2</v>
      </c>
      <c r="F106">
        <f>SQRT(SUMSQ(B106:D106))</f>
        <v>0.30388095690775352</v>
      </c>
    </row>
    <row r="107" spans="1:10" x14ac:dyDescent="0.15">
      <c r="A107" t="s">
        <v>115</v>
      </c>
      <c r="B107">
        <f>B106/F106</f>
        <v>0.94832129851121971</v>
      </c>
      <c r="C107">
        <f>C106/F106</f>
        <v>0.28382807282527622</v>
      </c>
      <c r="D107">
        <f>D106/F106</f>
        <v>0.14187438058467103</v>
      </c>
      <c r="F107">
        <f>SUMSQ(B107:D107)</f>
        <v>1.0000000000000002</v>
      </c>
    </row>
    <row r="109" spans="1:10" x14ac:dyDescent="0.15">
      <c r="A109" t="s">
        <v>167</v>
      </c>
    </row>
    <row r="110" spans="1:10" x14ac:dyDescent="0.15">
      <c r="A110" t="s">
        <v>168</v>
      </c>
      <c r="B110">
        <f>B104*B107+C104*C107+D104*D107</f>
        <v>-0.89438871813531817</v>
      </c>
      <c r="C110">
        <f>ACOS(B110)</f>
        <v>2.6778590240478843</v>
      </c>
      <c r="D110">
        <f>DEGREES(C110)</f>
        <v>153.4300202089654</v>
      </c>
      <c r="E110">
        <f>DEGREES(B125-C110)*60</f>
        <v>-900.97921253792276</v>
      </c>
      <c r="H110">
        <v>138.1541</v>
      </c>
    </row>
    <row r="112" spans="1:10" x14ac:dyDescent="0.15">
      <c r="A112" t="s">
        <v>169</v>
      </c>
      <c r="B112">
        <f>COS(C91)</f>
        <v>0.92574963704168745</v>
      </c>
      <c r="C112">
        <f>SIN(C91)</f>
        <v>0.37813702479019962</v>
      </c>
      <c r="D112">
        <v>0</v>
      </c>
    </row>
    <row r="114" spans="1:10" ht="14.25" x14ac:dyDescent="0.15">
      <c r="A114" t="s">
        <v>170</v>
      </c>
      <c r="E114" s="1">
        <v>801136.45</v>
      </c>
    </row>
    <row r="115" spans="1:10" ht="14.25" x14ac:dyDescent="0.15">
      <c r="A115" t="s">
        <v>168</v>
      </c>
      <c r="B115">
        <f>B104*B112+C104*C112+D104*D112</f>
        <v>-0.95776422331956712</v>
      </c>
      <c r="C115">
        <f>ACOS(B115)</f>
        <v>2.8499199550428385</v>
      </c>
      <c r="D115">
        <f>DEGREES(C115)</f>
        <v>163.28838537406796</v>
      </c>
      <c r="E115">
        <v>270</v>
      </c>
      <c r="F115">
        <f>(E115-80)*60</f>
        <v>11400</v>
      </c>
      <c r="G115" s="1">
        <v>0</v>
      </c>
      <c r="H115" s="1">
        <v>0</v>
      </c>
    </row>
    <row r="117" spans="1:10" ht="14.25" x14ac:dyDescent="0.15">
      <c r="A117" t="s">
        <v>171</v>
      </c>
      <c r="E117" s="1">
        <v>2863834.5</v>
      </c>
    </row>
    <row r="118" spans="1:10" x14ac:dyDescent="0.15">
      <c r="A118" t="s">
        <v>168</v>
      </c>
      <c r="B118">
        <f>B112*B107+C112*C107+D112*D107</f>
        <v>0.98523400090574942</v>
      </c>
      <c r="C118">
        <f>ACOS(B118)</f>
        <v>0.17206093099495234</v>
      </c>
      <c r="D118">
        <f>DEGREES(C118)</f>
        <v>9.8583651651024624</v>
      </c>
      <c r="E118">
        <v>270</v>
      </c>
      <c r="F118">
        <f>360-E118</f>
        <v>90</v>
      </c>
    </row>
    <row r="119" spans="1:10" x14ac:dyDescent="0.15">
      <c r="A119" t="s">
        <v>172</v>
      </c>
      <c r="C119">
        <f>C118-C115</f>
        <v>-2.6778590240478861</v>
      </c>
      <c r="D119">
        <f>D118-D115</f>
        <v>-153.43002020896549</v>
      </c>
    </row>
    <row r="121" spans="1:10" x14ac:dyDescent="0.15">
      <c r="A121" t="s">
        <v>120</v>
      </c>
    </row>
    <row r="122" spans="1:10" x14ac:dyDescent="0.15">
      <c r="E122">
        <v>283.11360000000002</v>
      </c>
    </row>
    <row r="123" spans="1:10" ht="14.25" x14ac:dyDescent="0.15">
      <c r="A123" t="s">
        <v>173</v>
      </c>
      <c r="B123" s="1">
        <f>RADIANS(D123+C123/2)</f>
        <v>4.9349184600139671</v>
      </c>
      <c r="C123">
        <v>25.5</v>
      </c>
      <c r="D123">
        <v>270</v>
      </c>
      <c r="E123">
        <f>(D123+C123/2)</f>
        <v>282.75</v>
      </c>
      <c r="F123">
        <f>COS(270+B123)</f>
        <v>4.5545509638729366E-2</v>
      </c>
    </row>
    <row r="124" spans="1:10" ht="14.25" x14ac:dyDescent="0.15">
      <c r="A124" t="s">
        <v>174</v>
      </c>
      <c r="B124" s="1">
        <f>RADIANS(D124+C124/2)</f>
        <v>5.270894341022875</v>
      </c>
      <c r="C124">
        <v>64</v>
      </c>
      <c r="D124">
        <v>270</v>
      </c>
    </row>
    <row r="125" spans="1:10" ht="14.25" x14ac:dyDescent="0.15">
      <c r="A125" t="s">
        <v>175</v>
      </c>
      <c r="B125" s="1">
        <f t="shared" ref="B125:B132" si="3">RADIANS(C125)</f>
        <v>2.4157747948676755</v>
      </c>
      <c r="C125">
        <v>138.41370000000001</v>
      </c>
      <c r="E125">
        <v>162</v>
      </c>
      <c r="G125">
        <f>(COS(C140)-COS(B142)*COS(B143))/SIN(B142)/SIN(B143)</f>
        <v>-0.74795682058796298</v>
      </c>
    </row>
    <row r="126" spans="1:10" ht="14.25" x14ac:dyDescent="0.15">
      <c r="B126" s="7"/>
      <c r="C126" s="7"/>
    </row>
    <row r="127" spans="1:10" ht="14.25" x14ac:dyDescent="0.15">
      <c r="B127" s="7"/>
      <c r="C127" s="7"/>
      <c r="F127">
        <v>34.157437000000002</v>
      </c>
      <c r="G127">
        <f>(F127-INT(F127))*60</f>
        <v>9.4462200000000962</v>
      </c>
      <c r="H127">
        <f>(G127-INT(G127))*60</f>
        <v>26.773200000005772</v>
      </c>
    </row>
    <row r="128" spans="1:10" ht="14.25" x14ac:dyDescent="0.15">
      <c r="A128" t="s">
        <v>121</v>
      </c>
      <c r="B128" s="7">
        <f t="shared" si="3"/>
        <v>0.82465554425776488</v>
      </c>
      <c r="C128">
        <v>47.2492822380338</v>
      </c>
      <c r="D128">
        <v>47.211797616163402</v>
      </c>
      <c r="F128">
        <f t="shared" ref="F128:H128" si="4">D172</f>
        <v>24.229232899649549</v>
      </c>
      <c r="G128">
        <f t="shared" si="4"/>
        <v>13.753973978972951</v>
      </c>
      <c r="H128">
        <f t="shared" si="4"/>
        <v>45.238438738377056</v>
      </c>
      <c r="J128">
        <v>340852</v>
      </c>
    </row>
    <row r="129" spans="1:12" ht="14.25" x14ac:dyDescent="0.15">
      <c r="A129" t="s">
        <v>176</v>
      </c>
      <c r="B129" s="7">
        <f t="shared" si="3"/>
        <v>4.4898595007554132</v>
      </c>
      <c r="C129" s="7">
        <f>E115-C123/2</f>
        <v>257.25</v>
      </c>
      <c r="F129">
        <f t="shared" ref="F129:H129" si="5">D178</f>
        <v>23.732884723059069</v>
      </c>
      <c r="G129">
        <f t="shared" si="5"/>
        <v>43.973083383544136</v>
      </c>
      <c r="H129">
        <f t="shared" si="5"/>
        <v>58.385003012648156</v>
      </c>
      <c r="J129">
        <v>212736</v>
      </c>
    </row>
    <row r="130" spans="1:12" ht="14.25" x14ac:dyDescent="0.15">
      <c r="A130" t="s">
        <v>177</v>
      </c>
      <c r="B130" s="7">
        <f t="shared" si="3"/>
        <v>4.9349184600139671</v>
      </c>
      <c r="C130">
        <f>E115+C123/2</f>
        <v>282.75</v>
      </c>
      <c r="F130">
        <f>D155</f>
        <v>47.597099999999998</v>
      </c>
    </row>
    <row r="131" spans="1:12" ht="14.25" x14ac:dyDescent="0.15">
      <c r="A131" t="s">
        <v>178</v>
      </c>
      <c r="B131" s="7">
        <f t="shared" si="3"/>
        <v>4.1538836197465043</v>
      </c>
      <c r="C131">
        <f>E118-C124/2</f>
        <v>238</v>
      </c>
    </row>
    <row r="132" spans="1:12" ht="14.25" x14ac:dyDescent="0.15">
      <c r="A132" t="s">
        <v>179</v>
      </c>
      <c r="B132" s="7">
        <f t="shared" si="3"/>
        <v>5.270894341022875</v>
      </c>
      <c r="C132">
        <f>E118+C124/2</f>
        <v>302</v>
      </c>
      <c r="H132" t="s">
        <v>121</v>
      </c>
    </row>
    <row r="133" spans="1:12" ht="14.25" x14ac:dyDescent="0.15">
      <c r="B133" s="7"/>
    </row>
    <row r="134" spans="1:12" x14ac:dyDescent="0.15">
      <c r="B134">
        <f>SIN(C96)*SIN(C96)*COS(B129)*COS(B129)+(COS(B128)*COS(C96)-SIN(B128)*SIN(C96)*SIN(B129))*(COS(B128)*COS(C96)-SIN(B128)*SIN(C96)*SIN(B129))</f>
        <v>0.59834662151796369</v>
      </c>
      <c r="E134">
        <f>0.749108548633295+E135/1000</f>
        <v>0.75034330363329504</v>
      </c>
      <c r="F134">
        <v>0.52397625435697404</v>
      </c>
      <c r="G134">
        <v>29.977282011430098</v>
      </c>
      <c r="H134">
        <v>47.211797616163402</v>
      </c>
      <c r="J134">
        <f>SUMSQ((B134-E134),(B137-E137))</f>
        <v>4.2157680285777814E-2</v>
      </c>
    </row>
    <row r="135" spans="1:12" x14ac:dyDescent="0.15">
      <c r="B135">
        <f>SIN(C96)*SIN(C96)*COS(B130)*COS(B130)+(COS(B128)*COS(C96)-SIN(B128)*SIN(C96)*SIN(B130))*(COS(B128)*COS(C96)-SIN(B128)*SIN(C96)*SIN(B130))</f>
        <v>0.59834662151796369</v>
      </c>
      <c r="C135">
        <f>B134-B135</f>
        <v>0</v>
      </c>
      <c r="E135">
        <v>1.234755</v>
      </c>
      <c r="F135">
        <f>ACOS(SQRT(E134))</f>
        <v>0.5232022718983238</v>
      </c>
      <c r="G135">
        <f>DEGREES(F135)</f>
        <v>29.977282011430109</v>
      </c>
    </row>
    <row r="137" spans="1:12" ht="14.25" x14ac:dyDescent="0.15">
      <c r="B137">
        <f>SIN(C98)*SIN(C98)*COS(B131)*COS(B131)+(COS(B128)*COS(C98)-SIN(B128)*SIN(C98)*SIN(B131))*(COS(B128)*COS(C98)-SIN(B128)*SIN(C98)*SIN(B131))</f>
        <v>0.72473698966477396</v>
      </c>
      <c r="E137">
        <f>COS(F137)*COS(F137)</f>
        <v>0.58669826715652729</v>
      </c>
      <c r="F137" s="1">
        <v>0.698259460600128</v>
      </c>
      <c r="H137">
        <v>47.2492822380338</v>
      </c>
    </row>
    <row r="138" spans="1:12" x14ac:dyDescent="0.15">
      <c r="B138">
        <f>SIN(C98)*SIN(C98)*COS(B132)*COS(B132)+(COS(B128)*COS(C98)-SIN(B128)*SIN(C98)*SIN(B132))*(COS(B128)*COS(C98)-SIN(B128)*SIN(C98)*SIN(B132))</f>
        <v>0.72473698966477396</v>
      </c>
      <c r="D138" s="5" t="s">
        <v>180</v>
      </c>
      <c r="E138">
        <f>COS(F138)*COS(F138)</f>
        <v>0.58780381787090019</v>
      </c>
      <c r="F138">
        <v>0.69713668262949402</v>
      </c>
    </row>
    <row r="139" spans="1:12" x14ac:dyDescent="0.15">
      <c r="A139" s="5"/>
    </row>
    <row r="140" spans="1:12" x14ac:dyDescent="0.15">
      <c r="A140" s="5" t="s">
        <v>181</v>
      </c>
      <c r="B140">
        <v>0.90492169266149003</v>
      </c>
      <c r="C140">
        <v>0.43960064373614</v>
      </c>
      <c r="D140">
        <v>25.187261557314901</v>
      </c>
      <c r="G140">
        <v>26.2272</v>
      </c>
      <c r="H140">
        <v>62.939799999999998</v>
      </c>
      <c r="I140">
        <v>138.1541</v>
      </c>
      <c r="J140">
        <v>47.597099999999998</v>
      </c>
      <c r="K140">
        <v>335702</v>
      </c>
      <c r="L140">
        <v>241251</v>
      </c>
    </row>
    <row r="141" spans="1:12" x14ac:dyDescent="0.15">
      <c r="F141">
        <v>17.978192199999999</v>
      </c>
    </row>
    <row r="142" spans="1:12" ht="14.25" x14ac:dyDescent="0.15">
      <c r="A142" s="5" t="s">
        <v>182</v>
      </c>
      <c r="B142" s="7">
        <f>RADIANS(E142)</f>
        <v>0.31318188097786248</v>
      </c>
      <c r="C142" s="4">
        <v>17.971</v>
      </c>
      <c r="D142">
        <v>-27</v>
      </c>
      <c r="E142">
        <f>C142+D142/1000</f>
        <v>17.943999999999999</v>
      </c>
      <c r="F142">
        <v>17.997400800000001</v>
      </c>
      <c r="G142">
        <v>17.696052444132299</v>
      </c>
      <c r="J142">
        <v>0.31371262881965001</v>
      </c>
      <c r="K142">
        <f>B142-J142</f>
        <v>-5.3074784178752665E-4</v>
      </c>
    </row>
    <row r="143" spans="1:12" ht="14.25" x14ac:dyDescent="0.15">
      <c r="A143" s="5" t="s">
        <v>183</v>
      </c>
      <c r="B143" s="1">
        <f>D144</f>
        <v>0.15354591835046638</v>
      </c>
      <c r="C143">
        <v>8.09</v>
      </c>
      <c r="D143">
        <f>(COS(C140)*COS(B142)+SQRT(F143))/(COS(B125)*COS(B125)*SIN(B142)*SIN(B142)+COS(B142)*COS(B142))</f>
        <v>0.98823496746195971</v>
      </c>
      <c r="E143">
        <f>(COS(C140)*COS(B142)-SQRT(F143))/(COS(B125)*COS(B125)*SIN(B142)*SIN(B142)+COS(B142)*COS(B142))</f>
        <v>0.80871740005475212</v>
      </c>
      <c r="F143">
        <f>COS(C140)*COS(C140)*COS(B142)*COS(B142)-(COS(B125)*COS(B125)*SIN(B142)*SIN(B142)+COS(B142)*COS(B142))*(COS(C140)*COS(C140)-COS(B125)*COS(B125)*SIN(B142)*SIN(B142))</f>
        <v>7.3969180744826168E-3</v>
      </c>
      <c r="G143">
        <v>8.0872408817528996</v>
      </c>
      <c r="J143">
        <v>0.15327100100250199</v>
      </c>
      <c r="K143">
        <f>B143-J143</f>
        <v>2.7491734796439293E-4</v>
      </c>
    </row>
    <row r="144" spans="1:12" ht="14.25" x14ac:dyDescent="0.15">
      <c r="A144" s="5" t="s">
        <v>121</v>
      </c>
      <c r="B144" s="1">
        <f>C154</f>
        <v>0.83047866384986202</v>
      </c>
      <c r="C144">
        <v>47.25</v>
      </c>
      <c r="D144">
        <f>ACOS(D143)</f>
        <v>0.15354591835046638</v>
      </c>
      <c r="E144">
        <f>ACOS(E143)</f>
        <v>0.62882805237845885</v>
      </c>
    </row>
    <row r="145" spans="1:10" x14ac:dyDescent="0.15">
      <c r="B145">
        <f>B144</f>
        <v>0.83047866384986202</v>
      </c>
      <c r="D145">
        <f>DEGREES(D144)</f>
        <v>8.7975330829420635</v>
      </c>
      <c r="E145">
        <f>DEGREES(E144)</f>
        <v>36.029193440717158</v>
      </c>
    </row>
    <row r="146" spans="1:10" x14ac:dyDescent="0.15">
      <c r="B146">
        <f>SIN(B142)*SIN(B142)*COS(B123)*COS(B123)+(COS(B144)*COS(B142)-SIN(B144)*SIN(B142)*SIN(B123))*(COS(B144)*COS(B142)-SIN(B144)*SIN(B142)*SIN(B123))</f>
        <v>0.75034330363329549</v>
      </c>
      <c r="C146">
        <f>B146-E134</f>
        <v>0</v>
      </c>
      <c r="D146">
        <f>(1-B146)*F4-F1*(1-B147)</f>
        <v>-4.377989490963035</v>
      </c>
    </row>
    <row r="147" spans="1:10" x14ac:dyDescent="0.15">
      <c r="B147">
        <f>SIN(B143)*SIN(B143)*COS(B124)*COS(B124)+(COS(B145)*COS(B143)-SIN(B145)*SIN(B143)*SIN(B124))*(COS(B145)*COS(B143)-SIN(B145)*SIN(B143)*SIN(B124))</f>
        <v>0.58773202224619847</v>
      </c>
      <c r="C147">
        <f>B147-E137</f>
        <v>1.0337550896711845E-3</v>
      </c>
      <c r="J147">
        <f>3.1415926/180</f>
        <v>1.7453292222222222E-2</v>
      </c>
    </row>
    <row r="148" spans="1:10" x14ac:dyDescent="0.15">
      <c r="B148">
        <f>SIN(B142)*SIN(B142)*SIN(B123)*SIN(B123)+(COS(B144)*COS(B142)+SIN(B144)*SIN(B142)*COS(B123))*(COS(B144)*COS(B142)+SIN(B144)*SIN(B142)*COS(B123))</f>
        <v>0.56903309967395344</v>
      </c>
      <c r="C148">
        <f>SUMSQ(C146:C147)</f>
        <v>1.0686495854210787E-6</v>
      </c>
      <c r="J148">
        <v>1.7453292222222201E-2</v>
      </c>
    </row>
    <row r="150" spans="1:10" x14ac:dyDescent="0.15">
      <c r="B150">
        <f>(B140-COS(B142)*COS(B143))/SIN(B142)/SIN(B143)</f>
        <v>-0.74795682058796764</v>
      </c>
      <c r="C150">
        <f>ACOS(B150)</f>
        <v>2.415774794867712</v>
      </c>
      <c r="D150">
        <f>C150-B125</f>
        <v>3.6415315207705135E-14</v>
      </c>
      <c r="F150">
        <v>-1.6993699118383901E-4</v>
      </c>
    </row>
    <row r="152" spans="1:10" x14ac:dyDescent="0.15">
      <c r="A152" s="5" t="s">
        <v>184</v>
      </c>
      <c r="D152" s="5" t="s">
        <v>185</v>
      </c>
      <c r="E152" s="5" t="s">
        <v>131</v>
      </c>
      <c r="F152" s="5" t="s">
        <v>132</v>
      </c>
      <c r="G152" s="5" t="s">
        <v>133</v>
      </c>
      <c r="H152" s="5" t="s">
        <v>186</v>
      </c>
      <c r="I152" s="5" t="s">
        <v>187</v>
      </c>
    </row>
    <row r="153" spans="1:10" x14ac:dyDescent="0.15">
      <c r="B153">
        <f>(-F153+SQRT(D153))/2/E153</f>
        <v>0.97620137334095547</v>
      </c>
      <c r="C153">
        <f>(-F153-SQRT(D153))/2/E153</f>
        <v>0.6745224617002703</v>
      </c>
      <c r="D153">
        <f>F153*F153-4*E153*G153</f>
        <v>9.0170595584632363E-2</v>
      </c>
      <c r="E153">
        <f>COS(B142)*COS(B142)+SIN(B142)*SIN(B142)*SIN(B123)*SIN(B123)</f>
        <v>0.99537680553605612</v>
      </c>
      <c r="F153">
        <f>-2*SQRT(H153)*COS(B142)</f>
        <v>-1.6430922177455629</v>
      </c>
      <c r="G153">
        <f>H153-SIN(B142)*SIN(B142)*SIN(B123)*SIN(B123)</f>
        <v>0.65542551974224994</v>
      </c>
      <c r="H153">
        <f>E134-SIN(B142)*SIN(B142)*COS(B123)*COS(B123)</f>
        <v>0.74572010916935128</v>
      </c>
    </row>
    <row r="154" spans="1:10" x14ac:dyDescent="0.15">
      <c r="B154">
        <f>ACOS(B153)</f>
        <v>0.2186029556821516</v>
      </c>
      <c r="C154">
        <f>ACOS(C153)</f>
        <v>0.83047866384986202</v>
      </c>
    </row>
    <row r="155" spans="1:10" x14ac:dyDescent="0.15">
      <c r="B155">
        <f>DEGREES(B154)</f>
        <v>12.525026749672664</v>
      </c>
      <c r="C155">
        <f>DEGREES(C154)</f>
        <v>47.582922414260906</v>
      </c>
      <c r="D155">
        <v>47.597099999999998</v>
      </c>
      <c r="E155">
        <f>C155-D155</f>
        <v>-1.4177585739091114E-2</v>
      </c>
    </row>
    <row r="159" spans="1:10" ht="14.25" x14ac:dyDescent="0.15">
      <c r="B159" s="7">
        <f>RADIANS(C159)</f>
        <v>3.1415926535897931</v>
      </c>
      <c r="C159">
        <v>180</v>
      </c>
    </row>
    <row r="160" spans="1:10" x14ac:dyDescent="0.15">
      <c r="B160">
        <f>COS(B159)</f>
        <v>-1</v>
      </c>
      <c r="C160">
        <f>COS(C159)</f>
        <v>-0.59846006905785809</v>
      </c>
    </row>
    <row r="161" spans="1:6" x14ac:dyDescent="0.15">
      <c r="A161" s="5" t="s">
        <v>188</v>
      </c>
    </row>
    <row r="162" spans="1:6" x14ac:dyDescent="0.15">
      <c r="B162">
        <f>COS(B142)*COS(B142)+COS(B143)*COS(B143)+0*COS(B142)*COS(B143)*D2*D5-(B5*C2-B2*C5)*(B5*C2-B2*C5)-2*COS(B142)*COS(B143)*COS(C140)</f>
        <v>0.18013856073505963</v>
      </c>
    </row>
    <row r="163" spans="1:6" x14ac:dyDescent="0.15">
      <c r="B163">
        <f>-SQRT(B162)+D2*COS(B143)+D5*COS(B142)</f>
        <v>0.5050460863334334</v>
      </c>
    </row>
    <row r="166" spans="1:6" x14ac:dyDescent="0.15">
      <c r="A166" s="5" t="s">
        <v>189</v>
      </c>
      <c r="B166">
        <f>B5*COS(B142)-B2*COS(B143)</f>
        <v>-5.7162578771487033E-2</v>
      </c>
      <c r="C166">
        <f>COS(B142)</f>
        <v>0.95135809036816144</v>
      </c>
      <c r="D166">
        <f>B2*B92+C2*C92+D2*D92</f>
        <v>0.99003476219963471</v>
      </c>
      <c r="E166">
        <f>-B2*COS(C172)*SIN(C188)+C2*COS(C172)*COS(C188)+D2*SIN(C172)</f>
        <v>0.95257141398544665</v>
      </c>
    </row>
    <row r="167" spans="1:6" x14ac:dyDescent="0.15">
      <c r="A167" s="5" t="s">
        <v>190</v>
      </c>
      <c r="B167">
        <f>C5*COS(B142)-C2*COS(B143)</f>
        <v>0.16501415120645602</v>
      </c>
    </row>
    <row r="168" spans="1:6" x14ac:dyDescent="0.15">
      <c r="A168" s="5" t="s">
        <v>131</v>
      </c>
      <c r="B168">
        <f>SUMSQ(B5*D2-B2*D5,D2*C5-D5*C2,B5*C2-B2*C5)</f>
        <v>0.18107994231175162</v>
      </c>
      <c r="C168">
        <f>1-B100*B100</f>
        <v>0.18107994231175151</v>
      </c>
    </row>
    <row r="169" spans="1:6" x14ac:dyDescent="0.15">
      <c r="A169" s="5" t="s">
        <v>132</v>
      </c>
      <c r="B169">
        <f>-2*(B166*(B5*D2-B2*D5)+B167*(D2*C5-C2*D5))</f>
        <v>-0.14862619878680944</v>
      </c>
      <c r="C169">
        <f>D2*B96+D5*B98-(D5*B96+D2*B98)*B100</f>
        <v>0.1013648539312707</v>
      </c>
      <c r="D169">
        <f>-2*C169</f>
        <v>-0.20272970786254141</v>
      </c>
    </row>
    <row r="170" spans="1:6" x14ac:dyDescent="0.15">
      <c r="A170" s="5" t="s">
        <v>133</v>
      </c>
      <c r="B170">
        <f>B166*B166+B167*B167-SUMSQ(B5*C2-B2*C5)</f>
        <v>3.0497230510193589E-2</v>
      </c>
    </row>
    <row r="171" spans="1:6" x14ac:dyDescent="0.15">
      <c r="A171" s="5" t="s">
        <v>185</v>
      </c>
      <c r="B171">
        <f>B169*B169-4*B168*B170</f>
        <v>0</v>
      </c>
    </row>
    <row r="172" spans="1:6" x14ac:dyDescent="0.15">
      <c r="A172" s="5" t="s">
        <v>191</v>
      </c>
      <c r="B172">
        <f>-B169/2/B168</f>
        <v>0.41038835358951842</v>
      </c>
      <c r="C172" s="9">
        <f>ASIN(B172)</f>
        <v>0.42287988933141746</v>
      </c>
      <c r="D172" s="10">
        <f>DEGREES(C172)</f>
        <v>24.229232899649549</v>
      </c>
      <c r="E172" s="10">
        <f>(D172-INT(D172))*60</f>
        <v>13.753973978972951</v>
      </c>
      <c r="F172" s="11">
        <f>(E172-INT(E172))*60</f>
        <v>45.238438738377056</v>
      </c>
    </row>
    <row r="173" spans="1:6" x14ac:dyDescent="0.15">
      <c r="A173" s="5" t="s">
        <v>192</v>
      </c>
      <c r="B173" s="5" t="s">
        <v>193</v>
      </c>
    </row>
    <row r="174" spans="1:6" x14ac:dyDescent="0.15">
      <c r="A174" s="5" t="s">
        <v>131</v>
      </c>
      <c r="B174">
        <f>(B2*B2+C2*C2)*COS(C172)*COS(C172)</f>
        <v>0.46276767818206138</v>
      </c>
      <c r="D174">
        <v>335702</v>
      </c>
      <c r="E174">
        <v>241251</v>
      </c>
    </row>
    <row r="175" spans="1:6" x14ac:dyDescent="0.15">
      <c r="A175" s="5" t="s">
        <v>132</v>
      </c>
      <c r="B175">
        <f>2*(COS(B142)-D2*SIN(C172))*B2*COS(C172)</f>
        <v>-0.30196553657181396</v>
      </c>
    </row>
    <row r="176" spans="1:6" x14ac:dyDescent="0.15">
      <c r="A176" s="5" t="s">
        <v>133</v>
      </c>
      <c r="B176">
        <f>(COS(B142)-D2*SIN(C172))*(COS(B142)-D2*SIN(C172))-C2*C2*COS(C172)*COS(C172)</f>
        <v>4.657175938415864E-2</v>
      </c>
    </row>
    <row r="177" spans="1:6" x14ac:dyDescent="0.15">
      <c r="A177" s="5" t="s">
        <v>185</v>
      </c>
      <c r="B177">
        <f>B175*B175-4*B174*B176</f>
        <v>4.975565440860627E-3</v>
      </c>
    </row>
    <row r="178" spans="1:6" x14ac:dyDescent="0.15">
      <c r="A178" s="5" t="s">
        <v>193</v>
      </c>
      <c r="B178">
        <f>(-B175+SQRT(B177))/2/B174</f>
        <v>0.40247325193884242</v>
      </c>
      <c r="C178" s="9">
        <f>ASIN(B178)</f>
        <v>0.41421697941364333</v>
      </c>
      <c r="D178" s="10">
        <f t="shared" ref="D178:D180" si="6">DEGREES(C178)</f>
        <v>23.732884723059069</v>
      </c>
      <c r="E178" s="10">
        <f t="shared" ref="E178:E180" si="7">(D178-INT(D178))*60</f>
        <v>43.973083383544136</v>
      </c>
      <c r="F178" s="11">
        <f t="shared" ref="F178:F180" si="8">(E178-INT(E178))*60</f>
        <v>58.385003012648156</v>
      </c>
    </row>
    <row r="179" spans="1:6" x14ac:dyDescent="0.15">
      <c r="A179" s="5" t="s">
        <v>193</v>
      </c>
      <c r="B179">
        <f>(-B175-SQRT(B177))/2/B174</f>
        <v>0.25004755020113573</v>
      </c>
      <c r="C179">
        <f>ASIN(B179)</f>
        <v>0.25272936509002075</v>
      </c>
      <c r="D179">
        <f t="shared" si="6"/>
        <v>14.480325978679113</v>
      </c>
      <c r="E179">
        <f t="shared" si="7"/>
        <v>28.819558720746805</v>
      </c>
      <c r="F179">
        <f t="shared" si="8"/>
        <v>49.173523244808308</v>
      </c>
    </row>
    <row r="180" spans="1:6" x14ac:dyDescent="0.15">
      <c r="C180">
        <f>C178/2+C179/2</f>
        <v>0.33347317225183204</v>
      </c>
      <c r="D180">
        <f t="shared" si="6"/>
        <v>19.106605350869092</v>
      </c>
      <c r="E180">
        <f t="shared" si="7"/>
        <v>6.3963210521455238</v>
      </c>
      <c r="F180">
        <f t="shared" si="8"/>
        <v>23.779263128731429</v>
      </c>
    </row>
    <row r="188" spans="1:6" x14ac:dyDescent="0.15">
      <c r="A188" s="5" t="s">
        <v>194</v>
      </c>
      <c r="B188">
        <f>TAN(C91)</f>
        <v>0.40846575538346303</v>
      </c>
      <c r="C188">
        <f>ATAN(B188)</f>
        <v>0.38778307097227338</v>
      </c>
      <c r="D188">
        <f>DEGREES(C188)</f>
        <v>22.21833333333333</v>
      </c>
      <c r="E188">
        <f>(D188-INT(D188))*60</f>
        <v>13.09999999999981</v>
      </c>
      <c r="F188">
        <f>(E188-INT(E188))*60</f>
        <v>5.9999999999885745</v>
      </c>
    </row>
    <row r="189" spans="1:6" x14ac:dyDescent="0.15">
      <c r="B189">
        <f>(B167*10000000000000000-(D2*C5*10000000000000000-C2*D5*10000000000000000)*B172)/(B166*10000000000000000-(B5*D2*10000000000000000-B2*D5*10000000000000000)*B172)</f>
        <v>2</v>
      </c>
    </row>
    <row r="190" spans="1:6" x14ac:dyDescent="0.15">
      <c r="A190" s="5" t="s">
        <v>195</v>
      </c>
      <c r="B190">
        <f>(B167-(D2*C5-C2*D5)*B172)</f>
        <v>-5.5511151231257827E-17</v>
      </c>
    </row>
    <row r="191" spans="1:6" x14ac:dyDescent="0.15">
      <c r="A191" s="5" t="s">
        <v>196</v>
      </c>
      <c r="B191">
        <f>B166-(B5*D2-B2*D5)*B172</f>
        <v>0</v>
      </c>
    </row>
    <row r="192" spans="1:6" x14ac:dyDescent="0.15">
      <c r="A192" s="5" t="s">
        <v>197</v>
      </c>
      <c r="B192">
        <f>(D2*C5-C2*D5)*B172</f>
        <v>0.16501415120645607</v>
      </c>
      <c r="C192">
        <f>B167-B192</f>
        <v>0</v>
      </c>
    </row>
    <row r="193" spans="1:6" x14ac:dyDescent="0.15">
      <c r="A193" s="5" t="s">
        <v>198</v>
      </c>
      <c r="B193">
        <f>(B5*C2-B2*C5)*COS(C172)*COS(C188)</f>
        <v>-2.3431288544257066E-17</v>
      </c>
    </row>
    <row r="194" spans="1:6" x14ac:dyDescent="0.15">
      <c r="A194" s="5" t="s">
        <v>199</v>
      </c>
      <c r="B194">
        <f>(B5*C2-B2*C5)*COS(C172)*SIN(C188)</f>
        <v>-9.5708789748378469E-18</v>
      </c>
    </row>
    <row r="195" spans="1:6" x14ac:dyDescent="0.15">
      <c r="A195" s="5" t="s">
        <v>200</v>
      </c>
      <c r="B195">
        <f>B194/B193</f>
        <v>0.40846575538346308</v>
      </c>
    </row>
    <row r="197" spans="1:6" x14ac:dyDescent="0.15">
      <c r="A197" s="5" t="s">
        <v>201</v>
      </c>
      <c r="B197">
        <f>(B5*C2-B2*C5)*COS(C172)</f>
        <v>-2.5310610565437285E-17</v>
      </c>
    </row>
    <row r="198" spans="1:6" x14ac:dyDescent="0.15">
      <c r="A198" s="5" t="s">
        <v>202</v>
      </c>
      <c r="B198">
        <f>B191/B197</f>
        <v>0</v>
      </c>
      <c r="C198">
        <f>ACOS(B198)</f>
        <v>1.5707963267948966</v>
      </c>
      <c r="D198">
        <f>DEGREES(C198)</f>
        <v>90</v>
      </c>
      <c r="E198">
        <f>(D198-INT(D198))*60</f>
        <v>0</v>
      </c>
      <c r="F198">
        <f>(E198-INT(E198))*60</f>
        <v>0</v>
      </c>
    </row>
    <row r="199" spans="1:6" x14ac:dyDescent="0.15">
      <c r="A199" s="5" t="s">
        <v>203</v>
      </c>
      <c r="B199">
        <f>(B5*C2-B2*C5)*COS(C172)</f>
        <v>-2.5310610565437285E-17</v>
      </c>
    </row>
    <row r="200" spans="1:6" x14ac:dyDescent="0.15">
      <c r="A200" s="5" t="s">
        <v>204</v>
      </c>
      <c r="B200">
        <f>B167/B199-B192/B199</f>
        <v>0</v>
      </c>
      <c r="C200">
        <f>ASIN(B200)</f>
        <v>0</v>
      </c>
      <c r="D200">
        <f>DEGREES(C200)</f>
        <v>0</v>
      </c>
      <c r="E200">
        <f>(D200-INT(D200))*60</f>
        <v>0</v>
      </c>
      <c r="F200">
        <f>(E200-INT(E200))*60</f>
        <v>0</v>
      </c>
    </row>
    <row r="202" spans="1:6" x14ac:dyDescent="0.15">
      <c r="B202">
        <f>(B5*COS(B142)-B2*COS(B143)-(B5*D2-B2*D5)*SIN(C172))/(B5*C2-B2*C5)/COS(C172)</f>
        <v>0.82244881678783954</v>
      </c>
      <c r="C202">
        <f>(B5*D2-B2*D5)*SIN(C172)</f>
        <v>-5.7162578771487012E-2</v>
      </c>
    </row>
    <row r="203" spans="1:6" x14ac:dyDescent="0.15">
      <c r="B203">
        <f>(B5*COS(B142)-B2*COS(B143)-B5*D2*SIN(C172)+B2*D5*SIN(C172))/(B5*C2*COS(C172)-B2*C5*COS(C172))</f>
        <v>0.875</v>
      </c>
      <c r="C203">
        <f>B5*D2*SIN(C172)-B2*D5*SIN(C172)</f>
        <v>-5.7162578771487005E-2</v>
      </c>
    </row>
  </sheetData>
  <mergeCells count="6">
    <mergeCell ref="D62:E62"/>
    <mergeCell ref="F62:G62"/>
    <mergeCell ref="H62:I62"/>
    <mergeCell ref="D70:E70"/>
    <mergeCell ref="F70:G70"/>
    <mergeCell ref="H70:I70"/>
  </mergeCells>
  <phoneticPr fontId="6" type="noConversion"/>
  <pageMargins left="0.75" right="0.75" top="1" bottom="1" header="0.51180555555555596" footer="0.51180555555555596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2049" r:id="rId4">
          <objectPr defaultSize="0" altText="" r:id="rId5">
            <anchor moveWithCells="1">
              <from>
                <xdr:col>6</xdr:col>
                <xdr:colOff>19050</xdr:colOff>
                <xdr:row>24</xdr:row>
                <xdr:rowOff>66675</xdr:rowOff>
              </from>
              <to>
                <xdr:col>8</xdr:col>
                <xdr:colOff>523875</xdr:colOff>
                <xdr:row>33</xdr:row>
                <xdr:rowOff>47625</xdr:rowOff>
              </to>
            </anchor>
          </objectPr>
        </oleObject>
      </mc:Choice>
      <mc:Fallback>
        <oleObject progId="Equation.KSEE3" shapeId="2049" r:id="rId4"/>
      </mc:Fallback>
    </mc:AlternateContent>
    <mc:AlternateContent xmlns:mc="http://schemas.openxmlformats.org/markup-compatibility/2006">
      <mc:Choice Requires="x14">
        <oleObject progId="Equation.KSEE3" shapeId="2050" r:id="rId6">
          <objectPr defaultSize="0" altText="" r:id="rId7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657225</xdr:colOff>
                <xdr:row>39</xdr:row>
                <xdr:rowOff>142875</xdr:rowOff>
              </to>
            </anchor>
          </objectPr>
        </oleObject>
      </mc:Choice>
      <mc:Fallback>
        <oleObject progId="Equation.KSEE3" shapeId="2050" r:id="rId6"/>
      </mc:Fallback>
    </mc:AlternateContent>
    <mc:AlternateContent xmlns:mc="http://schemas.openxmlformats.org/markup-compatibility/2006">
      <mc:Choice Requires="x14">
        <oleObject progId="Equation.KSEE3" shapeId="2051" r:id="rId8">
          <objectPr defaultSize="0" altText="" r:id="rId9">
            <anchor moveWithCells="1">
              <from>
                <xdr:col>7</xdr:col>
                <xdr:colOff>914400</xdr:colOff>
                <xdr:row>48</xdr:row>
                <xdr:rowOff>95250</xdr:rowOff>
              </from>
              <to>
                <xdr:col>10</xdr:col>
                <xdr:colOff>771525</xdr:colOff>
                <xdr:row>51</xdr:row>
                <xdr:rowOff>76200</xdr:rowOff>
              </to>
            </anchor>
          </objectPr>
        </oleObject>
      </mc:Choice>
      <mc:Fallback>
        <oleObject progId="Equation.KSEE3" shapeId="2051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∠X"L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</dc:creator>
  <cp:lastModifiedBy>Windows User</cp:lastModifiedBy>
  <dcterms:created xsi:type="dcterms:W3CDTF">2018-11-15T15:42:59Z</dcterms:created>
  <dcterms:modified xsi:type="dcterms:W3CDTF">2019-05-30T04:17:59Z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